
<file path=[Content_Types].xml><?xml version="1.0" encoding="utf-8"?>
<Types xmlns="http://schemas.openxmlformats.org/package/2006/content-types">
  <Override PartName="/xl/worksheets/sheet24.xml" ContentType="application/vnd.openxmlformats-officedocument.spreadsheetml.worksheet+xml"/>
  <Override PartName="/xl/worksheets/sheet35.xml" ContentType="application/vnd.openxmlformats-officedocument.spreadsheetml.worksheet+xml"/>
  <Override PartName="/xl/embeddings/oleObject8.bin" ContentType="application/vnd.openxmlformats-officedocument.oleObject"/>
  <Override PartName="/xl/embeddings/oleObject14.bin" ContentType="application/vnd.openxmlformats-officedocument.oleObject"/>
  <Override PartName="/xl/worksheets/sheet9.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embeddings/oleObject6.bin" ContentType="application/vnd.openxmlformats-officedocument.oleObject"/>
  <Override PartName="/xl/comments8.xml" ContentType="application/vnd.openxmlformats-officedocument.spreadsheetml.comments+xml"/>
  <Override PartName="/xl/embeddings/oleObject12.bin" ContentType="application/vnd.openxmlformats-officedocument.oleObject"/>
  <Override PartName="/xl/embeddings/oleObject21.bin" ContentType="application/vnd.openxmlformats-officedocument.oleObject"/>
  <Override PartName="/xl/worksheets/sheet7.xml" ContentType="application/vnd.openxmlformats-officedocument.spreadsheetml.worksheet+xml"/>
  <Override PartName="/xl/worksheets/sheet11.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embeddings/oleObject4.bin" ContentType="application/vnd.openxmlformats-officedocument.oleObject"/>
  <Override PartName="/xl/comments6.xml" ContentType="application/vnd.openxmlformats-officedocument.spreadsheetml.comments+xml"/>
  <Override PartName="/xl/embeddings/oleObject10.bin" ContentType="application/vnd.openxmlformats-officedocument.oleObject"/>
  <Default Extension="rels" ContentType="application/vnd.openxmlformats-package.relationships+xml"/>
  <Default Extension="xml" ContentType="application/xml"/>
  <Override PartName="/xl/worksheets/sheet5.xml" ContentType="application/vnd.openxmlformats-officedocument.spreadsheetml.worksheet+xml"/>
  <Override PartName="/xl/embeddings/oleObject2.bin" ContentType="application/vnd.openxmlformats-officedocument.oleObject"/>
  <Override PartName="/xl/comments4.xml" ContentType="application/vnd.openxmlformats-officedocument.spreadsheetml.comments+xml"/>
  <Override PartName="/xl/comments18.xml" ContentType="application/vnd.openxmlformats-officedocument.spreadsheetml.comments+xml"/>
  <Override PartName="/xl/worksheets/sheet3.xml" ContentType="application/vnd.openxmlformats-officedocument.spreadsheetml.worksheet+xml"/>
  <Override PartName="/xl/externalLinks/externalLink3.xml" ContentType="application/vnd.openxmlformats-officedocument.spreadsheetml.externalLink+xml"/>
  <Override PartName="/xl/comments2.xml" ContentType="application/vnd.openxmlformats-officedocument.spreadsheetml.comments+xml"/>
  <Override PartName="/xl/comments16.xml" ContentType="application/vnd.openxmlformats-officedocument.spreadsheetml.comments+xml"/>
  <Override PartName="/xl/worksheets/sheet1.xml" ContentType="application/vnd.openxmlformats-officedocument.spreadsheetml.worksheet+xml"/>
  <Override PartName="/xl/externalLinks/externalLink1.xml" ContentType="application/vnd.openxmlformats-officedocument.spreadsheetml.externalLink+xml"/>
  <Override PartName="/xl/comments14.xml" ContentType="application/vnd.openxmlformats-officedocument.spreadsheetml.comments+xml"/>
  <Override PartName="/xl/comments23.xml" ContentType="application/vnd.openxmlformats-officedocument.spreadsheetml.comments+xml"/>
  <Override PartName="/xl/worksheets/sheet29.xml" ContentType="application/vnd.openxmlformats-officedocument.spreadsheetml.worksheet+xml"/>
  <Override PartName="/xl/worksheets/sheet38.xml" ContentType="application/vnd.openxmlformats-officedocument.spreadsheetml.worksheet+xml"/>
  <Override PartName="/xl/sharedStrings.xml" ContentType="application/vnd.openxmlformats-officedocument.spreadsheetml.sharedStrings+xml"/>
  <Override PartName="/xl/comments12.xml" ContentType="application/vnd.openxmlformats-officedocument.spreadsheetml.comments+xml"/>
  <Override PartName="/xl/embeddings/oleObject19.bin" ContentType="application/vnd.openxmlformats-officedocument.oleObject"/>
  <Override PartName="/xl/comments21.xml" ContentType="application/vnd.openxmlformats-officedocument.spreadsheetml.comments+xml"/>
  <Override PartName="/xl/worksheets/sheet18.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xl/embeddings/oleObject9.bin" ContentType="application/vnd.openxmlformats-officedocument.oleObject"/>
  <Override PartName="/xl/comments10.xml" ContentType="application/vnd.openxmlformats-officedocument.spreadsheetml.comments+xml"/>
  <Override PartName="/xl/embeddings/oleObject17.bin" ContentType="application/vnd.openxmlformats-officedocument.oleObject"/>
  <Override PartName="/xl/worksheets/sheet16.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Default Extension="bin" ContentType="application/vnd.openxmlformats-officedocument.spreadsheetml.printerSettings"/>
  <Override PartName="/xl/embeddings/oleObject7.bin" ContentType="application/vnd.openxmlformats-officedocument.oleObject"/>
  <Override PartName="/xl/embeddings/oleObject15.bin" ContentType="application/vnd.openxmlformats-officedocument.oleObject"/>
  <Override PartName="/xl/worksheets/sheet14.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embeddings/oleObject5.bin" ContentType="application/vnd.openxmlformats-officedocument.oleObject"/>
  <Override PartName="/xl/comments9.xml" ContentType="application/vnd.openxmlformats-officedocument.spreadsheetml.comments+xml"/>
  <Override PartName="/xl/embeddings/oleObject13.bin" ContentType="application/vnd.openxmlformats-officedocument.oleObject"/>
  <Override PartName="/xl/embeddings/oleObject22.bin" ContentType="application/vnd.openxmlformats-officedocument.oleObject"/>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Default Extension="emf" ContentType="image/x-emf"/>
  <Override PartName="/xl/embeddings/oleObject3.bin" ContentType="application/vnd.openxmlformats-officedocument.oleObject"/>
  <Override PartName="/xl/comments7.xml" ContentType="application/vnd.openxmlformats-officedocument.spreadsheetml.comments+xml"/>
  <Override PartName="/xl/embeddings/oleObject11.bin" ContentType="application/vnd.openxmlformats-officedocument.oleObject"/>
  <Override PartName="/xl/embeddings/oleObject20.bin" ContentType="application/vnd.openxmlformats-officedocument.oleObject"/>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xl/embeddings/oleObject1.bin" ContentType="application/vnd.openxmlformats-officedocument.oleObject"/>
  <Override PartName="/xl/comments5.xml" ContentType="application/vnd.openxmlformats-officedocument.spreadsheetml.comments+xml"/>
  <Override PartName="/xl/comments19.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externalLinks/externalLink2.xml" ContentType="application/vnd.openxmlformats-officedocument.spreadsheetml.externalLink+xml"/>
  <Override PartName="/xl/comments3.xml" ContentType="application/vnd.openxmlformats-officedocument.spreadsheetml.comments+xml"/>
  <Override PartName="/xl/comments17.xml" ContentType="application/vnd.openxmlformats-officedocument.spreadsheetml.comments+xml"/>
  <Default Extension="vml" ContentType="application/vnd.openxmlformats-officedocument.vmlDrawing"/>
  <Override PartName="/xl/comments1.xml" ContentType="application/vnd.openxmlformats-officedocument.spreadsheetml.comments+xml"/>
  <Override PartName="/xl/comments15.xml" ContentType="application/vnd.openxmlformats-officedocument.spreadsheetml.comments+xml"/>
  <Override PartName="/xl/comments24.xml" ContentType="application/vnd.openxmlformats-officedocument.spreadsheetml.comments+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39.xml" ContentType="application/vnd.openxmlformats-officedocument.spreadsheetml.worksheet+xml"/>
  <Override PartName="/xl/comments13.xml" ContentType="application/vnd.openxmlformats-officedocument.spreadsheetml.comments+xml"/>
  <Override PartName="/xl/embeddings/oleObject18.bin" ContentType="application/vnd.openxmlformats-officedocument.oleObject"/>
  <Override PartName="/xl/comments22.xml" ContentType="application/vnd.openxmlformats-officedocument.spreadsheetml.comments+xml"/>
  <Override PartName="/xl/worksheets/sheet17.xml" ContentType="application/vnd.openxmlformats-officedocument.spreadsheetml.worksheet+xml"/>
  <Override PartName="/xl/worksheets/sheet26.xml" ContentType="application/vnd.openxmlformats-officedocument.spreadsheetml.worksheet+xml"/>
  <Override PartName="/xl/worksheets/sheet37.xml" ContentType="application/vnd.openxmlformats-officedocument.spreadsheetml.worksheet+xml"/>
  <Override PartName="/xl/comments11.xml" ContentType="application/vnd.openxmlformats-officedocument.spreadsheetml.comments+xml"/>
  <Override PartName="/xl/embeddings/oleObject16.bin" ContentType="application/vnd.openxmlformats-officedocument.oleObject"/>
  <Override PartName="/xl/comments20.xml" ContentType="application/vnd.openxmlformats-officedocument.spreadsheetml.comments+xml"/>
  <Override PartName="/docProps/core.xml" ContentType="application/vnd.openxmlformats-package.core-properties+xml"/>
  <Override PartName="/xl/worksheets/sheet15.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12" yWindow="6036" windowWidth="19260" windowHeight="6096" tabRatio="993" firstSheet="15" activeTab="22"/>
  </bookViews>
  <sheets>
    <sheet name="Resumen" sheetId="1" r:id="rId1"/>
    <sheet name="Global" sheetId="2" r:id="rId2"/>
    <sheet name="Res. Global" sheetId="60796" r:id="rId3"/>
    <sheet name="Resumen RAE Anchoveta" sheetId="1792" r:id="rId4"/>
    <sheet name="Resumen RAE S.Común" sheetId="7380" r:id="rId5"/>
    <sheet name="RAE Anchoveta" sheetId="2316" r:id="rId6"/>
    <sheet name="Anchoveta" sheetId="1024" r:id="rId7"/>
    <sheet name="RAE S.común" sheetId="32" r:id="rId8"/>
    <sheet name="S.común" sheetId="514" r:id="rId9"/>
    <sheet name="Resumen RAE Merluza" sheetId="1908" r:id="rId10"/>
    <sheet name="M.Común" sheetId="112" r:id="rId11"/>
    <sheet name="Resumen RAE Jurel" sheetId="11565" r:id="rId12"/>
    <sheet name="RAE Jurel" sheetId="2819" r:id="rId13"/>
    <sheet name="Jurel" sheetId="8194" r:id="rId14"/>
    <sheet name="S.española" sheetId="516" r:id="rId15"/>
    <sheet name="Sardina austral X - XI" sheetId="60806" r:id="rId16"/>
    <sheet name="C.Dorado y fauna ac." sheetId="523" r:id="rId17"/>
    <sheet name="C.Nailon" sheetId="2561" r:id="rId18"/>
    <sheet name="L.Amarillo" sheetId="11520" r:id="rId19"/>
    <sheet name="L.colorado" sheetId="29741" r:id="rId20"/>
    <sheet name="M.Sur X" sheetId="60811" r:id="rId21"/>
    <sheet name="M.sur XI" sheetId="97" r:id="rId22"/>
    <sheet name="RAE M.sur XI" sheetId="2048" r:id="rId23"/>
    <sheet name="M.sur  RESUMEN XII" sheetId="60812" r:id="rId24"/>
    <sheet name="MERL. SUR XII " sheetId="60798" r:id="rId25"/>
    <sheet name="Erizo" sheetId="45" r:id="rId26"/>
    <sheet name="Macha X Cucao  Y Pucaihuen" sheetId="60797" r:id="rId27"/>
    <sheet name="Juliana X " sheetId="60810" r:id="rId28"/>
    <sheet name="Resumen Rayas Y  Fauna ac." sheetId="60809" r:id="rId29"/>
    <sheet name="Rayas IV a VII y X-XI-XII" sheetId="60808" r:id="rId30"/>
    <sheet name="resumen Jibia XV a XII" sheetId="60800" r:id="rId31"/>
    <sheet name="Jibia XV a XII regiones" sheetId="60799" r:id="rId32"/>
    <sheet name="Resumen Cuotas Traspasos" sheetId="60801" r:id="rId33"/>
    <sheet name="Planillas diarias trapasos" sheetId="60805" r:id="rId34"/>
    <sheet name="trapasos VIII Y FAUN aco regs." sheetId="60804" r:id="rId35"/>
    <sheet name="Resumen algas IV reg " sheetId="60803" r:id="rId36"/>
    <sheet name="Algas IV reg " sheetId="60802" r:id="rId37"/>
    <sheet name="Hoja1" sheetId="60813" r:id="rId38"/>
    <sheet name="Hoja2" sheetId="60814" r:id="rId39"/>
  </sheets>
  <externalReferences>
    <externalReference r:id="rId40"/>
    <externalReference r:id="rId41"/>
    <externalReference r:id="rId42"/>
  </externalReferences>
  <definedNames>
    <definedName name="_xlnm._FilterDatabase" localSheetId="1" hidden="1">Global!$A$5:$G$67</definedName>
    <definedName name="_xlnm._FilterDatabase" localSheetId="23" hidden="1">'M.sur  RESUMEN XII'!$B$5:$L$13</definedName>
    <definedName name="_xlnm._FilterDatabase" localSheetId="20" hidden="1">'M.Sur X'!$A$7:$P$55</definedName>
    <definedName name="_xlnm._FilterDatabase" localSheetId="21" hidden="1">'M.sur XI'!$I$6:$N$24</definedName>
    <definedName name="_xlnm._FilterDatabase" localSheetId="22" hidden="1">'RAE M.sur XI'!$AK$4:$AU$52</definedName>
    <definedName name="_xlnm._FilterDatabase" localSheetId="7" hidden="1">'RAE S.común'!$A$364:$AH$377</definedName>
    <definedName name="_xlnm._FilterDatabase" localSheetId="2" hidden="1">'Res. Global'!$A$1:$Q$168</definedName>
    <definedName name="_xlnm.Print_Area" localSheetId="1">Global!$A$2:$F$63</definedName>
    <definedName name="_xlnm.Print_Area" localSheetId="3">'Resumen RAE Anchoveta'!$A$2:$I$270</definedName>
  </definedNames>
  <calcPr calcId="125725"/>
</workbook>
</file>

<file path=xl/calcChain.xml><?xml version="1.0" encoding="utf-8"?>
<calcChain xmlns="http://schemas.openxmlformats.org/spreadsheetml/2006/main">
  <c r="G79" i="2048"/>
  <c r="K75"/>
  <c r="B59" i="60798"/>
  <c r="B57"/>
  <c r="K6" i="60812"/>
  <c r="B52" i="60798"/>
  <c r="O24" i="97"/>
  <c r="G27"/>
  <c r="F7" i="60796"/>
  <c r="C7"/>
  <c r="D37" i="60801"/>
  <c r="E34" i="1792"/>
  <c r="C33"/>
  <c r="C34"/>
  <c r="L43" i="60811" l="1"/>
  <c r="M10" i="60812"/>
  <c r="C70" i="7380"/>
  <c r="C58"/>
  <c r="N40" i="60811"/>
  <c r="N39"/>
  <c r="N38"/>
  <c r="N37"/>
  <c r="N36"/>
  <c r="N33"/>
  <c r="N32"/>
  <c r="N31"/>
  <c r="M120" i="1792" l="1"/>
  <c r="M121"/>
  <c r="M122"/>
  <c r="M123"/>
  <c r="M124"/>
  <c r="M125"/>
  <c r="M126"/>
  <c r="M127"/>
  <c r="M128"/>
  <c r="M129"/>
  <c r="M130"/>
  <c r="M131"/>
  <c r="M132"/>
  <c r="M133"/>
  <c r="M134"/>
  <c r="M135"/>
  <c r="M136"/>
  <c r="M137"/>
  <c r="M138"/>
  <c r="M139"/>
  <c r="M140"/>
  <c r="M141"/>
  <c r="M142"/>
  <c r="M143"/>
  <c r="M144"/>
  <c r="M145"/>
  <c r="M146"/>
  <c r="M147"/>
  <c r="M148"/>
  <c r="M149"/>
  <c r="M150"/>
  <c r="M151"/>
  <c r="M152"/>
  <c r="M153"/>
  <c r="M154"/>
  <c r="M155"/>
  <c r="M156"/>
  <c r="M157"/>
  <c r="M158"/>
  <c r="M159"/>
  <c r="M160"/>
  <c r="M161"/>
  <c r="M162"/>
  <c r="M163"/>
  <c r="M164"/>
  <c r="M165"/>
  <c r="M166"/>
  <c r="M167"/>
  <c r="M168"/>
  <c r="M169"/>
  <c r="M170"/>
  <c r="M171"/>
  <c r="M172"/>
  <c r="M173"/>
  <c r="M174"/>
  <c r="M175"/>
  <c r="M176"/>
  <c r="M177"/>
  <c r="M178"/>
  <c r="M179"/>
  <c r="M119"/>
  <c r="C84"/>
  <c r="C72"/>
  <c r="AH192" i="112" l="1"/>
  <c r="AH193"/>
  <c r="AH194"/>
  <c r="AH195"/>
  <c r="AH196"/>
  <c r="AH197"/>
  <c r="AH198"/>
  <c r="AH199"/>
  <c r="AH200"/>
  <c r="AH201"/>
  <c r="AH202"/>
  <c r="AT25" i="2048" l="1"/>
  <c r="V49"/>
  <c r="V46"/>
  <c r="AT8"/>
  <c r="I10" i="60803"/>
  <c r="AH45" i="60806"/>
  <c r="B45" s="1"/>
  <c r="B46" s="1"/>
  <c r="C191" i="7380"/>
  <c r="G221" i="60804" l="1"/>
  <c r="J217" l="1"/>
  <c r="K217"/>
  <c r="J218"/>
  <c r="K218"/>
  <c r="K216"/>
  <c r="J216"/>
  <c r="K166" i="60801"/>
  <c r="J166"/>
  <c r="C204" i="7380"/>
  <c r="C88"/>
  <c r="C126" i="1908" l="1"/>
  <c r="C122"/>
  <c r="C121"/>
  <c r="C120"/>
  <c r="C119"/>
  <c r="C114"/>
  <c r="C112"/>
  <c r="C80"/>
  <c r="C48"/>
  <c r="C76"/>
  <c r="C75"/>
  <c r="C74"/>
  <c r="C73"/>
  <c r="C77"/>
  <c r="C35"/>
  <c r="C78"/>
  <c r="C84"/>
  <c r="C83"/>
  <c r="C82"/>
  <c r="C81"/>
  <c r="C79"/>
  <c r="D36" i="60801"/>
  <c r="AH90" i="60805"/>
  <c r="AH89"/>
  <c r="B89" s="1"/>
  <c r="AH88"/>
  <c r="B88" s="1"/>
  <c r="AH87"/>
  <c r="B87" s="1"/>
  <c r="AH86"/>
  <c r="B86" s="1"/>
  <c r="AH85"/>
  <c r="B85" s="1"/>
  <c r="AH84"/>
  <c r="B84" s="1"/>
  <c r="AH83"/>
  <c r="B83" s="1"/>
  <c r="B82"/>
  <c r="AH81"/>
  <c r="B81" s="1"/>
  <c r="AH80"/>
  <c r="B80" s="1"/>
  <c r="AH79"/>
  <c r="B79" s="1"/>
  <c r="AH78"/>
  <c r="B78" s="1"/>
  <c r="B90" l="1"/>
  <c r="N41" i="60811"/>
  <c r="B92" i="60805" l="1"/>
  <c r="E34" i="60801"/>
  <c r="I259" i="60804"/>
  <c r="L259" s="1"/>
  <c r="L105" i="7380"/>
  <c r="D91"/>
  <c r="C91"/>
  <c r="D90"/>
  <c r="E36" i="60801" l="1"/>
  <c r="F34"/>
  <c r="F36" s="1"/>
  <c r="F300"/>
  <c r="H299"/>
  <c r="H298"/>
  <c r="E238" i="7380"/>
  <c r="C190" i="60801"/>
  <c r="C185"/>
  <c r="C211" i="7380"/>
  <c r="C127"/>
  <c r="C151"/>
  <c r="D423" i="60801"/>
  <c r="H423" s="1"/>
  <c r="H422"/>
  <c r="H421"/>
  <c r="H276"/>
  <c r="H277"/>
  <c r="D278"/>
  <c r="H275"/>
  <c r="H274"/>
  <c r="H273"/>
  <c r="H272"/>
  <c r="H271"/>
  <c r="H270"/>
  <c r="H269"/>
  <c r="H268"/>
  <c r="H267"/>
  <c r="H259"/>
  <c r="H260"/>
  <c r="F262"/>
  <c r="F278" s="1"/>
  <c r="E262"/>
  <c r="H300" l="1"/>
  <c r="H261"/>
  <c r="H262" s="1"/>
  <c r="H278" s="1"/>
  <c r="G262"/>
  <c r="G278" s="1"/>
  <c r="S31" i="60811"/>
  <c r="S37"/>
  <c r="Q8" i="60803"/>
  <c r="P8"/>
  <c r="J34"/>
  <c r="J22"/>
  <c r="J10"/>
  <c r="L5"/>
  <c r="AH140" i="112"/>
  <c r="AH141"/>
  <c r="AH142"/>
  <c r="AH143"/>
  <c r="AH144"/>
  <c r="AH145"/>
  <c r="AH146"/>
  <c r="AH147"/>
  <c r="AH148"/>
  <c r="AH149"/>
  <c r="AH150"/>
  <c r="AH139"/>
  <c r="B149"/>
  <c r="H268" i="60804"/>
  <c r="AH32" i="1024"/>
  <c r="AH33"/>
  <c r="AH34"/>
  <c r="AH25"/>
  <c r="AH26"/>
  <c r="AH27"/>
  <c r="AH28"/>
  <c r="AH29"/>
  <c r="G274" i="60804"/>
  <c r="D274"/>
  <c r="C274"/>
  <c r="D281" s="1"/>
  <c r="S32" i="60811"/>
  <c r="N42"/>
  <c r="H274" i="60804" l="1"/>
  <c r="M5" i="60803"/>
  <c r="M257" i="1792"/>
  <c r="N180"/>
  <c r="J278" i="60804"/>
  <c r="B524" i="60805"/>
  <c r="B523"/>
  <c r="B522"/>
  <c r="B521"/>
  <c r="B520"/>
  <c r="B519"/>
  <c r="B518"/>
  <c r="B517"/>
  <c r="B516"/>
  <c r="B515"/>
  <c r="B514"/>
  <c r="B513"/>
  <c r="B525" l="1"/>
  <c r="AH35" i="112"/>
  <c r="F413" i="60801" l="1"/>
  <c r="F414" s="1"/>
  <c r="B97" i="8194"/>
  <c r="F271" i="60804"/>
  <c r="J279"/>
  <c r="Z63" i="523"/>
  <c r="F119" i="1792"/>
  <c r="AH145" i="60799"/>
  <c r="B145" s="1"/>
  <c r="H413" i="60801" l="1"/>
  <c r="H414" s="1"/>
  <c r="AH293" i="60805"/>
  <c r="B293" s="1"/>
  <c r="AH292"/>
  <c r="B292" s="1"/>
  <c r="AH291"/>
  <c r="B291" s="1"/>
  <c r="AH290"/>
  <c r="B290" s="1"/>
  <c r="AH289"/>
  <c r="B289" s="1"/>
  <c r="AH288"/>
  <c r="B288" s="1"/>
  <c r="AH287"/>
  <c r="B287" s="1"/>
  <c r="AH286"/>
  <c r="B286" s="1"/>
  <c r="AH285"/>
  <c r="B285" s="1"/>
  <c r="AH284"/>
  <c r="B284" s="1"/>
  <c r="AH283"/>
  <c r="B283" s="1"/>
  <c r="AH282"/>
  <c r="B282" s="1"/>
  <c r="B294" l="1"/>
  <c r="AH294"/>
  <c r="B144" i="60799" l="1"/>
  <c r="K113" i="1908"/>
  <c r="K114"/>
  <c r="K115"/>
  <c r="E115" s="1"/>
  <c r="K116"/>
  <c r="K117"/>
  <c r="K118"/>
  <c r="K119"/>
  <c r="E119" s="1"/>
  <c r="K120"/>
  <c r="K121"/>
  <c r="K122"/>
  <c r="K123"/>
  <c r="E123" s="1"/>
  <c r="K124"/>
  <c r="K125"/>
  <c r="K126"/>
  <c r="K127"/>
  <c r="E127" s="1"/>
  <c r="K128"/>
  <c r="E128" s="1"/>
  <c r="K129"/>
  <c r="K130"/>
  <c r="K131"/>
  <c r="E131" s="1"/>
  <c r="E113"/>
  <c r="E114"/>
  <c r="E116"/>
  <c r="E117"/>
  <c r="E118"/>
  <c r="E120"/>
  <c r="E121"/>
  <c r="E122"/>
  <c r="E124"/>
  <c r="E125"/>
  <c r="E126"/>
  <c r="E129"/>
  <c r="E130"/>
  <c r="J132"/>
  <c r="C132"/>
  <c r="K207" i="60804"/>
  <c r="K208"/>
  <c r="K209"/>
  <c r="K210"/>
  <c r="K211"/>
  <c r="J207"/>
  <c r="J208"/>
  <c r="J209"/>
  <c r="J210"/>
  <c r="J211"/>
  <c r="J206"/>
  <c r="H221"/>
  <c r="I221"/>
  <c r="G131" i="1908" l="1"/>
  <c r="F131"/>
  <c r="F105" i="7380" l="1"/>
  <c r="G271" i="60804"/>
  <c r="E271"/>
  <c r="D271"/>
  <c r="H271" s="1"/>
  <c r="K280"/>
  <c r="G284" l="1"/>
  <c r="J287"/>
  <c r="J290" s="1"/>
  <c r="I253"/>
  <c r="L253" s="1"/>
  <c r="I132" i="1908"/>
  <c r="L106" i="7380"/>
  <c r="F106" s="1"/>
  <c r="L107"/>
  <c r="F107" s="1"/>
  <c r="L108"/>
  <c r="F108" s="1"/>
  <c r="L109"/>
  <c r="F109" s="1"/>
  <c r="L110"/>
  <c r="F110" s="1"/>
  <c r="L111"/>
  <c r="F111" s="1"/>
  <c r="L112"/>
  <c r="F112" s="1"/>
  <c r="L113"/>
  <c r="F113" s="1"/>
  <c r="L114"/>
  <c r="F114" s="1"/>
  <c r="L115"/>
  <c r="F115" s="1"/>
  <c r="L116"/>
  <c r="F116" s="1"/>
  <c r="L117"/>
  <c r="F117" s="1"/>
  <c r="L118"/>
  <c r="F118" s="1"/>
  <c r="L119"/>
  <c r="F119" s="1"/>
  <c r="L120"/>
  <c r="F120" s="1"/>
  <c r="L121"/>
  <c r="F121" s="1"/>
  <c r="L122"/>
  <c r="F122" s="1"/>
  <c r="L123"/>
  <c r="F123" s="1"/>
  <c r="L124"/>
  <c r="F124" s="1"/>
  <c r="L125"/>
  <c r="F125" s="1"/>
  <c r="L126"/>
  <c r="F126" s="1"/>
  <c r="L127"/>
  <c r="F127" s="1"/>
  <c r="L128"/>
  <c r="F128" s="1"/>
  <c r="L129"/>
  <c r="F129" s="1"/>
  <c r="L130"/>
  <c r="F130" s="1"/>
  <c r="L131"/>
  <c r="F131" s="1"/>
  <c r="L132"/>
  <c r="F132" s="1"/>
  <c r="L133"/>
  <c r="F133" s="1"/>
  <c r="L134"/>
  <c r="F134" s="1"/>
  <c r="L135"/>
  <c r="F135" s="1"/>
  <c r="L136"/>
  <c r="F136" s="1"/>
  <c r="L137"/>
  <c r="F137" s="1"/>
  <c r="L138"/>
  <c r="F138" s="1"/>
  <c r="L139"/>
  <c r="F139" s="1"/>
  <c r="L140"/>
  <c r="F140" s="1"/>
  <c r="L141"/>
  <c r="F141" s="1"/>
  <c r="L142"/>
  <c r="F142" s="1"/>
  <c r="L143"/>
  <c r="F143" s="1"/>
  <c r="L144"/>
  <c r="F144" s="1"/>
  <c r="L145"/>
  <c r="F145" s="1"/>
  <c r="L146"/>
  <c r="F146" s="1"/>
  <c r="L147"/>
  <c r="F147" s="1"/>
  <c r="L148"/>
  <c r="F148" s="1"/>
  <c r="L149"/>
  <c r="F149" s="1"/>
  <c r="L150"/>
  <c r="F150" s="1"/>
  <c r="L151"/>
  <c r="F151" s="1"/>
  <c r="L152"/>
  <c r="F152" s="1"/>
  <c r="L153"/>
  <c r="F153" s="1"/>
  <c r="L154"/>
  <c r="F154" s="1"/>
  <c r="L155"/>
  <c r="F155" s="1"/>
  <c r="L156"/>
  <c r="F156" s="1"/>
  <c r="L157"/>
  <c r="F157" s="1"/>
  <c r="L158"/>
  <c r="F158" s="1"/>
  <c r="L159"/>
  <c r="F159" s="1"/>
  <c r="L160"/>
  <c r="F160" s="1"/>
  <c r="L161"/>
  <c r="F161" s="1"/>
  <c r="L162"/>
  <c r="F162" s="1"/>
  <c r="L163"/>
  <c r="F163" s="1"/>
  <c r="L164"/>
  <c r="F164" s="1"/>
  <c r="L165"/>
  <c r="F165" s="1"/>
  <c r="K166"/>
  <c r="M166"/>
  <c r="J166"/>
  <c r="L180" i="1792"/>
  <c r="F121"/>
  <c r="F120"/>
  <c r="F122"/>
  <c r="F123"/>
  <c r="F124"/>
  <c r="F125"/>
  <c r="F126"/>
  <c r="F127"/>
  <c r="F128"/>
  <c r="F129"/>
  <c r="F130"/>
  <c r="F131"/>
  <c r="F132"/>
  <c r="F133"/>
  <c r="F134"/>
  <c r="F135"/>
  <c r="F136"/>
  <c r="F137"/>
  <c r="F138"/>
  <c r="F139"/>
  <c r="F140"/>
  <c r="F141"/>
  <c r="F142"/>
  <c r="F143"/>
  <c r="F144"/>
  <c r="F145"/>
  <c r="F146"/>
  <c r="F147"/>
  <c r="F148"/>
  <c r="F149"/>
  <c r="F150"/>
  <c r="F151"/>
  <c r="F152"/>
  <c r="F153"/>
  <c r="F154"/>
  <c r="F155"/>
  <c r="F156"/>
  <c r="F157"/>
  <c r="F158"/>
  <c r="F159"/>
  <c r="F160"/>
  <c r="F161"/>
  <c r="F162"/>
  <c r="F163"/>
  <c r="F164"/>
  <c r="F165"/>
  <c r="F166"/>
  <c r="F167"/>
  <c r="F168"/>
  <c r="F169"/>
  <c r="F170"/>
  <c r="F171"/>
  <c r="F172"/>
  <c r="F173"/>
  <c r="F174"/>
  <c r="F175"/>
  <c r="F176"/>
  <c r="F177"/>
  <c r="F178"/>
  <c r="F179"/>
  <c r="K112" i="1908"/>
  <c r="E112" s="1"/>
  <c r="D108" i="60809"/>
  <c r="L166" i="7380" l="1"/>
  <c r="M180" i="1792"/>
  <c r="C195" i="7380" l="1"/>
  <c r="E75"/>
  <c r="D217" i="60801" l="1"/>
  <c r="AH66" i="60808" l="1"/>
  <c r="B66" s="1"/>
  <c r="AH67"/>
  <c r="B67"/>
  <c r="AH49"/>
  <c r="AH50"/>
  <c r="B49"/>
  <c r="B50"/>
  <c r="AH71" i="60805" l="1"/>
  <c r="AH70"/>
  <c r="B70" s="1"/>
  <c r="AH69"/>
  <c r="B69" s="1"/>
  <c r="AH68"/>
  <c r="B68" s="1"/>
  <c r="AH67"/>
  <c r="B67" s="1"/>
  <c r="AH66"/>
  <c r="B66" s="1"/>
  <c r="AH65"/>
  <c r="B65" s="1"/>
  <c r="AH64"/>
  <c r="B64" s="1"/>
  <c r="B63"/>
  <c r="AH62"/>
  <c r="B62" s="1"/>
  <c r="AH61"/>
  <c r="B61" s="1"/>
  <c r="AH60"/>
  <c r="B60" s="1"/>
  <c r="AH59"/>
  <c r="B59" s="1"/>
  <c r="I258" i="60804"/>
  <c r="L258" s="1"/>
  <c r="I257"/>
  <c r="L257" s="1"/>
  <c r="C90" i="7380"/>
  <c r="B71" i="60805" l="1"/>
  <c r="C207" i="60801"/>
  <c r="C234"/>
  <c r="E233"/>
  <c r="E234" s="1"/>
  <c r="K22" i="60804"/>
  <c r="J22"/>
  <c r="H22"/>
  <c r="G22"/>
  <c r="D292" i="60801"/>
  <c r="B73" i="60805" l="1"/>
  <c r="E27" i="60801"/>
  <c r="E29" s="1"/>
  <c r="D29"/>
  <c r="H292"/>
  <c r="H293" s="1"/>
  <c r="G292"/>
  <c r="G293" s="1"/>
  <c r="F293"/>
  <c r="E293"/>
  <c r="D293"/>
  <c r="C293"/>
  <c r="F27" l="1"/>
  <c r="F29" s="1"/>
  <c r="C228" l="1"/>
  <c r="F227"/>
  <c r="F228" s="1"/>
  <c r="I247" i="60804"/>
  <c r="L247" s="1"/>
  <c r="C79" i="7380" l="1"/>
  <c r="C78"/>
  <c r="C43"/>
  <c r="V28" i="2048"/>
  <c r="V57" s="1"/>
  <c r="AH8" i="29741"/>
  <c r="B8" s="1"/>
  <c r="AH9"/>
  <c r="AH19" s="1"/>
  <c r="AH10"/>
  <c r="B10" s="1"/>
  <c r="AH11"/>
  <c r="B11" s="1"/>
  <c r="AH12"/>
  <c r="B12" s="1"/>
  <c r="AH13"/>
  <c r="B13" s="1"/>
  <c r="AH14"/>
  <c r="B14" s="1"/>
  <c r="AH15"/>
  <c r="B15" s="1"/>
  <c r="AH16"/>
  <c r="B16" s="1"/>
  <c r="AH17"/>
  <c r="B17" s="1"/>
  <c r="AH18"/>
  <c r="B18" s="1"/>
  <c r="AH7"/>
  <c r="B7" s="1"/>
  <c r="B19" l="1"/>
  <c r="B9"/>
  <c r="I252" i="60804"/>
  <c r="L252" s="1"/>
  <c r="C94" i="7380"/>
  <c r="E94" s="1"/>
  <c r="C60"/>
  <c r="E60" s="1"/>
  <c r="C158"/>
  <c r="C166" s="1"/>
  <c r="F388" i="60801"/>
  <c r="E388"/>
  <c r="D388"/>
  <c r="C388"/>
  <c r="H387"/>
  <c r="G387"/>
  <c r="H386"/>
  <c r="G386"/>
  <c r="H385"/>
  <c r="G385"/>
  <c r="H384"/>
  <c r="G384"/>
  <c r="H383"/>
  <c r="G383"/>
  <c r="H382"/>
  <c r="G382"/>
  <c r="H381"/>
  <c r="G381"/>
  <c r="H380"/>
  <c r="G380"/>
  <c r="H379"/>
  <c r="G379"/>
  <c r="H378"/>
  <c r="G378"/>
  <c r="H377"/>
  <c r="G377"/>
  <c r="H376"/>
  <c r="G376"/>
  <c r="G388" l="1"/>
  <c r="H388"/>
  <c r="B96" i="8194"/>
  <c r="AY155" i="60801"/>
  <c r="AX155"/>
  <c r="AW155"/>
  <c r="AV155"/>
  <c r="AU155"/>
  <c r="AT155"/>
  <c r="AN118"/>
  <c r="AN155" s="1"/>
  <c r="AM118"/>
  <c r="AM155" s="1"/>
  <c r="AO117"/>
  <c r="AQ117"/>
  <c r="AL117"/>
  <c r="AP117" s="1"/>
  <c r="AO116"/>
  <c r="AQ116" s="1"/>
  <c r="AL116"/>
  <c r="AP116" s="1"/>
  <c r="AO115"/>
  <c r="AQ115" s="1"/>
  <c r="AL115"/>
  <c r="AP115" s="1"/>
  <c r="AO114"/>
  <c r="AQ114" s="1"/>
  <c r="AL114"/>
  <c r="AP114" s="1"/>
  <c r="AO113"/>
  <c r="AQ113" s="1"/>
  <c r="AL113"/>
  <c r="AP113" s="1"/>
  <c r="AO112"/>
  <c r="AQ112" s="1"/>
  <c r="AL112"/>
  <c r="AO111"/>
  <c r="AQ111" s="1"/>
  <c r="AL111"/>
  <c r="AO110"/>
  <c r="AQ110" s="1"/>
  <c r="AL110"/>
  <c r="AO109"/>
  <c r="AQ109" s="1"/>
  <c r="AL109"/>
  <c r="AO108"/>
  <c r="AQ108" s="1"/>
  <c r="AL108"/>
  <c r="AO107"/>
  <c r="AQ107" s="1"/>
  <c r="AL107"/>
  <c r="AO106"/>
  <c r="AQ106" s="1"/>
  <c r="AL106"/>
  <c r="AO105"/>
  <c r="AQ105" s="1"/>
  <c r="AL105"/>
  <c r="AO104"/>
  <c r="AQ104" s="1"/>
  <c r="AL104"/>
  <c r="AO103"/>
  <c r="AQ103" s="1"/>
  <c r="AL103"/>
  <c r="AO102"/>
  <c r="AQ102" s="1"/>
  <c r="AL102"/>
  <c r="AO101"/>
  <c r="AQ101" s="1"/>
  <c r="AL101"/>
  <c r="AO100"/>
  <c r="AQ100" s="1"/>
  <c r="AL100"/>
  <c r="AO99"/>
  <c r="AQ99" s="1"/>
  <c r="AL99"/>
  <c r="AO98"/>
  <c r="AQ98" s="1"/>
  <c r="AL98"/>
  <c r="AO97"/>
  <c r="AQ97" s="1"/>
  <c r="AL97"/>
  <c r="AO96"/>
  <c r="AQ96" s="1"/>
  <c r="AL96"/>
  <c r="AO95"/>
  <c r="AQ95" s="1"/>
  <c r="AL95"/>
  <c r="AO94"/>
  <c r="AQ94" s="1"/>
  <c r="AL94"/>
  <c r="AO93"/>
  <c r="AQ93" s="1"/>
  <c r="AL93"/>
  <c r="AO92"/>
  <c r="AQ92" s="1"/>
  <c r="AL92"/>
  <c r="AO91"/>
  <c r="AQ91" s="1"/>
  <c r="AL91"/>
  <c r="AO90"/>
  <c r="AQ90" s="1"/>
  <c r="AL90"/>
  <c r="AO89"/>
  <c r="AQ89" s="1"/>
  <c r="AL89"/>
  <c r="AO88"/>
  <c r="AQ88" s="1"/>
  <c r="AL88"/>
  <c r="AO87"/>
  <c r="AQ87" s="1"/>
  <c r="AL87"/>
  <c r="AO86"/>
  <c r="AQ86" s="1"/>
  <c r="AL86"/>
  <c r="AO85"/>
  <c r="AQ85" s="1"/>
  <c r="AL85"/>
  <c r="AO84"/>
  <c r="AQ84" s="1"/>
  <c r="AL84"/>
  <c r="AO83"/>
  <c r="AQ83" s="1"/>
  <c r="AL83"/>
  <c r="AO82"/>
  <c r="AQ82" s="1"/>
  <c r="AL82"/>
  <c r="AO81"/>
  <c r="AQ81" s="1"/>
  <c r="AL81"/>
  <c r="AO80"/>
  <c r="AQ80" s="1"/>
  <c r="AL80"/>
  <c r="AO79"/>
  <c r="AO118" s="1"/>
  <c r="AO155" s="1"/>
  <c r="AL79"/>
  <c r="AL118" s="1"/>
  <c r="AL155" s="1"/>
  <c r="G22" i="2048"/>
  <c r="C172" i="1792"/>
  <c r="C108"/>
  <c r="E108" s="1"/>
  <c r="G108" s="1"/>
  <c r="C98" i="60809"/>
  <c r="C90"/>
  <c r="AH64" i="2561"/>
  <c r="B64" s="1"/>
  <c r="AH65"/>
  <c r="B65"/>
  <c r="G45" i="60796" s="1"/>
  <c r="AH63" i="2561"/>
  <c r="B63" s="1"/>
  <c r="C223" i="60801"/>
  <c r="E222"/>
  <c r="E223" s="1"/>
  <c r="C217"/>
  <c r="E214"/>
  <c r="E215"/>
  <c r="E216"/>
  <c r="E213"/>
  <c r="D78" i="523"/>
  <c r="J36" i="60803"/>
  <c r="J35"/>
  <c r="J24"/>
  <c r="J23"/>
  <c r="J12"/>
  <c r="J11"/>
  <c r="C72" i="1908"/>
  <c r="C85" s="1"/>
  <c r="C26"/>
  <c r="F407" i="60801"/>
  <c r="D407"/>
  <c r="C407"/>
  <c r="H406"/>
  <c r="H407" s="1"/>
  <c r="B491" i="60805"/>
  <c r="B490"/>
  <c r="B489"/>
  <c r="B488"/>
  <c r="B487"/>
  <c r="B486"/>
  <c r="B485"/>
  <c r="B484"/>
  <c r="B483"/>
  <c r="B482"/>
  <c r="F252" i="60801" s="1"/>
  <c r="B481" i="60805"/>
  <c r="B480"/>
  <c r="J58" i="2048"/>
  <c r="J7"/>
  <c r="AF47" i="2561"/>
  <c r="AH47" s="1"/>
  <c r="C40" i="60796"/>
  <c r="AH48" i="1024"/>
  <c r="AH49"/>
  <c r="B49" s="1"/>
  <c r="AH50"/>
  <c r="B50" s="1"/>
  <c r="G12" i="60796" s="1"/>
  <c r="F370" i="60801"/>
  <c r="E370"/>
  <c r="D370"/>
  <c r="C370"/>
  <c r="H369"/>
  <c r="H370" s="1"/>
  <c r="G369"/>
  <c r="G370" s="1"/>
  <c r="D83" i="7380"/>
  <c r="E41"/>
  <c r="E55" i="1792"/>
  <c r="I20" i="60804"/>
  <c r="L20" s="1"/>
  <c r="I19"/>
  <c r="L19" s="1"/>
  <c r="AH37" i="2048"/>
  <c r="AH51" s="1"/>
  <c r="M18" i="97" s="1"/>
  <c r="D22" i="60801"/>
  <c r="B45" i="60805"/>
  <c r="AH53"/>
  <c r="AH52"/>
  <c r="B52" s="1"/>
  <c r="AH51"/>
  <c r="B51" s="1"/>
  <c r="AH50"/>
  <c r="B50" s="1"/>
  <c r="AH49"/>
  <c r="B49" s="1"/>
  <c r="AH48"/>
  <c r="B48" s="1"/>
  <c r="AH47"/>
  <c r="B47" s="1"/>
  <c r="AH46"/>
  <c r="B46" s="1"/>
  <c r="AH44"/>
  <c r="B44" s="1"/>
  <c r="AH43"/>
  <c r="B43" s="1"/>
  <c r="AH42"/>
  <c r="B42" s="1"/>
  <c r="AH41"/>
  <c r="B41" s="1"/>
  <c r="H360" i="60801"/>
  <c r="H361"/>
  <c r="H362"/>
  <c r="G359"/>
  <c r="G360"/>
  <c r="G361"/>
  <c r="G362"/>
  <c r="H358"/>
  <c r="G358"/>
  <c r="H357"/>
  <c r="G357"/>
  <c r="H356"/>
  <c r="G356"/>
  <c r="H355"/>
  <c r="G355"/>
  <c r="H354"/>
  <c r="G354"/>
  <c r="H353"/>
  <c r="G353"/>
  <c r="H352"/>
  <c r="G352"/>
  <c r="H351"/>
  <c r="G351"/>
  <c r="H350"/>
  <c r="G350"/>
  <c r="C363"/>
  <c r="D363"/>
  <c r="E363"/>
  <c r="F344"/>
  <c r="E344"/>
  <c r="D344"/>
  <c r="C344"/>
  <c r="H343"/>
  <c r="G343"/>
  <c r="H342"/>
  <c r="G342"/>
  <c r="C229" i="1792"/>
  <c r="C242" s="1"/>
  <c r="C215" i="7380"/>
  <c r="C228" s="1"/>
  <c r="E161" i="60796" s="1"/>
  <c r="J196" i="60804"/>
  <c r="K196"/>
  <c r="J197"/>
  <c r="K197"/>
  <c r="J198"/>
  <c r="K198"/>
  <c r="J199"/>
  <c r="K199"/>
  <c r="J200"/>
  <c r="K200"/>
  <c r="J201"/>
  <c r="K201"/>
  <c r="J202"/>
  <c r="K202"/>
  <c r="J203"/>
  <c r="K203"/>
  <c r="J204"/>
  <c r="K204"/>
  <c r="J205"/>
  <c r="K205"/>
  <c r="K206"/>
  <c r="K35"/>
  <c r="J35"/>
  <c r="K34"/>
  <c r="J34"/>
  <c r="I18"/>
  <c r="L18" s="1"/>
  <c r="E93" i="1792"/>
  <c r="G93" s="1"/>
  <c r="E157" s="1"/>
  <c r="G157" s="1"/>
  <c r="E25" i="7380"/>
  <c r="G25" s="1"/>
  <c r="E30" s="1"/>
  <c r="E79"/>
  <c r="B143" i="60799"/>
  <c r="I17" i="60804"/>
  <c r="L17" s="1"/>
  <c r="E78" i="7380"/>
  <c r="G78" s="1"/>
  <c r="E92" i="1792"/>
  <c r="G92" s="1"/>
  <c r="E156" s="1"/>
  <c r="G156" s="1"/>
  <c r="K28" i="60804"/>
  <c r="K29"/>
  <c r="K30"/>
  <c r="K31"/>
  <c r="K32"/>
  <c r="K33"/>
  <c r="K166"/>
  <c r="J166"/>
  <c r="B95" i="8194"/>
  <c r="D130" i="1908"/>
  <c r="E108"/>
  <c r="D103"/>
  <c r="F103" s="1"/>
  <c r="D125" s="1"/>
  <c r="C45" i="7380"/>
  <c r="AH32" i="2561"/>
  <c r="AH33"/>
  <c r="B33" s="1"/>
  <c r="G39" i="60796" s="1"/>
  <c r="AH34" i="2561"/>
  <c r="AH31"/>
  <c r="B31" s="1"/>
  <c r="E72" i="2048"/>
  <c r="F72"/>
  <c r="G72"/>
  <c r="D72"/>
  <c r="E71"/>
  <c r="F71"/>
  <c r="G71"/>
  <c r="D71"/>
  <c r="H43"/>
  <c r="H41"/>
  <c r="I41" s="1"/>
  <c r="K41" s="1"/>
  <c r="H40"/>
  <c r="H38"/>
  <c r="I38" s="1"/>
  <c r="K38" s="1"/>
  <c r="H37"/>
  <c r="H35"/>
  <c r="I35" s="1"/>
  <c r="K35" s="1"/>
  <c r="I37" s="1"/>
  <c r="K37" s="1"/>
  <c r="K215" i="60804"/>
  <c r="J215"/>
  <c r="B421" i="60805"/>
  <c r="E277" i="60804"/>
  <c r="F277" s="1"/>
  <c r="E278" s="1"/>
  <c r="F278" s="1"/>
  <c r="J67" i="2048"/>
  <c r="AT46"/>
  <c r="H141" i="1792"/>
  <c r="C201" i="60801"/>
  <c r="AH251" i="60805"/>
  <c r="AH277"/>
  <c r="B277" s="1"/>
  <c r="AH276"/>
  <c r="B276" s="1"/>
  <c r="AH275"/>
  <c r="B275" s="1"/>
  <c r="AH274"/>
  <c r="B274" s="1"/>
  <c r="AH273"/>
  <c r="B273" s="1"/>
  <c r="AH272"/>
  <c r="B272" s="1"/>
  <c r="E189" i="60801" s="1"/>
  <c r="AH271" i="60805"/>
  <c r="B271" s="1"/>
  <c r="AH270"/>
  <c r="B270" s="1"/>
  <c r="AH269"/>
  <c r="B269" s="1"/>
  <c r="AH268"/>
  <c r="B268" s="1"/>
  <c r="AH267"/>
  <c r="B267" s="1"/>
  <c r="E184" i="60801" s="1"/>
  <c r="AH266" i="60805"/>
  <c r="B266" s="1"/>
  <c r="K176" i="60804"/>
  <c r="K177"/>
  <c r="K178"/>
  <c r="K179"/>
  <c r="K180"/>
  <c r="K181"/>
  <c r="K182"/>
  <c r="K183"/>
  <c r="K184"/>
  <c r="K185"/>
  <c r="K186"/>
  <c r="K187"/>
  <c r="K188"/>
  <c r="K189"/>
  <c r="K190"/>
  <c r="K191"/>
  <c r="K192"/>
  <c r="K193"/>
  <c r="K194"/>
  <c r="K195"/>
  <c r="J176"/>
  <c r="J177"/>
  <c r="J178"/>
  <c r="J179"/>
  <c r="J180"/>
  <c r="J181"/>
  <c r="J182"/>
  <c r="J183"/>
  <c r="J184"/>
  <c r="J185"/>
  <c r="J186"/>
  <c r="J187"/>
  <c r="J188"/>
  <c r="J189"/>
  <c r="J190"/>
  <c r="J191"/>
  <c r="J192"/>
  <c r="J193"/>
  <c r="J194"/>
  <c r="J195"/>
  <c r="K175"/>
  <c r="J175"/>
  <c r="AH65" i="60808"/>
  <c r="AH48"/>
  <c r="AH15" i="523"/>
  <c r="B15" s="1"/>
  <c r="K174" i="60804"/>
  <c r="K173"/>
  <c r="K172"/>
  <c r="K171"/>
  <c r="K170"/>
  <c r="K169"/>
  <c r="K168"/>
  <c r="K167"/>
  <c r="J174"/>
  <c r="J173"/>
  <c r="J172"/>
  <c r="J171"/>
  <c r="J170"/>
  <c r="J169"/>
  <c r="J168"/>
  <c r="J167"/>
  <c r="AH19" i="11520"/>
  <c r="AH18"/>
  <c r="AH17"/>
  <c r="AH16"/>
  <c r="B16" s="1"/>
  <c r="AH15"/>
  <c r="B15" s="1"/>
  <c r="AH14"/>
  <c r="AH13"/>
  <c r="AH12"/>
  <c r="B12" s="1"/>
  <c r="AH11"/>
  <c r="B11" s="1"/>
  <c r="AH10"/>
  <c r="D71" i="60801"/>
  <c r="E69"/>
  <c r="E72"/>
  <c r="AH355" i="60805"/>
  <c r="B355" s="1"/>
  <c r="AH354"/>
  <c r="B354" s="1"/>
  <c r="AH353"/>
  <c r="B353" s="1"/>
  <c r="AH352"/>
  <c r="B352" s="1"/>
  <c r="AH351"/>
  <c r="B351" s="1"/>
  <c r="AH350"/>
  <c r="B350" s="1"/>
  <c r="AH349"/>
  <c r="B349" s="1"/>
  <c r="AH363"/>
  <c r="B363" s="1"/>
  <c r="AH364"/>
  <c r="B364" s="1"/>
  <c r="AH365"/>
  <c r="B365" s="1"/>
  <c r="D6" i="60797"/>
  <c r="H63" i="60809"/>
  <c r="C63"/>
  <c r="H57"/>
  <c r="I57"/>
  <c r="J57" s="1"/>
  <c r="H58" s="1"/>
  <c r="D59"/>
  <c r="C57"/>
  <c r="AH152" i="60808"/>
  <c r="B152" s="1"/>
  <c r="AH154"/>
  <c r="AH155"/>
  <c r="AH153"/>
  <c r="B153" s="1"/>
  <c r="D58" i="60809" s="1"/>
  <c r="AH189" i="60808"/>
  <c r="B189" s="1"/>
  <c r="I59" i="60809" s="1"/>
  <c r="AH190" i="60808"/>
  <c r="AH188"/>
  <c r="C48" i="7380"/>
  <c r="C95"/>
  <c r="K165" i="60804"/>
  <c r="J165"/>
  <c r="K164"/>
  <c r="J164"/>
  <c r="K163"/>
  <c r="J163"/>
  <c r="K162"/>
  <c r="J162"/>
  <c r="K161"/>
  <c r="J161"/>
  <c r="K160"/>
  <c r="J160"/>
  <c r="K159"/>
  <c r="J159"/>
  <c r="K158"/>
  <c r="J158"/>
  <c r="K157"/>
  <c r="J157"/>
  <c r="K156"/>
  <c r="J156"/>
  <c r="AH31" i="29741"/>
  <c r="E61" i="60801"/>
  <c r="D10" i="60809"/>
  <c r="D11" s="1"/>
  <c r="D5"/>
  <c r="AH137" i="60808"/>
  <c r="B137" s="1"/>
  <c r="AH136"/>
  <c r="B136" s="1"/>
  <c r="AH135"/>
  <c r="B135" s="1"/>
  <c r="AH134"/>
  <c r="B134" s="1"/>
  <c r="AH133"/>
  <c r="B133" s="1"/>
  <c r="AH132"/>
  <c r="B132" s="1"/>
  <c r="AH131"/>
  <c r="B131" s="1"/>
  <c r="AH130"/>
  <c r="B130" s="1"/>
  <c r="AH129"/>
  <c r="B129" s="1"/>
  <c r="AH128"/>
  <c r="AH127"/>
  <c r="B127" s="1"/>
  <c r="AH126"/>
  <c r="B126" s="1"/>
  <c r="AH120"/>
  <c r="B120" s="1"/>
  <c r="AH119"/>
  <c r="B119" s="1"/>
  <c r="AH118"/>
  <c r="B118" s="1"/>
  <c r="AH117"/>
  <c r="B117" s="1"/>
  <c r="AH116"/>
  <c r="B116" s="1"/>
  <c r="AH115"/>
  <c r="B115" s="1"/>
  <c r="AH114"/>
  <c r="B114" s="1"/>
  <c r="AH113"/>
  <c r="B113" s="1"/>
  <c r="AH112"/>
  <c r="B112" s="1"/>
  <c r="AH111"/>
  <c r="B111" s="1"/>
  <c r="AH110"/>
  <c r="B110" s="1"/>
  <c r="AH109"/>
  <c r="B109" s="1"/>
  <c r="AH102"/>
  <c r="B102" s="1"/>
  <c r="AH101"/>
  <c r="B101" s="1"/>
  <c r="AH100"/>
  <c r="B100"/>
  <c r="AH99"/>
  <c r="B99"/>
  <c r="AH98"/>
  <c r="B98"/>
  <c r="AH97"/>
  <c r="B97"/>
  <c r="AH96"/>
  <c r="B96"/>
  <c r="AH95"/>
  <c r="B95"/>
  <c r="AH94"/>
  <c r="B94"/>
  <c r="AH93"/>
  <c r="B93"/>
  <c r="AH92"/>
  <c r="B92"/>
  <c r="AH91"/>
  <c r="AH85"/>
  <c r="B85" s="1"/>
  <c r="AH84"/>
  <c r="B84" s="1"/>
  <c r="AH83"/>
  <c r="B83" s="1"/>
  <c r="AH82"/>
  <c r="B82" s="1"/>
  <c r="AH81"/>
  <c r="B81" s="1"/>
  <c r="AH80"/>
  <c r="B80" s="1"/>
  <c r="AH79"/>
  <c r="B79" s="1"/>
  <c r="AH78"/>
  <c r="B78" s="1"/>
  <c r="AH77"/>
  <c r="AH76"/>
  <c r="B76" s="1"/>
  <c r="AH75"/>
  <c r="B75" s="1"/>
  <c r="AH74"/>
  <c r="B74" s="1"/>
  <c r="B50" i="60809"/>
  <c r="B45"/>
  <c r="B37"/>
  <c r="B32"/>
  <c r="B24"/>
  <c r="B19"/>
  <c r="B11"/>
  <c r="B6"/>
  <c r="E5"/>
  <c r="E6" s="1"/>
  <c r="AH121" i="60808"/>
  <c r="C81" i="523"/>
  <c r="B81"/>
  <c r="C36" i="1908"/>
  <c r="AT29" i="2048"/>
  <c r="G6" i="60810"/>
  <c r="F6"/>
  <c r="H6" s="1"/>
  <c r="F8" s="1"/>
  <c r="E10"/>
  <c r="AJ26"/>
  <c r="C26" s="1"/>
  <c r="AJ25"/>
  <c r="C25" s="1"/>
  <c r="AJ24"/>
  <c r="C24" s="1"/>
  <c r="AJ23"/>
  <c r="AJ22"/>
  <c r="AJ21"/>
  <c r="AJ20"/>
  <c r="AJ19"/>
  <c r="AJ18"/>
  <c r="AJ17"/>
  <c r="AJ16"/>
  <c r="AJ27" s="1"/>
  <c r="AJ15"/>
  <c r="AH127" i="60805"/>
  <c r="AH126"/>
  <c r="B126" s="1"/>
  <c r="AH125"/>
  <c r="B125" s="1"/>
  <c r="AH124"/>
  <c r="AH123"/>
  <c r="B123" s="1"/>
  <c r="AH122"/>
  <c r="B122" s="1"/>
  <c r="AH121"/>
  <c r="B121" s="1"/>
  <c r="AH120"/>
  <c r="B120" s="1"/>
  <c r="AH119"/>
  <c r="AH118"/>
  <c r="AH117"/>
  <c r="AH116"/>
  <c r="AH115"/>
  <c r="G318" i="60801"/>
  <c r="G319" s="1"/>
  <c r="E83" i="7380"/>
  <c r="G83" s="1"/>
  <c r="E147" s="1"/>
  <c r="G147" s="1"/>
  <c r="H147" s="1"/>
  <c r="I65" i="60809"/>
  <c r="I64"/>
  <c r="I63"/>
  <c r="D65"/>
  <c r="D64"/>
  <c r="D63"/>
  <c r="B93"/>
  <c r="B101"/>
  <c r="B83"/>
  <c r="B75"/>
  <c r="G66"/>
  <c r="B66"/>
  <c r="B60"/>
  <c r="G60"/>
  <c r="AH277" i="60808"/>
  <c r="B277" s="1"/>
  <c r="AH276"/>
  <c r="B276" s="1"/>
  <c r="D100" i="60809" s="1"/>
  <c r="E100" s="1"/>
  <c r="AH275" i="60808"/>
  <c r="B275" s="1"/>
  <c r="D99" i="60809" s="1"/>
  <c r="AH274" i="60808"/>
  <c r="B274" s="1"/>
  <c r="D98" i="60809" s="1"/>
  <c r="AH273" i="60808"/>
  <c r="B273"/>
  <c r="AH272"/>
  <c r="B272" s="1"/>
  <c r="AH271"/>
  <c r="B271" s="1"/>
  <c r="AH270"/>
  <c r="B270" s="1"/>
  <c r="AH269"/>
  <c r="B269" s="1"/>
  <c r="AH268"/>
  <c r="B268" s="1"/>
  <c r="AH267"/>
  <c r="B267" s="1"/>
  <c r="AH266"/>
  <c r="B266" s="1"/>
  <c r="AH260"/>
  <c r="B260" s="1"/>
  <c r="AH259"/>
  <c r="B259" s="1"/>
  <c r="D92" i="60809" s="1"/>
  <c r="E92" s="1"/>
  <c r="AH258" i="60808"/>
  <c r="B258" s="1"/>
  <c r="AH257"/>
  <c r="B257" s="1"/>
  <c r="D90" i="60809" s="1"/>
  <c r="AH256" i="60808"/>
  <c r="B256" s="1"/>
  <c r="AH255"/>
  <c r="B255"/>
  <c r="AH254"/>
  <c r="B254" s="1"/>
  <c r="AH253"/>
  <c r="B253" s="1"/>
  <c r="AH252"/>
  <c r="B252" s="1"/>
  <c r="AH251"/>
  <c r="B251" s="1"/>
  <c r="AH250"/>
  <c r="B250" s="1"/>
  <c r="AH249"/>
  <c r="B249" s="1"/>
  <c r="AH242"/>
  <c r="B242" s="1"/>
  <c r="AH241"/>
  <c r="B241" s="1"/>
  <c r="D82" i="60809" s="1"/>
  <c r="AH240" i="60808"/>
  <c r="B240" s="1"/>
  <c r="D81" i="60809" s="1"/>
  <c r="AH239" i="60808"/>
  <c r="B239" s="1"/>
  <c r="D80" i="60809" s="1"/>
  <c r="AH238" i="60808"/>
  <c r="B238" s="1"/>
  <c r="AH237"/>
  <c r="B237" s="1"/>
  <c r="AH236"/>
  <c r="B236" s="1"/>
  <c r="AH235"/>
  <c r="B235" s="1"/>
  <c r="AH234"/>
  <c r="B234" s="1"/>
  <c r="AH233"/>
  <c r="B233" s="1"/>
  <c r="AH232"/>
  <c r="B232" s="1"/>
  <c r="AH231"/>
  <c r="AH225"/>
  <c r="B225" s="1"/>
  <c r="AH224"/>
  <c r="B224" s="1"/>
  <c r="AH223"/>
  <c r="B223" s="1"/>
  <c r="D73" i="60809" s="1"/>
  <c r="AH222" i="60808"/>
  <c r="B222" s="1"/>
  <c r="D72" i="60809" s="1"/>
  <c r="AH221" i="60808"/>
  <c r="B221" s="1"/>
  <c r="AH220"/>
  <c r="B220" s="1"/>
  <c r="AH219"/>
  <c r="B219" s="1"/>
  <c r="AH218"/>
  <c r="B218" s="1"/>
  <c r="AH217"/>
  <c r="B217" s="1"/>
  <c r="AH216"/>
  <c r="B216" s="1"/>
  <c r="AH215"/>
  <c r="AH214"/>
  <c r="B214" s="1"/>
  <c r="AH418" i="112"/>
  <c r="B418" s="1"/>
  <c r="AH419"/>
  <c r="B419" s="1"/>
  <c r="AH420"/>
  <c r="B420" s="1"/>
  <c r="AH421"/>
  <c r="B421" s="1"/>
  <c r="AH422"/>
  <c r="B422" s="1"/>
  <c r="AH423"/>
  <c r="B423" s="1"/>
  <c r="AH424"/>
  <c r="B424" s="1"/>
  <c r="AH425"/>
  <c r="B425" s="1"/>
  <c r="AH426"/>
  <c r="B426" s="1"/>
  <c r="AH427"/>
  <c r="B427" s="1"/>
  <c r="B142" i="60799"/>
  <c r="F221" i="60804"/>
  <c r="B94" i="8194"/>
  <c r="AH27" i="29741"/>
  <c r="AH28"/>
  <c r="AH29"/>
  <c r="AH30"/>
  <c r="AH32"/>
  <c r="B32" s="1"/>
  <c r="G95" i="60796" s="1"/>
  <c r="AH33" i="29741"/>
  <c r="B33" s="1"/>
  <c r="AH34"/>
  <c r="AH26"/>
  <c r="B26" s="1"/>
  <c r="B27"/>
  <c r="G93" i="60796" s="1"/>
  <c r="B28" i="29741"/>
  <c r="B29"/>
  <c r="B30"/>
  <c r="B31"/>
  <c r="G94" i="60796" s="1"/>
  <c r="B34" i="29741"/>
  <c r="AH39" i="60799"/>
  <c r="AH40"/>
  <c r="B40" s="1"/>
  <c r="AH41"/>
  <c r="AH42"/>
  <c r="B42" s="1"/>
  <c r="AH43"/>
  <c r="AH44"/>
  <c r="B44" s="1"/>
  <c r="AH45"/>
  <c r="B45" s="1"/>
  <c r="AH46"/>
  <c r="B46" s="1"/>
  <c r="AH47"/>
  <c r="AH48"/>
  <c r="AH49"/>
  <c r="B49" s="1"/>
  <c r="AH151"/>
  <c r="AH152"/>
  <c r="AH153"/>
  <c r="AH154"/>
  <c r="AH155"/>
  <c r="AH156"/>
  <c r="AH157"/>
  <c r="B157" s="1"/>
  <c r="AH158"/>
  <c r="AH159"/>
  <c r="AH160"/>
  <c r="AH161"/>
  <c r="AH150"/>
  <c r="B150" s="1"/>
  <c r="B151"/>
  <c r="B152"/>
  <c r="B153"/>
  <c r="B154"/>
  <c r="B155"/>
  <c r="B156"/>
  <c r="B158"/>
  <c r="B159"/>
  <c r="B160"/>
  <c r="B161"/>
  <c r="B141"/>
  <c r="AH61" i="2561"/>
  <c r="B61" s="1"/>
  <c r="AH60"/>
  <c r="AH59"/>
  <c r="B59" s="1"/>
  <c r="AH58"/>
  <c r="B58" s="1"/>
  <c r="AH57"/>
  <c r="B57" s="1"/>
  <c r="AH56"/>
  <c r="AH55"/>
  <c r="AH67" s="1"/>
  <c r="C48" i="60797"/>
  <c r="C25" i="1908"/>
  <c r="C22"/>
  <c r="C108"/>
  <c r="C109" s="1"/>
  <c r="C133" s="1"/>
  <c r="C62" i="7380"/>
  <c r="C50"/>
  <c r="E50" s="1"/>
  <c r="C80"/>
  <c r="E21" i="11565"/>
  <c r="E23" s="1"/>
  <c r="D129" i="1908"/>
  <c r="G129" s="1"/>
  <c r="AH62" i="60797"/>
  <c r="B62" s="1"/>
  <c r="AH63"/>
  <c r="AH64"/>
  <c r="B64" s="1"/>
  <c r="AH61"/>
  <c r="AH60"/>
  <c r="B60" s="1"/>
  <c r="D43" s="1"/>
  <c r="E43" s="1"/>
  <c r="B63"/>
  <c r="D46" s="1"/>
  <c r="AH11" i="2048"/>
  <c r="AH5"/>
  <c r="AH20"/>
  <c r="E77" i="11565"/>
  <c r="E58"/>
  <c r="E38"/>
  <c r="AH199" i="60799"/>
  <c r="AH200"/>
  <c r="AH201"/>
  <c r="AH202"/>
  <c r="B202" s="1"/>
  <c r="AH203"/>
  <c r="AH204"/>
  <c r="AH205"/>
  <c r="B205" s="1"/>
  <c r="AH206"/>
  <c r="B206" s="1"/>
  <c r="AH207"/>
  <c r="AH208"/>
  <c r="AH209"/>
  <c r="B209" s="1"/>
  <c r="AH198"/>
  <c r="B199"/>
  <c r="B200"/>
  <c r="B201"/>
  <c r="B203"/>
  <c r="B204"/>
  <c r="B207"/>
  <c r="B208"/>
  <c r="H162"/>
  <c r="I162"/>
  <c r="J162"/>
  <c r="K162"/>
  <c r="L162"/>
  <c r="M162"/>
  <c r="N162"/>
  <c r="O162"/>
  <c r="P162"/>
  <c r="Q162"/>
  <c r="R162"/>
  <c r="S162"/>
  <c r="T162"/>
  <c r="U162"/>
  <c r="V162"/>
  <c r="W162"/>
  <c r="X162"/>
  <c r="Y162"/>
  <c r="Z162"/>
  <c r="AA162"/>
  <c r="AB162"/>
  <c r="AC162"/>
  <c r="AD162"/>
  <c r="AE162"/>
  <c r="AF162"/>
  <c r="AG162"/>
  <c r="G162"/>
  <c r="K133" i="60804"/>
  <c r="K134"/>
  <c r="K135"/>
  <c r="K136"/>
  <c r="K137"/>
  <c r="K132"/>
  <c r="J133"/>
  <c r="J134"/>
  <c r="J135"/>
  <c r="J136"/>
  <c r="J137"/>
  <c r="J132"/>
  <c r="K139"/>
  <c r="K140"/>
  <c r="K141"/>
  <c r="K142"/>
  <c r="K143"/>
  <c r="K144"/>
  <c r="K145"/>
  <c r="K146"/>
  <c r="K147"/>
  <c r="K148"/>
  <c r="K149"/>
  <c r="K150"/>
  <c r="K151"/>
  <c r="K152"/>
  <c r="K153"/>
  <c r="K154"/>
  <c r="K155"/>
  <c r="K138"/>
  <c r="J139"/>
  <c r="J140"/>
  <c r="J141"/>
  <c r="J142"/>
  <c r="J143"/>
  <c r="J144"/>
  <c r="J145"/>
  <c r="J146"/>
  <c r="J147"/>
  <c r="J148"/>
  <c r="J149"/>
  <c r="J150"/>
  <c r="J151"/>
  <c r="J152"/>
  <c r="J153"/>
  <c r="J154"/>
  <c r="J155"/>
  <c r="J138"/>
  <c r="J212"/>
  <c r="K212"/>
  <c r="J213"/>
  <c r="K213"/>
  <c r="J214"/>
  <c r="K214"/>
  <c r="I230"/>
  <c r="I231"/>
  <c r="L231" s="1"/>
  <c r="I232"/>
  <c r="L232" s="1"/>
  <c r="I233"/>
  <c r="L233" s="1"/>
  <c r="I234"/>
  <c r="L234" s="1"/>
  <c r="J131"/>
  <c r="K131"/>
  <c r="J65" i="2048"/>
  <c r="AT20"/>
  <c r="AH8"/>
  <c r="J44"/>
  <c r="J23"/>
  <c r="C13" i="45"/>
  <c r="D13" s="1"/>
  <c r="E13" s="1"/>
  <c r="AH299" i="60805"/>
  <c r="AH300"/>
  <c r="AH301"/>
  <c r="AH302"/>
  <c r="B302" s="1"/>
  <c r="AH303"/>
  <c r="AH304"/>
  <c r="AH305"/>
  <c r="AH306"/>
  <c r="B306" s="1"/>
  <c r="AH307"/>
  <c r="AH308"/>
  <c r="AH309"/>
  <c r="AH310"/>
  <c r="B310" s="1"/>
  <c r="AH23" i="60799"/>
  <c r="B23" s="1"/>
  <c r="AH24"/>
  <c r="AH25"/>
  <c r="AH26"/>
  <c r="AH27"/>
  <c r="B27" s="1"/>
  <c r="AH28"/>
  <c r="AH29"/>
  <c r="AH30"/>
  <c r="AH31"/>
  <c r="B31" s="1"/>
  <c r="AH32"/>
  <c r="AH33"/>
  <c r="AH305" i="112"/>
  <c r="B305" s="1"/>
  <c r="AH306"/>
  <c r="AH307"/>
  <c r="B307" s="1"/>
  <c r="AH308"/>
  <c r="B308" s="1"/>
  <c r="AH309"/>
  <c r="B309" s="1"/>
  <c r="AH310"/>
  <c r="B310" s="1"/>
  <c r="AH311"/>
  <c r="B311" s="1"/>
  <c r="AH312"/>
  <c r="B312" s="1"/>
  <c r="AH313"/>
  <c r="B313" s="1"/>
  <c r="AH314"/>
  <c r="B314" s="1"/>
  <c r="AH315"/>
  <c r="B315" s="1"/>
  <c r="AH7" i="60799"/>
  <c r="AH8"/>
  <c r="AH9"/>
  <c r="AH10"/>
  <c r="AH11"/>
  <c r="B11"/>
  <c r="AH12"/>
  <c r="B12" s="1"/>
  <c r="AH13"/>
  <c r="AH14"/>
  <c r="AH15"/>
  <c r="B15" s="1"/>
  <c r="AH16"/>
  <c r="B16" s="1"/>
  <c r="AH17"/>
  <c r="B7"/>
  <c r="B8"/>
  <c r="B9"/>
  <c r="B10"/>
  <c r="B13"/>
  <c r="B14"/>
  <c r="B17"/>
  <c r="G285" i="60801"/>
  <c r="G284"/>
  <c r="AH235" i="60805"/>
  <c r="B235" s="1"/>
  <c r="AH236"/>
  <c r="B236" s="1"/>
  <c r="AH237"/>
  <c r="B237" s="1"/>
  <c r="AH238"/>
  <c r="B238" s="1"/>
  <c r="AH239"/>
  <c r="B239" s="1"/>
  <c r="AH240"/>
  <c r="B240" s="1"/>
  <c r="AH241"/>
  <c r="B241" s="1"/>
  <c r="AH242"/>
  <c r="B242" s="1"/>
  <c r="AH243"/>
  <c r="B243" s="1"/>
  <c r="AH244"/>
  <c r="B244" s="1"/>
  <c r="AH245"/>
  <c r="B245" s="1"/>
  <c r="E100" i="7380"/>
  <c r="E114" i="1792"/>
  <c r="G114" s="1"/>
  <c r="E178" s="1"/>
  <c r="G178" s="1"/>
  <c r="B93" i="8194"/>
  <c r="K241" i="60804"/>
  <c r="J241"/>
  <c r="AH58" i="523"/>
  <c r="AH59"/>
  <c r="AH60"/>
  <c r="AH61"/>
  <c r="AH62"/>
  <c r="AH63"/>
  <c r="AH64"/>
  <c r="AH65"/>
  <c r="B65" s="1"/>
  <c r="AH66"/>
  <c r="B66" s="1"/>
  <c r="AH67"/>
  <c r="B67" s="1"/>
  <c r="AH68"/>
  <c r="B68" s="1"/>
  <c r="AH57"/>
  <c r="B58"/>
  <c r="B59"/>
  <c r="B60"/>
  <c r="B61"/>
  <c r="B62"/>
  <c r="B63"/>
  <c r="B57"/>
  <c r="H284" i="60801"/>
  <c r="B140" i="60799"/>
  <c r="L236" i="60804"/>
  <c r="I236"/>
  <c r="AT35" i="2048"/>
  <c r="D280" i="60804"/>
  <c r="AH254" i="60805"/>
  <c r="B254" s="1"/>
  <c r="AH255"/>
  <c r="B255" s="1"/>
  <c r="AH256"/>
  <c r="B256" s="1"/>
  <c r="AH257"/>
  <c r="B257" s="1"/>
  <c r="AH258"/>
  <c r="B258" s="1"/>
  <c r="AH259"/>
  <c r="B259" s="1"/>
  <c r="AH260"/>
  <c r="B260" s="1"/>
  <c r="AH261"/>
  <c r="B261"/>
  <c r="AH253"/>
  <c r="B253" s="1"/>
  <c r="AH252"/>
  <c r="B252" s="1"/>
  <c r="B251"/>
  <c r="AH250"/>
  <c r="B250" s="1"/>
  <c r="AH97" i="112"/>
  <c r="B97" s="1"/>
  <c r="AH98"/>
  <c r="AH99"/>
  <c r="B99" s="1"/>
  <c r="AH100"/>
  <c r="AH101"/>
  <c r="B101" s="1"/>
  <c r="AH25" i="60797"/>
  <c r="AH26"/>
  <c r="B26" s="1"/>
  <c r="AH27"/>
  <c r="B27" s="1"/>
  <c r="AH28"/>
  <c r="B28" s="1"/>
  <c r="E7" s="1"/>
  <c r="AH29"/>
  <c r="B29" s="1"/>
  <c r="AH30"/>
  <c r="B30" s="1"/>
  <c r="AH31"/>
  <c r="B31" s="1"/>
  <c r="E10" s="1"/>
  <c r="AH32"/>
  <c r="B32" s="1"/>
  <c r="E11" s="1"/>
  <c r="AH33"/>
  <c r="B33" s="1"/>
  <c r="AH34"/>
  <c r="B34" s="1"/>
  <c r="E13" s="1"/>
  <c r="C14"/>
  <c r="C15" s="1"/>
  <c r="B14"/>
  <c r="K118" i="60804"/>
  <c r="K117"/>
  <c r="K116"/>
  <c r="D397" i="60801"/>
  <c r="B508" i="60805"/>
  <c r="B507"/>
  <c r="B506"/>
  <c r="B505"/>
  <c r="B504"/>
  <c r="B503"/>
  <c r="B502"/>
  <c r="B501"/>
  <c r="B500"/>
  <c r="B499"/>
  <c r="B498"/>
  <c r="B497"/>
  <c r="K128" i="60804"/>
  <c r="J128"/>
  <c r="K127"/>
  <c r="J127"/>
  <c r="K126"/>
  <c r="J126"/>
  <c r="K125"/>
  <c r="J125"/>
  <c r="K124"/>
  <c r="J124"/>
  <c r="K123"/>
  <c r="J123"/>
  <c r="K122"/>
  <c r="J122"/>
  <c r="K121"/>
  <c r="J121"/>
  <c r="K120"/>
  <c r="J120"/>
  <c r="K119"/>
  <c r="J119"/>
  <c r="S56" i="2048"/>
  <c r="S57"/>
  <c r="H17" i="97" s="1"/>
  <c r="AT41" i="2048"/>
  <c r="J68"/>
  <c r="C55" i="60796"/>
  <c r="B92" i="8194"/>
  <c r="C196" i="60801"/>
  <c r="AH234" i="60805"/>
  <c r="B234" s="1"/>
  <c r="D241" i="60801"/>
  <c r="B475" i="60805"/>
  <c r="B474"/>
  <c r="B473"/>
  <c r="B472"/>
  <c r="B471"/>
  <c r="B470"/>
  <c r="B469"/>
  <c r="B468"/>
  <c r="B467"/>
  <c r="B466"/>
  <c r="E252" i="60801" s="1"/>
  <c r="B465" i="60805"/>
  <c r="B464"/>
  <c r="B459"/>
  <c r="B458"/>
  <c r="B457"/>
  <c r="B456"/>
  <c r="B455"/>
  <c r="B454"/>
  <c r="B453"/>
  <c r="B452"/>
  <c r="B451"/>
  <c r="B450"/>
  <c r="B460" s="1"/>
  <c r="E246" i="60801" s="1"/>
  <c r="B449" i="60805"/>
  <c r="B448"/>
  <c r="B443"/>
  <c r="E240" i="60801" s="1"/>
  <c r="E241" s="1"/>
  <c r="B442" i="60805"/>
  <c r="B441"/>
  <c r="B440"/>
  <c r="B439"/>
  <c r="B438"/>
  <c r="B437"/>
  <c r="B436"/>
  <c r="B435"/>
  <c r="B434"/>
  <c r="B433"/>
  <c r="B432"/>
  <c r="B427"/>
  <c r="B426"/>
  <c r="B425"/>
  <c r="B424"/>
  <c r="B423"/>
  <c r="B422"/>
  <c r="B420"/>
  <c r="B419"/>
  <c r="B418"/>
  <c r="B417"/>
  <c r="B416"/>
  <c r="F116" i="1792"/>
  <c r="C64" i="2"/>
  <c r="C42" i="1" s="1"/>
  <c r="C164" i="60796"/>
  <c r="C166"/>
  <c r="C65" i="2" s="1"/>
  <c r="C43" i="1" s="1"/>
  <c r="F166" i="60796"/>
  <c r="F164"/>
  <c r="AH435" i="32"/>
  <c r="B435" s="1"/>
  <c r="AH436"/>
  <c r="B436" s="1"/>
  <c r="AH437"/>
  <c r="AH438"/>
  <c r="AH439"/>
  <c r="B439" s="1"/>
  <c r="AH440"/>
  <c r="B440" s="1"/>
  <c r="B437"/>
  <c r="B438"/>
  <c r="D25" i="1908"/>
  <c r="B98" i="112"/>
  <c r="B100"/>
  <c r="AH81"/>
  <c r="AH82"/>
  <c r="AH83"/>
  <c r="B83" s="1"/>
  <c r="AH84"/>
  <c r="B84" s="1"/>
  <c r="AH85"/>
  <c r="B85" s="1"/>
  <c r="AH86"/>
  <c r="B81"/>
  <c r="E32" i="1908" s="1"/>
  <c r="B82" i="112"/>
  <c r="B86"/>
  <c r="AH128"/>
  <c r="B128" s="1"/>
  <c r="AH129"/>
  <c r="B129" s="1"/>
  <c r="AH130"/>
  <c r="B130" s="1"/>
  <c r="AH131"/>
  <c r="B131" s="1"/>
  <c r="AH132"/>
  <c r="B132" s="1"/>
  <c r="AH133"/>
  <c r="B133" s="1"/>
  <c r="AH134"/>
  <c r="B134" s="1"/>
  <c r="B22" i="60806"/>
  <c r="B23" s="1"/>
  <c r="AH39"/>
  <c r="B39" s="1"/>
  <c r="AH38"/>
  <c r="B38" s="1"/>
  <c r="AH37"/>
  <c r="B37" s="1"/>
  <c r="AH36"/>
  <c r="B36" s="1"/>
  <c r="AH35"/>
  <c r="B35" s="1"/>
  <c r="G166" i="60796" s="1"/>
  <c r="D65" i="2" s="1"/>
  <c r="AH34" i="60806"/>
  <c r="B34" s="1"/>
  <c r="AH33"/>
  <c r="B33" s="1"/>
  <c r="AH32"/>
  <c r="B32" s="1"/>
  <c r="AH31"/>
  <c r="B31" s="1"/>
  <c r="AH30"/>
  <c r="B30" s="1"/>
  <c r="AH29"/>
  <c r="B29" s="1"/>
  <c r="AH28"/>
  <c r="AG17"/>
  <c r="AF17"/>
  <c r="AE17"/>
  <c r="AD17"/>
  <c r="AC17"/>
  <c r="AB17"/>
  <c r="AA17"/>
  <c r="Z17"/>
  <c r="Y17"/>
  <c r="X17"/>
  <c r="W17"/>
  <c r="V17"/>
  <c r="U17"/>
  <c r="T17"/>
  <c r="S17"/>
  <c r="R17"/>
  <c r="Q17"/>
  <c r="P17"/>
  <c r="O17"/>
  <c r="N17"/>
  <c r="M17"/>
  <c r="L17"/>
  <c r="K17"/>
  <c r="J17"/>
  <c r="I17"/>
  <c r="H17"/>
  <c r="G17"/>
  <c r="F17"/>
  <c r="E17"/>
  <c r="D17"/>
  <c r="C17"/>
  <c r="AH16"/>
  <c r="B16" s="1"/>
  <c r="AH15"/>
  <c r="B15" s="1"/>
  <c r="AH14"/>
  <c r="B14" s="1"/>
  <c r="AH13"/>
  <c r="B13"/>
  <c r="AH12"/>
  <c r="B12" s="1"/>
  <c r="G164" i="60796" s="1"/>
  <c r="AH11" i="60806"/>
  <c r="B11" s="1"/>
  <c r="AH10"/>
  <c r="B10" s="1"/>
  <c r="AH9"/>
  <c r="B9" s="1"/>
  <c r="AH8"/>
  <c r="B8" s="1"/>
  <c r="AH7"/>
  <c r="B7" s="1"/>
  <c r="AH6"/>
  <c r="B6" s="1"/>
  <c r="AH5"/>
  <c r="B5" s="1"/>
  <c r="B28"/>
  <c r="B40" s="1"/>
  <c r="D53" i="7380"/>
  <c r="C53"/>
  <c r="D63"/>
  <c r="C63"/>
  <c r="C59"/>
  <c r="D59"/>
  <c r="E59" s="1"/>
  <c r="E80"/>
  <c r="G80" s="1"/>
  <c r="C84"/>
  <c r="D84"/>
  <c r="E7" i="11565"/>
  <c r="C180" i="60801"/>
  <c r="D104" i="1908"/>
  <c r="I251" i="60804"/>
  <c r="L251" s="1"/>
  <c r="I246"/>
  <c r="L246" s="1"/>
  <c r="H241"/>
  <c r="G241"/>
  <c r="I235"/>
  <c r="L235" s="1"/>
  <c r="E84" i="7380"/>
  <c r="C243"/>
  <c r="E234"/>
  <c r="AH5" i="60802"/>
  <c r="B5" s="1"/>
  <c r="AH6"/>
  <c r="B6" s="1"/>
  <c r="AH7"/>
  <c r="B7" s="1"/>
  <c r="AH8"/>
  <c r="B8" s="1"/>
  <c r="AH9"/>
  <c r="B9" s="1"/>
  <c r="AH10"/>
  <c r="B10" s="1"/>
  <c r="AH11"/>
  <c r="B11" s="1"/>
  <c r="AH12"/>
  <c r="B12" s="1"/>
  <c r="AH13"/>
  <c r="B13" s="1"/>
  <c r="AH14"/>
  <c r="B14" s="1"/>
  <c r="AH15"/>
  <c r="B15" s="1"/>
  <c r="AH16"/>
  <c r="B16" s="1"/>
  <c r="C17"/>
  <c r="D17"/>
  <c r="E17"/>
  <c r="F17"/>
  <c r="G17"/>
  <c r="H17"/>
  <c r="I17"/>
  <c r="J17"/>
  <c r="K17"/>
  <c r="L17"/>
  <c r="M17"/>
  <c r="N17"/>
  <c r="O17"/>
  <c r="P17"/>
  <c r="Q17"/>
  <c r="R17"/>
  <c r="S17"/>
  <c r="T17"/>
  <c r="U17"/>
  <c r="V17"/>
  <c r="W17"/>
  <c r="X17"/>
  <c r="Y17"/>
  <c r="Z17"/>
  <c r="AA17"/>
  <c r="AB17"/>
  <c r="AC17"/>
  <c r="AD17"/>
  <c r="AE17"/>
  <c r="AF17"/>
  <c r="AG17"/>
  <c r="AH21"/>
  <c r="B21" s="1"/>
  <c r="AH22"/>
  <c r="B22" s="1"/>
  <c r="AH23"/>
  <c r="B23" s="1"/>
  <c r="AH24"/>
  <c r="B24" s="1"/>
  <c r="AH25"/>
  <c r="B25" s="1"/>
  <c r="AH26"/>
  <c r="B26" s="1"/>
  <c r="AH27"/>
  <c r="B27" s="1"/>
  <c r="AH28"/>
  <c r="B28" s="1"/>
  <c r="AH29"/>
  <c r="B29" s="1"/>
  <c r="AH30"/>
  <c r="B30" s="1"/>
  <c r="AH31"/>
  <c r="B31" s="1"/>
  <c r="AH32"/>
  <c r="B32" s="1"/>
  <c r="C33"/>
  <c r="D33"/>
  <c r="E33"/>
  <c r="F33"/>
  <c r="G33"/>
  <c r="H33"/>
  <c r="I33"/>
  <c r="J33"/>
  <c r="K33"/>
  <c r="L33"/>
  <c r="M33"/>
  <c r="N33"/>
  <c r="O33"/>
  <c r="P33"/>
  <c r="Q33"/>
  <c r="R33"/>
  <c r="S33"/>
  <c r="T33"/>
  <c r="U33"/>
  <c r="V33"/>
  <c r="W33"/>
  <c r="X33"/>
  <c r="Y33"/>
  <c r="Z33"/>
  <c r="AA33"/>
  <c r="AB33"/>
  <c r="AC33"/>
  <c r="AD33"/>
  <c r="AE33"/>
  <c r="AF33"/>
  <c r="AG33"/>
  <c r="AH37"/>
  <c r="B37" s="1"/>
  <c r="AH38"/>
  <c r="B38"/>
  <c r="AH39"/>
  <c r="B39"/>
  <c r="AH40"/>
  <c r="B40"/>
  <c r="AH41"/>
  <c r="B41" s="1"/>
  <c r="AH42"/>
  <c r="B42" s="1"/>
  <c r="AH43"/>
  <c r="B43" s="1"/>
  <c r="AH44"/>
  <c r="B44" s="1"/>
  <c r="AH45"/>
  <c r="B45" s="1"/>
  <c r="AH46"/>
  <c r="B46" s="1"/>
  <c r="AH47"/>
  <c r="B47" s="1"/>
  <c r="AH48"/>
  <c r="B48" s="1"/>
  <c r="C49"/>
  <c r="D49"/>
  <c r="E49"/>
  <c r="F49"/>
  <c r="G49"/>
  <c r="H49"/>
  <c r="I49"/>
  <c r="J49"/>
  <c r="K49"/>
  <c r="L49"/>
  <c r="M49"/>
  <c r="N49"/>
  <c r="O49"/>
  <c r="P49"/>
  <c r="Q49"/>
  <c r="R49"/>
  <c r="S49"/>
  <c r="T49"/>
  <c r="U49"/>
  <c r="V49"/>
  <c r="W49"/>
  <c r="X49"/>
  <c r="Y49"/>
  <c r="Z49"/>
  <c r="AA49"/>
  <c r="AB49"/>
  <c r="AC49"/>
  <c r="AD49"/>
  <c r="AE49"/>
  <c r="AF49"/>
  <c r="AG49"/>
  <c r="AH53"/>
  <c r="AH54"/>
  <c r="B54"/>
  <c r="AH55"/>
  <c r="B55"/>
  <c r="AH56"/>
  <c r="B56"/>
  <c r="AH57"/>
  <c r="B57"/>
  <c r="AH58"/>
  <c r="B58" s="1"/>
  <c r="AH59"/>
  <c r="B59" s="1"/>
  <c r="AH60"/>
  <c r="B60" s="1"/>
  <c r="AH61"/>
  <c r="B61" s="1"/>
  <c r="AH62"/>
  <c r="B62" s="1"/>
  <c r="AH63"/>
  <c r="B63" s="1"/>
  <c r="AH64"/>
  <c r="B64" s="1"/>
  <c r="C65"/>
  <c r="D65"/>
  <c r="E65"/>
  <c r="F65"/>
  <c r="G65"/>
  <c r="H65"/>
  <c r="I65"/>
  <c r="J65"/>
  <c r="K65"/>
  <c r="L65"/>
  <c r="M65"/>
  <c r="N65"/>
  <c r="O65"/>
  <c r="P65"/>
  <c r="Q65"/>
  <c r="R65"/>
  <c r="S65"/>
  <c r="T65"/>
  <c r="U65"/>
  <c r="V65"/>
  <c r="W65"/>
  <c r="X65"/>
  <c r="Y65"/>
  <c r="Z65"/>
  <c r="AA65"/>
  <c r="AB65"/>
  <c r="AC65"/>
  <c r="AD65"/>
  <c r="AE65"/>
  <c r="AF65"/>
  <c r="AG65"/>
  <c r="AH69"/>
  <c r="B69" s="1"/>
  <c r="AH70"/>
  <c r="B70" s="1"/>
  <c r="AH71"/>
  <c r="B71" s="1"/>
  <c r="AH72"/>
  <c r="B72" s="1"/>
  <c r="AH73"/>
  <c r="B73" s="1"/>
  <c r="AH74"/>
  <c r="B74" s="1"/>
  <c r="AH75"/>
  <c r="B75" s="1"/>
  <c r="AH76"/>
  <c r="B76" s="1"/>
  <c r="AH77"/>
  <c r="B77" s="1"/>
  <c r="AH78"/>
  <c r="B78" s="1"/>
  <c r="AH79"/>
  <c r="B79" s="1"/>
  <c r="AH80"/>
  <c r="B80" s="1"/>
  <c r="C81"/>
  <c r="D81"/>
  <c r="E81"/>
  <c r="F81"/>
  <c r="G81"/>
  <c r="H81"/>
  <c r="I81"/>
  <c r="J81"/>
  <c r="K81"/>
  <c r="L81"/>
  <c r="M81"/>
  <c r="N81"/>
  <c r="O81"/>
  <c r="P81"/>
  <c r="Q81"/>
  <c r="R81"/>
  <c r="S81"/>
  <c r="T81"/>
  <c r="U81"/>
  <c r="V81"/>
  <c r="W81"/>
  <c r="X81"/>
  <c r="Y81"/>
  <c r="Z81"/>
  <c r="AA81"/>
  <c r="AB81"/>
  <c r="AC81"/>
  <c r="AD81"/>
  <c r="AE81"/>
  <c r="AF81"/>
  <c r="AG81"/>
  <c r="AH81"/>
  <c r="AH85"/>
  <c r="B85" s="1"/>
  <c r="AH86"/>
  <c r="B86" s="1"/>
  <c r="AH87"/>
  <c r="B87" s="1"/>
  <c r="AH88"/>
  <c r="AH89"/>
  <c r="B89" s="1"/>
  <c r="AH90"/>
  <c r="B90" s="1"/>
  <c r="AH91"/>
  <c r="B91" s="1"/>
  <c r="AH92"/>
  <c r="B92" s="1"/>
  <c r="AH93"/>
  <c r="B93" s="1"/>
  <c r="AH94"/>
  <c r="B94" s="1"/>
  <c r="AH95"/>
  <c r="B95" s="1"/>
  <c r="AH96"/>
  <c r="B96" s="1"/>
  <c r="C97"/>
  <c r="D97"/>
  <c r="E97"/>
  <c r="F97"/>
  <c r="G97"/>
  <c r="H97"/>
  <c r="I97"/>
  <c r="J97"/>
  <c r="K97"/>
  <c r="L97"/>
  <c r="M97"/>
  <c r="N97"/>
  <c r="O97"/>
  <c r="P97"/>
  <c r="Q97"/>
  <c r="R97"/>
  <c r="S97"/>
  <c r="T97"/>
  <c r="U97"/>
  <c r="V97"/>
  <c r="W97"/>
  <c r="X97"/>
  <c r="Y97"/>
  <c r="Z97"/>
  <c r="AA97"/>
  <c r="AB97"/>
  <c r="AC97"/>
  <c r="AD97"/>
  <c r="AE97"/>
  <c r="AF97"/>
  <c r="AG97"/>
  <c r="AH101"/>
  <c r="B101" s="1"/>
  <c r="AH102"/>
  <c r="B102"/>
  <c r="AH103"/>
  <c r="B103"/>
  <c r="AH104"/>
  <c r="B104"/>
  <c r="AH105"/>
  <c r="B105"/>
  <c r="AH106"/>
  <c r="B106" s="1"/>
  <c r="AH107"/>
  <c r="B107"/>
  <c r="AH108"/>
  <c r="B108" s="1"/>
  <c r="AH109"/>
  <c r="B109" s="1"/>
  <c r="AH110"/>
  <c r="B110" s="1"/>
  <c r="AH111"/>
  <c r="B111" s="1"/>
  <c r="AH112"/>
  <c r="B112" s="1"/>
  <c r="C113"/>
  <c r="D113"/>
  <c r="E113"/>
  <c r="F113"/>
  <c r="G113"/>
  <c r="H113"/>
  <c r="I113"/>
  <c r="J113"/>
  <c r="K113"/>
  <c r="L113"/>
  <c r="M113"/>
  <c r="N113"/>
  <c r="O113"/>
  <c r="P113"/>
  <c r="Q113"/>
  <c r="R113"/>
  <c r="S113"/>
  <c r="T113"/>
  <c r="U113"/>
  <c r="V113"/>
  <c r="W113"/>
  <c r="X113"/>
  <c r="Y113"/>
  <c r="Z113"/>
  <c r="AA113"/>
  <c r="AB113"/>
  <c r="AC113"/>
  <c r="AD113"/>
  <c r="AE113"/>
  <c r="AF113"/>
  <c r="AG113"/>
  <c r="AH117"/>
  <c r="AH118"/>
  <c r="B118" s="1"/>
  <c r="AH119"/>
  <c r="B119" s="1"/>
  <c r="AH120"/>
  <c r="B120" s="1"/>
  <c r="AH121"/>
  <c r="B121" s="1"/>
  <c r="AH122"/>
  <c r="B122" s="1"/>
  <c r="AH123"/>
  <c r="B123" s="1"/>
  <c r="AH124"/>
  <c r="B124" s="1"/>
  <c r="AH125"/>
  <c r="B125" s="1"/>
  <c r="AH126"/>
  <c r="B126" s="1"/>
  <c r="AH127"/>
  <c r="B127" s="1"/>
  <c r="AH128"/>
  <c r="B128" s="1"/>
  <c r="C129"/>
  <c r="D129"/>
  <c r="E129"/>
  <c r="F129"/>
  <c r="G129"/>
  <c r="H129"/>
  <c r="I129"/>
  <c r="J129"/>
  <c r="K129"/>
  <c r="L129"/>
  <c r="M129"/>
  <c r="N129"/>
  <c r="O129"/>
  <c r="P129"/>
  <c r="Q129"/>
  <c r="R129"/>
  <c r="S129"/>
  <c r="T129"/>
  <c r="U129"/>
  <c r="V129"/>
  <c r="W129"/>
  <c r="X129"/>
  <c r="Y129"/>
  <c r="Z129"/>
  <c r="AA129"/>
  <c r="AB129"/>
  <c r="AC129"/>
  <c r="AD129"/>
  <c r="AE129"/>
  <c r="AF129"/>
  <c r="AG129"/>
  <c r="AH133"/>
  <c r="AH134"/>
  <c r="B134" s="1"/>
  <c r="AH135"/>
  <c r="B135" s="1"/>
  <c r="AH136"/>
  <c r="B136" s="1"/>
  <c r="AH137"/>
  <c r="B137" s="1"/>
  <c r="AH138"/>
  <c r="B138" s="1"/>
  <c r="AH139"/>
  <c r="B139" s="1"/>
  <c r="AH140"/>
  <c r="B140" s="1"/>
  <c r="AH141"/>
  <c r="B141" s="1"/>
  <c r="AH142"/>
  <c r="B142" s="1"/>
  <c r="AH143"/>
  <c r="B143" s="1"/>
  <c r="AH144"/>
  <c r="B144" s="1"/>
  <c r="C145"/>
  <c r="D145"/>
  <c r="E145"/>
  <c r="F145"/>
  <c r="G145"/>
  <c r="H145"/>
  <c r="I145"/>
  <c r="J145"/>
  <c r="K145"/>
  <c r="L145"/>
  <c r="M145"/>
  <c r="N145"/>
  <c r="O145"/>
  <c r="P145"/>
  <c r="Q145"/>
  <c r="R145"/>
  <c r="S145"/>
  <c r="T145"/>
  <c r="U145"/>
  <c r="V145"/>
  <c r="W145"/>
  <c r="X145"/>
  <c r="Y145"/>
  <c r="Z145"/>
  <c r="AA145"/>
  <c r="AB145"/>
  <c r="AC145"/>
  <c r="AD145"/>
  <c r="AE145"/>
  <c r="AF145"/>
  <c r="AG145"/>
  <c r="D4" i="60803"/>
  <c r="P4"/>
  <c r="Q4"/>
  <c r="R4"/>
  <c r="D5"/>
  <c r="D6"/>
  <c r="C13"/>
  <c r="D16"/>
  <c r="D17"/>
  <c r="D18"/>
  <c r="C25"/>
  <c r="D28"/>
  <c r="D29"/>
  <c r="D30"/>
  <c r="C37"/>
  <c r="I4" i="60804"/>
  <c r="I5"/>
  <c r="L5" s="1"/>
  <c r="I6"/>
  <c r="L6" s="1"/>
  <c r="I7"/>
  <c r="L7" s="1"/>
  <c r="I8"/>
  <c r="L8" s="1"/>
  <c r="I9"/>
  <c r="L9" s="1"/>
  <c r="I10"/>
  <c r="L10" s="1"/>
  <c r="I11"/>
  <c r="L11" s="1"/>
  <c r="I12"/>
  <c r="L12" s="1"/>
  <c r="I13"/>
  <c r="L13" s="1"/>
  <c r="I14"/>
  <c r="L14" s="1"/>
  <c r="I15"/>
  <c r="L15" s="1"/>
  <c r="I16"/>
  <c r="L16" s="1"/>
  <c r="J27"/>
  <c r="K27"/>
  <c r="J28"/>
  <c r="J29"/>
  <c r="J30"/>
  <c r="J31"/>
  <c r="J32"/>
  <c r="J33"/>
  <c r="J36"/>
  <c r="K36"/>
  <c r="J37"/>
  <c r="K37"/>
  <c r="J38"/>
  <c r="K38"/>
  <c r="J39"/>
  <c r="K39"/>
  <c r="J40"/>
  <c r="K40"/>
  <c r="J41"/>
  <c r="K41"/>
  <c r="J42"/>
  <c r="K42"/>
  <c r="J43"/>
  <c r="K43"/>
  <c r="J44"/>
  <c r="K44"/>
  <c r="J45"/>
  <c r="K45"/>
  <c r="J46"/>
  <c r="K46"/>
  <c r="J47"/>
  <c r="K47"/>
  <c r="J48"/>
  <c r="K48"/>
  <c r="J49"/>
  <c r="K49"/>
  <c r="J50"/>
  <c r="K50"/>
  <c r="J51"/>
  <c r="K51"/>
  <c r="J52"/>
  <c r="K52"/>
  <c r="J53"/>
  <c r="K53"/>
  <c r="J54"/>
  <c r="K54"/>
  <c r="J55"/>
  <c r="K55"/>
  <c r="J56"/>
  <c r="K56"/>
  <c r="J57"/>
  <c r="K57"/>
  <c r="J58"/>
  <c r="K58"/>
  <c r="J59"/>
  <c r="K59"/>
  <c r="J60"/>
  <c r="K60"/>
  <c r="J61"/>
  <c r="K61"/>
  <c r="J62"/>
  <c r="K62"/>
  <c r="J63"/>
  <c r="K63"/>
  <c r="J64"/>
  <c r="K64"/>
  <c r="J65"/>
  <c r="K65"/>
  <c r="J66"/>
  <c r="K66"/>
  <c r="J67"/>
  <c r="K67"/>
  <c r="J68"/>
  <c r="K68"/>
  <c r="J69"/>
  <c r="K69"/>
  <c r="J70"/>
  <c r="K70"/>
  <c r="J71"/>
  <c r="K71"/>
  <c r="J72"/>
  <c r="K72"/>
  <c r="J73"/>
  <c r="K73"/>
  <c r="J74"/>
  <c r="K74"/>
  <c r="J75"/>
  <c r="K75"/>
  <c r="J76"/>
  <c r="K76"/>
  <c r="J77"/>
  <c r="K77"/>
  <c r="J78"/>
  <c r="K78"/>
  <c r="J79"/>
  <c r="K79"/>
  <c r="J80"/>
  <c r="K80"/>
  <c r="J81"/>
  <c r="K81"/>
  <c r="J82"/>
  <c r="K82"/>
  <c r="J83"/>
  <c r="K83"/>
  <c r="J84"/>
  <c r="K84"/>
  <c r="J85"/>
  <c r="K85"/>
  <c r="J86"/>
  <c r="K86"/>
  <c r="J87"/>
  <c r="K87"/>
  <c r="J88"/>
  <c r="K88"/>
  <c r="J89"/>
  <c r="K89"/>
  <c r="J90"/>
  <c r="K90"/>
  <c r="J91"/>
  <c r="K91"/>
  <c r="J92"/>
  <c r="K92"/>
  <c r="J93"/>
  <c r="K93"/>
  <c r="J94"/>
  <c r="K94"/>
  <c r="J95"/>
  <c r="K95"/>
  <c r="J96"/>
  <c r="K96"/>
  <c r="J97"/>
  <c r="K97"/>
  <c r="J98"/>
  <c r="K98"/>
  <c r="J99"/>
  <c r="K99"/>
  <c r="J100"/>
  <c r="K100"/>
  <c r="J101"/>
  <c r="K101"/>
  <c r="J102"/>
  <c r="K102"/>
  <c r="J103"/>
  <c r="K103"/>
  <c r="J104"/>
  <c r="K104"/>
  <c r="J105"/>
  <c r="K105"/>
  <c r="J106"/>
  <c r="K106"/>
  <c r="J107"/>
  <c r="K107"/>
  <c r="J108"/>
  <c r="K108"/>
  <c r="J109"/>
  <c r="K109"/>
  <c r="J110"/>
  <c r="K110"/>
  <c r="J111"/>
  <c r="K111"/>
  <c r="J112"/>
  <c r="K112"/>
  <c r="J113"/>
  <c r="K113"/>
  <c r="J114"/>
  <c r="K114"/>
  <c r="J115"/>
  <c r="K115"/>
  <c r="AH4" i="60805"/>
  <c r="AH5"/>
  <c r="AH6"/>
  <c r="AH7"/>
  <c r="AH8"/>
  <c r="B8" s="1"/>
  <c r="AH9"/>
  <c r="B9" s="1"/>
  <c r="AH10"/>
  <c r="B10" s="1"/>
  <c r="AH11"/>
  <c r="B11" s="1"/>
  <c r="AH12"/>
  <c r="B12" s="1"/>
  <c r="AH13"/>
  <c r="B13" s="1"/>
  <c r="AH14"/>
  <c r="B14" s="1"/>
  <c r="AH15"/>
  <c r="B15" s="1"/>
  <c r="AH16"/>
  <c r="AH23"/>
  <c r="AH24"/>
  <c r="AH25"/>
  <c r="AH26"/>
  <c r="AH28"/>
  <c r="B28" s="1"/>
  <c r="AH29"/>
  <c r="B29" s="1"/>
  <c r="AH30"/>
  <c r="B30" s="1"/>
  <c r="AH31"/>
  <c r="B31" s="1"/>
  <c r="AH32"/>
  <c r="B32" s="1"/>
  <c r="AH33"/>
  <c r="B33" s="1"/>
  <c r="AH34"/>
  <c r="B34" s="1"/>
  <c r="AH35"/>
  <c r="AH97"/>
  <c r="AH98"/>
  <c r="AH99"/>
  <c r="AH100"/>
  <c r="AH101"/>
  <c r="AH102"/>
  <c r="B102" s="1"/>
  <c r="AH103"/>
  <c r="B103" s="1"/>
  <c r="AH104"/>
  <c r="B104" s="1"/>
  <c r="B109" s="1"/>
  <c r="AH105"/>
  <c r="B105" s="1"/>
  <c r="AH106"/>
  <c r="B106" s="1"/>
  <c r="AH107"/>
  <c r="B107" s="1"/>
  <c r="AH108"/>
  <c r="B108" s="1"/>
  <c r="AH109"/>
  <c r="AH138"/>
  <c r="B138" s="1"/>
  <c r="AH139"/>
  <c r="B139" s="1"/>
  <c r="AH140"/>
  <c r="B140" s="1"/>
  <c r="AH141"/>
  <c r="B141" s="1"/>
  <c r="AH142"/>
  <c r="B142" s="1"/>
  <c r="AH143"/>
  <c r="B143" s="1"/>
  <c r="AH144"/>
  <c r="B144" s="1"/>
  <c r="AH145"/>
  <c r="B145" s="1"/>
  <c r="AH146"/>
  <c r="B146" s="1"/>
  <c r="AH147"/>
  <c r="B147" s="1"/>
  <c r="AH148"/>
  <c r="B148" s="1"/>
  <c r="AH149"/>
  <c r="B149" s="1"/>
  <c r="AH150"/>
  <c r="AH154"/>
  <c r="B154" s="1"/>
  <c r="AH155"/>
  <c r="B155" s="1"/>
  <c r="AH156"/>
  <c r="B156" s="1"/>
  <c r="B157"/>
  <c r="B158"/>
  <c r="B159"/>
  <c r="B160"/>
  <c r="B161"/>
  <c r="B162"/>
  <c r="B163"/>
  <c r="B164"/>
  <c r="B165"/>
  <c r="AH170"/>
  <c r="B170" s="1"/>
  <c r="B182" s="1"/>
  <c r="AH171"/>
  <c r="B171" s="1"/>
  <c r="AH172"/>
  <c r="B172" s="1"/>
  <c r="AH173"/>
  <c r="B173" s="1"/>
  <c r="AH174"/>
  <c r="B174" s="1"/>
  <c r="AH175"/>
  <c r="B175" s="1"/>
  <c r="AH176"/>
  <c r="B176" s="1"/>
  <c r="AH177"/>
  <c r="B177" s="1"/>
  <c r="AH178"/>
  <c r="B178" s="1"/>
  <c r="AH179"/>
  <c r="B179" s="1"/>
  <c r="AH180"/>
  <c r="B180" s="1"/>
  <c r="AH181"/>
  <c r="B181" s="1"/>
  <c r="C182"/>
  <c r="D182"/>
  <c r="E182"/>
  <c r="F182"/>
  <c r="G182"/>
  <c r="H182"/>
  <c r="I182"/>
  <c r="J182"/>
  <c r="K182"/>
  <c r="L182"/>
  <c r="M182"/>
  <c r="N182"/>
  <c r="O182"/>
  <c r="P182"/>
  <c r="Q182"/>
  <c r="R182"/>
  <c r="S182"/>
  <c r="T182"/>
  <c r="U182"/>
  <c r="V182"/>
  <c r="W182"/>
  <c r="X182"/>
  <c r="Y182"/>
  <c r="Z182"/>
  <c r="AA182"/>
  <c r="AB182"/>
  <c r="AC182"/>
  <c r="AD182"/>
  <c r="AE182"/>
  <c r="AF182"/>
  <c r="AG182"/>
  <c r="AH186"/>
  <c r="B186" s="1"/>
  <c r="AH187"/>
  <c r="B187" s="1"/>
  <c r="AH188"/>
  <c r="B188" s="1"/>
  <c r="AH189"/>
  <c r="B189" s="1"/>
  <c r="AH190"/>
  <c r="B190" s="1"/>
  <c r="AH191"/>
  <c r="B191" s="1"/>
  <c r="AH192"/>
  <c r="B192" s="1"/>
  <c r="AH193"/>
  <c r="B193" s="1"/>
  <c r="AH194"/>
  <c r="B194" s="1"/>
  <c r="AH195"/>
  <c r="B195" s="1"/>
  <c r="AH196"/>
  <c r="B196" s="1"/>
  <c r="AH197"/>
  <c r="B197" s="1"/>
  <c r="AH198"/>
  <c r="AH202"/>
  <c r="B202" s="1"/>
  <c r="B214" s="1"/>
  <c r="E168" i="60801" s="1"/>
  <c r="AH203" i="60805"/>
  <c r="B203" s="1"/>
  <c r="AH204"/>
  <c r="B204" s="1"/>
  <c r="AH205"/>
  <c r="B205" s="1"/>
  <c r="AH206"/>
  <c r="B206" s="1"/>
  <c r="AH207"/>
  <c r="B207" s="1"/>
  <c r="AH208"/>
  <c r="B208" s="1"/>
  <c r="AH209"/>
  <c r="B209" s="1"/>
  <c r="AH210"/>
  <c r="B210" s="1"/>
  <c r="AH211"/>
  <c r="B211" s="1"/>
  <c r="AH212"/>
  <c r="B212" s="1"/>
  <c r="AH213"/>
  <c r="B213" s="1"/>
  <c r="AH218"/>
  <c r="B218" s="1"/>
  <c r="AH219"/>
  <c r="B219" s="1"/>
  <c r="AH220"/>
  <c r="B220" s="1"/>
  <c r="AH221"/>
  <c r="B221" s="1"/>
  <c r="B222"/>
  <c r="B223"/>
  <c r="B224"/>
  <c r="B225"/>
  <c r="B226"/>
  <c r="B227"/>
  <c r="B228"/>
  <c r="B229"/>
  <c r="B299"/>
  <c r="B300"/>
  <c r="F206" i="60801" s="1"/>
  <c r="F207" s="1"/>
  <c r="B301" i="60805"/>
  <c r="B303"/>
  <c r="B304"/>
  <c r="B305"/>
  <c r="B307"/>
  <c r="B308"/>
  <c r="B309"/>
  <c r="AH316"/>
  <c r="B316" s="1"/>
  <c r="AH317"/>
  <c r="B317" s="1"/>
  <c r="AH318"/>
  <c r="B318" s="1"/>
  <c r="AH319"/>
  <c r="B319" s="1"/>
  <c r="AH320"/>
  <c r="B320" s="1"/>
  <c r="AH321"/>
  <c r="B321" s="1"/>
  <c r="AH322"/>
  <c r="B322" s="1"/>
  <c r="AH323"/>
  <c r="B323" s="1"/>
  <c r="AH324"/>
  <c r="B324" s="1"/>
  <c r="AH325"/>
  <c r="B325" s="1"/>
  <c r="AH326"/>
  <c r="B326" s="1"/>
  <c r="AH327"/>
  <c r="B327" s="1"/>
  <c r="AH332"/>
  <c r="B332" s="1"/>
  <c r="AH333"/>
  <c r="B333" s="1"/>
  <c r="AH334"/>
  <c r="B334" s="1"/>
  <c r="AH335"/>
  <c r="B335" s="1"/>
  <c r="AH336"/>
  <c r="B336" s="1"/>
  <c r="AH337"/>
  <c r="B337" s="1"/>
  <c r="AH338"/>
  <c r="B338" s="1"/>
  <c r="AH339"/>
  <c r="B339" s="1"/>
  <c r="AH340"/>
  <c r="B340" s="1"/>
  <c r="AH341"/>
  <c r="B341" s="1"/>
  <c r="AH342"/>
  <c r="B342" s="1"/>
  <c r="AH343"/>
  <c r="B343" s="1"/>
  <c r="AH366"/>
  <c r="B366" s="1"/>
  <c r="AH367"/>
  <c r="B367" s="1"/>
  <c r="AH368"/>
  <c r="B368" s="1"/>
  <c r="AH369"/>
  <c r="B369" s="1"/>
  <c r="AH370"/>
  <c r="B370" s="1"/>
  <c r="AH371"/>
  <c r="B371" s="1"/>
  <c r="AH372"/>
  <c r="B372" s="1"/>
  <c r="AH373"/>
  <c r="B373" s="1"/>
  <c r="AH374"/>
  <c r="B374" s="1"/>
  <c r="AH380"/>
  <c r="B380" s="1"/>
  <c r="AH381"/>
  <c r="B381" s="1"/>
  <c r="AH382"/>
  <c r="B382" s="1"/>
  <c r="AH383"/>
  <c r="B383" s="1"/>
  <c r="AH384"/>
  <c r="B384" s="1"/>
  <c r="AH385"/>
  <c r="B385" s="1"/>
  <c r="AH386"/>
  <c r="B386" s="1"/>
  <c r="AH387"/>
  <c r="B387" s="1"/>
  <c r="AH388"/>
  <c r="B388" s="1"/>
  <c r="AH389"/>
  <c r="B389" s="1"/>
  <c r="AH390"/>
  <c r="B390" s="1"/>
  <c r="AH391"/>
  <c r="B391" s="1"/>
  <c r="AH397"/>
  <c r="B397" s="1"/>
  <c r="AH398"/>
  <c r="B398" s="1"/>
  <c r="AH399"/>
  <c r="B399" s="1"/>
  <c r="AH400"/>
  <c r="B400" s="1"/>
  <c r="AH401"/>
  <c r="B401" s="1"/>
  <c r="AH402"/>
  <c r="B402" s="1"/>
  <c r="AH403"/>
  <c r="B403" s="1"/>
  <c r="AH404"/>
  <c r="B404" s="1"/>
  <c r="AH405"/>
  <c r="B405" s="1"/>
  <c r="AH406"/>
  <c r="B406" s="1"/>
  <c r="AH407"/>
  <c r="B407" s="1"/>
  <c r="AH408"/>
  <c r="B408" s="1"/>
  <c r="D7" i="60801"/>
  <c r="D14"/>
  <c r="D44"/>
  <c r="D50"/>
  <c r="D56"/>
  <c r="F62"/>
  <c r="D63"/>
  <c r="C163"/>
  <c r="F172"/>
  <c r="F174"/>
  <c r="H285"/>
  <c r="C286"/>
  <c r="D286"/>
  <c r="E286"/>
  <c r="F286"/>
  <c r="G306"/>
  <c r="H306"/>
  <c r="G307"/>
  <c r="H307"/>
  <c r="G308"/>
  <c r="H308"/>
  <c r="G309"/>
  <c r="H309"/>
  <c r="G310"/>
  <c r="H310"/>
  <c r="G311"/>
  <c r="H311"/>
  <c r="H312"/>
  <c r="G325"/>
  <c r="H325"/>
  <c r="G326"/>
  <c r="H326"/>
  <c r="G327"/>
  <c r="H327"/>
  <c r="G328"/>
  <c r="H328"/>
  <c r="G329"/>
  <c r="H329"/>
  <c r="G330"/>
  <c r="H330"/>
  <c r="G331"/>
  <c r="H331"/>
  <c r="G332"/>
  <c r="H332"/>
  <c r="G333"/>
  <c r="H333"/>
  <c r="G334"/>
  <c r="H334"/>
  <c r="G335"/>
  <c r="H335"/>
  <c r="C336"/>
  <c r="D336"/>
  <c r="E336"/>
  <c r="F336"/>
  <c r="H336"/>
  <c r="AH6" i="60799"/>
  <c r="B6" s="1"/>
  <c r="B18" s="1"/>
  <c r="E5" i="60800" s="1"/>
  <c r="AH22" i="60799"/>
  <c r="B22" s="1"/>
  <c r="B24"/>
  <c r="B25"/>
  <c r="B34" s="1"/>
  <c r="E6" i="60800" s="1"/>
  <c r="B26" i="60799"/>
  <c r="B28"/>
  <c r="B29"/>
  <c r="B30"/>
  <c r="B32"/>
  <c r="B33"/>
  <c r="AH38"/>
  <c r="B38" s="1"/>
  <c r="B39"/>
  <c r="B41"/>
  <c r="B43"/>
  <c r="B47"/>
  <c r="B48"/>
  <c r="B54"/>
  <c r="AH54"/>
  <c r="B55"/>
  <c r="AH55"/>
  <c r="B56"/>
  <c r="AH56"/>
  <c r="B57"/>
  <c r="AH57"/>
  <c r="B58"/>
  <c r="AH58"/>
  <c r="B59"/>
  <c r="AH59"/>
  <c r="B60"/>
  <c r="AH60"/>
  <c r="B61"/>
  <c r="AH61"/>
  <c r="B62"/>
  <c r="AH62"/>
  <c r="B63"/>
  <c r="AH63"/>
  <c r="B64"/>
  <c r="AH64"/>
  <c r="B65"/>
  <c r="AH65"/>
  <c r="AH66"/>
  <c r="AH70"/>
  <c r="B70" s="1"/>
  <c r="AH71"/>
  <c r="B71" s="1"/>
  <c r="AH72"/>
  <c r="B72" s="1"/>
  <c r="AH73"/>
  <c r="B73"/>
  <c r="AH74"/>
  <c r="B74" s="1"/>
  <c r="AH75"/>
  <c r="B75" s="1"/>
  <c r="AH76"/>
  <c r="B76" s="1"/>
  <c r="AH77"/>
  <c r="B77" s="1"/>
  <c r="AH78"/>
  <c r="B78" s="1"/>
  <c r="AH79"/>
  <c r="B79" s="1"/>
  <c r="AH80"/>
  <c r="B80" s="1"/>
  <c r="AH81"/>
  <c r="B81" s="1"/>
  <c r="AH86"/>
  <c r="B86" s="1"/>
  <c r="AH87"/>
  <c r="B87" s="1"/>
  <c r="AH88"/>
  <c r="B88" s="1"/>
  <c r="AH89"/>
  <c r="B89" s="1"/>
  <c r="AH90"/>
  <c r="B90" s="1"/>
  <c r="AH91"/>
  <c r="B91" s="1"/>
  <c r="AH92"/>
  <c r="B92" s="1"/>
  <c r="AH93"/>
  <c r="B93" s="1"/>
  <c r="AH94"/>
  <c r="B94" s="1"/>
  <c r="AH95"/>
  <c r="B95" s="1"/>
  <c r="AH96"/>
  <c r="B96" s="1"/>
  <c r="AH97"/>
  <c r="B97" s="1"/>
  <c r="AH102"/>
  <c r="AH103"/>
  <c r="B103" s="1"/>
  <c r="AH104"/>
  <c r="B104" s="1"/>
  <c r="AH105"/>
  <c r="B105" s="1"/>
  <c r="AH106"/>
  <c r="B106" s="1"/>
  <c r="AH107"/>
  <c r="B107" s="1"/>
  <c r="AH108"/>
  <c r="B108" s="1"/>
  <c r="AH109"/>
  <c r="B109" s="1"/>
  <c r="AH110"/>
  <c r="B110" s="1"/>
  <c r="AH111"/>
  <c r="B111" s="1"/>
  <c r="AH112"/>
  <c r="B112" s="1"/>
  <c r="AH113"/>
  <c r="B113" s="1"/>
  <c r="AH118"/>
  <c r="B118" s="1"/>
  <c r="AH119"/>
  <c r="B119" s="1"/>
  <c r="AH120"/>
  <c r="B120" s="1"/>
  <c r="AH121"/>
  <c r="B121" s="1"/>
  <c r="AH122"/>
  <c r="B122" s="1"/>
  <c r="AH123"/>
  <c r="B123" s="1"/>
  <c r="AH124"/>
  <c r="B124" s="1"/>
  <c r="AH125"/>
  <c r="B125" s="1"/>
  <c r="AH126"/>
  <c r="B126" s="1"/>
  <c r="AH127"/>
  <c r="B127" s="1"/>
  <c r="B128"/>
  <c r="AH128"/>
  <c r="AH129"/>
  <c r="B129" s="1"/>
  <c r="AH134"/>
  <c r="B134" s="1"/>
  <c r="AH135"/>
  <c r="B136"/>
  <c r="AH136"/>
  <c r="B137"/>
  <c r="B138"/>
  <c r="B139"/>
  <c r="AH166"/>
  <c r="B166" s="1"/>
  <c r="AH167"/>
  <c r="B167" s="1"/>
  <c r="AH168"/>
  <c r="B168" s="1"/>
  <c r="AH169"/>
  <c r="B169" s="1"/>
  <c r="AH170"/>
  <c r="B170" s="1"/>
  <c r="AH171"/>
  <c r="B171" s="1"/>
  <c r="AH172"/>
  <c r="B172" s="1"/>
  <c r="AH173"/>
  <c r="B173" s="1"/>
  <c r="AH174"/>
  <c r="B174" s="1"/>
  <c r="AH175"/>
  <c r="B175" s="1"/>
  <c r="AH176"/>
  <c r="B176" s="1"/>
  <c r="AH177"/>
  <c r="B177" s="1"/>
  <c r="AH182"/>
  <c r="B182"/>
  <c r="AH183"/>
  <c r="AH184"/>
  <c r="B184" s="1"/>
  <c r="AH185"/>
  <c r="B185"/>
  <c r="AH186"/>
  <c r="B186" s="1"/>
  <c r="AH187"/>
  <c r="B187" s="1"/>
  <c r="AH188"/>
  <c r="B188"/>
  <c r="AH189"/>
  <c r="B189" s="1"/>
  <c r="AH190"/>
  <c r="B190"/>
  <c r="AH191"/>
  <c r="B191" s="1"/>
  <c r="AH192"/>
  <c r="B192" s="1"/>
  <c r="AH193"/>
  <c r="B193" s="1"/>
  <c r="AH214"/>
  <c r="B214" s="1"/>
  <c r="AH215"/>
  <c r="B215" s="1"/>
  <c r="AH216"/>
  <c r="B216" s="1"/>
  <c r="B217"/>
  <c r="B218"/>
  <c r="B219"/>
  <c r="B220"/>
  <c r="B221"/>
  <c r="B222"/>
  <c r="B223"/>
  <c r="B224"/>
  <c r="B225"/>
  <c r="AH23" i="60797"/>
  <c r="B23" s="1"/>
  <c r="AH24"/>
  <c r="B24" s="1"/>
  <c r="B25"/>
  <c r="D9" i="45"/>
  <c r="E9"/>
  <c r="D12"/>
  <c r="E12"/>
  <c r="AH5" i="60798"/>
  <c r="B5"/>
  <c r="AH6"/>
  <c r="B6"/>
  <c r="AH7"/>
  <c r="B7"/>
  <c r="AH8"/>
  <c r="B8"/>
  <c r="AH9"/>
  <c r="B9"/>
  <c r="AH10"/>
  <c r="B10"/>
  <c r="AH11"/>
  <c r="B11" s="1"/>
  <c r="AH12"/>
  <c r="AH13"/>
  <c r="B13" s="1"/>
  <c r="AH14"/>
  <c r="B14" s="1"/>
  <c r="AH15"/>
  <c r="B15" s="1"/>
  <c r="AH16"/>
  <c r="B16" s="1"/>
  <c r="C17"/>
  <c r="D17"/>
  <c r="E17"/>
  <c r="F17"/>
  <c r="G17"/>
  <c r="H17"/>
  <c r="I17"/>
  <c r="J17"/>
  <c r="K17"/>
  <c r="L17"/>
  <c r="M17"/>
  <c r="N17"/>
  <c r="O17"/>
  <c r="P17"/>
  <c r="Q17"/>
  <c r="R17"/>
  <c r="S17"/>
  <c r="T17"/>
  <c r="U17"/>
  <c r="V17"/>
  <c r="W17"/>
  <c r="X17"/>
  <c r="Y17"/>
  <c r="Z17"/>
  <c r="AA17"/>
  <c r="AB17"/>
  <c r="AC17"/>
  <c r="AD17"/>
  <c r="AE17"/>
  <c r="AF17"/>
  <c r="AG17"/>
  <c r="AH21"/>
  <c r="B21" s="1"/>
  <c r="AH22"/>
  <c r="B22" s="1"/>
  <c r="AH23"/>
  <c r="B23" s="1"/>
  <c r="AH24"/>
  <c r="B24" s="1"/>
  <c r="AH25"/>
  <c r="B25" s="1"/>
  <c r="AH26"/>
  <c r="B26" s="1"/>
  <c r="AH27"/>
  <c r="B27" s="1"/>
  <c r="AH28"/>
  <c r="AH29"/>
  <c r="B29" s="1"/>
  <c r="AH30"/>
  <c r="B30" s="1"/>
  <c r="AH31"/>
  <c r="B31" s="1"/>
  <c r="AH32"/>
  <c r="B32" s="1"/>
  <c r="C33"/>
  <c r="D33"/>
  <c r="E33"/>
  <c r="F33"/>
  <c r="G33"/>
  <c r="H33"/>
  <c r="I33"/>
  <c r="J33"/>
  <c r="K33"/>
  <c r="L33"/>
  <c r="M33"/>
  <c r="N33"/>
  <c r="O33"/>
  <c r="P33"/>
  <c r="Q33"/>
  <c r="R33"/>
  <c r="S33"/>
  <c r="T33"/>
  <c r="U33"/>
  <c r="V33"/>
  <c r="W33"/>
  <c r="X33"/>
  <c r="Y33"/>
  <c r="Z33"/>
  <c r="AA33"/>
  <c r="AB33"/>
  <c r="AC33"/>
  <c r="AD33"/>
  <c r="AE33"/>
  <c r="AF33"/>
  <c r="AG33"/>
  <c r="AH37"/>
  <c r="B37" s="1"/>
  <c r="AH38"/>
  <c r="B38" s="1"/>
  <c r="AH39"/>
  <c r="B39" s="1"/>
  <c r="AH40"/>
  <c r="B40" s="1"/>
  <c r="AH41"/>
  <c r="B41" s="1"/>
  <c r="AH42"/>
  <c r="B42" s="1"/>
  <c r="AH43"/>
  <c r="B43" s="1"/>
  <c r="AH44"/>
  <c r="AH45"/>
  <c r="B45" s="1"/>
  <c r="AH46"/>
  <c r="B46" s="1"/>
  <c r="AH47"/>
  <c r="B47" s="1"/>
  <c r="AH48"/>
  <c r="B48" s="1"/>
  <c r="C49"/>
  <c r="D49"/>
  <c r="E49"/>
  <c r="F49"/>
  <c r="G49"/>
  <c r="H49"/>
  <c r="I49"/>
  <c r="J49"/>
  <c r="K49"/>
  <c r="L49"/>
  <c r="M49"/>
  <c r="N49"/>
  <c r="O49"/>
  <c r="P49"/>
  <c r="Q49"/>
  <c r="R49"/>
  <c r="S49"/>
  <c r="T49"/>
  <c r="U49"/>
  <c r="V49"/>
  <c r="W49"/>
  <c r="X49"/>
  <c r="Y49"/>
  <c r="Z49"/>
  <c r="AA49"/>
  <c r="AB49"/>
  <c r="AC49"/>
  <c r="AD49"/>
  <c r="AE49"/>
  <c r="AF49"/>
  <c r="AG49"/>
  <c r="H5" i="2048"/>
  <c r="I5" s="1"/>
  <c r="T5"/>
  <c r="U5" s="1"/>
  <c r="W5" s="1"/>
  <c r="AF5"/>
  <c r="AR5"/>
  <c r="H7"/>
  <c r="T7"/>
  <c r="AF7"/>
  <c r="AR7"/>
  <c r="H8"/>
  <c r="I8" s="1"/>
  <c r="K8" s="1"/>
  <c r="T8"/>
  <c r="W8"/>
  <c r="AF8"/>
  <c r="AG8" s="1"/>
  <c r="AI8" s="1"/>
  <c r="AR8"/>
  <c r="AS8"/>
  <c r="AU8" s="1"/>
  <c r="H10"/>
  <c r="I10" s="1"/>
  <c r="K10" s="1"/>
  <c r="T10"/>
  <c r="AF10"/>
  <c r="AR10"/>
  <c r="H11"/>
  <c r="I11" s="1"/>
  <c r="K11" s="1"/>
  <c r="I13" s="1"/>
  <c r="K13" s="1"/>
  <c r="T11"/>
  <c r="U11"/>
  <c r="W11" s="1"/>
  <c r="AF11"/>
  <c r="AG11" s="1"/>
  <c r="AR11"/>
  <c r="AS11" s="1"/>
  <c r="AU11" s="1"/>
  <c r="AS13" s="1"/>
  <c r="AU13" s="1"/>
  <c r="H13"/>
  <c r="T13"/>
  <c r="AF13"/>
  <c r="AR13"/>
  <c r="H14"/>
  <c r="I14" s="1"/>
  <c r="K14" s="1"/>
  <c r="I16" s="1"/>
  <c r="K16" s="1"/>
  <c r="T14"/>
  <c r="U14" s="1"/>
  <c r="W14" s="1"/>
  <c r="AF14"/>
  <c r="AG14"/>
  <c r="AI14" s="1"/>
  <c r="AR14"/>
  <c r="AS14" s="1"/>
  <c r="AU14" s="1"/>
  <c r="H16"/>
  <c r="T16"/>
  <c r="AF16"/>
  <c r="AG16" s="1"/>
  <c r="AI16" s="1"/>
  <c r="AR16"/>
  <c r="AS16" s="1"/>
  <c r="AU16" s="1"/>
  <c r="H17"/>
  <c r="I17" s="1"/>
  <c r="K17" s="1"/>
  <c r="T17"/>
  <c r="U17" s="1"/>
  <c r="W17" s="1"/>
  <c r="AF17"/>
  <c r="AG17" s="1"/>
  <c r="AI17" s="1"/>
  <c r="AG19" s="1"/>
  <c r="AI19" s="1"/>
  <c r="AR17"/>
  <c r="AS17" s="1"/>
  <c r="AU17" s="1"/>
  <c r="H19"/>
  <c r="T19"/>
  <c r="AF19"/>
  <c r="AR19"/>
  <c r="AS19" s="1"/>
  <c r="AU19" s="1"/>
  <c r="H20"/>
  <c r="I20"/>
  <c r="K20" s="1"/>
  <c r="I22" s="1"/>
  <c r="K22" s="1"/>
  <c r="T20"/>
  <c r="U20" s="1"/>
  <c r="W20" s="1"/>
  <c r="AF20"/>
  <c r="AG20"/>
  <c r="AI20" s="1"/>
  <c r="AR20"/>
  <c r="AS20" s="1"/>
  <c r="AU20" s="1"/>
  <c r="H22"/>
  <c r="T22"/>
  <c r="AF22"/>
  <c r="AR22"/>
  <c r="AS22" s="1"/>
  <c r="AU22" s="1"/>
  <c r="H23"/>
  <c r="I23" s="1"/>
  <c r="K23" s="1"/>
  <c r="T23"/>
  <c r="U23" s="1"/>
  <c r="W23" s="1"/>
  <c r="AF23"/>
  <c r="AG23"/>
  <c r="AI23" s="1"/>
  <c r="AR23"/>
  <c r="AS23" s="1"/>
  <c r="AU23" s="1"/>
  <c r="H25"/>
  <c r="T25"/>
  <c r="AF25"/>
  <c r="AR25"/>
  <c r="H26"/>
  <c r="I26"/>
  <c r="K26" s="1"/>
  <c r="T26"/>
  <c r="U26" s="1"/>
  <c r="W26" s="1"/>
  <c r="U28" s="1"/>
  <c r="W28" s="1"/>
  <c r="AF26"/>
  <c r="AG26"/>
  <c r="AI26" s="1"/>
  <c r="AR26"/>
  <c r="AS26" s="1"/>
  <c r="AU26" s="1"/>
  <c r="H28"/>
  <c r="I28" s="1"/>
  <c r="K28" s="1"/>
  <c r="T28"/>
  <c r="AF28"/>
  <c r="AR28"/>
  <c r="H29"/>
  <c r="I29" s="1"/>
  <c r="K29" s="1"/>
  <c r="I31" s="1"/>
  <c r="K31" s="1"/>
  <c r="T29"/>
  <c r="U29" s="1"/>
  <c r="W29" s="1"/>
  <c r="AF29"/>
  <c r="AG29"/>
  <c r="AI29" s="1"/>
  <c r="AR29"/>
  <c r="AS29" s="1"/>
  <c r="H31"/>
  <c r="T31"/>
  <c r="AF31"/>
  <c r="AR31"/>
  <c r="H32"/>
  <c r="I32" s="1"/>
  <c r="K32" s="1"/>
  <c r="I34" s="1"/>
  <c r="K34" s="1"/>
  <c r="T32"/>
  <c r="U32" s="1"/>
  <c r="W32" s="1"/>
  <c r="U34" s="1"/>
  <c r="W34" s="1"/>
  <c r="AF32"/>
  <c r="AI32"/>
  <c r="AR32"/>
  <c r="AS32"/>
  <c r="AU32" s="1"/>
  <c r="H34"/>
  <c r="T34"/>
  <c r="AF34"/>
  <c r="AG34" s="1"/>
  <c r="AI34" s="1"/>
  <c r="AR34"/>
  <c r="H44"/>
  <c r="I44" s="1"/>
  <c r="T35"/>
  <c r="U35"/>
  <c r="W35" s="1"/>
  <c r="AF35"/>
  <c r="AG35" s="1"/>
  <c r="AI35" s="1"/>
  <c r="AG37" s="1"/>
  <c r="AR35"/>
  <c r="AS35"/>
  <c r="H46"/>
  <c r="T37"/>
  <c r="AF37"/>
  <c r="AR37"/>
  <c r="H47"/>
  <c r="I47" s="1"/>
  <c r="K47" s="1"/>
  <c r="T38"/>
  <c r="U38" s="1"/>
  <c r="W38" s="1"/>
  <c r="AF38"/>
  <c r="AG38" s="1"/>
  <c r="AI38" s="1"/>
  <c r="AR38"/>
  <c r="AS38"/>
  <c r="AU38" s="1"/>
  <c r="H49"/>
  <c r="T40"/>
  <c r="AF40"/>
  <c r="AR40"/>
  <c r="H50"/>
  <c r="I50" s="1"/>
  <c r="K50" s="1"/>
  <c r="T41"/>
  <c r="U41" s="1"/>
  <c r="W41" s="1"/>
  <c r="AF41"/>
  <c r="AG41" s="1"/>
  <c r="AI41" s="1"/>
  <c r="AR41"/>
  <c r="AS41"/>
  <c r="AU41" s="1"/>
  <c r="H52"/>
  <c r="T43"/>
  <c r="AF43"/>
  <c r="AR43"/>
  <c r="H53"/>
  <c r="I53" s="1"/>
  <c r="J53"/>
  <c r="T44"/>
  <c r="U44"/>
  <c r="W44" s="1"/>
  <c r="AF44"/>
  <c r="AG44" s="1"/>
  <c r="AI44" s="1"/>
  <c r="AR44"/>
  <c r="AS44" s="1"/>
  <c r="AT44"/>
  <c r="H55"/>
  <c r="T46"/>
  <c r="AF46"/>
  <c r="AR46"/>
  <c r="H56"/>
  <c r="I56" s="1"/>
  <c r="K56" s="1"/>
  <c r="I58" s="1"/>
  <c r="T47"/>
  <c r="U47" s="1"/>
  <c r="W47" s="1"/>
  <c r="AF47"/>
  <c r="AG47" s="1"/>
  <c r="AI47" s="1"/>
  <c r="AG49" s="1"/>
  <c r="AI49" s="1"/>
  <c r="AR47"/>
  <c r="AS47" s="1"/>
  <c r="AU47" s="1"/>
  <c r="H58"/>
  <c r="T49"/>
  <c r="U49" s="1"/>
  <c r="W49" s="1"/>
  <c r="AF49"/>
  <c r="AR49"/>
  <c r="AS49" s="1"/>
  <c r="AU49" s="1"/>
  <c r="H59"/>
  <c r="I59"/>
  <c r="K59" s="1"/>
  <c r="I61" s="1"/>
  <c r="K61" s="1"/>
  <c r="T50"/>
  <c r="U50" s="1"/>
  <c r="W50" s="1"/>
  <c r="U52" s="1"/>
  <c r="W52" s="1"/>
  <c r="AB50"/>
  <c r="AC50"/>
  <c r="AD50"/>
  <c r="AE50"/>
  <c r="H10" i="97" s="1"/>
  <c r="AN50" i="2048"/>
  <c r="AO50"/>
  <c r="G11" i="97" s="1"/>
  <c r="AP50" i="2048"/>
  <c r="AQ50"/>
  <c r="AB51"/>
  <c r="J18" i="97"/>
  <c r="AC51" i="2048"/>
  <c r="AD51"/>
  <c r="AE51"/>
  <c r="H18" i="97"/>
  <c r="AN51" i="2048"/>
  <c r="J19" i="97"/>
  <c r="AO51" i="2048"/>
  <c r="AP51"/>
  <c r="AQ51"/>
  <c r="AT51"/>
  <c r="M19" i="97" s="1"/>
  <c r="H61" i="2048"/>
  <c r="T52"/>
  <c r="H62"/>
  <c r="I62" s="1"/>
  <c r="J62"/>
  <c r="K62" s="1"/>
  <c r="I64" s="1"/>
  <c r="T53"/>
  <c r="U53"/>
  <c r="W53" s="1"/>
  <c r="H64"/>
  <c r="T55"/>
  <c r="U55" s="1"/>
  <c r="W55" s="1"/>
  <c r="P56"/>
  <c r="Q56"/>
  <c r="G9" i="97"/>
  <c r="R56" i="2048"/>
  <c r="V56"/>
  <c r="M9" i="97" s="1"/>
  <c r="P57" i="2048"/>
  <c r="J17" i="97" s="1"/>
  <c r="Q57" i="2048"/>
  <c r="R57"/>
  <c r="M17" i="97"/>
  <c r="H65" i="2048"/>
  <c r="I65" s="1"/>
  <c r="K65" s="1"/>
  <c r="H67"/>
  <c r="H68"/>
  <c r="I68" s="1"/>
  <c r="K68" s="1"/>
  <c r="I70" s="1"/>
  <c r="K70" s="1"/>
  <c r="H70"/>
  <c r="G8" i="97"/>
  <c r="J16"/>
  <c r="E79" i="2048"/>
  <c r="F79"/>
  <c r="H8" i="97"/>
  <c r="J8"/>
  <c r="H9"/>
  <c r="J9"/>
  <c r="G10"/>
  <c r="J10"/>
  <c r="B8" s="1"/>
  <c r="H11"/>
  <c r="J11"/>
  <c r="D12"/>
  <c r="E12" s="1"/>
  <c r="K12"/>
  <c r="L12" s="1"/>
  <c r="M12" s="1"/>
  <c r="N12" s="1"/>
  <c r="G16"/>
  <c r="H16"/>
  <c r="G17"/>
  <c r="G18"/>
  <c r="G19"/>
  <c r="H19"/>
  <c r="B23" i="29741"/>
  <c r="B24"/>
  <c r="B25"/>
  <c r="B39"/>
  <c r="AH39"/>
  <c r="B40"/>
  <c r="B51" s="1"/>
  <c r="AH40"/>
  <c r="B41"/>
  <c r="AH41"/>
  <c r="AH42"/>
  <c r="B42" s="1"/>
  <c r="G96" i="60796" s="1"/>
  <c r="AH43" i="29741"/>
  <c r="B43" s="1"/>
  <c r="AH44"/>
  <c r="B44" s="1"/>
  <c r="AH45"/>
  <c r="B45" s="1"/>
  <c r="AH46"/>
  <c r="B46" s="1"/>
  <c r="G97" i="60796" s="1"/>
  <c r="AH47" i="29741"/>
  <c r="B47" s="1"/>
  <c r="AH48"/>
  <c r="B48" s="1"/>
  <c r="AH49"/>
  <c r="B49" s="1"/>
  <c r="B50"/>
  <c r="AH50"/>
  <c r="AH7" i="11520"/>
  <c r="B7" s="1"/>
  <c r="AH8"/>
  <c r="B8" s="1"/>
  <c r="AH9"/>
  <c r="B9" s="1"/>
  <c r="B10"/>
  <c r="B13"/>
  <c r="B14"/>
  <c r="B17"/>
  <c r="B18"/>
  <c r="G86" i="60796" s="1"/>
  <c r="B23" i="11520"/>
  <c r="AH23"/>
  <c r="AH24"/>
  <c r="B24" s="1"/>
  <c r="B25"/>
  <c r="AH25"/>
  <c r="AH26"/>
  <c r="B26" s="1"/>
  <c r="B27"/>
  <c r="G87" i="60796" s="1"/>
  <c r="I87" s="1"/>
  <c r="F88" s="1"/>
  <c r="AH27" i="11520"/>
  <c r="AH28"/>
  <c r="B28" s="1"/>
  <c r="AH29"/>
  <c r="B29" s="1"/>
  <c r="G88" i="60796" s="1"/>
  <c r="AH30" i="11520"/>
  <c r="B30" s="1"/>
  <c r="AH31"/>
  <c r="B31" s="1"/>
  <c r="AH32"/>
  <c r="B32" s="1"/>
  <c r="B33"/>
  <c r="AH33"/>
  <c r="AH34"/>
  <c r="B34" s="1"/>
  <c r="B7" i="2561"/>
  <c r="AH7"/>
  <c r="AH8"/>
  <c r="B9"/>
  <c r="AH9"/>
  <c r="AH10"/>
  <c r="B10" s="1"/>
  <c r="B11"/>
  <c r="G35" i="60796" s="1"/>
  <c r="AH11" i="2561"/>
  <c r="AH12"/>
  <c r="B12" s="1"/>
  <c r="AH13"/>
  <c r="B13" s="1"/>
  <c r="AH14"/>
  <c r="B14" s="1"/>
  <c r="AH15"/>
  <c r="B15" s="1"/>
  <c r="B16"/>
  <c r="AH16"/>
  <c r="AH17"/>
  <c r="B17" s="1"/>
  <c r="B18"/>
  <c r="AH18"/>
  <c r="C19"/>
  <c r="D19"/>
  <c r="E19"/>
  <c r="F19"/>
  <c r="G19"/>
  <c r="H19"/>
  <c r="I19"/>
  <c r="J19"/>
  <c r="K19"/>
  <c r="L19"/>
  <c r="M19"/>
  <c r="N19"/>
  <c r="O19"/>
  <c r="P19"/>
  <c r="Q19"/>
  <c r="R19"/>
  <c r="S19"/>
  <c r="T19"/>
  <c r="U19"/>
  <c r="V19"/>
  <c r="W19"/>
  <c r="X19"/>
  <c r="Y19"/>
  <c r="Z19"/>
  <c r="AA19"/>
  <c r="AB19"/>
  <c r="AC19"/>
  <c r="AD19"/>
  <c r="AE19"/>
  <c r="AF19"/>
  <c r="AG19"/>
  <c r="AH23"/>
  <c r="B23" s="1"/>
  <c r="B24"/>
  <c r="AH24"/>
  <c r="AH25"/>
  <c r="B25" s="1"/>
  <c r="B26"/>
  <c r="AH26"/>
  <c r="AH27"/>
  <c r="B27" s="1"/>
  <c r="B28"/>
  <c r="AH28"/>
  <c r="AH29"/>
  <c r="B29" s="1"/>
  <c r="AH30"/>
  <c r="B30" s="1"/>
  <c r="B32"/>
  <c r="B34"/>
  <c r="C35"/>
  <c r="D35"/>
  <c r="E35"/>
  <c r="F35"/>
  <c r="G35"/>
  <c r="H35"/>
  <c r="I35"/>
  <c r="J35"/>
  <c r="K35"/>
  <c r="L35"/>
  <c r="M35"/>
  <c r="N35"/>
  <c r="O35"/>
  <c r="P35"/>
  <c r="Q35"/>
  <c r="R35"/>
  <c r="S35"/>
  <c r="T35"/>
  <c r="U35"/>
  <c r="V35"/>
  <c r="W35"/>
  <c r="X35"/>
  <c r="Y35"/>
  <c r="Z35"/>
  <c r="AA35"/>
  <c r="AB35"/>
  <c r="AC35"/>
  <c r="AD35"/>
  <c r="AE35"/>
  <c r="AF35"/>
  <c r="AG35"/>
  <c r="AH39"/>
  <c r="AH40"/>
  <c r="B40" s="1"/>
  <c r="AH41"/>
  <c r="B41" s="1"/>
  <c r="B42"/>
  <c r="AH42"/>
  <c r="AH43"/>
  <c r="B43" s="1"/>
  <c r="AH44"/>
  <c r="B44" s="1"/>
  <c r="B45"/>
  <c r="AH45"/>
  <c r="AH46"/>
  <c r="B46" s="1"/>
  <c r="B47"/>
  <c r="G42" i="60796" s="1"/>
  <c r="AH48" i="2561"/>
  <c r="B48" s="1"/>
  <c r="AH49"/>
  <c r="B49" s="1"/>
  <c r="AH50"/>
  <c r="B50" s="1"/>
  <c r="C51"/>
  <c r="D51"/>
  <c r="E51"/>
  <c r="F51"/>
  <c r="G51"/>
  <c r="H51"/>
  <c r="I51"/>
  <c r="J51"/>
  <c r="K51"/>
  <c r="L51"/>
  <c r="M51"/>
  <c r="N51"/>
  <c r="O51"/>
  <c r="P51"/>
  <c r="Q51"/>
  <c r="R51"/>
  <c r="S51"/>
  <c r="T51"/>
  <c r="U51"/>
  <c r="V51"/>
  <c r="W51"/>
  <c r="X51"/>
  <c r="Y51"/>
  <c r="Z51"/>
  <c r="AA51"/>
  <c r="AB51"/>
  <c r="AC51"/>
  <c r="AD51"/>
  <c r="AE51"/>
  <c r="AG51"/>
  <c r="B56"/>
  <c r="B60"/>
  <c r="AH62"/>
  <c r="B62" s="1"/>
  <c r="AH66"/>
  <c r="B66" s="1"/>
  <c r="C67"/>
  <c r="D67"/>
  <c r="E67"/>
  <c r="F67"/>
  <c r="G67"/>
  <c r="H67"/>
  <c r="I67"/>
  <c r="J67"/>
  <c r="K67"/>
  <c r="L67"/>
  <c r="M67"/>
  <c r="N67"/>
  <c r="O67"/>
  <c r="P67"/>
  <c r="Q67"/>
  <c r="R67"/>
  <c r="S67"/>
  <c r="T67"/>
  <c r="U67"/>
  <c r="V67"/>
  <c r="W67"/>
  <c r="X67"/>
  <c r="Y67"/>
  <c r="Z67"/>
  <c r="AA67"/>
  <c r="AB67"/>
  <c r="AC67"/>
  <c r="AD67"/>
  <c r="AE67"/>
  <c r="AF67"/>
  <c r="AG67"/>
  <c r="AH71"/>
  <c r="AH72"/>
  <c r="B72" s="1"/>
  <c r="AH73"/>
  <c r="B73" s="1"/>
  <c r="AH74"/>
  <c r="B74" s="1"/>
  <c r="AH75"/>
  <c r="B75" s="1"/>
  <c r="G47" i="60796" s="1"/>
  <c r="AH76" i="2561"/>
  <c r="B76" s="1"/>
  <c r="AH77"/>
  <c r="B77" s="1"/>
  <c r="AH78"/>
  <c r="B78" s="1"/>
  <c r="AH79"/>
  <c r="B79" s="1"/>
  <c r="G48" i="60796" s="1"/>
  <c r="AH80" i="2561"/>
  <c r="B80" s="1"/>
  <c r="AH81"/>
  <c r="B81" s="1"/>
  <c r="AH82"/>
  <c r="B82" s="1"/>
  <c r="C83"/>
  <c r="D83"/>
  <c r="E83"/>
  <c r="F83"/>
  <c r="G83"/>
  <c r="H83"/>
  <c r="I83"/>
  <c r="J83"/>
  <c r="K83"/>
  <c r="L83"/>
  <c r="M83"/>
  <c r="N83"/>
  <c r="O83"/>
  <c r="P83"/>
  <c r="Q83"/>
  <c r="R83"/>
  <c r="S83"/>
  <c r="T83"/>
  <c r="U83"/>
  <c r="V83"/>
  <c r="W83"/>
  <c r="X83"/>
  <c r="Y83"/>
  <c r="Z83"/>
  <c r="AA83"/>
  <c r="AB83"/>
  <c r="AC83"/>
  <c r="AD83"/>
  <c r="AE83"/>
  <c r="AF83"/>
  <c r="AG83"/>
  <c r="AH87"/>
  <c r="AH88"/>
  <c r="B88" s="1"/>
  <c r="AH89"/>
  <c r="B89" s="1"/>
  <c r="AH90"/>
  <c r="B90" s="1"/>
  <c r="AH91"/>
  <c r="B91" s="1"/>
  <c r="AH92"/>
  <c r="B92" s="1"/>
  <c r="AH93"/>
  <c r="B93" s="1"/>
  <c r="AH94"/>
  <c r="B94" s="1"/>
  <c r="AH95"/>
  <c r="B95" s="1"/>
  <c r="G51" i="60796" s="1"/>
  <c r="AH96" i="2561"/>
  <c r="B96" s="1"/>
  <c r="AH97"/>
  <c r="B97" s="1"/>
  <c r="AH98"/>
  <c r="B98" s="1"/>
  <c r="C99"/>
  <c r="D99"/>
  <c r="E99"/>
  <c r="F99"/>
  <c r="G99"/>
  <c r="H99"/>
  <c r="I99"/>
  <c r="J99"/>
  <c r="K99"/>
  <c r="L99"/>
  <c r="M99"/>
  <c r="N99"/>
  <c r="O99"/>
  <c r="P99"/>
  <c r="Q99"/>
  <c r="R99"/>
  <c r="S99"/>
  <c r="T99"/>
  <c r="U99"/>
  <c r="V99"/>
  <c r="W99"/>
  <c r="X99"/>
  <c r="Y99"/>
  <c r="Z99"/>
  <c r="AA99"/>
  <c r="AB99"/>
  <c r="AC99"/>
  <c r="AD99"/>
  <c r="AE99"/>
  <c r="AF99"/>
  <c r="AG99"/>
  <c r="B103"/>
  <c r="AH103"/>
  <c r="AH104"/>
  <c r="AH105"/>
  <c r="B105" s="1"/>
  <c r="AH106"/>
  <c r="B106" s="1"/>
  <c r="AH107"/>
  <c r="B107" s="1"/>
  <c r="AH108"/>
  <c r="B108" s="1"/>
  <c r="AH109"/>
  <c r="B109" s="1"/>
  <c r="G53" i="60796" s="1"/>
  <c r="AH110" i="2561"/>
  <c r="B110" s="1"/>
  <c r="AH111"/>
  <c r="B111" s="1"/>
  <c r="AH112"/>
  <c r="B112" s="1"/>
  <c r="AH113"/>
  <c r="B113" s="1"/>
  <c r="AH114"/>
  <c r="B114" s="1"/>
  <c r="C115"/>
  <c r="D115"/>
  <c r="E115"/>
  <c r="F115"/>
  <c r="G115"/>
  <c r="H115"/>
  <c r="I115"/>
  <c r="J115"/>
  <c r="K115"/>
  <c r="L115"/>
  <c r="M115"/>
  <c r="N115"/>
  <c r="O115"/>
  <c r="P115"/>
  <c r="Q115"/>
  <c r="R115"/>
  <c r="S115"/>
  <c r="T115"/>
  <c r="U115"/>
  <c r="V115"/>
  <c r="W115"/>
  <c r="X115"/>
  <c r="Y115"/>
  <c r="Z115"/>
  <c r="AA115"/>
  <c r="AB115"/>
  <c r="AC115"/>
  <c r="AD115"/>
  <c r="AE115"/>
  <c r="AF115"/>
  <c r="AG115"/>
  <c r="AH7" i="523"/>
  <c r="AH8"/>
  <c r="B8" s="1"/>
  <c r="AH9"/>
  <c r="B9" s="1"/>
  <c r="AH10"/>
  <c r="B10" s="1"/>
  <c r="AH11"/>
  <c r="B11" s="1"/>
  <c r="G56" i="60796" s="1"/>
  <c r="AH12" i="523"/>
  <c r="B12" s="1"/>
  <c r="AH13"/>
  <c r="B13" s="1"/>
  <c r="AH14"/>
  <c r="B14" s="1"/>
  <c r="AH16"/>
  <c r="B16" s="1"/>
  <c r="AH17"/>
  <c r="B17" s="1"/>
  <c r="AH18"/>
  <c r="B18" s="1"/>
  <c r="C19"/>
  <c r="D19"/>
  <c r="E19"/>
  <c r="F19"/>
  <c r="G19"/>
  <c r="H19"/>
  <c r="I19"/>
  <c r="J19"/>
  <c r="K19"/>
  <c r="L19"/>
  <c r="M19"/>
  <c r="N19"/>
  <c r="O19"/>
  <c r="P19"/>
  <c r="Q19"/>
  <c r="R19"/>
  <c r="S19"/>
  <c r="T19"/>
  <c r="U19"/>
  <c r="V19"/>
  <c r="W19"/>
  <c r="X19"/>
  <c r="Y19"/>
  <c r="Z19"/>
  <c r="AA19"/>
  <c r="AB19"/>
  <c r="AC19"/>
  <c r="AD19"/>
  <c r="AE19"/>
  <c r="AF19"/>
  <c r="AG19"/>
  <c r="AH23"/>
  <c r="B23" s="1"/>
  <c r="AH24"/>
  <c r="B24" s="1"/>
  <c r="G57" i="60796" s="1"/>
  <c r="I57" s="1"/>
  <c r="F58" s="1"/>
  <c r="AH25" i="523"/>
  <c r="B25" s="1"/>
  <c r="AH26"/>
  <c r="B26" s="1"/>
  <c r="AH27"/>
  <c r="B27" s="1"/>
  <c r="AH28"/>
  <c r="B28" s="1"/>
  <c r="AH29"/>
  <c r="B29" s="1"/>
  <c r="AH30"/>
  <c r="B30" s="1"/>
  <c r="AH31"/>
  <c r="B31" s="1"/>
  <c r="AH32"/>
  <c r="B32" s="1"/>
  <c r="AH33"/>
  <c r="B33" s="1"/>
  <c r="AH34"/>
  <c r="B34" s="1"/>
  <c r="D35"/>
  <c r="E35"/>
  <c r="F35"/>
  <c r="G35"/>
  <c r="H35"/>
  <c r="I35"/>
  <c r="J35"/>
  <c r="K35"/>
  <c r="L35"/>
  <c r="M35"/>
  <c r="N35"/>
  <c r="O35"/>
  <c r="P35"/>
  <c r="Q35"/>
  <c r="R35"/>
  <c r="S35"/>
  <c r="T35"/>
  <c r="U35"/>
  <c r="V35"/>
  <c r="W35"/>
  <c r="X35"/>
  <c r="Y35"/>
  <c r="Z35"/>
  <c r="AA35"/>
  <c r="AB35"/>
  <c r="AC35"/>
  <c r="AD35"/>
  <c r="AE35"/>
  <c r="AF35"/>
  <c r="AG35"/>
  <c r="AH39"/>
  <c r="B39" s="1"/>
  <c r="AH40"/>
  <c r="B40"/>
  <c r="G59" i="60796" s="1"/>
  <c r="K59" s="1"/>
  <c r="AH41" i="523"/>
  <c r="AH42"/>
  <c r="B42" s="1"/>
  <c r="AH43"/>
  <c r="B43" s="1"/>
  <c r="AH44"/>
  <c r="B44" s="1"/>
  <c r="AH45"/>
  <c r="B45" s="1"/>
  <c r="AH46"/>
  <c r="B46" s="1"/>
  <c r="AH47"/>
  <c r="B47" s="1"/>
  <c r="AH48"/>
  <c r="B48" s="1"/>
  <c r="AH49"/>
  <c r="B49" s="1"/>
  <c r="AH50"/>
  <c r="B50" s="1"/>
  <c r="D51"/>
  <c r="E51"/>
  <c r="F51"/>
  <c r="G51"/>
  <c r="H51"/>
  <c r="I51"/>
  <c r="J51"/>
  <c r="K51"/>
  <c r="L51"/>
  <c r="M51"/>
  <c r="N51"/>
  <c r="O51"/>
  <c r="P51"/>
  <c r="Q51"/>
  <c r="R51"/>
  <c r="S51"/>
  <c r="T51"/>
  <c r="U51"/>
  <c r="V51"/>
  <c r="W51"/>
  <c r="X51"/>
  <c r="Y51"/>
  <c r="Z51"/>
  <c r="AA51"/>
  <c r="AB51"/>
  <c r="AC51"/>
  <c r="AD51"/>
  <c r="AE51"/>
  <c r="AF51"/>
  <c r="AG51"/>
  <c r="AH7" i="516"/>
  <c r="B7"/>
  <c r="AH8"/>
  <c r="B8"/>
  <c r="AH9"/>
  <c r="B9"/>
  <c r="AH10"/>
  <c r="B10"/>
  <c r="AH11"/>
  <c r="B11" s="1"/>
  <c r="AH12"/>
  <c r="AH13"/>
  <c r="B13" s="1"/>
  <c r="AH14"/>
  <c r="B14" s="1"/>
  <c r="AH15"/>
  <c r="B15" s="1"/>
  <c r="AH16"/>
  <c r="B16" s="1"/>
  <c r="G140" i="60796" s="1"/>
  <c r="AH17" i="516"/>
  <c r="B17" s="1"/>
  <c r="AH18"/>
  <c r="B18" s="1"/>
  <c r="C19"/>
  <c r="D19"/>
  <c r="E19"/>
  <c r="F19"/>
  <c r="G19"/>
  <c r="H19"/>
  <c r="I19"/>
  <c r="J19"/>
  <c r="K19"/>
  <c r="L19"/>
  <c r="M19"/>
  <c r="N19"/>
  <c r="O19"/>
  <c r="P19"/>
  <c r="Q19"/>
  <c r="R19"/>
  <c r="S19"/>
  <c r="T19"/>
  <c r="U19"/>
  <c r="V19"/>
  <c r="W19"/>
  <c r="X19"/>
  <c r="Y19"/>
  <c r="Z19"/>
  <c r="AA19"/>
  <c r="AB19"/>
  <c r="AC19"/>
  <c r="AD19"/>
  <c r="AE19"/>
  <c r="AF19"/>
  <c r="AG19"/>
  <c r="AH23"/>
  <c r="B23" s="1"/>
  <c r="AH24"/>
  <c r="B24" s="1"/>
  <c r="B35" s="1"/>
  <c r="AH25"/>
  <c r="B25" s="1"/>
  <c r="AH26"/>
  <c r="B26" s="1"/>
  <c r="AH27"/>
  <c r="B27" s="1"/>
  <c r="AH28"/>
  <c r="B28" s="1"/>
  <c r="AH29"/>
  <c r="B29" s="1"/>
  <c r="AH30"/>
  <c r="B30"/>
  <c r="AH31"/>
  <c r="B31" s="1"/>
  <c r="AH32"/>
  <c r="B32" s="1"/>
  <c r="AH33"/>
  <c r="B33" s="1"/>
  <c r="AH34"/>
  <c r="B34" s="1"/>
  <c r="AH39"/>
  <c r="AH40"/>
  <c r="B40" s="1"/>
  <c r="AH41"/>
  <c r="B41" s="1"/>
  <c r="AH42"/>
  <c r="B42" s="1"/>
  <c r="AH43"/>
  <c r="B43" s="1"/>
  <c r="AH44"/>
  <c r="B44" s="1"/>
  <c r="AH45"/>
  <c r="B45" s="1"/>
  <c r="AH46"/>
  <c r="B46" s="1"/>
  <c r="AH47"/>
  <c r="B47" s="1"/>
  <c r="AH48"/>
  <c r="B48" s="1"/>
  <c r="AH49"/>
  <c r="B49" s="1"/>
  <c r="AH50"/>
  <c r="B50" s="1"/>
  <c r="C51"/>
  <c r="D51"/>
  <c r="E51"/>
  <c r="F51"/>
  <c r="G51"/>
  <c r="H51"/>
  <c r="I51"/>
  <c r="J51"/>
  <c r="K51"/>
  <c r="L51"/>
  <c r="M51"/>
  <c r="N51"/>
  <c r="O51"/>
  <c r="P51"/>
  <c r="Q51"/>
  <c r="R51"/>
  <c r="S51"/>
  <c r="T51"/>
  <c r="U51"/>
  <c r="V51"/>
  <c r="W51"/>
  <c r="X51"/>
  <c r="Y51"/>
  <c r="Z51"/>
  <c r="AA51"/>
  <c r="AB51"/>
  <c r="AC51"/>
  <c r="AD51"/>
  <c r="AE51"/>
  <c r="AF51"/>
  <c r="AG51"/>
  <c r="AH7" i="8194"/>
  <c r="B7" s="1"/>
  <c r="AH8"/>
  <c r="B8" s="1"/>
  <c r="AH9"/>
  <c r="B9" s="1"/>
  <c r="AH10"/>
  <c r="B10" s="1"/>
  <c r="AH11"/>
  <c r="B11" s="1"/>
  <c r="AH12"/>
  <c r="B12" s="1"/>
  <c r="AH13"/>
  <c r="B13" s="1"/>
  <c r="AH14"/>
  <c r="B14" s="1"/>
  <c r="AH15"/>
  <c r="B15" s="1"/>
  <c r="AH16"/>
  <c r="B16" s="1"/>
  <c r="G62" i="60796" s="1"/>
  <c r="AH17" i="8194"/>
  <c r="B17" s="1"/>
  <c r="AH18"/>
  <c r="B18" s="1"/>
  <c r="AH23"/>
  <c r="B23" s="1"/>
  <c r="AH24"/>
  <c r="B24" s="1"/>
  <c r="AH25"/>
  <c r="B25" s="1"/>
  <c r="AH26"/>
  <c r="B26" s="1"/>
  <c r="AH27"/>
  <c r="B27" s="1"/>
  <c r="AH28"/>
  <c r="B28" s="1"/>
  <c r="AH29"/>
  <c r="B29" s="1"/>
  <c r="AH30"/>
  <c r="B30" s="1"/>
  <c r="AH31"/>
  <c r="B31" s="1"/>
  <c r="AH32"/>
  <c r="B32" s="1"/>
  <c r="AH33"/>
  <c r="B33" s="1"/>
  <c r="AH34"/>
  <c r="B34" s="1"/>
  <c r="AH39"/>
  <c r="B39"/>
  <c r="G65" i="60796" s="1"/>
  <c r="AH40" i="8194"/>
  <c r="B40"/>
  <c r="AH41"/>
  <c r="B41"/>
  <c r="AH42"/>
  <c r="B42"/>
  <c r="AH43"/>
  <c r="B43"/>
  <c r="AH44"/>
  <c r="B44"/>
  <c r="AH45"/>
  <c r="B45"/>
  <c r="AH46"/>
  <c r="B46"/>
  <c r="AH47"/>
  <c r="B47"/>
  <c r="AH48"/>
  <c r="B48"/>
  <c r="AH49"/>
  <c r="B49" s="1"/>
  <c r="AH50"/>
  <c r="B50" s="1"/>
  <c r="C51"/>
  <c r="D51"/>
  <c r="E51"/>
  <c r="F51"/>
  <c r="G51"/>
  <c r="H51"/>
  <c r="I51"/>
  <c r="J51"/>
  <c r="K51"/>
  <c r="L51"/>
  <c r="M51"/>
  <c r="N51"/>
  <c r="O51"/>
  <c r="P51"/>
  <c r="Q51"/>
  <c r="R51"/>
  <c r="S51"/>
  <c r="T51"/>
  <c r="U51"/>
  <c r="V51"/>
  <c r="W51"/>
  <c r="X51"/>
  <c r="Y51"/>
  <c r="Z51"/>
  <c r="AA51"/>
  <c r="AB51"/>
  <c r="AC51"/>
  <c r="AD51"/>
  <c r="AE51"/>
  <c r="AF51"/>
  <c r="AG51"/>
  <c r="AH51"/>
  <c r="AH55"/>
  <c r="B55" s="1"/>
  <c r="AH56"/>
  <c r="B56" s="1"/>
  <c r="AH57"/>
  <c r="B57" s="1"/>
  <c r="AH58"/>
  <c r="AH59"/>
  <c r="B59" s="1"/>
  <c r="AH60"/>
  <c r="B60" s="1"/>
  <c r="AH61"/>
  <c r="B61" s="1"/>
  <c r="AH62"/>
  <c r="B62" s="1"/>
  <c r="B63"/>
  <c r="AH63"/>
  <c r="AH64"/>
  <c r="B64" s="1"/>
  <c r="AH65"/>
  <c r="B65" s="1"/>
  <c r="AH66"/>
  <c r="B66" s="1"/>
  <c r="C67"/>
  <c r="D67"/>
  <c r="E67"/>
  <c r="F67"/>
  <c r="G67"/>
  <c r="H67"/>
  <c r="I67"/>
  <c r="J67"/>
  <c r="K67"/>
  <c r="L67"/>
  <c r="M67"/>
  <c r="N67"/>
  <c r="O67"/>
  <c r="P67"/>
  <c r="Q67"/>
  <c r="R67"/>
  <c r="S67"/>
  <c r="T67"/>
  <c r="U67"/>
  <c r="V67"/>
  <c r="W67"/>
  <c r="X67"/>
  <c r="Y67"/>
  <c r="Z67"/>
  <c r="AA67"/>
  <c r="AB67"/>
  <c r="AC67"/>
  <c r="AD67"/>
  <c r="AE67"/>
  <c r="AF67"/>
  <c r="AG67"/>
  <c r="AH71"/>
  <c r="B71" s="1"/>
  <c r="AH72"/>
  <c r="B72" s="1"/>
  <c r="AH73"/>
  <c r="B73" s="1"/>
  <c r="B83" s="1"/>
  <c r="AH74"/>
  <c r="B74" s="1"/>
  <c r="AH75"/>
  <c r="B75" s="1"/>
  <c r="AH76"/>
  <c r="B76" s="1"/>
  <c r="AH77"/>
  <c r="B77" s="1"/>
  <c r="AH78"/>
  <c r="B78" s="1"/>
  <c r="AH79"/>
  <c r="B79" s="1"/>
  <c r="AH80"/>
  <c r="B80" s="1"/>
  <c r="AH81"/>
  <c r="B81" s="1"/>
  <c r="AH82"/>
  <c r="B82" s="1"/>
  <c r="C83"/>
  <c r="D83"/>
  <c r="E83"/>
  <c r="F83"/>
  <c r="G83"/>
  <c r="H83"/>
  <c r="I83"/>
  <c r="J83"/>
  <c r="K83"/>
  <c r="L83"/>
  <c r="M83"/>
  <c r="N83"/>
  <c r="O83"/>
  <c r="P83"/>
  <c r="Q83"/>
  <c r="R83"/>
  <c r="S83"/>
  <c r="T83"/>
  <c r="U83"/>
  <c r="V83"/>
  <c r="W83"/>
  <c r="X83"/>
  <c r="Y83"/>
  <c r="Z83"/>
  <c r="AA83"/>
  <c r="AB83"/>
  <c r="AC83"/>
  <c r="AD83"/>
  <c r="AE83"/>
  <c r="AF83"/>
  <c r="AG83"/>
  <c r="B87"/>
  <c r="AH87"/>
  <c r="AH88"/>
  <c r="B89"/>
  <c r="G75" i="60796" s="1"/>
  <c r="I75" s="1"/>
  <c r="F76" s="1"/>
  <c r="AH89" i="8194"/>
  <c r="B90"/>
  <c r="AH90"/>
  <c r="B91"/>
  <c r="AH91"/>
  <c r="AH92"/>
  <c r="AH93"/>
  <c r="AH94"/>
  <c r="AH95"/>
  <c r="AH96"/>
  <c r="AH97"/>
  <c r="AH98"/>
  <c r="B98" s="1"/>
  <c r="C99"/>
  <c r="D99"/>
  <c r="E99"/>
  <c r="F99"/>
  <c r="G99"/>
  <c r="H99"/>
  <c r="I99"/>
  <c r="J99"/>
  <c r="K99"/>
  <c r="L99"/>
  <c r="M99"/>
  <c r="N99"/>
  <c r="O99"/>
  <c r="P99"/>
  <c r="Q99"/>
  <c r="R99"/>
  <c r="S99"/>
  <c r="T99"/>
  <c r="U99"/>
  <c r="V99"/>
  <c r="W99"/>
  <c r="X99"/>
  <c r="Y99"/>
  <c r="Z99"/>
  <c r="AA99"/>
  <c r="AB99"/>
  <c r="AC99"/>
  <c r="AD99"/>
  <c r="AE99"/>
  <c r="AF99"/>
  <c r="AG99"/>
  <c r="AH99"/>
  <c r="AH103"/>
  <c r="B103" s="1"/>
  <c r="AH104"/>
  <c r="B104" s="1"/>
  <c r="AH105"/>
  <c r="B105" s="1"/>
  <c r="AH106"/>
  <c r="B106" s="1"/>
  <c r="G78" i="60796" s="1"/>
  <c r="AH107" i="8194"/>
  <c r="B107" s="1"/>
  <c r="AH108"/>
  <c r="B108" s="1"/>
  <c r="AH109"/>
  <c r="B109" s="1"/>
  <c r="AH110"/>
  <c r="B110" s="1"/>
  <c r="AH111"/>
  <c r="B111" s="1"/>
  <c r="AH112"/>
  <c r="B112" s="1"/>
  <c r="AH113"/>
  <c r="B113" s="1"/>
  <c r="AH114"/>
  <c r="B114" s="1"/>
  <c r="G77" i="60796" s="1"/>
  <c r="K77" s="1"/>
  <c r="C115" i="8194"/>
  <c r="D115"/>
  <c r="E115"/>
  <c r="F115"/>
  <c r="G115"/>
  <c r="H115"/>
  <c r="I115"/>
  <c r="J115"/>
  <c r="K115"/>
  <c r="L115"/>
  <c r="M115"/>
  <c r="N115"/>
  <c r="O115"/>
  <c r="P115"/>
  <c r="Q115"/>
  <c r="R115"/>
  <c r="S115"/>
  <c r="T115"/>
  <c r="U115"/>
  <c r="V115"/>
  <c r="W115"/>
  <c r="X115"/>
  <c r="Y115"/>
  <c r="Z115"/>
  <c r="AA115"/>
  <c r="AB115"/>
  <c r="AC115"/>
  <c r="AD115"/>
  <c r="AE115"/>
  <c r="AF115"/>
  <c r="AG115"/>
  <c r="AH115"/>
  <c r="AH9" i="2819"/>
  <c r="B9" s="1"/>
  <c r="AH10"/>
  <c r="B10" s="1"/>
  <c r="AH11"/>
  <c r="B11" s="1"/>
  <c r="AH12"/>
  <c r="B12" s="1"/>
  <c r="F7" i="11565" s="1"/>
  <c r="AH13" i="2819"/>
  <c r="B13" s="1"/>
  <c r="AH14"/>
  <c r="B14" s="1"/>
  <c r="AH15"/>
  <c r="B15" s="1"/>
  <c r="AH16"/>
  <c r="B16" s="1"/>
  <c r="AH17"/>
  <c r="B17" s="1"/>
  <c r="AH18"/>
  <c r="B18" s="1"/>
  <c r="AH19"/>
  <c r="B19" s="1"/>
  <c r="B20"/>
  <c r="AH20"/>
  <c r="C21"/>
  <c r="D21"/>
  <c r="E21"/>
  <c r="F21"/>
  <c r="G21"/>
  <c r="H21"/>
  <c r="I21"/>
  <c r="J21"/>
  <c r="K21"/>
  <c r="L21"/>
  <c r="M21"/>
  <c r="N21"/>
  <c r="O21"/>
  <c r="P21"/>
  <c r="Q21"/>
  <c r="R21"/>
  <c r="S21"/>
  <c r="T21"/>
  <c r="U21"/>
  <c r="V21"/>
  <c r="W21"/>
  <c r="X21"/>
  <c r="Y21"/>
  <c r="Z21"/>
  <c r="AA21"/>
  <c r="AB21"/>
  <c r="AC21"/>
  <c r="AD21"/>
  <c r="AE21"/>
  <c r="AF21"/>
  <c r="AG21"/>
  <c r="AH25"/>
  <c r="B25" s="1"/>
  <c r="AH26"/>
  <c r="B26" s="1"/>
  <c r="AH27"/>
  <c r="B27" s="1"/>
  <c r="AH28"/>
  <c r="B28" s="1"/>
  <c r="AH29"/>
  <c r="B29" s="1"/>
  <c r="AH30"/>
  <c r="B30" s="1"/>
  <c r="AH31"/>
  <c r="B31" s="1"/>
  <c r="AH32"/>
  <c r="B32" s="1"/>
  <c r="AH33"/>
  <c r="B33" s="1"/>
  <c r="AH34"/>
  <c r="B34" s="1"/>
  <c r="AH35"/>
  <c r="B35" s="1"/>
  <c r="F14" i="11565" s="1"/>
  <c r="AH36" i="2819"/>
  <c r="B36" s="1"/>
  <c r="C37"/>
  <c r="D37"/>
  <c r="E37"/>
  <c r="F37"/>
  <c r="G37"/>
  <c r="H37"/>
  <c r="I37"/>
  <c r="J37"/>
  <c r="K37"/>
  <c r="L37"/>
  <c r="M37"/>
  <c r="N37"/>
  <c r="O37"/>
  <c r="P37"/>
  <c r="Q37"/>
  <c r="R37"/>
  <c r="S37"/>
  <c r="T37"/>
  <c r="U37"/>
  <c r="V37"/>
  <c r="W37"/>
  <c r="X37"/>
  <c r="Y37"/>
  <c r="Z37"/>
  <c r="AA37"/>
  <c r="AB37"/>
  <c r="AC37"/>
  <c r="AD37"/>
  <c r="AE37"/>
  <c r="AF37"/>
  <c r="AG37"/>
  <c r="AH41"/>
  <c r="B41" s="1"/>
  <c r="AH42"/>
  <c r="B42" s="1"/>
  <c r="AH43"/>
  <c r="B43" s="1"/>
  <c r="AH44"/>
  <c r="B44" s="1"/>
  <c r="AH45"/>
  <c r="B45" s="1"/>
  <c r="AH46"/>
  <c r="B46" s="1"/>
  <c r="AH47"/>
  <c r="B47" s="1"/>
  <c r="AH48"/>
  <c r="B48" s="1"/>
  <c r="AH49"/>
  <c r="B49" s="1"/>
  <c r="AH50"/>
  <c r="B50" s="1"/>
  <c r="AH51"/>
  <c r="B51" s="1"/>
  <c r="AH52"/>
  <c r="B52" s="1"/>
  <c r="C53"/>
  <c r="D53"/>
  <c r="E53"/>
  <c r="F53"/>
  <c r="G53"/>
  <c r="H53"/>
  <c r="I53"/>
  <c r="J53"/>
  <c r="K53"/>
  <c r="L53"/>
  <c r="M53"/>
  <c r="N53"/>
  <c r="O53"/>
  <c r="P53"/>
  <c r="Q53"/>
  <c r="R53"/>
  <c r="S53"/>
  <c r="T53"/>
  <c r="U53"/>
  <c r="V53"/>
  <c r="W53"/>
  <c r="X53"/>
  <c r="Y53"/>
  <c r="Z53"/>
  <c r="AA53"/>
  <c r="AB53"/>
  <c r="AC53"/>
  <c r="AD53"/>
  <c r="AE53"/>
  <c r="AF53"/>
  <c r="AG53"/>
  <c r="AH59"/>
  <c r="AH60"/>
  <c r="B60"/>
  <c r="AH61"/>
  <c r="B61" s="1"/>
  <c r="AH62"/>
  <c r="B62"/>
  <c r="AH63"/>
  <c r="B63" s="1"/>
  <c r="AH64"/>
  <c r="B64" s="1"/>
  <c r="AH65"/>
  <c r="B65" s="1"/>
  <c r="AH66"/>
  <c r="B66" s="1"/>
  <c r="AH67"/>
  <c r="B67" s="1"/>
  <c r="AH68"/>
  <c r="B68" s="1"/>
  <c r="AH69"/>
  <c r="B69" s="1"/>
  <c r="AH70"/>
  <c r="B70" s="1"/>
  <c r="F26" i="11565" s="1"/>
  <c r="C71" i="2819"/>
  <c r="D71"/>
  <c r="F71"/>
  <c r="G71"/>
  <c r="H71"/>
  <c r="I71"/>
  <c r="J71"/>
  <c r="K71"/>
  <c r="L71"/>
  <c r="M71"/>
  <c r="N71"/>
  <c r="O71"/>
  <c r="P71"/>
  <c r="Q71"/>
  <c r="R71"/>
  <c r="S71"/>
  <c r="T71"/>
  <c r="U71"/>
  <c r="V71"/>
  <c r="W71"/>
  <c r="X71"/>
  <c r="Y71"/>
  <c r="Z71"/>
  <c r="AA71"/>
  <c r="AB71"/>
  <c r="AC71"/>
  <c r="AE71"/>
  <c r="AF71"/>
  <c r="AG71"/>
  <c r="AH75"/>
  <c r="B75" s="1"/>
  <c r="AH76"/>
  <c r="AH77"/>
  <c r="B77" s="1"/>
  <c r="AH78"/>
  <c r="B78" s="1"/>
  <c r="AH79"/>
  <c r="B79" s="1"/>
  <c r="AH80"/>
  <c r="B80" s="1"/>
  <c r="AH81"/>
  <c r="B81" s="1"/>
  <c r="AH82"/>
  <c r="B82" s="1"/>
  <c r="AH83"/>
  <c r="B83" s="1"/>
  <c r="AH84"/>
  <c r="B84" s="1"/>
  <c r="AH85"/>
  <c r="B85" s="1"/>
  <c r="AH86"/>
  <c r="B86" s="1"/>
  <c r="C87"/>
  <c r="D87"/>
  <c r="F87"/>
  <c r="G87"/>
  <c r="H87"/>
  <c r="I87"/>
  <c r="J87"/>
  <c r="K87"/>
  <c r="L87"/>
  <c r="M87"/>
  <c r="N87"/>
  <c r="O87"/>
  <c r="P87"/>
  <c r="Q87"/>
  <c r="R87"/>
  <c r="S87"/>
  <c r="T87"/>
  <c r="U87"/>
  <c r="V87"/>
  <c r="W87"/>
  <c r="X87"/>
  <c r="Y87"/>
  <c r="Z87"/>
  <c r="AA87"/>
  <c r="AB87"/>
  <c r="AC87"/>
  <c r="AE87"/>
  <c r="AF87"/>
  <c r="AG87"/>
  <c r="AH93"/>
  <c r="B93" s="1"/>
  <c r="AH94"/>
  <c r="B94" s="1"/>
  <c r="AH95"/>
  <c r="B95" s="1"/>
  <c r="AH96"/>
  <c r="B96" s="1"/>
  <c r="AH97"/>
  <c r="B97" s="1"/>
  <c r="AH98"/>
  <c r="B98" s="1"/>
  <c r="AH99"/>
  <c r="B99" s="1"/>
  <c r="AH100"/>
  <c r="B100" s="1"/>
  <c r="AH101"/>
  <c r="B101" s="1"/>
  <c r="AH102"/>
  <c r="B102" s="1"/>
  <c r="AH103"/>
  <c r="B103" s="1"/>
  <c r="AH104"/>
  <c r="B104" s="1"/>
  <c r="C105"/>
  <c r="D105"/>
  <c r="F105"/>
  <c r="G105"/>
  <c r="H105"/>
  <c r="I105"/>
  <c r="J105"/>
  <c r="K105"/>
  <c r="L105"/>
  <c r="M105"/>
  <c r="N105"/>
  <c r="O105"/>
  <c r="P105"/>
  <c r="Q105"/>
  <c r="R105"/>
  <c r="S105"/>
  <c r="T105"/>
  <c r="U105"/>
  <c r="V105"/>
  <c r="W105"/>
  <c r="X105"/>
  <c r="Y105"/>
  <c r="Z105"/>
  <c r="AA105"/>
  <c r="AB105"/>
  <c r="AC105"/>
  <c r="AE105"/>
  <c r="AF105"/>
  <c r="AG105"/>
  <c r="AH105"/>
  <c r="AH109"/>
  <c r="B109" s="1"/>
  <c r="AH110"/>
  <c r="B110" s="1"/>
  <c r="AH111"/>
  <c r="AH112"/>
  <c r="B112" s="1"/>
  <c r="AH113"/>
  <c r="B113" s="1"/>
  <c r="AH114"/>
  <c r="B114" s="1"/>
  <c r="AH115"/>
  <c r="B115" s="1"/>
  <c r="AH116"/>
  <c r="B116" s="1"/>
  <c r="AH117"/>
  <c r="B117" s="1"/>
  <c r="AH118"/>
  <c r="B118" s="1"/>
  <c r="AH119"/>
  <c r="B119" s="1"/>
  <c r="AH120"/>
  <c r="B120" s="1"/>
  <c r="C121"/>
  <c r="D121"/>
  <c r="F121"/>
  <c r="G121"/>
  <c r="H121"/>
  <c r="I121"/>
  <c r="J121"/>
  <c r="K121"/>
  <c r="L121"/>
  <c r="M121"/>
  <c r="N121"/>
  <c r="O121"/>
  <c r="P121"/>
  <c r="Q121"/>
  <c r="R121"/>
  <c r="S121"/>
  <c r="T121"/>
  <c r="U121"/>
  <c r="V121"/>
  <c r="W121"/>
  <c r="X121"/>
  <c r="Y121"/>
  <c r="Z121"/>
  <c r="AA121"/>
  <c r="AB121"/>
  <c r="AC121"/>
  <c r="AE121"/>
  <c r="AF121"/>
  <c r="AG121"/>
  <c r="AH125"/>
  <c r="B125" s="1"/>
  <c r="AH126"/>
  <c r="B126" s="1"/>
  <c r="AH127"/>
  <c r="B127" s="1"/>
  <c r="AH128"/>
  <c r="B128" s="1"/>
  <c r="AH129"/>
  <c r="B129" s="1"/>
  <c r="AH130"/>
  <c r="B130" s="1"/>
  <c r="AH131"/>
  <c r="B131" s="1"/>
  <c r="AH132"/>
  <c r="B132" s="1"/>
  <c r="AH133"/>
  <c r="B133" s="1"/>
  <c r="AH134"/>
  <c r="B134" s="1"/>
  <c r="AH135"/>
  <c r="B135" s="1"/>
  <c r="AH136"/>
  <c r="B136" s="1"/>
  <c r="C137"/>
  <c r="D137"/>
  <c r="F137"/>
  <c r="G137"/>
  <c r="H137"/>
  <c r="I137"/>
  <c r="J137"/>
  <c r="K137"/>
  <c r="L137"/>
  <c r="M137"/>
  <c r="N137"/>
  <c r="O137"/>
  <c r="P137"/>
  <c r="Q137"/>
  <c r="R137"/>
  <c r="S137"/>
  <c r="T137"/>
  <c r="U137"/>
  <c r="V137"/>
  <c r="W137"/>
  <c r="X137"/>
  <c r="Y137"/>
  <c r="Z137"/>
  <c r="AA137"/>
  <c r="AB137"/>
  <c r="AC137"/>
  <c r="AE137"/>
  <c r="AF137"/>
  <c r="AG137"/>
  <c r="AH141"/>
  <c r="AH142"/>
  <c r="B142" s="1"/>
  <c r="AH143"/>
  <c r="B143" s="1"/>
  <c r="AH144"/>
  <c r="B144" s="1"/>
  <c r="AH145"/>
  <c r="B145" s="1"/>
  <c r="AH146"/>
  <c r="B146" s="1"/>
  <c r="AH147"/>
  <c r="B147" s="1"/>
  <c r="AH148"/>
  <c r="B148" s="1"/>
  <c r="AH149"/>
  <c r="B149" s="1"/>
  <c r="AH150"/>
  <c r="B150" s="1"/>
  <c r="AH151"/>
  <c r="B151" s="1"/>
  <c r="AH152"/>
  <c r="B152" s="1"/>
  <c r="C153"/>
  <c r="D153"/>
  <c r="F153"/>
  <c r="G153"/>
  <c r="H153"/>
  <c r="I153"/>
  <c r="J153"/>
  <c r="K153"/>
  <c r="L153"/>
  <c r="M153"/>
  <c r="N153"/>
  <c r="O153"/>
  <c r="P153"/>
  <c r="Q153"/>
  <c r="R153"/>
  <c r="S153"/>
  <c r="T153"/>
  <c r="U153"/>
  <c r="V153"/>
  <c r="W153"/>
  <c r="X153"/>
  <c r="Y153"/>
  <c r="Z153"/>
  <c r="AA153"/>
  <c r="AB153"/>
  <c r="AC153"/>
  <c r="AE153"/>
  <c r="AF153"/>
  <c r="AG153"/>
  <c r="AH157"/>
  <c r="B157" s="1"/>
  <c r="AH158"/>
  <c r="AH159"/>
  <c r="B159" s="1"/>
  <c r="AH160"/>
  <c r="B160" s="1"/>
  <c r="AH161"/>
  <c r="B161" s="1"/>
  <c r="B162"/>
  <c r="AH162"/>
  <c r="AH163"/>
  <c r="B163" s="1"/>
  <c r="B164"/>
  <c r="AH164"/>
  <c r="AH165"/>
  <c r="B165" s="1"/>
  <c r="B166"/>
  <c r="F58" i="11565" s="1"/>
  <c r="AH166" i="2819"/>
  <c r="AH167"/>
  <c r="B167" s="1"/>
  <c r="AH168"/>
  <c r="B168" s="1"/>
  <c r="C169"/>
  <c r="D169"/>
  <c r="F169"/>
  <c r="G169"/>
  <c r="H169"/>
  <c r="I169"/>
  <c r="J169"/>
  <c r="K169"/>
  <c r="L169"/>
  <c r="M169"/>
  <c r="N169"/>
  <c r="O169"/>
  <c r="P169"/>
  <c r="Q169"/>
  <c r="R169"/>
  <c r="S169"/>
  <c r="T169"/>
  <c r="U169"/>
  <c r="V169"/>
  <c r="W169"/>
  <c r="X169"/>
  <c r="Y169"/>
  <c r="Z169"/>
  <c r="AA169"/>
  <c r="AB169"/>
  <c r="AC169"/>
  <c r="AE169"/>
  <c r="AF169"/>
  <c r="AG169"/>
  <c r="AH173"/>
  <c r="AH174"/>
  <c r="B174"/>
  <c r="AH175"/>
  <c r="B175" s="1"/>
  <c r="AH176"/>
  <c r="B176"/>
  <c r="AH177"/>
  <c r="B177" s="1"/>
  <c r="AH178"/>
  <c r="B178" s="1"/>
  <c r="AH179"/>
  <c r="B179" s="1"/>
  <c r="AH180"/>
  <c r="B180" s="1"/>
  <c r="AH181"/>
  <c r="B181" s="1"/>
  <c r="AH182"/>
  <c r="B182" s="1"/>
  <c r="AH183"/>
  <c r="B183" s="1"/>
  <c r="AH184"/>
  <c r="B184" s="1"/>
  <c r="C185"/>
  <c r="D185"/>
  <c r="F185"/>
  <c r="G185"/>
  <c r="H185"/>
  <c r="I185"/>
  <c r="J185"/>
  <c r="K185"/>
  <c r="L185"/>
  <c r="M185"/>
  <c r="N185"/>
  <c r="O185"/>
  <c r="P185"/>
  <c r="Q185"/>
  <c r="R185"/>
  <c r="S185"/>
  <c r="T185"/>
  <c r="U185"/>
  <c r="V185"/>
  <c r="W185"/>
  <c r="X185"/>
  <c r="Y185"/>
  <c r="Z185"/>
  <c r="AA185"/>
  <c r="AB185"/>
  <c r="AC185"/>
  <c r="AE185"/>
  <c r="AF185"/>
  <c r="AG185"/>
  <c r="B189"/>
  <c r="AH189"/>
  <c r="B190"/>
  <c r="AH190"/>
  <c r="B191"/>
  <c r="AH191"/>
  <c r="B192"/>
  <c r="AH192"/>
  <c r="AH193"/>
  <c r="B193" s="1"/>
  <c r="AH194"/>
  <c r="B194" s="1"/>
  <c r="AH195"/>
  <c r="B195" s="1"/>
  <c r="AH196"/>
  <c r="B196" s="1"/>
  <c r="AH197"/>
  <c r="B197" s="1"/>
  <c r="AH198"/>
  <c r="B198" s="1"/>
  <c r="AH199"/>
  <c r="B199" s="1"/>
  <c r="AH200"/>
  <c r="B200" s="1"/>
  <c r="C201"/>
  <c r="D201"/>
  <c r="F201"/>
  <c r="G201"/>
  <c r="H201"/>
  <c r="I201"/>
  <c r="J201"/>
  <c r="K201"/>
  <c r="L201"/>
  <c r="M201"/>
  <c r="N201"/>
  <c r="O201"/>
  <c r="P201"/>
  <c r="Q201"/>
  <c r="R201"/>
  <c r="S201"/>
  <c r="T201"/>
  <c r="U201"/>
  <c r="V201"/>
  <c r="W201"/>
  <c r="X201"/>
  <c r="Y201"/>
  <c r="Z201"/>
  <c r="AA201"/>
  <c r="AB201"/>
  <c r="AC201"/>
  <c r="AE201"/>
  <c r="AF201"/>
  <c r="AG201"/>
  <c r="AH205"/>
  <c r="B205" s="1"/>
  <c r="AH206"/>
  <c r="B206"/>
  <c r="AH207"/>
  <c r="B207" s="1"/>
  <c r="AH208"/>
  <c r="B208" s="1"/>
  <c r="AH209"/>
  <c r="B209" s="1"/>
  <c r="AH210"/>
  <c r="B210" s="1"/>
  <c r="AH211"/>
  <c r="B211" s="1"/>
  <c r="AH212"/>
  <c r="B212" s="1"/>
  <c r="AH213"/>
  <c r="B213" s="1"/>
  <c r="AH214"/>
  <c r="B214" s="1"/>
  <c r="AH215"/>
  <c r="B215" s="1"/>
  <c r="AH216"/>
  <c r="B216" s="1"/>
  <c r="C217"/>
  <c r="D217"/>
  <c r="F217"/>
  <c r="G217"/>
  <c r="H217"/>
  <c r="I217"/>
  <c r="J217"/>
  <c r="K217"/>
  <c r="L217"/>
  <c r="M217"/>
  <c r="N217"/>
  <c r="O217"/>
  <c r="P217"/>
  <c r="Q217"/>
  <c r="R217"/>
  <c r="S217"/>
  <c r="T217"/>
  <c r="U217"/>
  <c r="V217"/>
  <c r="W217"/>
  <c r="X217"/>
  <c r="Y217"/>
  <c r="Z217"/>
  <c r="AA217"/>
  <c r="AB217"/>
  <c r="AC217"/>
  <c r="AE217"/>
  <c r="AF217"/>
  <c r="AG217"/>
  <c r="AH217"/>
  <c r="AH221"/>
  <c r="AH222"/>
  <c r="B222" s="1"/>
  <c r="AH223"/>
  <c r="B223" s="1"/>
  <c r="AH224"/>
  <c r="B224" s="1"/>
  <c r="AH225"/>
  <c r="B225" s="1"/>
  <c r="AH226"/>
  <c r="B226" s="1"/>
  <c r="AH227"/>
  <c r="B227" s="1"/>
  <c r="AH228"/>
  <c r="B228" s="1"/>
  <c r="AH229"/>
  <c r="B229" s="1"/>
  <c r="AH230"/>
  <c r="B230" s="1"/>
  <c r="AH231"/>
  <c r="B231" s="1"/>
  <c r="AH232"/>
  <c r="B232" s="1"/>
  <c r="C233"/>
  <c r="D233"/>
  <c r="F233"/>
  <c r="G233"/>
  <c r="H233"/>
  <c r="I233"/>
  <c r="J233"/>
  <c r="K233"/>
  <c r="L233"/>
  <c r="M233"/>
  <c r="N233"/>
  <c r="O233"/>
  <c r="P233"/>
  <c r="Q233"/>
  <c r="R233"/>
  <c r="S233"/>
  <c r="T233"/>
  <c r="U233"/>
  <c r="V233"/>
  <c r="W233"/>
  <c r="X233"/>
  <c r="Y233"/>
  <c r="Z233"/>
  <c r="AA233"/>
  <c r="AB233"/>
  <c r="AC233"/>
  <c r="AE233"/>
  <c r="AF233"/>
  <c r="AG233"/>
  <c r="AH237"/>
  <c r="B237" s="1"/>
  <c r="AH238"/>
  <c r="B238" s="1"/>
  <c r="AH239"/>
  <c r="B239" s="1"/>
  <c r="AH240"/>
  <c r="B240" s="1"/>
  <c r="AH241"/>
  <c r="B241" s="1"/>
  <c r="AH242"/>
  <c r="B242" s="1"/>
  <c r="AH243"/>
  <c r="B243" s="1"/>
  <c r="AH244"/>
  <c r="B244" s="1"/>
  <c r="AH245"/>
  <c r="B245" s="1"/>
  <c r="AH246"/>
  <c r="B246" s="1"/>
  <c r="AH247"/>
  <c r="B247" s="1"/>
  <c r="AH248"/>
  <c r="B248" s="1"/>
  <c r="C249"/>
  <c r="D249"/>
  <c r="F249"/>
  <c r="G249"/>
  <c r="H249"/>
  <c r="I249"/>
  <c r="J249"/>
  <c r="K249"/>
  <c r="L249"/>
  <c r="M249"/>
  <c r="N249"/>
  <c r="O249"/>
  <c r="P249"/>
  <c r="Q249"/>
  <c r="R249"/>
  <c r="S249"/>
  <c r="T249"/>
  <c r="U249"/>
  <c r="V249"/>
  <c r="W249"/>
  <c r="X249"/>
  <c r="Y249"/>
  <c r="Z249"/>
  <c r="AA249"/>
  <c r="AB249"/>
  <c r="AC249"/>
  <c r="AE249"/>
  <c r="AF249"/>
  <c r="AG249"/>
  <c r="AH249"/>
  <c r="AH253"/>
  <c r="B253" s="1"/>
  <c r="AH254"/>
  <c r="B254" s="1"/>
  <c r="AH255"/>
  <c r="B255" s="1"/>
  <c r="AH256"/>
  <c r="AH257"/>
  <c r="B257" s="1"/>
  <c r="AH258"/>
  <c r="B258" s="1"/>
  <c r="AH259"/>
  <c r="B259" s="1"/>
  <c r="AH260"/>
  <c r="B260" s="1"/>
  <c r="AH261"/>
  <c r="B261" s="1"/>
  <c r="AH262"/>
  <c r="B262" s="1"/>
  <c r="AH263"/>
  <c r="B263" s="1"/>
  <c r="AH264"/>
  <c r="B264" s="1"/>
  <c r="C265"/>
  <c r="D265"/>
  <c r="F265"/>
  <c r="G265"/>
  <c r="H265"/>
  <c r="I265"/>
  <c r="J265"/>
  <c r="K265"/>
  <c r="L265"/>
  <c r="M265"/>
  <c r="N265"/>
  <c r="O265"/>
  <c r="P265"/>
  <c r="Q265"/>
  <c r="R265"/>
  <c r="S265"/>
  <c r="T265"/>
  <c r="U265"/>
  <c r="V265"/>
  <c r="W265"/>
  <c r="X265"/>
  <c r="Y265"/>
  <c r="Z265"/>
  <c r="AA265"/>
  <c r="AB265"/>
  <c r="AC265"/>
  <c r="AE265"/>
  <c r="AF265"/>
  <c r="AG265"/>
  <c r="AH269"/>
  <c r="AH270"/>
  <c r="B270" s="1"/>
  <c r="AH271"/>
  <c r="B271" s="1"/>
  <c r="AH272"/>
  <c r="B272" s="1"/>
  <c r="AH273"/>
  <c r="B273"/>
  <c r="AH274"/>
  <c r="B274" s="1"/>
  <c r="AH275"/>
  <c r="B275" s="1"/>
  <c r="AH276"/>
  <c r="B276" s="1"/>
  <c r="AH277"/>
  <c r="B277" s="1"/>
  <c r="AH278"/>
  <c r="B278" s="1"/>
  <c r="AH279"/>
  <c r="B279" s="1"/>
  <c r="AH280"/>
  <c r="B280" s="1"/>
  <c r="C281"/>
  <c r="D281"/>
  <c r="F281"/>
  <c r="G281"/>
  <c r="H281"/>
  <c r="I281"/>
  <c r="J281"/>
  <c r="K281"/>
  <c r="L281"/>
  <c r="M281"/>
  <c r="N281"/>
  <c r="O281"/>
  <c r="P281"/>
  <c r="Q281"/>
  <c r="R281"/>
  <c r="S281"/>
  <c r="T281"/>
  <c r="U281"/>
  <c r="V281"/>
  <c r="W281"/>
  <c r="X281"/>
  <c r="Y281"/>
  <c r="Z281"/>
  <c r="AA281"/>
  <c r="AB281"/>
  <c r="AC281"/>
  <c r="AE281"/>
  <c r="AF281"/>
  <c r="AG281"/>
  <c r="AH285"/>
  <c r="AH286"/>
  <c r="B286" s="1"/>
  <c r="AH287"/>
  <c r="B287" s="1"/>
  <c r="AH288"/>
  <c r="B288" s="1"/>
  <c r="AH289"/>
  <c r="B289" s="1"/>
  <c r="AH290"/>
  <c r="B290" s="1"/>
  <c r="AH291"/>
  <c r="B291" s="1"/>
  <c r="AH292"/>
  <c r="B292" s="1"/>
  <c r="AH293"/>
  <c r="B293" s="1"/>
  <c r="AH294"/>
  <c r="B294" s="1"/>
  <c r="AH295"/>
  <c r="B295" s="1"/>
  <c r="AH296"/>
  <c r="B296" s="1"/>
  <c r="C297"/>
  <c r="D297"/>
  <c r="F297"/>
  <c r="G297"/>
  <c r="H297"/>
  <c r="I297"/>
  <c r="J297"/>
  <c r="K297"/>
  <c r="L297"/>
  <c r="M297"/>
  <c r="N297"/>
  <c r="O297"/>
  <c r="P297"/>
  <c r="Q297"/>
  <c r="R297"/>
  <c r="S297"/>
  <c r="T297"/>
  <c r="U297"/>
  <c r="V297"/>
  <c r="W297"/>
  <c r="X297"/>
  <c r="Y297"/>
  <c r="Z297"/>
  <c r="AA297"/>
  <c r="AB297"/>
  <c r="AC297"/>
  <c r="AE297"/>
  <c r="AF297"/>
  <c r="AG297"/>
  <c r="AH301"/>
  <c r="AH302"/>
  <c r="B302" s="1"/>
  <c r="AH303"/>
  <c r="B303" s="1"/>
  <c r="AH304"/>
  <c r="B304" s="1"/>
  <c r="AH305"/>
  <c r="B305" s="1"/>
  <c r="AH306"/>
  <c r="B306" s="1"/>
  <c r="AH307"/>
  <c r="B307" s="1"/>
  <c r="AH308"/>
  <c r="B308" s="1"/>
  <c r="AH309"/>
  <c r="B309" s="1"/>
  <c r="AH310"/>
  <c r="B310" s="1"/>
  <c r="AH311"/>
  <c r="B311" s="1"/>
  <c r="AH312"/>
  <c r="B312" s="1"/>
  <c r="C313"/>
  <c r="D313"/>
  <c r="F313"/>
  <c r="G313"/>
  <c r="H313"/>
  <c r="I313"/>
  <c r="J313"/>
  <c r="K313"/>
  <c r="L313"/>
  <c r="M313"/>
  <c r="N313"/>
  <c r="O313"/>
  <c r="P313"/>
  <c r="Q313"/>
  <c r="R313"/>
  <c r="S313"/>
  <c r="T313"/>
  <c r="U313"/>
  <c r="V313"/>
  <c r="W313"/>
  <c r="X313"/>
  <c r="Y313"/>
  <c r="Z313"/>
  <c r="AA313"/>
  <c r="AB313"/>
  <c r="AC313"/>
  <c r="AE313"/>
  <c r="AF313"/>
  <c r="AG313"/>
  <c r="AH317"/>
  <c r="B317" s="1"/>
  <c r="AH318"/>
  <c r="B318" s="1"/>
  <c r="AH319"/>
  <c r="B319" s="1"/>
  <c r="AH320"/>
  <c r="B320" s="1"/>
  <c r="AH321"/>
  <c r="B321" s="1"/>
  <c r="AH322"/>
  <c r="B322" s="1"/>
  <c r="AH323"/>
  <c r="B323" s="1"/>
  <c r="AH324"/>
  <c r="B324" s="1"/>
  <c r="AH325"/>
  <c r="B325" s="1"/>
  <c r="AH326"/>
  <c r="B326" s="1"/>
  <c r="AH327"/>
  <c r="B327" s="1"/>
  <c r="AH328"/>
  <c r="B328" s="1"/>
  <c r="C329"/>
  <c r="D329"/>
  <c r="F329"/>
  <c r="G329"/>
  <c r="H329"/>
  <c r="I329"/>
  <c r="J329"/>
  <c r="K329"/>
  <c r="L329"/>
  <c r="M329"/>
  <c r="N329"/>
  <c r="O329"/>
  <c r="P329"/>
  <c r="Q329"/>
  <c r="R329"/>
  <c r="S329"/>
  <c r="T329"/>
  <c r="U329"/>
  <c r="V329"/>
  <c r="W329"/>
  <c r="X329"/>
  <c r="Y329"/>
  <c r="Z329"/>
  <c r="AA329"/>
  <c r="AB329"/>
  <c r="AC329"/>
  <c r="AE329"/>
  <c r="AF329"/>
  <c r="AG329"/>
  <c r="AH329"/>
  <c r="AH333"/>
  <c r="AH334"/>
  <c r="B334" s="1"/>
  <c r="AH335"/>
  <c r="B335" s="1"/>
  <c r="AH336"/>
  <c r="B336" s="1"/>
  <c r="AH337"/>
  <c r="B337" s="1"/>
  <c r="AH338"/>
  <c r="B338" s="1"/>
  <c r="AH339"/>
  <c r="B339" s="1"/>
  <c r="AH340"/>
  <c r="B340" s="1"/>
  <c r="AH341"/>
  <c r="B341" s="1"/>
  <c r="AH342"/>
  <c r="B342" s="1"/>
  <c r="AH343"/>
  <c r="B343" s="1"/>
  <c r="AH344"/>
  <c r="B344" s="1"/>
  <c r="C345"/>
  <c r="D345"/>
  <c r="F345"/>
  <c r="G345"/>
  <c r="H345"/>
  <c r="I345"/>
  <c r="J345"/>
  <c r="K345"/>
  <c r="L345"/>
  <c r="M345"/>
  <c r="N345"/>
  <c r="O345"/>
  <c r="P345"/>
  <c r="Q345"/>
  <c r="R345"/>
  <c r="S345"/>
  <c r="T345"/>
  <c r="U345"/>
  <c r="V345"/>
  <c r="W345"/>
  <c r="X345"/>
  <c r="Y345"/>
  <c r="Z345"/>
  <c r="AA345"/>
  <c r="AB345"/>
  <c r="AC345"/>
  <c r="AE345"/>
  <c r="AF345"/>
  <c r="AG345"/>
  <c r="AH349"/>
  <c r="B349" s="1"/>
  <c r="AH350"/>
  <c r="B350" s="1"/>
  <c r="AH351"/>
  <c r="B351" s="1"/>
  <c r="AH352"/>
  <c r="B352" s="1"/>
  <c r="AH353"/>
  <c r="B353" s="1"/>
  <c r="AH354"/>
  <c r="B354" s="1"/>
  <c r="AH355"/>
  <c r="B355" s="1"/>
  <c r="AH356"/>
  <c r="B356" s="1"/>
  <c r="AH357"/>
  <c r="B357" s="1"/>
  <c r="AH358"/>
  <c r="B358" s="1"/>
  <c r="AH359"/>
  <c r="B359" s="1"/>
  <c r="AH360"/>
  <c r="B360" s="1"/>
  <c r="C361"/>
  <c r="D361"/>
  <c r="F361"/>
  <c r="G361"/>
  <c r="H361"/>
  <c r="I361"/>
  <c r="J361"/>
  <c r="K361"/>
  <c r="L361"/>
  <c r="M361"/>
  <c r="N361"/>
  <c r="O361"/>
  <c r="P361"/>
  <c r="Q361"/>
  <c r="R361"/>
  <c r="S361"/>
  <c r="T361"/>
  <c r="U361"/>
  <c r="V361"/>
  <c r="W361"/>
  <c r="X361"/>
  <c r="Y361"/>
  <c r="Z361"/>
  <c r="AA361"/>
  <c r="AB361"/>
  <c r="AC361"/>
  <c r="AE361"/>
  <c r="AF361"/>
  <c r="AG361"/>
  <c r="AH367"/>
  <c r="AH368"/>
  <c r="B368" s="1"/>
  <c r="AH369"/>
  <c r="B369" s="1"/>
  <c r="AH370"/>
  <c r="B370" s="1"/>
  <c r="AH371"/>
  <c r="B371" s="1"/>
  <c r="AH372"/>
  <c r="B372" s="1"/>
  <c r="AH373"/>
  <c r="B373" s="1"/>
  <c r="AH374"/>
  <c r="B374" s="1"/>
  <c r="AH375"/>
  <c r="B375" s="1"/>
  <c r="AH376"/>
  <c r="B376" s="1"/>
  <c r="AH377"/>
  <c r="B377" s="1"/>
  <c r="AH378"/>
  <c r="B378" s="1"/>
  <c r="C379"/>
  <c r="D379"/>
  <c r="F379"/>
  <c r="G379"/>
  <c r="H379"/>
  <c r="I379"/>
  <c r="J379"/>
  <c r="K379"/>
  <c r="L379"/>
  <c r="M379"/>
  <c r="N379"/>
  <c r="O379"/>
  <c r="P379"/>
  <c r="Q379"/>
  <c r="R379"/>
  <c r="S379"/>
  <c r="T379"/>
  <c r="U379"/>
  <c r="V379"/>
  <c r="W379"/>
  <c r="X379"/>
  <c r="Y379"/>
  <c r="Z379"/>
  <c r="AA379"/>
  <c r="AB379"/>
  <c r="AC379"/>
  <c r="AE379"/>
  <c r="AF379"/>
  <c r="AG379"/>
  <c r="AH383"/>
  <c r="AH384"/>
  <c r="B384" s="1"/>
  <c r="AH385"/>
  <c r="B385" s="1"/>
  <c r="AH386"/>
  <c r="B386" s="1"/>
  <c r="AH387"/>
  <c r="B387" s="1"/>
  <c r="AH388"/>
  <c r="B388" s="1"/>
  <c r="AH389"/>
  <c r="B389" s="1"/>
  <c r="AH390"/>
  <c r="B390" s="1"/>
  <c r="AH391"/>
  <c r="B391" s="1"/>
  <c r="AH392"/>
  <c r="B392" s="1"/>
  <c r="AH393"/>
  <c r="B393" s="1"/>
  <c r="AH394"/>
  <c r="B394" s="1"/>
  <c r="C395"/>
  <c r="D395"/>
  <c r="F395"/>
  <c r="G395"/>
  <c r="H395"/>
  <c r="I395"/>
  <c r="J395"/>
  <c r="K395"/>
  <c r="L395"/>
  <c r="M395"/>
  <c r="N395"/>
  <c r="O395"/>
  <c r="P395"/>
  <c r="Q395"/>
  <c r="R395"/>
  <c r="S395"/>
  <c r="T395"/>
  <c r="U395"/>
  <c r="V395"/>
  <c r="W395"/>
  <c r="X395"/>
  <c r="Y395"/>
  <c r="Z395"/>
  <c r="AA395"/>
  <c r="AB395"/>
  <c r="AC395"/>
  <c r="AE395"/>
  <c r="AF395"/>
  <c r="AG395"/>
  <c r="B399"/>
  <c r="AH399"/>
  <c r="AH400"/>
  <c r="B400" s="1"/>
  <c r="AH401"/>
  <c r="B401" s="1"/>
  <c r="AH402"/>
  <c r="AH403"/>
  <c r="B403" s="1"/>
  <c r="AH404"/>
  <c r="B404" s="1"/>
  <c r="AH405"/>
  <c r="B405" s="1"/>
  <c r="AH406"/>
  <c r="B406" s="1"/>
  <c r="AH407"/>
  <c r="B407" s="1"/>
  <c r="AH408"/>
  <c r="B408" s="1"/>
  <c r="AH409"/>
  <c r="B409" s="1"/>
  <c r="AH410"/>
  <c r="B410" s="1"/>
  <c r="C411"/>
  <c r="D411"/>
  <c r="F411"/>
  <c r="G411"/>
  <c r="H411"/>
  <c r="I411"/>
  <c r="J411"/>
  <c r="K411"/>
  <c r="L411"/>
  <c r="M411"/>
  <c r="N411"/>
  <c r="O411"/>
  <c r="P411"/>
  <c r="Q411"/>
  <c r="R411"/>
  <c r="S411"/>
  <c r="T411"/>
  <c r="U411"/>
  <c r="V411"/>
  <c r="W411"/>
  <c r="X411"/>
  <c r="Y411"/>
  <c r="Z411"/>
  <c r="AA411"/>
  <c r="AB411"/>
  <c r="AC411"/>
  <c r="AE411"/>
  <c r="AF411"/>
  <c r="AG411"/>
  <c r="AH415"/>
  <c r="B415" s="1"/>
  <c r="D416"/>
  <c r="F416"/>
  <c r="F427" s="1"/>
  <c r="H416"/>
  <c r="AH417"/>
  <c r="B417" s="1"/>
  <c r="AH418"/>
  <c r="B418" s="1"/>
  <c r="AH419"/>
  <c r="B419" s="1"/>
  <c r="AH420"/>
  <c r="B420" s="1"/>
  <c r="AH421"/>
  <c r="B421" s="1"/>
  <c r="AH422"/>
  <c r="B422" s="1"/>
  <c r="AH423"/>
  <c r="B423" s="1"/>
  <c r="AH424"/>
  <c r="B424" s="1"/>
  <c r="AH425"/>
  <c r="B425" s="1"/>
  <c r="AH426"/>
  <c r="B426" s="1"/>
  <c r="C427"/>
  <c r="G427"/>
  <c r="H427"/>
  <c r="I427"/>
  <c r="J427"/>
  <c r="K427"/>
  <c r="L427"/>
  <c r="M427"/>
  <c r="N427"/>
  <c r="O427"/>
  <c r="P427"/>
  <c r="Q427"/>
  <c r="R427"/>
  <c r="S427"/>
  <c r="T427"/>
  <c r="U427"/>
  <c r="V427"/>
  <c r="W427"/>
  <c r="X427"/>
  <c r="Y427"/>
  <c r="Z427"/>
  <c r="AA427"/>
  <c r="AB427"/>
  <c r="AC427"/>
  <c r="AE427"/>
  <c r="AF427"/>
  <c r="AG427"/>
  <c r="AH431"/>
  <c r="B431" s="1"/>
  <c r="AH432"/>
  <c r="B432"/>
  <c r="AH433"/>
  <c r="B433" s="1"/>
  <c r="B443" s="1"/>
  <c r="AH434"/>
  <c r="B434" s="1"/>
  <c r="AH435"/>
  <c r="B435" s="1"/>
  <c r="AH436"/>
  <c r="B436" s="1"/>
  <c r="AH437"/>
  <c r="B437" s="1"/>
  <c r="AH438"/>
  <c r="B438" s="1"/>
  <c r="AH439"/>
  <c r="B439" s="1"/>
  <c r="AH440"/>
  <c r="B440" s="1"/>
  <c r="AH441"/>
  <c r="B441" s="1"/>
  <c r="AH442"/>
  <c r="B442" s="1"/>
  <c r="C443"/>
  <c r="D443"/>
  <c r="F443"/>
  <c r="G443"/>
  <c r="H443"/>
  <c r="I443"/>
  <c r="J443"/>
  <c r="K443"/>
  <c r="L443"/>
  <c r="M443"/>
  <c r="N443"/>
  <c r="O443"/>
  <c r="P443"/>
  <c r="Q443"/>
  <c r="R443"/>
  <c r="S443"/>
  <c r="T443"/>
  <c r="U443"/>
  <c r="V443"/>
  <c r="W443"/>
  <c r="X443"/>
  <c r="Y443"/>
  <c r="Z443"/>
  <c r="AA443"/>
  <c r="AB443"/>
  <c r="AC443"/>
  <c r="AE443"/>
  <c r="AF443"/>
  <c r="AG443"/>
  <c r="AH448"/>
  <c r="B448" s="1"/>
  <c r="AH449"/>
  <c r="B449" s="1"/>
  <c r="AH450"/>
  <c r="B450" s="1"/>
  <c r="AH451"/>
  <c r="AH452"/>
  <c r="B452" s="1"/>
  <c r="AH453"/>
  <c r="B453" s="1"/>
  <c r="AH454"/>
  <c r="B454" s="1"/>
  <c r="AH455"/>
  <c r="B455" s="1"/>
  <c r="AH456"/>
  <c r="B456" s="1"/>
  <c r="AH457"/>
  <c r="B457" s="1"/>
  <c r="AH458"/>
  <c r="B458" s="1"/>
  <c r="AH459"/>
  <c r="B459" s="1"/>
  <c r="C460"/>
  <c r="D460"/>
  <c r="F460"/>
  <c r="G460"/>
  <c r="H460"/>
  <c r="I460"/>
  <c r="J460"/>
  <c r="K460"/>
  <c r="L460"/>
  <c r="M460"/>
  <c r="N460"/>
  <c r="O460"/>
  <c r="P460"/>
  <c r="Q460"/>
  <c r="R460"/>
  <c r="S460"/>
  <c r="T460"/>
  <c r="U460"/>
  <c r="V460"/>
  <c r="W460"/>
  <c r="X460"/>
  <c r="Y460"/>
  <c r="Z460"/>
  <c r="AA460"/>
  <c r="AB460"/>
  <c r="AC460"/>
  <c r="AE460"/>
  <c r="AF460"/>
  <c r="AG460"/>
  <c r="AH464"/>
  <c r="B464" s="1"/>
  <c r="AH465"/>
  <c r="B465" s="1"/>
  <c r="AH466"/>
  <c r="B466" s="1"/>
  <c r="AH467"/>
  <c r="B467" s="1"/>
  <c r="AH468"/>
  <c r="B468" s="1"/>
  <c r="AH469"/>
  <c r="B469" s="1"/>
  <c r="AH470"/>
  <c r="B470" s="1"/>
  <c r="AH471"/>
  <c r="B471" s="1"/>
  <c r="AH472"/>
  <c r="B472" s="1"/>
  <c r="AH473"/>
  <c r="B473" s="1"/>
  <c r="AH474"/>
  <c r="B474" s="1"/>
  <c r="AH475"/>
  <c r="B475" s="1"/>
  <c r="C476"/>
  <c r="D476"/>
  <c r="F476"/>
  <c r="G476"/>
  <c r="H476"/>
  <c r="I476"/>
  <c r="J476"/>
  <c r="K476"/>
  <c r="L476"/>
  <c r="M476"/>
  <c r="N476"/>
  <c r="O476"/>
  <c r="P476"/>
  <c r="Q476"/>
  <c r="R476"/>
  <c r="S476"/>
  <c r="T476"/>
  <c r="U476"/>
  <c r="V476"/>
  <c r="W476"/>
  <c r="X476"/>
  <c r="Y476"/>
  <c r="Z476"/>
  <c r="AA476"/>
  <c r="AB476"/>
  <c r="AC476"/>
  <c r="AE476"/>
  <c r="AF476"/>
  <c r="AG476"/>
  <c r="AH476"/>
  <c r="AH480"/>
  <c r="B480" s="1"/>
  <c r="AH481"/>
  <c r="B481" s="1"/>
  <c r="AH482"/>
  <c r="B482" s="1"/>
  <c r="AH483"/>
  <c r="AH484"/>
  <c r="B484" s="1"/>
  <c r="AH485"/>
  <c r="B485" s="1"/>
  <c r="AH486"/>
  <c r="B486" s="1"/>
  <c r="AH487"/>
  <c r="B487" s="1"/>
  <c r="AH488"/>
  <c r="B488" s="1"/>
  <c r="AH489"/>
  <c r="B489" s="1"/>
  <c r="AH490"/>
  <c r="B490" s="1"/>
  <c r="AH491"/>
  <c r="B491" s="1"/>
  <c r="C492"/>
  <c r="D492"/>
  <c r="F492"/>
  <c r="G492"/>
  <c r="H492"/>
  <c r="I492"/>
  <c r="J492"/>
  <c r="K492"/>
  <c r="L492"/>
  <c r="M492"/>
  <c r="N492"/>
  <c r="O492"/>
  <c r="P492"/>
  <c r="Q492"/>
  <c r="R492"/>
  <c r="S492"/>
  <c r="T492"/>
  <c r="U492"/>
  <c r="V492"/>
  <c r="W492"/>
  <c r="X492"/>
  <c r="Y492"/>
  <c r="Z492"/>
  <c r="AA492"/>
  <c r="AB492"/>
  <c r="AC492"/>
  <c r="AE492"/>
  <c r="AF492"/>
  <c r="AG492"/>
  <c r="AH496"/>
  <c r="AH497"/>
  <c r="B497" s="1"/>
  <c r="AH498"/>
  <c r="B498" s="1"/>
  <c r="AH499"/>
  <c r="B499" s="1"/>
  <c r="AH500"/>
  <c r="B500" s="1"/>
  <c r="AH501"/>
  <c r="B501" s="1"/>
  <c r="AH502"/>
  <c r="B502" s="1"/>
  <c r="AH503"/>
  <c r="B503" s="1"/>
  <c r="AH504"/>
  <c r="B504" s="1"/>
  <c r="AH505"/>
  <c r="B505" s="1"/>
  <c r="AH506"/>
  <c r="B506" s="1"/>
  <c r="AH507"/>
  <c r="B507" s="1"/>
  <c r="C508"/>
  <c r="D508"/>
  <c r="F508"/>
  <c r="G508"/>
  <c r="H508"/>
  <c r="I508"/>
  <c r="J508"/>
  <c r="K508"/>
  <c r="L508"/>
  <c r="M508"/>
  <c r="N508"/>
  <c r="O508"/>
  <c r="P508"/>
  <c r="Q508"/>
  <c r="R508"/>
  <c r="S508"/>
  <c r="T508"/>
  <c r="U508"/>
  <c r="V508"/>
  <c r="W508"/>
  <c r="X508"/>
  <c r="Y508"/>
  <c r="Z508"/>
  <c r="AA508"/>
  <c r="AB508"/>
  <c r="AC508"/>
  <c r="AE508"/>
  <c r="AF508"/>
  <c r="AG508"/>
  <c r="AH512"/>
  <c r="AH513"/>
  <c r="B513" s="1"/>
  <c r="AH514"/>
  <c r="B514" s="1"/>
  <c r="AH515"/>
  <c r="B515" s="1"/>
  <c r="AH516"/>
  <c r="B516" s="1"/>
  <c r="AH517"/>
  <c r="B517" s="1"/>
  <c r="AH518"/>
  <c r="B518" s="1"/>
  <c r="AH519"/>
  <c r="B519" s="1"/>
  <c r="AH520"/>
  <c r="B520" s="1"/>
  <c r="AH521"/>
  <c r="B521" s="1"/>
  <c r="AH522"/>
  <c r="B522" s="1"/>
  <c r="AH523"/>
  <c r="B523" s="1"/>
  <c r="C524"/>
  <c r="D524"/>
  <c r="F524"/>
  <c r="G524"/>
  <c r="H524"/>
  <c r="I524"/>
  <c r="J524"/>
  <c r="K524"/>
  <c r="L524"/>
  <c r="M524"/>
  <c r="N524"/>
  <c r="O524"/>
  <c r="P524"/>
  <c r="Q524"/>
  <c r="R524"/>
  <c r="S524"/>
  <c r="T524"/>
  <c r="U524"/>
  <c r="V524"/>
  <c r="W524"/>
  <c r="X524"/>
  <c r="Y524"/>
  <c r="Z524"/>
  <c r="AA524"/>
  <c r="AB524"/>
  <c r="AC524"/>
  <c r="AE524"/>
  <c r="AF524"/>
  <c r="AG524"/>
  <c r="E8" i="11565"/>
  <c r="C10"/>
  <c r="C16"/>
  <c r="E22"/>
  <c r="C23"/>
  <c r="C28"/>
  <c r="E34"/>
  <c r="E35"/>
  <c r="E36"/>
  <c r="E37"/>
  <c r="E39"/>
  <c r="E40"/>
  <c r="E41"/>
  <c r="E42"/>
  <c r="E43"/>
  <c r="E44"/>
  <c r="E45"/>
  <c r="E46"/>
  <c r="E47"/>
  <c r="E48"/>
  <c r="E49"/>
  <c r="E50"/>
  <c r="C51"/>
  <c r="E54"/>
  <c r="C71"/>
  <c r="E76"/>
  <c r="E78"/>
  <c r="E79"/>
  <c r="E80"/>
  <c r="E81"/>
  <c r="E82"/>
  <c r="H82" s="1"/>
  <c r="E83"/>
  <c r="E84"/>
  <c r="E85"/>
  <c r="C86"/>
  <c r="E95"/>
  <c r="H95" s="1"/>
  <c r="C99"/>
  <c r="AH9" i="112"/>
  <c r="B9" s="1"/>
  <c r="AH10"/>
  <c r="B10" s="1"/>
  <c r="AH11"/>
  <c r="AH12"/>
  <c r="B12" s="1"/>
  <c r="AH13"/>
  <c r="B13" s="1"/>
  <c r="AH14"/>
  <c r="B14" s="1"/>
  <c r="AH15"/>
  <c r="B15" s="1"/>
  <c r="AH16"/>
  <c r="B16" s="1"/>
  <c r="AH17"/>
  <c r="B17" s="1"/>
  <c r="AH18"/>
  <c r="B18" s="1"/>
  <c r="B19"/>
  <c r="AH19"/>
  <c r="AH20"/>
  <c r="B20" s="1"/>
  <c r="C21"/>
  <c r="D21"/>
  <c r="E21"/>
  <c r="F21"/>
  <c r="G21"/>
  <c r="H21"/>
  <c r="I21"/>
  <c r="J21"/>
  <c r="K21"/>
  <c r="L21"/>
  <c r="M21"/>
  <c r="N21"/>
  <c r="O21"/>
  <c r="P21"/>
  <c r="Q21"/>
  <c r="R21"/>
  <c r="S21"/>
  <c r="T21"/>
  <c r="U21"/>
  <c r="V21"/>
  <c r="W21"/>
  <c r="X21"/>
  <c r="Y21"/>
  <c r="Z21"/>
  <c r="AA21"/>
  <c r="AB21"/>
  <c r="AC21"/>
  <c r="AD21"/>
  <c r="AE21"/>
  <c r="AF21"/>
  <c r="AG21"/>
  <c r="AH25"/>
  <c r="AH26"/>
  <c r="B26" s="1"/>
  <c r="AH27"/>
  <c r="B27" s="1"/>
  <c r="AH28"/>
  <c r="B28" s="1"/>
  <c r="AH29"/>
  <c r="B29" s="1"/>
  <c r="AH30"/>
  <c r="B30" s="1"/>
  <c r="AH31"/>
  <c r="B31" s="1"/>
  <c r="AH32"/>
  <c r="B32" s="1"/>
  <c r="AH33"/>
  <c r="B33" s="1"/>
  <c r="AH34"/>
  <c r="B34" s="1"/>
  <c r="B35"/>
  <c r="AH36"/>
  <c r="B36" s="1"/>
  <c r="C37"/>
  <c r="D37"/>
  <c r="E37"/>
  <c r="F37"/>
  <c r="G37"/>
  <c r="H37"/>
  <c r="I37"/>
  <c r="J37"/>
  <c r="K37"/>
  <c r="L37"/>
  <c r="M37"/>
  <c r="N37"/>
  <c r="O37"/>
  <c r="P37"/>
  <c r="Q37"/>
  <c r="R37"/>
  <c r="S37"/>
  <c r="T37"/>
  <c r="U37"/>
  <c r="V37"/>
  <c r="W37"/>
  <c r="X37"/>
  <c r="Y37"/>
  <c r="Z37"/>
  <c r="AA37"/>
  <c r="AB37"/>
  <c r="AC37"/>
  <c r="AD37"/>
  <c r="AE37"/>
  <c r="AF37"/>
  <c r="AG37"/>
  <c r="AH41"/>
  <c r="B41"/>
  <c r="AH42"/>
  <c r="B42" s="1"/>
  <c r="AH43"/>
  <c r="B43"/>
  <c r="AH44"/>
  <c r="B44" s="1"/>
  <c r="AH45"/>
  <c r="B45" s="1"/>
  <c r="AH46"/>
  <c r="B46" s="1"/>
  <c r="AH47"/>
  <c r="B47" s="1"/>
  <c r="AH48"/>
  <c r="B48" s="1"/>
  <c r="AH49"/>
  <c r="B49" s="1"/>
  <c r="AH50"/>
  <c r="B50" s="1"/>
  <c r="AH51"/>
  <c r="B51" s="1"/>
  <c r="AH52"/>
  <c r="B52" s="1"/>
  <c r="C53"/>
  <c r="D53"/>
  <c r="E53"/>
  <c r="F53"/>
  <c r="G53"/>
  <c r="H53"/>
  <c r="I53"/>
  <c r="J53"/>
  <c r="K53"/>
  <c r="L53"/>
  <c r="M53"/>
  <c r="N53"/>
  <c r="O53"/>
  <c r="P53"/>
  <c r="Q53"/>
  <c r="R53"/>
  <c r="S53"/>
  <c r="T53"/>
  <c r="U53"/>
  <c r="V53"/>
  <c r="W53"/>
  <c r="X53"/>
  <c r="Y53"/>
  <c r="Z53"/>
  <c r="AA53"/>
  <c r="AB53"/>
  <c r="AC53"/>
  <c r="AD53"/>
  <c r="AE53"/>
  <c r="AF53"/>
  <c r="AG53"/>
  <c r="AH53"/>
  <c r="AH59"/>
  <c r="B59" s="1"/>
  <c r="AH60"/>
  <c r="B60" s="1"/>
  <c r="AH61"/>
  <c r="B61" s="1"/>
  <c r="AH62"/>
  <c r="B62" s="1"/>
  <c r="B71" s="1"/>
  <c r="AH63"/>
  <c r="B63" s="1"/>
  <c r="AH64"/>
  <c r="B64" s="1"/>
  <c r="AH65"/>
  <c r="B65" s="1"/>
  <c r="AH66"/>
  <c r="B66" s="1"/>
  <c r="E31" i="1908" s="1"/>
  <c r="G106" i="60796" s="1"/>
  <c r="AH67" i="112"/>
  <c r="B67" s="1"/>
  <c r="AH68"/>
  <c r="B68" s="1"/>
  <c r="AH69"/>
  <c r="B69" s="1"/>
  <c r="AH70"/>
  <c r="B70" s="1"/>
  <c r="C71"/>
  <c r="D71"/>
  <c r="E71"/>
  <c r="F71"/>
  <c r="G71"/>
  <c r="H71"/>
  <c r="I71"/>
  <c r="J71"/>
  <c r="K71"/>
  <c r="L71"/>
  <c r="M71"/>
  <c r="N71"/>
  <c r="O71"/>
  <c r="P71"/>
  <c r="Q71"/>
  <c r="R71"/>
  <c r="S71"/>
  <c r="T71"/>
  <c r="U71"/>
  <c r="V71"/>
  <c r="W71"/>
  <c r="X71"/>
  <c r="Y71"/>
  <c r="Z71"/>
  <c r="AA71"/>
  <c r="AB71"/>
  <c r="AC71"/>
  <c r="AD71"/>
  <c r="AE71"/>
  <c r="AF71"/>
  <c r="AG71"/>
  <c r="AH75"/>
  <c r="AH76"/>
  <c r="B76" s="1"/>
  <c r="AH77"/>
  <c r="B77" s="1"/>
  <c r="AH78"/>
  <c r="B78" s="1"/>
  <c r="AH79"/>
  <c r="B79" s="1"/>
  <c r="AH80"/>
  <c r="B80" s="1"/>
  <c r="AH91"/>
  <c r="B91" s="1"/>
  <c r="AH92"/>
  <c r="B92" s="1"/>
  <c r="AH93"/>
  <c r="B93" s="1"/>
  <c r="AH94"/>
  <c r="B94" s="1"/>
  <c r="AH95"/>
  <c r="B95" s="1"/>
  <c r="AH96"/>
  <c r="B96" s="1"/>
  <c r="AH102"/>
  <c r="B102" s="1"/>
  <c r="AH107"/>
  <c r="B107" s="1"/>
  <c r="AH108"/>
  <c r="AH109"/>
  <c r="B109" s="1"/>
  <c r="AH110"/>
  <c r="B110" s="1"/>
  <c r="AH111"/>
  <c r="B111" s="1"/>
  <c r="AH112"/>
  <c r="B112" s="1"/>
  <c r="B113"/>
  <c r="B114"/>
  <c r="B115"/>
  <c r="B116"/>
  <c r="B117"/>
  <c r="AH118"/>
  <c r="B118" s="1"/>
  <c r="AH123"/>
  <c r="B123" s="1"/>
  <c r="AH124"/>
  <c r="B124" s="1"/>
  <c r="AH125"/>
  <c r="B125" s="1"/>
  <c r="AH126"/>
  <c r="AH127"/>
  <c r="B127" s="1"/>
  <c r="B139"/>
  <c r="B140"/>
  <c r="B141"/>
  <c r="E27" i="1908" s="1"/>
  <c r="B142" i="112"/>
  <c r="B143"/>
  <c r="B144"/>
  <c r="B145"/>
  <c r="B146"/>
  <c r="B147"/>
  <c r="B148"/>
  <c r="B150"/>
  <c r="C151"/>
  <c r="D151"/>
  <c r="E151"/>
  <c r="F151"/>
  <c r="G151"/>
  <c r="H151"/>
  <c r="I151"/>
  <c r="J151"/>
  <c r="K151"/>
  <c r="L151"/>
  <c r="M151"/>
  <c r="N151"/>
  <c r="O151"/>
  <c r="P151"/>
  <c r="Q151"/>
  <c r="R151"/>
  <c r="S151"/>
  <c r="T151"/>
  <c r="U151"/>
  <c r="V151"/>
  <c r="W151"/>
  <c r="X151"/>
  <c r="Y151"/>
  <c r="Z151"/>
  <c r="AA151"/>
  <c r="AB151"/>
  <c r="AC151"/>
  <c r="AD151"/>
  <c r="AE151"/>
  <c r="AF151"/>
  <c r="AG151"/>
  <c r="AH157"/>
  <c r="AH158"/>
  <c r="B158" s="1"/>
  <c r="AH159"/>
  <c r="B159" s="1"/>
  <c r="AH160"/>
  <c r="B160" s="1"/>
  <c r="AH161"/>
  <c r="B161" s="1"/>
  <c r="AH162"/>
  <c r="B162" s="1"/>
  <c r="AH163"/>
  <c r="B163" s="1"/>
  <c r="AH164"/>
  <c r="B164" s="1"/>
  <c r="AH165"/>
  <c r="B165" s="1"/>
  <c r="AH166"/>
  <c r="B166" s="1"/>
  <c r="AH167"/>
  <c r="B167" s="1"/>
  <c r="AH168"/>
  <c r="B168" s="1"/>
  <c r="C169"/>
  <c r="D169"/>
  <c r="E169"/>
  <c r="F169"/>
  <c r="G169"/>
  <c r="H169"/>
  <c r="I169"/>
  <c r="J169"/>
  <c r="K169"/>
  <c r="L169"/>
  <c r="M169"/>
  <c r="N169"/>
  <c r="O169"/>
  <c r="P169"/>
  <c r="Q169"/>
  <c r="R169"/>
  <c r="S169"/>
  <c r="T169"/>
  <c r="U169"/>
  <c r="V169"/>
  <c r="W169"/>
  <c r="X169"/>
  <c r="Y169"/>
  <c r="Z169"/>
  <c r="AA169"/>
  <c r="AB169"/>
  <c r="AC169"/>
  <c r="AD169"/>
  <c r="AE169"/>
  <c r="AF169"/>
  <c r="AG169"/>
  <c r="AH173"/>
  <c r="B173" s="1"/>
  <c r="AH174"/>
  <c r="B174" s="1"/>
  <c r="AH175"/>
  <c r="B175" s="1"/>
  <c r="AH176"/>
  <c r="B176" s="1"/>
  <c r="AH177"/>
  <c r="B177" s="1"/>
  <c r="AH178"/>
  <c r="B178" s="1"/>
  <c r="AH179"/>
  <c r="B179" s="1"/>
  <c r="AH180"/>
  <c r="B180" s="1"/>
  <c r="AH181"/>
  <c r="B181" s="1"/>
  <c r="E48" i="1908" s="1"/>
  <c r="G114" i="60796" s="1"/>
  <c r="AH182" i="112"/>
  <c r="B182" s="1"/>
  <c r="AH183"/>
  <c r="B183" s="1"/>
  <c r="AH184"/>
  <c r="B184" s="1"/>
  <c r="C185"/>
  <c r="D185"/>
  <c r="E185"/>
  <c r="F185"/>
  <c r="G185"/>
  <c r="H185"/>
  <c r="I185"/>
  <c r="J185"/>
  <c r="K185"/>
  <c r="L185"/>
  <c r="M185"/>
  <c r="N185"/>
  <c r="O185"/>
  <c r="P185"/>
  <c r="Q185"/>
  <c r="R185"/>
  <c r="S185"/>
  <c r="T185"/>
  <c r="U185"/>
  <c r="V185"/>
  <c r="W185"/>
  <c r="X185"/>
  <c r="Y185"/>
  <c r="Z185"/>
  <c r="AA185"/>
  <c r="AB185"/>
  <c r="AC185"/>
  <c r="AD185"/>
  <c r="AE185"/>
  <c r="AF185"/>
  <c r="AG185"/>
  <c r="AH191"/>
  <c r="B191" s="1"/>
  <c r="B192"/>
  <c r="E54" i="1908" s="1"/>
  <c r="B193" i="112"/>
  <c r="B194"/>
  <c r="B195"/>
  <c r="B196"/>
  <c r="B197"/>
  <c r="B198"/>
  <c r="B199"/>
  <c r="B200"/>
  <c r="E72" i="1908" s="1"/>
  <c r="G116" i="60796" s="1"/>
  <c r="B201" i="112"/>
  <c r="B202"/>
  <c r="C203"/>
  <c r="D203"/>
  <c r="E203"/>
  <c r="F203"/>
  <c r="G203"/>
  <c r="H203"/>
  <c r="I203"/>
  <c r="J203"/>
  <c r="K203"/>
  <c r="L203"/>
  <c r="M203"/>
  <c r="N203"/>
  <c r="O203"/>
  <c r="P203"/>
  <c r="Q203"/>
  <c r="R203"/>
  <c r="S203"/>
  <c r="T203"/>
  <c r="U203"/>
  <c r="V203"/>
  <c r="W203"/>
  <c r="X203"/>
  <c r="Y203"/>
  <c r="Z203"/>
  <c r="AA203"/>
  <c r="AB203"/>
  <c r="AC203"/>
  <c r="AD203"/>
  <c r="AE203"/>
  <c r="AF203"/>
  <c r="AG203"/>
  <c r="AH207"/>
  <c r="B207" s="1"/>
  <c r="AH208"/>
  <c r="B208" s="1"/>
  <c r="AH209"/>
  <c r="B209" s="1"/>
  <c r="E55" i="1908" s="1"/>
  <c r="G55" s="1"/>
  <c r="AH210" i="112"/>
  <c r="B210" s="1"/>
  <c r="AH211"/>
  <c r="B211" s="1"/>
  <c r="AH212"/>
  <c r="B212" s="1"/>
  <c r="AH213"/>
  <c r="B213" s="1"/>
  <c r="AH214"/>
  <c r="B214" s="1"/>
  <c r="AH215"/>
  <c r="B215" s="1"/>
  <c r="AH216"/>
  <c r="B216" s="1"/>
  <c r="AH217"/>
  <c r="B217" s="1"/>
  <c r="AH218"/>
  <c r="B218" s="1"/>
  <c r="C219"/>
  <c r="D219"/>
  <c r="E219"/>
  <c r="F219"/>
  <c r="G219"/>
  <c r="H219"/>
  <c r="I219"/>
  <c r="J219"/>
  <c r="K219"/>
  <c r="L219"/>
  <c r="M219"/>
  <c r="N219"/>
  <c r="O219"/>
  <c r="P219"/>
  <c r="Q219"/>
  <c r="R219"/>
  <c r="S219"/>
  <c r="T219"/>
  <c r="U219"/>
  <c r="V219"/>
  <c r="W219"/>
  <c r="X219"/>
  <c r="Y219"/>
  <c r="Z219"/>
  <c r="AA219"/>
  <c r="AB219"/>
  <c r="AC219"/>
  <c r="AD219"/>
  <c r="AE219"/>
  <c r="AF219"/>
  <c r="AG219"/>
  <c r="AH223"/>
  <c r="B223" s="1"/>
  <c r="E56" i="1908" s="1"/>
  <c r="B224" i="112"/>
  <c r="AH224"/>
  <c r="AH225"/>
  <c r="B225" s="1"/>
  <c r="AH226"/>
  <c r="B226" s="1"/>
  <c r="AH227"/>
  <c r="B227" s="1"/>
  <c r="AH228"/>
  <c r="B228" s="1"/>
  <c r="AH229"/>
  <c r="B229" s="1"/>
  <c r="AH230"/>
  <c r="B230" s="1"/>
  <c r="B231"/>
  <c r="AH231"/>
  <c r="AH232"/>
  <c r="B232" s="1"/>
  <c r="AH233"/>
  <c r="B233" s="1"/>
  <c r="AH234"/>
  <c r="B234" s="1"/>
  <c r="C235"/>
  <c r="D235"/>
  <c r="E235"/>
  <c r="F235"/>
  <c r="G235"/>
  <c r="H235"/>
  <c r="I235"/>
  <c r="J235"/>
  <c r="K235"/>
  <c r="L235"/>
  <c r="M235"/>
  <c r="N235"/>
  <c r="O235"/>
  <c r="P235"/>
  <c r="Q235"/>
  <c r="R235"/>
  <c r="S235"/>
  <c r="T235"/>
  <c r="U235"/>
  <c r="V235"/>
  <c r="W235"/>
  <c r="X235"/>
  <c r="Y235"/>
  <c r="Z235"/>
  <c r="AA235"/>
  <c r="AB235"/>
  <c r="AC235"/>
  <c r="AD235"/>
  <c r="AE235"/>
  <c r="AF235"/>
  <c r="AG235"/>
  <c r="B239"/>
  <c r="AH239"/>
  <c r="AH240"/>
  <c r="B240" s="1"/>
  <c r="AH241"/>
  <c r="B241" s="1"/>
  <c r="AH242"/>
  <c r="B242" s="1"/>
  <c r="AH243"/>
  <c r="B243" s="1"/>
  <c r="AH244"/>
  <c r="B244" s="1"/>
  <c r="AH245"/>
  <c r="B245" s="1"/>
  <c r="AH246"/>
  <c r="B246" s="1"/>
  <c r="AH247"/>
  <c r="B247" s="1"/>
  <c r="AH248"/>
  <c r="B248" s="1"/>
  <c r="AH249"/>
  <c r="B249" s="1"/>
  <c r="AH250"/>
  <c r="B250" s="1"/>
  <c r="C251"/>
  <c r="D251"/>
  <c r="E251"/>
  <c r="F251"/>
  <c r="G251"/>
  <c r="H251"/>
  <c r="I251"/>
  <c r="J251"/>
  <c r="K251"/>
  <c r="L251"/>
  <c r="M251"/>
  <c r="N251"/>
  <c r="O251"/>
  <c r="P251"/>
  <c r="Q251"/>
  <c r="R251"/>
  <c r="S251"/>
  <c r="T251"/>
  <c r="U251"/>
  <c r="V251"/>
  <c r="W251"/>
  <c r="X251"/>
  <c r="Y251"/>
  <c r="Z251"/>
  <c r="AA251"/>
  <c r="AB251"/>
  <c r="AC251"/>
  <c r="AD251"/>
  <c r="AE251"/>
  <c r="AF251"/>
  <c r="AG251"/>
  <c r="AH256"/>
  <c r="B256" s="1"/>
  <c r="AH257"/>
  <c r="B257" s="1"/>
  <c r="AH258"/>
  <c r="B258" s="1"/>
  <c r="AH259"/>
  <c r="B259" s="1"/>
  <c r="AH260"/>
  <c r="B260" s="1"/>
  <c r="AH261"/>
  <c r="B261" s="1"/>
  <c r="AH262"/>
  <c r="B262" s="1"/>
  <c r="AH263"/>
  <c r="B263" s="1"/>
  <c r="AH264"/>
  <c r="B264" s="1"/>
  <c r="AH265"/>
  <c r="B265" s="1"/>
  <c r="AH266"/>
  <c r="B266" s="1"/>
  <c r="AH267"/>
  <c r="B267" s="1"/>
  <c r="C268"/>
  <c r="D268"/>
  <c r="E268"/>
  <c r="F268"/>
  <c r="G268"/>
  <c r="H268"/>
  <c r="I268"/>
  <c r="J268"/>
  <c r="K268"/>
  <c r="L268"/>
  <c r="M268"/>
  <c r="N268"/>
  <c r="O268"/>
  <c r="P268"/>
  <c r="Q268"/>
  <c r="R268"/>
  <c r="S268"/>
  <c r="T268"/>
  <c r="U268"/>
  <c r="V268"/>
  <c r="W268"/>
  <c r="X268"/>
  <c r="Y268"/>
  <c r="Z268"/>
  <c r="AA268"/>
  <c r="AB268"/>
  <c r="AC268"/>
  <c r="AD268"/>
  <c r="AE268"/>
  <c r="AF268"/>
  <c r="AG268"/>
  <c r="AH272"/>
  <c r="B272" s="1"/>
  <c r="AH273"/>
  <c r="B273" s="1"/>
  <c r="AH274"/>
  <c r="B274" s="1"/>
  <c r="AH275"/>
  <c r="B275" s="1"/>
  <c r="AH276"/>
  <c r="B276" s="1"/>
  <c r="AH277"/>
  <c r="B277" s="1"/>
  <c r="AH278"/>
  <c r="B278" s="1"/>
  <c r="AH279"/>
  <c r="B279" s="1"/>
  <c r="AH280"/>
  <c r="B280" s="1"/>
  <c r="AH281"/>
  <c r="B281" s="1"/>
  <c r="AH282"/>
  <c r="B282" s="1"/>
  <c r="AH283"/>
  <c r="B283" s="1"/>
  <c r="C284"/>
  <c r="D284"/>
  <c r="E284"/>
  <c r="F284"/>
  <c r="G284"/>
  <c r="H284"/>
  <c r="I284"/>
  <c r="J284"/>
  <c r="K284"/>
  <c r="L284"/>
  <c r="M284"/>
  <c r="N284"/>
  <c r="O284"/>
  <c r="P284"/>
  <c r="Q284"/>
  <c r="R284"/>
  <c r="S284"/>
  <c r="T284"/>
  <c r="U284"/>
  <c r="V284"/>
  <c r="W284"/>
  <c r="X284"/>
  <c r="Y284"/>
  <c r="Z284"/>
  <c r="AA284"/>
  <c r="AB284"/>
  <c r="AC284"/>
  <c r="AD284"/>
  <c r="AE284"/>
  <c r="AF284"/>
  <c r="AG284"/>
  <c r="AH288"/>
  <c r="B288" s="1"/>
  <c r="AH289"/>
  <c r="B289" s="1"/>
  <c r="AH290"/>
  <c r="B290" s="1"/>
  <c r="E60" i="1908" s="1"/>
  <c r="AH291" i="112"/>
  <c r="B291" s="1"/>
  <c r="AH292"/>
  <c r="B292" s="1"/>
  <c r="AH293"/>
  <c r="B293" s="1"/>
  <c r="AH294"/>
  <c r="B294" s="1"/>
  <c r="AH295"/>
  <c r="B295" s="1"/>
  <c r="AH296"/>
  <c r="B296" s="1"/>
  <c r="AH297"/>
  <c r="B297" s="1"/>
  <c r="AH298"/>
  <c r="B298" s="1"/>
  <c r="AH299"/>
  <c r="B299" s="1"/>
  <c r="C300"/>
  <c r="D300"/>
  <c r="E300"/>
  <c r="F300"/>
  <c r="G300"/>
  <c r="H300"/>
  <c r="I300"/>
  <c r="J300"/>
  <c r="K300"/>
  <c r="L300"/>
  <c r="M300"/>
  <c r="N300"/>
  <c r="O300"/>
  <c r="P300"/>
  <c r="Q300"/>
  <c r="R300"/>
  <c r="S300"/>
  <c r="T300"/>
  <c r="U300"/>
  <c r="V300"/>
  <c r="W300"/>
  <c r="X300"/>
  <c r="Y300"/>
  <c r="Z300"/>
  <c r="AA300"/>
  <c r="AB300"/>
  <c r="AC300"/>
  <c r="AD300"/>
  <c r="AE300"/>
  <c r="AF300"/>
  <c r="AG300"/>
  <c r="AH304"/>
  <c r="B304" s="1"/>
  <c r="C316"/>
  <c r="D316"/>
  <c r="E316"/>
  <c r="F316"/>
  <c r="G316"/>
  <c r="H316"/>
  <c r="I316"/>
  <c r="J316"/>
  <c r="K316"/>
  <c r="L316"/>
  <c r="M316"/>
  <c r="N316"/>
  <c r="O316"/>
  <c r="P316"/>
  <c r="Q316"/>
  <c r="R316"/>
  <c r="S316"/>
  <c r="T316"/>
  <c r="U316"/>
  <c r="V316"/>
  <c r="W316"/>
  <c r="X316"/>
  <c r="Y316"/>
  <c r="Z316"/>
  <c r="AA316"/>
  <c r="AB316"/>
  <c r="AC316"/>
  <c r="AD316"/>
  <c r="AE316"/>
  <c r="AF316"/>
  <c r="AG316"/>
  <c r="AH320"/>
  <c r="B320" s="1"/>
  <c r="AH321"/>
  <c r="B321" s="1"/>
  <c r="AH322"/>
  <c r="B322" s="1"/>
  <c r="AH323"/>
  <c r="B323" s="1"/>
  <c r="AH324"/>
  <c r="B324" s="1"/>
  <c r="AH325"/>
  <c r="B325" s="1"/>
  <c r="AH326"/>
  <c r="B326" s="1"/>
  <c r="AH327"/>
  <c r="B327" s="1"/>
  <c r="AH328"/>
  <c r="B328" s="1"/>
  <c r="AH329"/>
  <c r="B329" s="1"/>
  <c r="AH330"/>
  <c r="B330" s="1"/>
  <c r="AH331"/>
  <c r="B331" s="1"/>
  <c r="C332"/>
  <c r="D332"/>
  <c r="E332"/>
  <c r="F332"/>
  <c r="G332"/>
  <c r="H332"/>
  <c r="I332"/>
  <c r="J332"/>
  <c r="K332"/>
  <c r="L332"/>
  <c r="M332"/>
  <c r="N332"/>
  <c r="O332"/>
  <c r="P332"/>
  <c r="Q332"/>
  <c r="R332"/>
  <c r="S332"/>
  <c r="T332"/>
  <c r="U332"/>
  <c r="V332"/>
  <c r="W332"/>
  <c r="X332"/>
  <c r="Y332"/>
  <c r="Z332"/>
  <c r="AA332"/>
  <c r="AB332"/>
  <c r="AC332"/>
  <c r="AD332"/>
  <c r="AE332"/>
  <c r="AF332"/>
  <c r="AG332"/>
  <c r="AH336"/>
  <c r="B336" s="1"/>
  <c r="AH337"/>
  <c r="B337" s="1"/>
  <c r="AH338"/>
  <c r="B338" s="1"/>
  <c r="AH339"/>
  <c r="B339" s="1"/>
  <c r="AH340"/>
  <c r="B340" s="1"/>
  <c r="AH341"/>
  <c r="B341" s="1"/>
  <c r="AH342"/>
  <c r="B342" s="1"/>
  <c r="AH343"/>
  <c r="B343" s="1"/>
  <c r="AH344"/>
  <c r="B344" s="1"/>
  <c r="AH345"/>
  <c r="B345" s="1"/>
  <c r="AH346"/>
  <c r="B346" s="1"/>
  <c r="AH347"/>
  <c r="B347" s="1"/>
  <c r="C348"/>
  <c r="D348"/>
  <c r="E348"/>
  <c r="F348"/>
  <c r="G348"/>
  <c r="H348"/>
  <c r="I348"/>
  <c r="J348"/>
  <c r="K348"/>
  <c r="L348"/>
  <c r="M348"/>
  <c r="N348"/>
  <c r="O348"/>
  <c r="P348"/>
  <c r="Q348"/>
  <c r="R348"/>
  <c r="S348"/>
  <c r="T348"/>
  <c r="U348"/>
  <c r="V348"/>
  <c r="W348"/>
  <c r="X348"/>
  <c r="Y348"/>
  <c r="Z348"/>
  <c r="AA348"/>
  <c r="AB348"/>
  <c r="AC348"/>
  <c r="AD348"/>
  <c r="AE348"/>
  <c r="AF348"/>
  <c r="AG348"/>
  <c r="AH352"/>
  <c r="B352" s="1"/>
  <c r="AH353"/>
  <c r="B353" s="1"/>
  <c r="AH354"/>
  <c r="B354" s="1"/>
  <c r="E64" i="1908" s="1"/>
  <c r="AH355" i="112"/>
  <c r="B355" s="1"/>
  <c r="AH356"/>
  <c r="B356" s="1"/>
  <c r="AH357"/>
  <c r="B357" s="1"/>
  <c r="AH358"/>
  <c r="B358" s="1"/>
  <c r="AH359"/>
  <c r="B359" s="1"/>
  <c r="AH360"/>
  <c r="B360" s="1"/>
  <c r="AH361"/>
  <c r="B361" s="1"/>
  <c r="AH362"/>
  <c r="B362" s="1"/>
  <c r="AH363"/>
  <c r="B363" s="1"/>
  <c r="C364"/>
  <c r="D364"/>
  <c r="E364"/>
  <c r="F364"/>
  <c r="G364"/>
  <c r="H364"/>
  <c r="I364"/>
  <c r="J364"/>
  <c r="K364"/>
  <c r="L364"/>
  <c r="M364"/>
  <c r="N364"/>
  <c r="O364"/>
  <c r="P364"/>
  <c r="Q364"/>
  <c r="R364"/>
  <c r="S364"/>
  <c r="T364"/>
  <c r="U364"/>
  <c r="V364"/>
  <c r="W364"/>
  <c r="X364"/>
  <c r="Y364"/>
  <c r="Z364"/>
  <c r="AA364"/>
  <c r="AB364"/>
  <c r="AC364"/>
  <c r="AD364"/>
  <c r="AE364"/>
  <c r="AF364"/>
  <c r="AG364"/>
  <c r="AH368"/>
  <c r="B368" s="1"/>
  <c r="AH369"/>
  <c r="B369" s="1"/>
  <c r="AH370"/>
  <c r="B370" s="1"/>
  <c r="AH371"/>
  <c r="B371" s="1"/>
  <c r="AH372"/>
  <c r="B372" s="1"/>
  <c r="AH373"/>
  <c r="B373" s="1"/>
  <c r="AH374"/>
  <c r="B374" s="1"/>
  <c r="AH375"/>
  <c r="B375" s="1"/>
  <c r="AH376"/>
  <c r="B376" s="1"/>
  <c r="AH377"/>
  <c r="B377" s="1"/>
  <c r="AH378"/>
  <c r="B378" s="1"/>
  <c r="AH379"/>
  <c r="B379" s="1"/>
  <c r="C380"/>
  <c r="D380"/>
  <c r="E380"/>
  <c r="F380"/>
  <c r="G380"/>
  <c r="H380"/>
  <c r="I380"/>
  <c r="J380"/>
  <c r="K380"/>
  <c r="L380"/>
  <c r="M380"/>
  <c r="N380"/>
  <c r="O380"/>
  <c r="P380"/>
  <c r="Q380"/>
  <c r="R380"/>
  <c r="S380"/>
  <c r="T380"/>
  <c r="U380"/>
  <c r="V380"/>
  <c r="W380"/>
  <c r="X380"/>
  <c r="Y380"/>
  <c r="Z380"/>
  <c r="AA380"/>
  <c r="AB380"/>
  <c r="AC380"/>
  <c r="AD380"/>
  <c r="AE380"/>
  <c r="AF380"/>
  <c r="AG380"/>
  <c r="AH384"/>
  <c r="B384" s="1"/>
  <c r="AH385"/>
  <c r="B385" s="1"/>
  <c r="AH386"/>
  <c r="B386" s="1"/>
  <c r="AH387"/>
  <c r="B387" s="1"/>
  <c r="AH388"/>
  <c r="B388" s="1"/>
  <c r="AH389"/>
  <c r="B389" s="1"/>
  <c r="AH390"/>
  <c r="B390" s="1"/>
  <c r="AH391"/>
  <c r="B391" s="1"/>
  <c r="AH392"/>
  <c r="B392" s="1"/>
  <c r="AH393"/>
  <c r="B393" s="1"/>
  <c r="AH394"/>
  <c r="B394" s="1"/>
  <c r="AH395"/>
  <c r="B395" s="1"/>
  <c r="C396"/>
  <c r="D396"/>
  <c r="E396"/>
  <c r="F396"/>
  <c r="G396"/>
  <c r="H396"/>
  <c r="I396"/>
  <c r="J396"/>
  <c r="K396"/>
  <c r="L396"/>
  <c r="M396"/>
  <c r="N396"/>
  <c r="O396"/>
  <c r="P396"/>
  <c r="Q396"/>
  <c r="R396"/>
  <c r="S396"/>
  <c r="T396"/>
  <c r="U396"/>
  <c r="V396"/>
  <c r="W396"/>
  <c r="X396"/>
  <c r="Y396"/>
  <c r="Z396"/>
  <c r="AA396"/>
  <c r="AB396"/>
  <c r="AC396"/>
  <c r="AD396"/>
  <c r="AE396"/>
  <c r="AF396"/>
  <c r="AG396"/>
  <c r="AH400"/>
  <c r="B400" s="1"/>
  <c r="AH401"/>
  <c r="B401" s="1"/>
  <c r="AH402"/>
  <c r="B402" s="1"/>
  <c r="AH403"/>
  <c r="B403" s="1"/>
  <c r="AH404"/>
  <c r="B404" s="1"/>
  <c r="AH405"/>
  <c r="B405" s="1"/>
  <c r="AH406"/>
  <c r="B406" s="1"/>
  <c r="AH407"/>
  <c r="B407" s="1"/>
  <c r="AH408"/>
  <c r="B408" s="1"/>
  <c r="B409"/>
  <c r="AH409"/>
  <c r="B410"/>
  <c r="AH410"/>
  <c r="B411"/>
  <c r="AH411"/>
  <c r="C412"/>
  <c r="D412"/>
  <c r="E412"/>
  <c r="F412"/>
  <c r="G412"/>
  <c r="H412"/>
  <c r="I412"/>
  <c r="J412"/>
  <c r="K412"/>
  <c r="L412"/>
  <c r="M412"/>
  <c r="N412"/>
  <c r="O412"/>
  <c r="P412"/>
  <c r="Q412"/>
  <c r="R412"/>
  <c r="S412"/>
  <c r="T412"/>
  <c r="U412"/>
  <c r="V412"/>
  <c r="W412"/>
  <c r="X412"/>
  <c r="Y412"/>
  <c r="Z412"/>
  <c r="AA412"/>
  <c r="AB412"/>
  <c r="AC412"/>
  <c r="AD412"/>
  <c r="AE412"/>
  <c r="AF412"/>
  <c r="AG412"/>
  <c r="AH416"/>
  <c r="B416" s="1"/>
  <c r="AH417"/>
  <c r="B417" s="1"/>
  <c r="C428"/>
  <c r="D428"/>
  <c r="E428"/>
  <c r="F428"/>
  <c r="G428"/>
  <c r="H428"/>
  <c r="I428"/>
  <c r="J428"/>
  <c r="K428"/>
  <c r="L428"/>
  <c r="M428"/>
  <c r="N428"/>
  <c r="O428"/>
  <c r="P428"/>
  <c r="Q428"/>
  <c r="R428"/>
  <c r="S428"/>
  <c r="T428"/>
  <c r="U428"/>
  <c r="V428"/>
  <c r="W428"/>
  <c r="X428"/>
  <c r="Y428"/>
  <c r="Z428"/>
  <c r="AA428"/>
  <c r="AB428"/>
  <c r="AC428"/>
  <c r="AD428"/>
  <c r="AE428"/>
  <c r="AF428"/>
  <c r="AG428"/>
  <c r="B434"/>
  <c r="AH434"/>
  <c r="AH435"/>
  <c r="B435" s="1"/>
  <c r="AH436"/>
  <c r="B436" s="1"/>
  <c r="AH437"/>
  <c r="B437" s="1"/>
  <c r="AH438"/>
  <c r="B438" s="1"/>
  <c r="AH439"/>
  <c r="B439" s="1"/>
  <c r="AH440"/>
  <c r="B440" s="1"/>
  <c r="AH441"/>
  <c r="B441" s="1"/>
  <c r="AH442"/>
  <c r="B442" s="1"/>
  <c r="AH443"/>
  <c r="B443" s="1"/>
  <c r="AH444"/>
  <c r="B444" s="1"/>
  <c r="AH445"/>
  <c r="B445" s="1"/>
  <c r="C446"/>
  <c r="D446"/>
  <c r="E446"/>
  <c r="F446"/>
  <c r="G446"/>
  <c r="H446"/>
  <c r="I446"/>
  <c r="J446"/>
  <c r="K446"/>
  <c r="L446"/>
  <c r="M446"/>
  <c r="N446"/>
  <c r="O446"/>
  <c r="P446"/>
  <c r="Q446"/>
  <c r="R446"/>
  <c r="S446"/>
  <c r="T446"/>
  <c r="U446"/>
  <c r="V446"/>
  <c r="W446"/>
  <c r="X446"/>
  <c r="Y446"/>
  <c r="Z446"/>
  <c r="AA446"/>
  <c r="AB446"/>
  <c r="AC446"/>
  <c r="AD446"/>
  <c r="AE446"/>
  <c r="AF446"/>
  <c r="AG446"/>
  <c r="B451"/>
  <c r="AH451"/>
  <c r="AH452"/>
  <c r="B453"/>
  <c r="AH453"/>
  <c r="B454"/>
  <c r="AH454"/>
  <c r="AH455"/>
  <c r="B455" s="1"/>
  <c r="AH456"/>
  <c r="B456"/>
  <c r="AH457"/>
  <c r="B457" s="1"/>
  <c r="AH458"/>
  <c r="B458" s="1"/>
  <c r="AH459"/>
  <c r="B459" s="1"/>
  <c r="AH460"/>
  <c r="B460" s="1"/>
  <c r="AH461"/>
  <c r="B461" s="1"/>
  <c r="AH462"/>
  <c r="B462" s="1"/>
  <c r="C463"/>
  <c r="D463"/>
  <c r="E463"/>
  <c r="F463"/>
  <c r="G463"/>
  <c r="H463"/>
  <c r="I463"/>
  <c r="J463"/>
  <c r="K463"/>
  <c r="L463"/>
  <c r="M463"/>
  <c r="N463"/>
  <c r="O463"/>
  <c r="P463"/>
  <c r="Q463"/>
  <c r="R463"/>
  <c r="S463"/>
  <c r="T463"/>
  <c r="U463"/>
  <c r="V463"/>
  <c r="W463"/>
  <c r="X463"/>
  <c r="Y463"/>
  <c r="Z463"/>
  <c r="AA463"/>
  <c r="AB463"/>
  <c r="AC463"/>
  <c r="AD463"/>
  <c r="AE463"/>
  <c r="AF463"/>
  <c r="AG463"/>
  <c r="B467"/>
  <c r="AH467"/>
  <c r="AH468"/>
  <c r="B469"/>
  <c r="AH469"/>
  <c r="B470"/>
  <c r="AH470"/>
  <c r="AH471"/>
  <c r="B471" s="1"/>
  <c r="AH472"/>
  <c r="B472" s="1"/>
  <c r="AH473"/>
  <c r="B473" s="1"/>
  <c r="AH474"/>
  <c r="B474" s="1"/>
  <c r="AH475"/>
  <c r="B475" s="1"/>
  <c r="AH476"/>
  <c r="B476" s="1"/>
  <c r="AH477"/>
  <c r="B477" s="1"/>
  <c r="AH478"/>
  <c r="B478" s="1"/>
  <c r="C479"/>
  <c r="D479"/>
  <c r="E479"/>
  <c r="F479"/>
  <c r="G479"/>
  <c r="H479"/>
  <c r="I479"/>
  <c r="J479"/>
  <c r="K479"/>
  <c r="L479"/>
  <c r="M479"/>
  <c r="N479"/>
  <c r="O479"/>
  <c r="P479"/>
  <c r="Q479"/>
  <c r="R479"/>
  <c r="S479"/>
  <c r="T479"/>
  <c r="U479"/>
  <c r="V479"/>
  <c r="W479"/>
  <c r="X479"/>
  <c r="Y479"/>
  <c r="Z479"/>
  <c r="AA479"/>
  <c r="AB479"/>
  <c r="AC479"/>
  <c r="AD479"/>
  <c r="AE479"/>
  <c r="AF479"/>
  <c r="AG479"/>
  <c r="B484"/>
  <c r="AH484"/>
  <c r="B485"/>
  <c r="AH485"/>
  <c r="B486"/>
  <c r="AH486"/>
  <c r="B487"/>
  <c r="AH487"/>
  <c r="B488"/>
  <c r="AH488"/>
  <c r="B489"/>
  <c r="AH489"/>
  <c r="B490"/>
  <c r="AH490"/>
  <c r="B491"/>
  <c r="AH491"/>
  <c r="B492"/>
  <c r="AH492"/>
  <c r="B493"/>
  <c r="AH493"/>
  <c r="AH494"/>
  <c r="B494" s="1"/>
  <c r="AH495"/>
  <c r="B495" s="1"/>
  <c r="C496"/>
  <c r="D496"/>
  <c r="E496"/>
  <c r="F496"/>
  <c r="G496"/>
  <c r="H496"/>
  <c r="I496"/>
  <c r="J496"/>
  <c r="K496"/>
  <c r="L496"/>
  <c r="M496"/>
  <c r="N496"/>
  <c r="O496"/>
  <c r="P496"/>
  <c r="Q496"/>
  <c r="R496"/>
  <c r="S496"/>
  <c r="T496"/>
  <c r="U496"/>
  <c r="V496"/>
  <c r="W496"/>
  <c r="X496"/>
  <c r="Y496"/>
  <c r="Z496"/>
  <c r="AA496"/>
  <c r="AB496"/>
  <c r="AC496"/>
  <c r="AD496"/>
  <c r="AE496"/>
  <c r="AF496"/>
  <c r="AG496"/>
  <c r="AH502"/>
  <c r="B502" s="1"/>
  <c r="AH503"/>
  <c r="B503" s="1"/>
  <c r="AH504"/>
  <c r="B504" s="1"/>
  <c r="AH505"/>
  <c r="B505" s="1"/>
  <c r="AH506"/>
  <c r="B506" s="1"/>
  <c r="AH507"/>
  <c r="B507" s="1"/>
  <c r="AH508"/>
  <c r="B508" s="1"/>
  <c r="AH509"/>
  <c r="B509" s="1"/>
  <c r="G132" i="60796" s="1"/>
  <c r="AH510" i="112"/>
  <c r="B510" s="1"/>
  <c r="AH511"/>
  <c r="B511" s="1"/>
  <c r="AH512"/>
  <c r="B512" s="1"/>
  <c r="AH513"/>
  <c r="B513" s="1"/>
  <c r="C514"/>
  <c r="D514"/>
  <c r="E514"/>
  <c r="F514"/>
  <c r="G514"/>
  <c r="H514"/>
  <c r="I514"/>
  <c r="J514"/>
  <c r="K514"/>
  <c r="L514"/>
  <c r="M514"/>
  <c r="N514"/>
  <c r="O514"/>
  <c r="P514"/>
  <c r="Q514"/>
  <c r="R514"/>
  <c r="S514"/>
  <c r="T514"/>
  <c r="U514"/>
  <c r="V514"/>
  <c r="W514"/>
  <c r="X514"/>
  <c r="Y514"/>
  <c r="Z514"/>
  <c r="AA514"/>
  <c r="AB514"/>
  <c r="AC514"/>
  <c r="AD514"/>
  <c r="AE514"/>
  <c r="AF514"/>
  <c r="AG514"/>
  <c r="D8" i="1908"/>
  <c r="D11" s="1"/>
  <c r="D9"/>
  <c r="D10"/>
  <c r="C11"/>
  <c r="C17"/>
  <c r="D22"/>
  <c r="D28" s="1"/>
  <c r="D23"/>
  <c r="D24"/>
  <c r="D26"/>
  <c r="D27"/>
  <c r="D42"/>
  <c r="D43"/>
  <c r="C44"/>
  <c r="C49"/>
  <c r="D54"/>
  <c r="D55"/>
  <c r="D56"/>
  <c r="D57"/>
  <c r="D58"/>
  <c r="D59"/>
  <c r="D60"/>
  <c r="D61"/>
  <c r="D62"/>
  <c r="D63"/>
  <c r="D64"/>
  <c r="D65"/>
  <c r="D66"/>
  <c r="D67"/>
  <c r="D68"/>
  <c r="C69"/>
  <c r="D90"/>
  <c r="F90" s="1"/>
  <c r="D91"/>
  <c r="F91"/>
  <c r="D113" s="1"/>
  <c r="G113" s="1"/>
  <c r="D92"/>
  <c r="F92" s="1"/>
  <c r="D114" s="1"/>
  <c r="D93"/>
  <c r="F93"/>
  <c r="D115" s="1"/>
  <c r="D94"/>
  <c r="F94" s="1"/>
  <c r="D116" s="1"/>
  <c r="G116" s="1"/>
  <c r="D95"/>
  <c r="F95"/>
  <c r="D117" s="1"/>
  <c r="F117" s="1"/>
  <c r="D96"/>
  <c r="G96" s="1"/>
  <c r="F96"/>
  <c r="D118" s="1"/>
  <c r="D97"/>
  <c r="F97" s="1"/>
  <c r="D119" s="1"/>
  <c r="D98"/>
  <c r="F98"/>
  <c r="D120" s="1"/>
  <c r="D99"/>
  <c r="F99" s="1"/>
  <c r="D121" s="1"/>
  <c r="F121" s="1"/>
  <c r="D100"/>
  <c r="F100"/>
  <c r="D122" s="1"/>
  <c r="G122" s="1"/>
  <c r="D101"/>
  <c r="F101" s="1"/>
  <c r="D123" s="1"/>
  <c r="G123" s="1"/>
  <c r="D102"/>
  <c r="F102" s="1"/>
  <c r="D124" s="1"/>
  <c r="G104"/>
  <c r="D105"/>
  <c r="F105" s="1"/>
  <c r="D126" s="1"/>
  <c r="D106"/>
  <c r="D107"/>
  <c r="AH7" i="514"/>
  <c r="AH8"/>
  <c r="B8" s="1"/>
  <c r="AH9"/>
  <c r="B9" s="1"/>
  <c r="AH10"/>
  <c r="B10" s="1"/>
  <c r="AH11"/>
  <c r="B11" s="1"/>
  <c r="AH12"/>
  <c r="B12" s="1"/>
  <c r="AH13"/>
  <c r="B13" s="1"/>
  <c r="AH14"/>
  <c r="B14" s="1"/>
  <c r="AH15"/>
  <c r="B15" s="1"/>
  <c r="AH16"/>
  <c r="B16"/>
  <c r="AH17"/>
  <c r="B17" s="1"/>
  <c r="AH18"/>
  <c r="B18" s="1"/>
  <c r="C19"/>
  <c r="D19"/>
  <c r="E19"/>
  <c r="F19"/>
  <c r="G19"/>
  <c r="H19"/>
  <c r="I19"/>
  <c r="J19"/>
  <c r="K19"/>
  <c r="L19"/>
  <c r="M19"/>
  <c r="N19"/>
  <c r="O19"/>
  <c r="P19"/>
  <c r="Q19"/>
  <c r="R19"/>
  <c r="S19"/>
  <c r="T19"/>
  <c r="U19"/>
  <c r="V19"/>
  <c r="W19"/>
  <c r="X19"/>
  <c r="Y19"/>
  <c r="Z19"/>
  <c r="AA19"/>
  <c r="AB19"/>
  <c r="AC19"/>
  <c r="AD19"/>
  <c r="AE19"/>
  <c r="AF19"/>
  <c r="AG19"/>
  <c r="B23"/>
  <c r="B24"/>
  <c r="AH25"/>
  <c r="AH26"/>
  <c r="B26" s="1"/>
  <c r="AH27"/>
  <c r="B27" s="1"/>
  <c r="AH28"/>
  <c r="B28" s="1"/>
  <c r="AH29"/>
  <c r="B29" s="1"/>
  <c r="AH30"/>
  <c r="B30" s="1"/>
  <c r="G157" i="60796" s="1"/>
  <c r="AH31" i="514"/>
  <c r="B31" s="1"/>
  <c r="G158" i="60796" s="1"/>
  <c r="AH32" i="514"/>
  <c r="B32" s="1"/>
  <c r="AH33"/>
  <c r="B33" s="1"/>
  <c r="AH34"/>
  <c r="B34" s="1"/>
  <c r="C35"/>
  <c r="D35"/>
  <c r="E35"/>
  <c r="F35"/>
  <c r="G35"/>
  <c r="H35"/>
  <c r="I35"/>
  <c r="J35"/>
  <c r="K35"/>
  <c r="L35"/>
  <c r="M35"/>
  <c r="N35"/>
  <c r="O35"/>
  <c r="P35"/>
  <c r="Q35"/>
  <c r="R35"/>
  <c r="S35"/>
  <c r="T35"/>
  <c r="U35"/>
  <c r="V35"/>
  <c r="W35"/>
  <c r="X35"/>
  <c r="Y35"/>
  <c r="Z35"/>
  <c r="AA35"/>
  <c r="AB35"/>
  <c r="AC35"/>
  <c r="AD35"/>
  <c r="AE35"/>
  <c r="AF35"/>
  <c r="AG35"/>
  <c r="AH8" i="32"/>
  <c r="AH9"/>
  <c r="B9" s="1"/>
  <c r="AH10"/>
  <c r="B10" s="1"/>
  <c r="AH11"/>
  <c r="B11" s="1"/>
  <c r="AH12"/>
  <c r="B12" s="1"/>
  <c r="AH13"/>
  <c r="B13" s="1"/>
  <c r="AH14"/>
  <c r="B14"/>
  <c r="AH15"/>
  <c r="B15" s="1"/>
  <c r="AH16"/>
  <c r="B16" s="1"/>
  <c r="AH17"/>
  <c r="B17" s="1"/>
  <c r="AH18"/>
  <c r="B18" s="1"/>
  <c r="AH19"/>
  <c r="B19" s="1"/>
  <c r="C20"/>
  <c r="D20"/>
  <c r="F20"/>
  <c r="G20"/>
  <c r="H20"/>
  <c r="I20"/>
  <c r="J20"/>
  <c r="K20"/>
  <c r="L20"/>
  <c r="M20"/>
  <c r="N20"/>
  <c r="O20"/>
  <c r="P20"/>
  <c r="Q20"/>
  <c r="R20"/>
  <c r="S20"/>
  <c r="T20"/>
  <c r="U20"/>
  <c r="V20"/>
  <c r="W20"/>
  <c r="X20"/>
  <c r="Y20"/>
  <c r="Z20"/>
  <c r="AA20"/>
  <c r="AB20"/>
  <c r="AC20"/>
  <c r="AE20"/>
  <c r="AF20"/>
  <c r="AG20"/>
  <c r="AH24"/>
  <c r="B24" s="1"/>
  <c r="AH25"/>
  <c r="AH36" s="1"/>
  <c r="AH26"/>
  <c r="B26" s="1"/>
  <c r="AH27"/>
  <c r="B27" s="1"/>
  <c r="AH28"/>
  <c r="B28" s="1"/>
  <c r="AH29"/>
  <c r="B29" s="1"/>
  <c r="AH30"/>
  <c r="B30" s="1"/>
  <c r="AH31"/>
  <c r="B31" s="1"/>
  <c r="AH32"/>
  <c r="B32"/>
  <c r="AH33"/>
  <c r="B33"/>
  <c r="AH34"/>
  <c r="B34" s="1"/>
  <c r="AH35"/>
  <c r="B35" s="1"/>
  <c r="C36"/>
  <c r="D36"/>
  <c r="F36"/>
  <c r="G36"/>
  <c r="H36"/>
  <c r="I36"/>
  <c r="J36"/>
  <c r="K36"/>
  <c r="L36"/>
  <c r="M36"/>
  <c r="N36"/>
  <c r="O36"/>
  <c r="P36"/>
  <c r="Q36"/>
  <c r="R36"/>
  <c r="S36"/>
  <c r="T36"/>
  <c r="U36"/>
  <c r="V36"/>
  <c r="W36"/>
  <c r="X36"/>
  <c r="Y36"/>
  <c r="Z36"/>
  <c r="AA36"/>
  <c r="AB36"/>
  <c r="AC36"/>
  <c r="AE36"/>
  <c r="AF36"/>
  <c r="AG36"/>
  <c r="AH41"/>
  <c r="AH42"/>
  <c r="B42" s="1"/>
  <c r="AH43"/>
  <c r="B43" s="1"/>
  <c r="AH44"/>
  <c r="B44" s="1"/>
  <c r="AH45"/>
  <c r="B45" s="1"/>
  <c r="AH46"/>
  <c r="B46" s="1"/>
  <c r="AH47"/>
  <c r="B47" s="1"/>
  <c r="AH48"/>
  <c r="B48" s="1"/>
  <c r="AH49"/>
  <c r="B49" s="1"/>
  <c r="AH50"/>
  <c r="B50" s="1"/>
  <c r="AH51"/>
  <c r="B51" s="1"/>
  <c r="AH52"/>
  <c r="B52" s="1"/>
  <c r="C53"/>
  <c r="D53"/>
  <c r="E53"/>
  <c r="F53"/>
  <c r="G53"/>
  <c r="H53"/>
  <c r="I53"/>
  <c r="J53"/>
  <c r="K53"/>
  <c r="L53"/>
  <c r="M53"/>
  <c r="N53"/>
  <c r="O53"/>
  <c r="P53"/>
  <c r="Q53"/>
  <c r="R53"/>
  <c r="S53"/>
  <c r="T53"/>
  <c r="U53"/>
  <c r="V53"/>
  <c r="W53"/>
  <c r="X53"/>
  <c r="Y53"/>
  <c r="Z53"/>
  <c r="AA53"/>
  <c r="AB53"/>
  <c r="AC53"/>
  <c r="AE53"/>
  <c r="AF53"/>
  <c r="AG53"/>
  <c r="AH57"/>
  <c r="AH58"/>
  <c r="B58" s="1"/>
  <c r="AH59"/>
  <c r="B59" s="1"/>
  <c r="AH60"/>
  <c r="B60" s="1"/>
  <c r="AH61"/>
  <c r="B61" s="1"/>
  <c r="F31" i="7380" s="1"/>
  <c r="AH62" i="32"/>
  <c r="B62"/>
  <c r="AH63"/>
  <c r="B63"/>
  <c r="AH64"/>
  <c r="B64" s="1"/>
  <c r="AH65"/>
  <c r="B65"/>
  <c r="AH66"/>
  <c r="B66" s="1"/>
  <c r="B67"/>
  <c r="AH67"/>
  <c r="AH68"/>
  <c r="B68" s="1"/>
  <c r="C69"/>
  <c r="D69"/>
  <c r="E69"/>
  <c r="F69"/>
  <c r="G69"/>
  <c r="H69"/>
  <c r="I69"/>
  <c r="J69"/>
  <c r="K69"/>
  <c r="L69"/>
  <c r="M69"/>
  <c r="N69"/>
  <c r="O69"/>
  <c r="P69"/>
  <c r="Q69"/>
  <c r="R69"/>
  <c r="S69"/>
  <c r="T69"/>
  <c r="U69"/>
  <c r="V69"/>
  <c r="W69"/>
  <c r="X69"/>
  <c r="Y69"/>
  <c r="Z69"/>
  <c r="AA69"/>
  <c r="AB69"/>
  <c r="AC69"/>
  <c r="AE69"/>
  <c r="AF69"/>
  <c r="AG69"/>
  <c r="AH75"/>
  <c r="B75" s="1"/>
  <c r="B76"/>
  <c r="AH76"/>
  <c r="AH77"/>
  <c r="B77" s="1"/>
  <c r="AH78"/>
  <c r="B78" s="1"/>
  <c r="AH79"/>
  <c r="B79" s="1"/>
  <c r="F191" i="7380" s="1"/>
  <c r="AH80" i="32"/>
  <c r="B80" s="1"/>
  <c r="AH81"/>
  <c r="B81" s="1"/>
  <c r="AH82"/>
  <c r="B82" s="1"/>
  <c r="AH83"/>
  <c r="B83" s="1"/>
  <c r="AH84"/>
  <c r="B84" s="1"/>
  <c r="AH85"/>
  <c r="B85" s="1"/>
  <c r="AH86"/>
  <c r="B86" s="1"/>
  <c r="C87"/>
  <c r="D87"/>
  <c r="F87"/>
  <c r="G87"/>
  <c r="H87"/>
  <c r="I87"/>
  <c r="J87"/>
  <c r="K87"/>
  <c r="L87"/>
  <c r="M87"/>
  <c r="N87"/>
  <c r="O87"/>
  <c r="P87"/>
  <c r="Q87"/>
  <c r="R87"/>
  <c r="S87"/>
  <c r="T87"/>
  <c r="U87"/>
  <c r="V87"/>
  <c r="W87"/>
  <c r="X87"/>
  <c r="Y87"/>
  <c r="Z87"/>
  <c r="AA87"/>
  <c r="AB87"/>
  <c r="AC87"/>
  <c r="AE87"/>
  <c r="AF87"/>
  <c r="AG87"/>
  <c r="AH91"/>
  <c r="B91" s="1"/>
  <c r="AH92"/>
  <c r="B92" s="1"/>
  <c r="AH93"/>
  <c r="B93" s="1"/>
  <c r="AB94"/>
  <c r="B95"/>
  <c r="AH95"/>
  <c r="AH96"/>
  <c r="B96" s="1"/>
  <c r="AH97"/>
  <c r="B97" s="1"/>
  <c r="AH98"/>
  <c r="B98" s="1"/>
  <c r="AH99"/>
  <c r="B99" s="1"/>
  <c r="AH100"/>
  <c r="B100" s="1"/>
  <c r="AH101"/>
  <c r="B101" s="1"/>
  <c r="AH102"/>
  <c r="B102" s="1"/>
  <c r="C103"/>
  <c r="D103"/>
  <c r="F103"/>
  <c r="G103"/>
  <c r="H103"/>
  <c r="I103"/>
  <c r="J103"/>
  <c r="K103"/>
  <c r="L103"/>
  <c r="M103"/>
  <c r="N103"/>
  <c r="O103"/>
  <c r="P103"/>
  <c r="Q103"/>
  <c r="R103"/>
  <c r="S103"/>
  <c r="T103"/>
  <c r="U103"/>
  <c r="V103"/>
  <c r="W103"/>
  <c r="X103"/>
  <c r="Y103"/>
  <c r="Z103"/>
  <c r="AA103"/>
  <c r="AC103"/>
  <c r="AE103"/>
  <c r="AF103"/>
  <c r="AG103"/>
  <c r="AH107"/>
  <c r="B107" s="1"/>
  <c r="AH108"/>
  <c r="AH109"/>
  <c r="B109" s="1"/>
  <c r="AH110"/>
  <c r="B110" s="1"/>
  <c r="AH111"/>
  <c r="B111" s="1"/>
  <c r="AH112"/>
  <c r="B112" s="1"/>
  <c r="AH113"/>
  <c r="B113" s="1"/>
  <c r="AH114"/>
  <c r="B114"/>
  <c r="AH115"/>
  <c r="B115"/>
  <c r="AH116"/>
  <c r="B116"/>
  <c r="AH117"/>
  <c r="B117" s="1"/>
  <c r="AH118"/>
  <c r="B118" s="1"/>
  <c r="C119"/>
  <c r="D119"/>
  <c r="F119"/>
  <c r="G119"/>
  <c r="H119"/>
  <c r="I119"/>
  <c r="J119"/>
  <c r="K119"/>
  <c r="L119"/>
  <c r="M119"/>
  <c r="N119"/>
  <c r="O119"/>
  <c r="P119"/>
  <c r="Q119"/>
  <c r="R119"/>
  <c r="S119"/>
  <c r="T119"/>
  <c r="U119"/>
  <c r="V119"/>
  <c r="W119"/>
  <c r="X119"/>
  <c r="Y119"/>
  <c r="Z119"/>
  <c r="AA119"/>
  <c r="AB119"/>
  <c r="AC119"/>
  <c r="AE119"/>
  <c r="AF119"/>
  <c r="AG119"/>
  <c r="AH123"/>
  <c r="AH124"/>
  <c r="B124" s="1"/>
  <c r="AH125"/>
  <c r="B125" s="1"/>
  <c r="AH126"/>
  <c r="B126" s="1"/>
  <c r="AH127"/>
  <c r="B127" s="1"/>
  <c r="AH128"/>
  <c r="B128" s="1"/>
  <c r="AH129"/>
  <c r="B129" s="1"/>
  <c r="AH130"/>
  <c r="B130"/>
  <c r="AH131"/>
  <c r="B131" s="1"/>
  <c r="AH132"/>
  <c r="B132"/>
  <c r="AH133"/>
  <c r="B133" s="1"/>
  <c r="AH134"/>
  <c r="B134" s="1"/>
  <c r="C135"/>
  <c r="D135"/>
  <c r="F135"/>
  <c r="G135"/>
  <c r="H135"/>
  <c r="I135"/>
  <c r="J135"/>
  <c r="K135"/>
  <c r="L135"/>
  <c r="M135"/>
  <c r="N135"/>
  <c r="O135"/>
  <c r="P135"/>
  <c r="Q135"/>
  <c r="R135"/>
  <c r="S135"/>
  <c r="T135"/>
  <c r="U135"/>
  <c r="V135"/>
  <c r="W135"/>
  <c r="X135"/>
  <c r="Y135"/>
  <c r="Z135"/>
  <c r="AA135"/>
  <c r="AB135"/>
  <c r="AC135"/>
  <c r="AE135"/>
  <c r="AF135"/>
  <c r="AG135"/>
  <c r="AH139"/>
  <c r="AH140"/>
  <c r="B140" s="1"/>
  <c r="AH141"/>
  <c r="B141" s="1"/>
  <c r="AH142"/>
  <c r="B142" s="1"/>
  <c r="AH143"/>
  <c r="B143" s="1"/>
  <c r="AH144"/>
  <c r="B144" s="1"/>
  <c r="AH145"/>
  <c r="B145"/>
  <c r="AH146"/>
  <c r="B146" s="1"/>
  <c r="AH147"/>
  <c r="B147" s="1"/>
  <c r="AH148"/>
  <c r="B148" s="1"/>
  <c r="AH149"/>
  <c r="B149" s="1"/>
  <c r="AH150"/>
  <c r="B150" s="1"/>
  <c r="C151"/>
  <c r="D151"/>
  <c r="F151"/>
  <c r="G151"/>
  <c r="H151"/>
  <c r="I151"/>
  <c r="J151"/>
  <c r="K151"/>
  <c r="L151"/>
  <c r="M151"/>
  <c r="N151"/>
  <c r="O151"/>
  <c r="P151"/>
  <c r="Q151"/>
  <c r="R151"/>
  <c r="S151"/>
  <c r="T151"/>
  <c r="U151"/>
  <c r="V151"/>
  <c r="W151"/>
  <c r="X151"/>
  <c r="Y151"/>
  <c r="Z151"/>
  <c r="AA151"/>
  <c r="AB151"/>
  <c r="AC151"/>
  <c r="AE151"/>
  <c r="AF151"/>
  <c r="AG151"/>
  <c r="B155"/>
  <c r="AH155"/>
  <c r="B156"/>
  <c r="AH156"/>
  <c r="AH157"/>
  <c r="B157" s="1"/>
  <c r="AH158"/>
  <c r="B158" s="1"/>
  <c r="B159"/>
  <c r="AH159"/>
  <c r="AH160"/>
  <c r="B160" s="1"/>
  <c r="AH161"/>
  <c r="B161" s="1"/>
  <c r="AH162"/>
  <c r="B162" s="1"/>
  <c r="AH163"/>
  <c r="B163" s="1"/>
  <c r="AH164"/>
  <c r="B164" s="1"/>
  <c r="B165"/>
  <c r="AH165"/>
  <c r="AH166"/>
  <c r="B166" s="1"/>
  <c r="C167"/>
  <c r="D167"/>
  <c r="F167"/>
  <c r="G167"/>
  <c r="H167"/>
  <c r="I167"/>
  <c r="J167"/>
  <c r="K167"/>
  <c r="L167"/>
  <c r="M167"/>
  <c r="N167"/>
  <c r="O167"/>
  <c r="P167"/>
  <c r="Q167"/>
  <c r="R167"/>
  <c r="S167"/>
  <c r="T167"/>
  <c r="U167"/>
  <c r="V167"/>
  <c r="W167"/>
  <c r="X167"/>
  <c r="Y167"/>
  <c r="Z167"/>
  <c r="AA167"/>
  <c r="AB167"/>
  <c r="AC167"/>
  <c r="AE167"/>
  <c r="AF167"/>
  <c r="AG167"/>
  <c r="AH167"/>
  <c r="AH171"/>
  <c r="AH172"/>
  <c r="B172" s="1"/>
  <c r="AH173"/>
  <c r="B173" s="1"/>
  <c r="AH174"/>
  <c r="B174" s="1"/>
  <c r="AH175"/>
  <c r="B175" s="1"/>
  <c r="F197" i="7380" s="1"/>
  <c r="AH176" i="32"/>
  <c r="B176" s="1"/>
  <c r="B177"/>
  <c r="AH177"/>
  <c r="AH178"/>
  <c r="B178" s="1"/>
  <c r="AH179"/>
  <c r="B179" s="1"/>
  <c r="AH180"/>
  <c r="B180" s="1"/>
  <c r="AH181"/>
  <c r="B181" s="1"/>
  <c r="AH182"/>
  <c r="B182" s="1"/>
  <c r="C183"/>
  <c r="D183"/>
  <c r="F183"/>
  <c r="G183"/>
  <c r="H183"/>
  <c r="I183"/>
  <c r="J183"/>
  <c r="K183"/>
  <c r="L183"/>
  <c r="M183"/>
  <c r="N183"/>
  <c r="O183"/>
  <c r="P183"/>
  <c r="Q183"/>
  <c r="R183"/>
  <c r="S183"/>
  <c r="T183"/>
  <c r="U183"/>
  <c r="V183"/>
  <c r="W183"/>
  <c r="X183"/>
  <c r="Y183"/>
  <c r="Z183"/>
  <c r="AA183"/>
  <c r="AB183"/>
  <c r="AC183"/>
  <c r="AE183"/>
  <c r="AF183"/>
  <c r="AG183"/>
  <c r="AH187"/>
  <c r="B187" s="1"/>
  <c r="B188"/>
  <c r="AH188"/>
  <c r="AH189"/>
  <c r="B189" s="1"/>
  <c r="B190"/>
  <c r="AH190"/>
  <c r="AH191"/>
  <c r="B191" s="1"/>
  <c r="B192"/>
  <c r="AH192"/>
  <c r="AH193"/>
  <c r="B193" s="1"/>
  <c r="AH194"/>
  <c r="AH195"/>
  <c r="B195" s="1"/>
  <c r="AH196"/>
  <c r="B196"/>
  <c r="AH197"/>
  <c r="B197" s="1"/>
  <c r="AH198"/>
  <c r="B198" s="1"/>
  <c r="C199"/>
  <c r="D199"/>
  <c r="F199"/>
  <c r="G199"/>
  <c r="H199"/>
  <c r="I199"/>
  <c r="J199"/>
  <c r="K199"/>
  <c r="L199"/>
  <c r="M199"/>
  <c r="N199"/>
  <c r="O199"/>
  <c r="P199"/>
  <c r="Q199"/>
  <c r="R199"/>
  <c r="S199"/>
  <c r="T199"/>
  <c r="U199"/>
  <c r="V199"/>
  <c r="W199"/>
  <c r="X199"/>
  <c r="Y199"/>
  <c r="Z199"/>
  <c r="AA199"/>
  <c r="AB199"/>
  <c r="AC199"/>
  <c r="AE199"/>
  <c r="AF199"/>
  <c r="AG199"/>
  <c r="AH203"/>
  <c r="B203" s="1"/>
  <c r="AH204"/>
  <c r="B204" s="1"/>
  <c r="AH205"/>
  <c r="B205" s="1"/>
  <c r="AH206"/>
  <c r="B206" s="1"/>
  <c r="AH207"/>
  <c r="B207" s="1"/>
  <c r="F199" i="7380" s="1"/>
  <c r="AH208" i="32"/>
  <c r="B208" s="1"/>
  <c r="AH209"/>
  <c r="B209" s="1"/>
  <c r="AH210"/>
  <c r="B210"/>
  <c r="AH211"/>
  <c r="B211"/>
  <c r="AH212"/>
  <c r="B212" s="1"/>
  <c r="B213"/>
  <c r="AH213"/>
  <c r="AH214"/>
  <c r="B214" s="1"/>
  <c r="C215"/>
  <c r="D215"/>
  <c r="F215"/>
  <c r="G215"/>
  <c r="H215"/>
  <c r="I215"/>
  <c r="J215"/>
  <c r="K215"/>
  <c r="L215"/>
  <c r="M215"/>
  <c r="N215"/>
  <c r="O215"/>
  <c r="P215"/>
  <c r="Q215"/>
  <c r="R215"/>
  <c r="S215"/>
  <c r="T215"/>
  <c r="U215"/>
  <c r="V215"/>
  <c r="W215"/>
  <c r="X215"/>
  <c r="Y215"/>
  <c r="Z215"/>
  <c r="AA215"/>
  <c r="AB215"/>
  <c r="AC215"/>
  <c r="AE215"/>
  <c r="AF215"/>
  <c r="AG215"/>
  <c r="AH215"/>
  <c r="AH219"/>
  <c r="B219" s="1"/>
  <c r="AH220"/>
  <c r="B220" s="1"/>
  <c r="AH221"/>
  <c r="B221" s="1"/>
  <c r="AH222"/>
  <c r="AH223"/>
  <c r="B223" s="1"/>
  <c r="AH224"/>
  <c r="B224" s="1"/>
  <c r="AH225"/>
  <c r="B225"/>
  <c r="F200" i="7380" s="1"/>
  <c r="AH226" i="32"/>
  <c r="B226"/>
  <c r="AH227"/>
  <c r="B227"/>
  <c r="AH228"/>
  <c r="B228"/>
  <c r="AH229"/>
  <c r="B229" s="1"/>
  <c r="AH230"/>
  <c r="B230" s="1"/>
  <c r="C231"/>
  <c r="D231"/>
  <c r="F231"/>
  <c r="G231"/>
  <c r="H231"/>
  <c r="I231"/>
  <c r="J231"/>
  <c r="K231"/>
  <c r="L231"/>
  <c r="M231"/>
  <c r="N231"/>
  <c r="O231"/>
  <c r="P231"/>
  <c r="Q231"/>
  <c r="R231"/>
  <c r="S231"/>
  <c r="T231"/>
  <c r="U231"/>
  <c r="V231"/>
  <c r="W231"/>
  <c r="X231"/>
  <c r="Y231"/>
  <c r="Z231"/>
  <c r="AA231"/>
  <c r="AB231"/>
  <c r="AC231"/>
  <c r="AE231"/>
  <c r="AF231"/>
  <c r="AG231"/>
  <c r="AH235"/>
  <c r="B235" s="1"/>
  <c r="AH236"/>
  <c r="B236" s="1"/>
  <c r="AH237"/>
  <c r="B237" s="1"/>
  <c r="AH238"/>
  <c r="B238" s="1"/>
  <c r="AH239"/>
  <c r="B239" s="1"/>
  <c r="AH240"/>
  <c r="B240" s="1"/>
  <c r="AH241"/>
  <c r="B241" s="1"/>
  <c r="F201" i="7380" s="1"/>
  <c r="AH242" i="32"/>
  <c r="B242" s="1"/>
  <c r="AH243"/>
  <c r="B243" s="1"/>
  <c r="AH244"/>
  <c r="B244"/>
  <c r="AH245"/>
  <c r="B245" s="1"/>
  <c r="AH246"/>
  <c r="B246" s="1"/>
  <c r="C247"/>
  <c r="D247"/>
  <c r="F247"/>
  <c r="G247"/>
  <c r="H247"/>
  <c r="I247"/>
  <c r="J247"/>
  <c r="K247"/>
  <c r="L247"/>
  <c r="M247"/>
  <c r="N247"/>
  <c r="O247"/>
  <c r="P247"/>
  <c r="Q247"/>
  <c r="R247"/>
  <c r="S247"/>
  <c r="T247"/>
  <c r="U247"/>
  <c r="V247"/>
  <c r="W247"/>
  <c r="X247"/>
  <c r="Y247"/>
  <c r="Z247"/>
  <c r="AA247"/>
  <c r="AB247"/>
  <c r="AC247"/>
  <c r="AE247"/>
  <c r="AF247"/>
  <c r="AG247"/>
  <c r="AH247"/>
  <c r="AH251"/>
  <c r="B251" s="1"/>
  <c r="AH252"/>
  <c r="AH253"/>
  <c r="B253" s="1"/>
  <c r="AH254"/>
  <c r="B254" s="1"/>
  <c r="AH255"/>
  <c r="B255" s="1"/>
  <c r="AH256"/>
  <c r="B256" s="1"/>
  <c r="AH257"/>
  <c r="B257" s="1"/>
  <c r="AH258"/>
  <c r="B258" s="1"/>
  <c r="F202" i="7380" s="1"/>
  <c r="AH259" i="32"/>
  <c r="B259" s="1"/>
  <c r="AH260"/>
  <c r="B260" s="1"/>
  <c r="AH261"/>
  <c r="B261" s="1"/>
  <c r="AH262"/>
  <c r="B262" s="1"/>
  <c r="C263"/>
  <c r="D263"/>
  <c r="F263"/>
  <c r="G263"/>
  <c r="H263"/>
  <c r="I263"/>
  <c r="J263"/>
  <c r="K263"/>
  <c r="L263"/>
  <c r="M263"/>
  <c r="N263"/>
  <c r="O263"/>
  <c r="P263"/>
  <c r="Q263"/>
  <c r="R263"/>
  <c r="S263"/>
  <c r="T263"/>
  <c r="U263"/>
  <c r="V263"/>
  <c r="W263"/>
  <c r="X263"/>
  <c r="Y263"/>
  <c r="Z263"/>
  <c r="AA263"/>
  <c r="AB263"/>
  <c r="AC263"/>
  <c r="AE263"/>
  <c r="AF263"/>
  <c r="AG263"/>
  <c r="AH267"/>
  <c r="B267" s="1"/>
  <c r="AH268"/>
  <c r="AH269"/>
  <c r="B269" s="1"/>
  <c r="AH270"/>
  <c r="B270" s="1"/>
  <c r="AH271"/>
  <c r="B271" s="1"/>
  <c r="AH272"/>
  <c r="B272" s="1"/>
  <c r="AH273"/>
  <c r="B273" s="1"/>
  <c r="AH274"/>
  <c r="B274" s="1"/>
  <c r="AH275"/>
  <c r="B275" s="1"/>
  <c r="AH276"/>
  <c r="B276" s="1"/>
  <c r="AH277"/>
  <c r="B277" s="1"/>
  <c r="AH278"/>
  <c r="B278" s="1"/>
  <c r="C279"/>
  <c r="D279"/>
  <c r="F279"/>
  <c r="G279"/>
  <c r="H279"/>
  <c r="I279"/>
  <c r="J279"/>
  <c r="K279"/>
  <c r="L279"/>
  <c r="M279"/>
  <c r="N279"/>
  <c r="O279"/>
  <c r="P279"/>
  <c r="Q279"/>
  <c r="R279"/>
  <c r="S279"/>
  <c r="T279"/>
  <c r="U279"/>
  <c r="V279"/>
  <c r="W279"/>
  <c r="X279"/>
  <c r="Y279"/>
  <c r="Z279"/>
  <c r="AA279"/>
  <c r="AB279"/>
  <c r="AC279"/>
  <c r="AE279"/>
  <c r="AF279"/>
  <c r="AG279"/>
  <c r="AH283"/>
  <c r="B283" s="1"/>
  <c r="AH284"/>
  <c r="B284" s="1"/>
  <c r="AH285"/>
  <c r="B285" s="1"/>
  <c r="AH286"/>
  <c r="B286" s="1"/>
  <c r="AH287"/>
  <c r="B287" s="1"/>
  <c r="AH288"/>
  <c r="B288" s="1"/>
  <c r="AH289"/>
  <c r="B289" s="1"/>
  <c r="F204" i="7380" s="1"/>
  <c r="AH290" i="32"/>
  <c r="B290" s="1"/>
  <c r="AH291"/>
  <c r="B291"/>
  <c r="AH292"/>
  <c r="B292" s="1"/>
  <c r="AH293"/>
  <c r="B293" s="1"/>
  <c r="AH294"/>
  <c r="B294" s="1"/>
  <c r="C295"/>
  <c r="D295"/>
  <c r="F295"/>
  <c r="G295"/>
  <c r="H295"/>
  <c r="I295"/>
  <c r="J295"/>
  <c r="K295"/>
  <c r="L295"/>
  <c r="M295"/>
  <c r="N295"/>
  <c r="O295"/>
  <c r="P295"/>
  <c r="Q295"/>
  <c r="R295"/>
  <c r="S295"/>
  <c r="T295"/>
  <c r="U295"/>
  <c r="V295"/>
  <c r="W295"/>
  <c r="X295"/>
  <c r="Y295"/>
  <c r="Z295"/>
  <c r="AA295"/>
  <c r="AB295"/>
  <c r="AC295"/>
  <c r="AE295"/>
  <c r="AF295"/>
  <c r="AG295"/>
  <c r="AH299"/>
  <c r="B299" s="1"/>
  <c r="AH300"/>
  <c r="AH301"/>
  <c r="B301" s="1"/>
  <c r="AH302"/>
  <c r="B302" s="1"/>
  <c r="AH303"/>
  <c r="B303"/>
  <c r="AH304"/>
  <c r="B304" s="1"/>
  <c r="F205" i="7380" s="1"/>
  <c r="AH305" i="32"/>
  <c r="B305" s="1"/>
  <c r="AH306"/>
  <c r="B306"/>
  <c r="AH307"/>
  <c r="B307" s="1"/>
  <c r="AH308"/>
  <c r="B308" s="1"/>
  <c r="AH309"/>
  <c r="B309" s="1"/>
  <c r="AH310"/>
  <c r="B310" s="1"/>
  <c r="C311"/>
  <c r="D311"/>
  <c r="F311"/>
  <c r="G311"/>
  <c r="H311"/>
  <c r="I311"/>
  <c r="J311"/>
  <c r="K311"/>
  <c r="L311"/>
  <c r="M311"/>
  <c r="N311"/>
  <c r="O311"/>
  <c r="P311"/>
  <c r="Q311"/>
  <c r="R311"/>
  <c r="S311"/>
  <c r="T311"/>
  <c r="U311"/>
  <c r="V311"/>
  <c r="W311"/>
  <c r="X311"/>
  <c r="Y311"/>
  <c r="Z311"/>
  <c r="AA311"/>
  <c r="AB311"/>
  <c r="AC311"/>
  <c r="AE311"/>
  <c r="AF311"/>
  <c r="AG311"/>
  <c r="AH315"/>
  <c r="B315" s="1"/>
  <c r="AH316"/>
  <c r="B316" s="1"/>
  <c r="AH317"/>
  <c r="B317" s="1"/>
  <c r="AH318"/>
  <c r="B318" s="1"/>
  <c r="AH319"/>
  <c r="B319" s="1"/>
  <c r="F206" i="7380" s="1"/>
  <c r="AH320" i="32"/>
  <c r="B320" s="1"/>
  <c r="AH321"/>
  <c r="B321" s="1"/>
  <c r="AH322"/>
  <c r="B322"/>
  <c r="AH323"/>
  <c r="B323"/>
  <c r="AH324"/>
  <c r="B324"/>
  <c r="F226" i="7380" s="1"/>
  <c r="AH325" i="32"/>
  <c r="B325" s="1"/>
  <c r="AH326"/>
  <c r="B326" s="1"/>
  <c r="C327"/>
  <c r="D327"/>
  <c r="F327"/>
  <c r="G327"/>
  <c r="H327"/>
  <c r="I327"/>
  <c r="J327"/>
  <c r="K327"/>
  <c r="L327"/>
  <c r="M327"/>
  <c r="N327"/>
  <c r="O327"/>
  <c r="P327"/>
  <c r="Q327"/>
  <c r="R327"/>
  <c r="S327"/>
  <c r="T327"/>
  <c r="U327"/>
  <c r="V327"/>
  <c r="W327"/>
  <c r="X327"/>
  <c r="Y327"/>
  <c r="Z327"/>
  <c r="AA327"/>
  <c r="AB327"/>
  <c r="AC327"/>
  <c r="AE327"/>
  <c r="AF327"/>
  <c r="AG327"/>
  <c r="AH327"/>
  <c r="AH331"/>
  <c r="B331" s="1"/>
  <c r="AH332"/>
  <c r="B332" s="1"/>
  <c r="AH333"/>
  <c r="B333" s="1"/>
  <c r="AH334"/>
  <c r="B334" s="1"/>
  <c r="AH335"/>
  <c r="B335" s="1"/>
  <c r="AH336"/>
  <c r="B336" s="1"/>
  <c r="AH337"/>
  <c r="B337" s="1"/>
  <c r="AH338"/>
  <c r="B338" s="1"/>
  <c r="F207" i="7380" s="1"/>
  <c r="AH339" i="32"/>
  <c r="B339" s="1"/>
  <c r="AH340"/>
  <c r="B340"/>
  <c r="AH341"/>
  <c r="B341" s="1"/>
  <c r="AH342"/>
  <c r="B342" s="1"/>
  <c r="C343"/>
  <c r="D343"/>
  <c r="F343"/>
  <c r="G343"/>
  <c r="H343"/>
  <c r="I343"/>
  <c r="J343"/>
  <c r="K343"/>
  <c r="L343"/>
  <c r="M343"/>
  <c r="N343"/>
  <c r="O343"/>
  <c r="P343"/>
  <c r="Q343"/>
  <c r="R343"/>
  <c r="S343"/>
  <c r="T343"/>
  <c r="U343"/>
  <c r="V343"/>
  <c r="W343"/>
  <c r="X343"/>
  <c r="Y343"/>
  <c r="Z343"/>
  <c r="AA343"/>
  <c r="AB343"/>
  <c r="AC343"/>
  <c r="AE343"/>
  <c r="AF343"/>
  <c r="AG343"/>
  <c r="AH349"/>
  <c r="AH350"/>
  <c r="B350" s="1"/>
  <c r="AH351"/>
  <c r="B351" s="1"/>
  <c r="AH352"/>
  <c r="B352" s="1"/>
  <c r="AH353"/>
  <c r="B353" s="1"/>
  <c r="AH354"/>
  <c r="B354"/>
  <c r="AH355"/>
  <c r="B355" s="1"/>
  <c r="AH356"/>
  <c r="B356" s="1"/>
  <c r="AH357"/>
  <c r="B357"/>
  <c r="AH358"/>
  <c r="B358" s="1"/>
  <c r="AH359"/>
  <c r="B359"/>
  <c r="AH360"/>
  <c r="B360" s="1"/>
  <c r="C361"/>
  <c r="D361"/>
  <c r="F361"/>
  <c r="G361"/>
  <c r="H361"/>
  <c r="I361"/>
  <c r="J361"/>
  <c r="K361"/>
  <c r="L361"/>
  <c r="M361"/>
  <c r="N361"/>
  <c r="O361"/>
  <c r="P361"/>
  <c r="Q361"/>
  <c r="R361"/>
  <c r="S361"/>
  <c r="T361"/>
  <c r="U361"/>
  <c r="V361"/>
  <c r="W361"/>
  <c r="X361"/>
  <c r="Y361"/>
  <c r="Z361"/>
  <c r="AA361"/>
  <c r="AB361"/>
  <c r="AC361"/>
  <c r="AE361"/>
  <c r="AF361"/>
  <c r="AG361"/>
  <c r="AH365"/>
  <c r="B365" s="1"/>
  <c r="AH366"/>
  <c r="AH367"/>
  <c r="B367" s="1"/>
  <c r="B368"/>
  <c r="AH368"/>
  <c r="AH369"/>
  <c r="B369" s="1"/>
  <c r="AH370"/>
  <c r="B370" s="1"/>
  <c r="AH371"/>
  <c r="B371" s="1"/>
  <c r="AH372"/>
  <c r="B372" s="1"/>
  <c r="F247" i="7380" s="1"/>
  <c r="AH373" i="32"/>
  <c r="B373" s="1"/>
  <c r="AH374"/>
  <c r="B374" s="1"/>
  <c r="AH375"/>
  <c r="B375" s="1"/>
  <c r="AH376"/>
  <c r="B376" s="1"/>
  <c r="C377"/>
  <c r="D377"/>
  <c r="F377"/>
  <c r="G377"/>
  <c r="H377"/>
  <c r="I377"/>
  <c r="J377"/>
  <c r="K377"/>
  <c r="L377"/>
  <c r="M377"/>
  <c r="N377"/>
  <c r="O377"/>
  <c r="P377"/>
  <c r="Q377"/>
  <c r="R377"/>
  <c r="S377"/>
  <c r="T377"/>
  <c r="U377"/>
  <c r="V377"/>
  <c r="W377"/>
  <c r="X377"/>
  <c r="Y377"/>
  <c r="Z377"/>
  <c r="AA377"/>
  <c r="AB377"/>
  <c r="AC377"/>
  <c r="AE377"/>
  <c r="AF377"/>
  <c r="AG377"/>
  <c r="B381"/>
  <c r="AH381"/>
  <c r="AH382"/>
  <c r="AH383"/>
  <c r="B383" s="1"/>
  <c r="AH384"/>
  <c r="B384" s="1"/>
  <c r="AH385"/>
  <c r="B385" s="1"/>
  <c r="AH386"/>
  <c r="B386" s="1"/>
  <c r="AH387"/>
  <c r="B387" s="1"/>
  <c r="AH388"/>
  <c r="B388" s="1"/>
  <c r="AH389"/>
  <c r="B389" s="1"/>
  <c r="AH390"/>
  <c r="B390" s="1"/>
  <c r="F248" i="7380" s="1"/>
  <c r="AH391" i="32"/>
  <c r="B391" s="1"/>
  <c r="AH392"/>
  <c r="B392"/>
  <c r="C393"/>
  <c r="D393"/>
  <c r="F393"/>
  <c r="G393"/>
  <c r="H393"/>
  <c r="I393"/>
  <c r="J393"/>
  <c r="K393"/>
  <c r="L393"/>
  <c r="M393"/>
  <c r="N393"/>
  <c r="O393"/>
  <c r="P393"/>
  <c r="Q393"/>
  <c r="R393"/>
  <c r="S393"/>
  <c r="T393"/>
  <c r="U393"/>
  <c r="V393"/>
  <c r="W393"/>
  <c r="X393"/>
  <c r="Y393"/>
  <c r="Z393"/>
  <c r="AA393"/>
  <c r="AB393"/>
  <c r="AC393"/>
  <c r="AE393"/>
  <c r="AF393"/>
  <c r="AG393"/>
  <c r="AH397"/>
  <c r="B397" s="1"/>
  <c r="AH398"/>
  <c r="AH399"/>
  <c r="B399" s="1"/>
  <c r="AH400"/>
  <c r="B400" s="1"/>
  <c r="AH401"/>
  <c r="B401" s="1"/>
  <c r="AH402"/>
  <c r="B402" s="1"/>
  <c r="AH403"/>
  <c r="B403" s="1"/>
  <c r="AH404"/>
  <c r="B404" s="1"/>
  <c r="AH405"/>
  <c r="B405" s="1"/>
  <c r="AH406"/>
  <c r="B406"/>
  <c r="AH407"/>
  <c r="B407"/>
  <c r="AH408"/>
  <c r="B408"/>
  <c r="C409"/>
  <c r="D409"/>
  <c r="F409"/>
  <c r="G409"/>
  <c r="H409"/>
  <c r="I409"/>
  <c r="J409"/>
  <c r="K409"/>
  <c r="L409"/>
  <c r="M409"/>
  <c r="N409"/>
  <c r="O409"/>
  <c r="P409"/>
  <c r="Q409"/>
  <c r="R409"/>
  <c r="S409"/>
  <c r="T409"/>
  <c r="U409"/>
  <c r="V409"/>
  <c r="W409"/>
  <c r="X409"/>
  <c r="Y409"/>
  <c r="Z409"/>
  <c r="AA409"/>
  <c r="AB409"/>
  <c r="AC409"/>
  <c r="AE409"/>
  <c r="AF409"/>
  <c r="AG409"/>
  <c r="AH413"/>
  <c r="AH414"/>
  <c r="B414" s="1"/>
  <c r="AH415"/>
  <c r="B415" s="1"/>
  <c r="AH416"/>
  <c r="B416" s="1"/>
  <c r="AH417"/>
  <c r="B417" s="1"/>
  <c r="AH418"/>
  <c r="B418" s="1"/>
  <c r="AH419"/>
  <c r="B419" s="1"/>
  <c r="AH420"/>
  <c r="B420" s="1"/>
  <c r="AH421"/>
  <c r="B421" s="1"/>
  <c r="F250" i="7380" s="1"/>
  <c r="AH422" i="32"/>
  <c r="B422" s="1"/>
  <c r="AH423"/>
  <c r="B423"/>
  <c r="AH424"/>
  <c r="B424" s="1"/>
  <c r="C425"/>
  <c r="D425"/>
  <c r="F425"/>
  <c r="G425"/>
  <c r="H425"/>
  <c r="I425"/>
  <c r="J425"/>
  <c r="K425"/>
  <c r="L425"/>
  <c r="M425"/>
  <c r="N425"/>
  <c r="O425"/>
  <c r="P425"/>
  <c r="Q425"/>
  <c r="R425"/>
  <c r="S425"/>
  <c r="T425"/>
  <c r="U425"/>
  <c r="V425"/>
  <c r="W425"/>
  <c r="X425"/>
  <c r="Y425"/>
  <c r="Z425"/>
  <c r="AA425"/>
  <c r="AB425"/>
  <c r="AC425"/>
  <c r="AE425"/>
  <c r="AF425"/>
  <c r="AG425"/>
  <c r="AH429"/>
  <c r="B429" s="1"/>
  <c r="AH430"/>
  <c r="B430" s="1"/>
  <c r="AH431"/>
  <c r="AH432"/>
  <c r="B432" s="1"/>
  <c r="AH433"/>
  <c r="B433" s="1"/>
  <c r="AH434"/>
  <c r="B434"/>
  <c r="C441"/>
  <c r="D441"/>
  <c r="F441"/>
  <c r="G441"/>
  <c r="H441"/>
  <c r="I441"/>
  <c r="J441"/>
  <c r="K441"/>
  <c r="L441"/>
  <c r="M441"/>
  <c r="N441"/>
  <c r="O441"/>
  <c r="P441"/>
  <c r="Q441"/>
  <c r="R441"/>
  <c r="S441"/>
  <c r="T441"/>
  <c r="U441"/>
  <c r="V441"/>
  <c r="W441"/>
  <c r="X441"/>
  <c r="Y441"/>
  <c r="Z441"/>
  <c r="AA441"/>
  <c r="AB441"/>
  <c r="AC441"/>
  <c r="AE441"/>
  <c r="AF441"/>
  <c r="AG441"/>
  <c r="AH445"/>
  <c r="B445" s="1"/>
  <c r="AH446"/>
  <c r="AH447"/>
  <c r="B447" s="1"/>
  <c r="AH448"/>
  <c r="B448" s="1"/>
  <c r="AH449"/>
  <c r="B449" s="1"/>
  <c r="AH450"/>
  <c r="B450" s="1"/>
  <c r="AH451"/>
  <c r="B451" s="1"/>
  <c r="AH452"/>
  <c r="B452" s="1"/>
  <c r="AH453"/>
  <c r="B453" s="1"/>
  <c r="AH454"/>
  <c r="B454" s="1"/>
  <c r="F252" i="7380" s="1"/>
  <c r="AH455" i="32"/>
  <c r="B455" s="1"/>
  <c r="AH456"/>
  <c r="B456"/>
  <c r="C457"/>
  <c r="D457"/>
  <c r="F457"/>
  <c r="G457"/>
  <c r="H457"/>
  <c r="I457"/>
  <c r="J457"/>
  <c r="K457"/>
  <c r="L457"/>
  <c r="M457"/>
  <c r="N457"/>
  <c r="O457"/>
  <c r="P457"/>
  <c r="Q457"/>
  <c r="R457"/>
  <c r="S457"/>
  <c r="T457"/>
  <c r="U457"/>
  <c r="V457"/>
  <c r="W457"/>
  <c r="X457"/>
  <c r="Y457"/>
  <c r="Z457"/>
  <c r="AA457"/>
  <c r="AB457"/>
  <c r="AC457"/>
  <c r="AE457"/>
  <c r="AF457"/>
  <c r="AG457"/>
  <c r="AH461"/>
  <c r="B461" s="1"/>
  <c r="AH462"/>
  <c r="AH463"/>
  <c r="B463" s="1"/>
  <c r="AH464"/>
  <c r="B464" s="1"/>
  <c r="AH465"/>
  <c r="B465" s="1"/>
  <c r="AH466"/>
  <c r="B466" s="1"/>
  <c r="AH467"/>
  <c r="B467" s="1"/>
  <c r="AH468"/>
  <c r="B468" s="1"/>
  <c r="AH469"/>
  <c r="B469" s="1"/>
  <c r="AH470"/>
  <c r="B470"/>
  <c r="AH471"/>
  <c r="B471"/>
  <c r="AH472"/>
  <c r="B472"/>
  <c r="C473"/>
  <c r="D473"/>
  <c r="F473"/>
  <c r="G473"/>
  <c r="H473"/>
  <c r="I473"/>
  <c r="J473"/>
  <c r="K473"/>
  <c r="L473"/>
  <c r="M473"/>
  <c r="N473"/>
  <c r="O473"/>
  <c r="P473"/>
  <c r="Q473"/>
  <c r="R473"/>
  <c r="S473"/>
  <c r="T473"/>
  <c r="U473"/>
  <c r="V473"/>
  <c r="W473"/>
  <c r="X473"/>
  <c r="Y473"/>
  <c r="Z473"/>
  <c r="AA473"/>
  <c r="AB473"/>
  <c r="AC473"/>
  <c r="AE473"/>
  <c r="AF473"/>
  <c r="AG473"/>
  <c r="AH477"/>
  <c r="B477" s="1"/>
  <c r="AH478"/>
  <c r="B478" s="1"/>
  <c r="AH479"/>
  <c r="B479" s="1"/>
  <c r="AH480"/>
  <c r="B480" s="1"/>
  <c r="AH481"/>
  <c r="B481" s="1"/>
  <c r="AH482"/>
  <c r="B482"/>
  <c r="AH483"/>
  <c r="B483" s="1"/>
  <c r="AH484"/>
  <c r="B484" s="1"/>
  <c r="AH485"/>
  <c r="B485" s="1"/>
  <c r="AH486"/>
  <c r="B486" s="1"/>
  <c r="AH487"/>
  <c r="B487"/>
  <c r="AH488"/>
  <c r="B488" s="1"/>
  <c r="C489"/>
  <c r="D489"/>
  <c r="F489"/>
  <c r="G489"/>
  <c r="H489"/>
  <c r="I489"/>
  <c r="J489"/>
  <c r="K489"/>
  <c r="L489"/>
  <c r="M489"/>
  <c r="N489"/>
  <c r="O489"/>
  <c r="P489"/>
  <c r="Q489"/>
  <c r="R489"/>
  <c r="S489"/>
  <c r="T489"/>
  <c r="U489"/>
  <c r="V489"/>
  <c r="W489"/>
  <c r="X489"/>
  <c r="Y489"/>
  <c r="Z489"/>
  <c r="AA489"/>
  <c r="AB489"/>
  <c r="AC489"/>
  <c r="AE489"/>
  <c r="AF489"/>
  <c r="AG489"/>
  <c r="AH493"/>
  <c r="B494"/>
  <c r="AH494"/>
  <c r="AH495"/>
  <c r="B495" s="1"/>
  <c r="B496"/>
  <c r="AH496"/>
  <c r="AH497"/>
  <c r="B497" s="1"/>
  <c r="AH498"/>
  <c r="B498" s="1"/>
  <c r="AH499"/>
  <c r="B499" s="1"/>
  <c r="AH500"/>
  <c r="B500" s="1"/>
  <c r="F255" i="7380" s="1"/>
  <c r="B501" i="32"/>
  <c r="AH501"/>
  <c r="AH502"/>
  <c r="B502" s="1"/>
  <c r="AH503"/>
  <c r="B503" s="1"/>
  <c r="AH504"/>
  <c r="B504" s="1"/>
  <c r="C505"/>
  <c r="D505"/>
  <c r="F505"/>
  <c r="G505"/>
  <c r="H505"/>
  <c r="I505"/>
  <c r="J505"/>
  <c r="K505"/>
  <c r="L505"/>
  <c r="M505"/>
  <c r="N505"/>
  <c r="O505"/>
  <c r="P505"/>
  <c r="Q505"/>
  <c r="R505"/>
  <c r="S505"/>
  <c r="T505"/>
  <c r="U505"/>
  <c r="V505"/>
  <c r="W505"/>
  <c r="X505"/>
  <c r="Y505"/>
  <c r="Z505"/>
  <c r="AA505"/>
  <c r="AB505"/>
  <c r="AC505"/>
  <c r="AE505"/>
  <c r="AF505"/>
  <c r="AG505"/>
  <c r="E8" i="7380"/>
  <c r="E10" s="1"/>
  <c r="E9"/>
  <c r="C10"/>
  <c r="C15"/>
  <c r="C20"/>
  <c r="E26"/>
  <c r="C27"/>
  <c r="E27"/>
  <c r="C32"/>
  <c r="C37"/>
  <c r="E42"/>
  <c r="G42" s="1"/>
  <c r="E43"/>
  <c r="G43" s="1"/>
  <c r="E44"/>
  <c r="G44"/>
  <c r="H44" s="1"/>
  <c r="E45"/>
  <c r="G45" s="1"/>
  <c r="H45" s="1"/>
  <c r="E46"/>
  <c r="G46" s="1"/>
  <c r="E47"/>
  <c r="G47"/>
  <c r="H47" s="1"/>
  <c r="E48"/>
  <c r="G48" s="1"/>
  <c r="E49"/>
  <c r="G49" s="1"/>
  <c r="G50"/>
  <c r="E51"/>
  <c r="G51"/>
  <c r="E52"/>
  <c r="G52" s="1"/>
  <c r="E53"/>
  <c r="G53"/>
  <c r="E117" s="1"/>
  <c r="G117" s="1"/>
  <c r="H117" s="1"/>
  <c r="E54"/>
  <c r="G54" s="1"/>
  <c r="H54" s="1"/>
  <c r="E55"/>
  <c r="G55" s="1"/>
  <c r="E56"/>
  <c r="G56" s="1"/>
  <c r="E57"/>
  <c r="G57"/>
  <c r="H57" s="1"/>
  <c r="E58"/>
  <c r="G58" s="1"/>
  <c r="G59"/>
  <c r="G60"/>
  <c r="E61"/>
  <c r="G61" s="1"/>
  <c r="E64"/>
  <c r="G64" s="1"/>
  <c r="E65"/>
  <c r="G65" s="1"/>
  <c r="H65" s="1"/>
  <c r="E66"/>
  <c r="G66" s="1"/>
  <c r="H66" s="1"/>
  <c r="E67"/>
  <c r="G67" s="1"/>
  <c r="E131" s="1"/>
  <c r="G131" s="1"/>
  <c r="H131" s="1"/>
  <c r="E68"/>
  <c r="G68" s="1"/>
  <c r="H68" s="1"/>
  <c r="E69"/>
  <c r="G69"/>
  <c r="E70"/>
  <c r="G70" s="1"/>
  <c r="E71"/>
  <c r="G71"/>
  <c r="H71" s="1"/>
  <c r="E72"/>
  <c r="G72" s="1"/>
  <c r="H72" s="1"/>
  <c r="E73"/>
  <c r="G73" s="1"/>
  <c r="H73" s="1"/>
  <c r="E74"/>
  <c r="G74" s="1"/>
  <c r="H74" s="1"/>
  <c r="G75"/>
  <c r="H75" s="1"/>
  <c r="E76"/>
  <c r="G76" s="1"/>
  <c r="E77"/>
  <c r="G77"/>
  <c r="G79"/>
  <c r="E81"/>
  <c r="G81" s="1"/>
  <c r="E82"/>
  <c r="G82" s="1"/>
  <c r="G84"/>
  <c r="E85"/>
  <c r="G85" s="1"/>
  <c r="H85" s="1"/>
  <c r="E86"/>
  <c r="G86" s="1"/>
  <c r="H86" s="1"/>
  <c r="E87"/>
  <c r="G87" s="1"/>
  <c r="E88"/>
  <c r="G88" s="1"/>
  <c r="H88" s="1"/>
  <c r="E89"/>
  <c r="G89" s="1"/>
  <c r="E90"/>
  <c r="G90" s="1"/>
  <c r="E154" s="1"/>
  <c r="G154" s="1"/>
  <c r="H154" s="1"/>
  <c r="E91"/>
  <c r="G91" s="1"/>
  <c r="E155" s="1"/>
  <c r="E92"/>
  <c r="G92" s="1"/>
  <c r="H92" s="1"/>
  <c r="E93"/>
  <c r="G93" s="1"/>
  <c r="G94"/>
  <c r="H94" s="1"/>
  <c r="D95"/>
  <c r="E96"/>
  <c r="G96" s="1"/>
  <c r="E97"/>
  <c r="G97"/>
  <c r="H97" s="1"/>
  <c r="E98"/>
  <c r="G98" s="1"/>
  <c r="E99"/>
  <c r="G99"/>
  <c r="H99" s="1"/>
  <c r="G100"/>
  <c r="E101"/>
  <c r="G101" s="1"/>
  <c r="F102"/>
  <c r="E108"/>
  <c r="G108" s="1"/>
  <c r="H108" s="1"/>
  <c r="E129"/>
  <c r="G129" s="1"/>
  <c r="H129" s="1"/>
  <c r="E135"/>
  <c r="G135" s="1"/>
  <c r="H135" s="1"/>
  <c r="E137"/>
  <c r="G137" s="1"/>
  <c r="H137" s="1"/>
  <c r="E139"/>
  <c r="G139" s="1"/>
  <c r="H139" s="1"/>
  <c r="E149"/>
  <c r="G149" s="1"/>
  <c r="H149" s="1"/>
  <c r="E161"/>
  <c r="G161" s="1"/>
  <c r="H161" s="1"/>
  <c r="E155" i="60796"/>
  <c r="D166" i="7380"/>
  <c r="E171"/>
  <c r="E172"/>
  <c r="E173"/>
  <c r="E174"/>
  <c r="E175"/>
  <c r="E176"/>
  <c r="E177"/>
  <c r="H178"/>
  <c r="E179"/>
  <c r="E180"/>
  <c r="E181"/>
  <c r="E182"/>
  <c r="E183"/>
  <c r="E184"/>
  <c r="E185"/>
  <c r="E186"/>
  <c r="E187"/>
  <c r="G187" s="1"/>
  <c r="C188"/>
  <c r="E159" i="60796" s="1"/>
  <c r="E188" i="7380"/>
  <c r="E198"/>
  <c r="C208"/>
  <c r="E160" i="60796" s="1"/>
  <c r="E233" i="7380"/>
  <c r="E235"/>
  <c r="E236"/>
  <c r="E237"/>
  <c r="E243" s="1"/>
  <c r="E239"/>
  <c r="E240"/>
  <c r="E241"/>
  <c r="E242"/>
  <c r="C256"/>
  <c r="AH7" i="1024"/>
  <c r="B7" s="1"/>
  <c r="AH8"/>
  <c r="B8" s="1"/>
  <c r="B19" s="1"/>
  <c r="AH9"/>
  <c r="B9" s="1"/>
  <c r="AH10"/>
  <c r="B10" s="1"/>
  <c r="AH11"/>
  <c r="B11" s="1"/>
  <c r="AH12"/>
  <c r="B12" s="1"/>
  <c r="AH13"/>
  <c r="B13" s="1"/>
  <c r="AH14"/>
  <c r="B14" s="1"/>
  <c r="AH15"/>
  <c r="B15" s="1"/>
  <c r="AH16"/>
  <c r="B16" s="1"/>
  <c r="AH17"/>
  <c r="B17" s="1"/>
  <c r="AH18"/>
  <c r="B18" s="1"/>
  <c r="AH23"/>
  <c r="AH24"/>
  <c r="B24" s="1"/>
  <c r="B25"/>
  <c r="B26"/>
  <c r="B27"/>
  <c r="B28"/>
  <c r="B29"/>
  <c r="AH30"/>
  <c r="B30" s="1"/>
  <c r="AH31"/>
  <c r="B31" s="1"/>
  <c r="G10" i="60796" s="1"/>
  <c r="B32" i="1024"/>
  <c r="B33"/>
  <c r="B34"/>
  <c r="AH39"/>
  <c r="B39" s="1"/>
  <c r="B51" s="1"/>
  <c r="AH40"/>
  <c r="B40" s="1"/>
  <c r="AH41"/>
  <c r="B41" s="1"/>
  <c r="AH42"/>
  <c r="B42" s="1"/>
  <c r="AH43"/>
  <c r="B43" s="1"/>
  <c r="AH44"/>
  <c r="B44" s="1"/>
  <c r="AH45"/>
  <c r="B45" s="1"/>
  <c r="AH46"/>
  <c r="B46" s="1"/>
  <c r="AH47"/>
  <c r="B47" s="1"/>
  <c r="B48"/>
  <c r="B55"/>
  <c r="AH55"/>
  <c r="AH56"/>
  <c r="B56" s="1"/>
  <c r="B57"/>
  <c r="AH57"/>
  <c r="AH58"/>
  <c r="B58" s="1"/>
  <c r="B59"/>
  <c r="AH59"/>
  <c r="AH60"/>
  <c r="B60" s="1"/>
  <c r="B61"/>
  <c r="AH61"/>
  <c r="AH62"/>
  <c r="B62" s="1"/>
  <c r="AH63"/>
  <c r="B63"/>
  <c r="AH64"/>
  <c r="B64"/>
  <c r="AH65"/>
  <c r="B65" s="1"/>
  <c r="AH66"/>
  <c r="B66" s="1"/>
  <c r="C67"/>
  <c r="D67"/>
  <c r="E67"/>
  <c r="F67"/>
  <c r="G67"/>
  <c r="H67"/>
  <c r="I67"/>
  <c r="J67"/>
  <c r="K67"/>
  <c r="L67"/>
  <c r="M67"/>
  <c r="N67"/>
  <c r="O67"/>
  <c r="P67"/>
  <c r="Q67"/>
  <c r="R67"/>
  <c r="S67"/>
  <c r="T67"/>
  <c r="U67"/>
  <c r="V67"/>
  <c r="W67"/>
  <c r="X67"/>
  <c r="Y67"/>
  <c r="Z67"/>
  <c r="AA67"/>
  <c r="AB67"/>
  <c r="AC67"/>
  <c r="AD67"/>
  <c r="AE67"/>
  <c r="AF67"/>
  <c r="AG67"/>
  <c r="AH67"/>
  <c r="AH72"/>
  <c r="B72" s="1"/>
  <c r="AH73"/>
  <c r="B73" s="1"/>
  <c r="AH74"/>
  <c r="B74" s="1"/>
  <c r="AH75"/>
  <c r="B75" s="1"/>
  <c r="AH76"/>
  <c r="B76" s="1"/>
  <c r="AH77"/>
  <c r="B77" s="1"/>
  <c r="AH78"/>
  <c r="B78"/>
  <c r="AH79"/>
  <c r="B79"/>
  <c r="AH80"/>
  <c r="B80"/>
  <c r="AH81"/>
  <c r="B81"/>
  <c r="AH82"/>
  <c r="B82" s="1"/>
  <c r="AH83"/>
  <c r="B83" s="1"/>
  <c r="C84"/>
  <c r="D84"/>
  <c r="E84"/>
  <c r="F84"/>
  <c r="G84"/>
  <c r="H84"/>
  <c r="I84"/>
  <c r="J84"/>
  <c r="K84"/>
  <c r="L84"/>
  <c r="M84"/>
  <c r="N84"/>
  <c r="O84"/>
  <c r="P84"/>
  <c r="Q84"/>
  <c r="R84"/>
  <c r="S84"/>
  <c r="T84"/>
  <c r="U84"/>
  <c r="V84"/>
  <c r="W84"/>
  <c r="X84"/>
  <c r="Y84"/>
  <c r="Z84"/>
  <c r="AA84"/>
  <c r="AB84"/>
  <c r="AC84"/>
  <c r="AD84"/>
  <c r="AE84"/>
  <c r="AF84"/>
  <c r="AG84"/>
  <c r="AH84"/>
  <c r="AH8" i="2316"/>
  <c r="B8"/>
  <c r="AH9"/>
  <c r="B9"/>
  <c r="AH10"/>
  <c r="B10"/>
  <c r="AH11"/>
  <c r="B11"/>
  <c r="AH12"/>
  <c r="B12"/>
  <c r="AH13"/>
  <c r="B13"/>
  <c r="AH14"/>
  <c r="B14"/>
  <c r="AH15"/>
  <c r="B15"/>
  <c r="AH16"/>
  <c r="B16"/>
  <c r="AH17"/>
  <c r="B17" s="1"/>
  <c r="AH18"/>
  <c r="B18" s="1"/>
  <c r="AH19"/>
  <c r="B19" s="1"/>
  <c r="C20"/>
  <c r="D20"/>
  <c r="E20"/>
  <c r="F20"/>
  <c r="G20"/>
  <c r="H20"/>
  <c r="I20"/>
  <c r="J20"/>
  <c r="K20"/>
  <c r="L20"/>
  <c r="M20"/>
  <c r="N20"/>
  <c r="O20"/>
  <c r="P20"/>
  <c r="Q20"/>
  <c r="R20"/>
  <c r="S20"/>
  <c r="T20"/>
  <c r="U20"/>
  <c r="V20"/>
  <c r="W20"/>
  <c r="X20"/>
  <c r="Y20"/>
  <c r="Z20"/>
  <c r="AA20"/>
  <c r="AB20"/>
  <c r="AC20"/>
  <c r="AD20"/>
  <c r="AE20"/>
  <c r="AF20"/>
  <c r="AG20"/>
  <c r="AH24"/>
  <c r="B24" s="1"/>
  <c r="AH25"/>
  <c r="B25" s="1"/>
  <c r="AH26"/>
  <c r="B26" s="1"/>
  <c r="AH27"/>
  <c r="AH28"/>
  <c r="B28" s="1"/>
  <c r="AH29"/>
  <c r="B29" s="1"/>
  <c r="AH30"/>
  <c r="B30" s="1"/>
  <c r="B31"/>
  <c r="B32"/>
  <c r="AH33"/>
  <c r="B33" s="1"/>
  <c r="AH34"/>
  <c r="B34" s="1"/>
  <c r="AH35"/>
  <c r="B35" s="1"/>
  <c r="C36"/>
  <c r="D36"/>
  <c r="E36"/>
  <c r="F36"/>
  <c r="G36"/>
  <c r="H36"/>
  <c r="I36"/>
  <c r="J36"/>
  <c r="K36"/>
  <c r="L36"/>
  <c r="M36"/>
  <c r="N36"/>
  <c r="O36"/>
  <c r="P36"/>
  <c r="Q36"/>
  <c r="R36"/>
  <c r="S36"/>
  <c r="T36"/>
  <c r="U36"/>
  <c r="V36"/>
  <c r="W36"/>
  <c r="X36"/>
  <c r="Y36"/>
  <c r="Z36"/>
  <c r="AA36"/>
  <c r="AB36"/>
  <c r="AC36"/>
  <c r="AD36"/>
  <c r="AE36"/>
  <c r="AF36"/>
  <c r="AG36"/>
  <c r="AH40"/>
  <c r="AH41"/>
  <c r="B41" s="1"/>
  <c r="AH42"/>
  <c r="B42" s="1"/>
  <c r="AH43"/>
  <c r="B43" s="1"/>
  <c r="AH44"/>
  <c r="B44" s="1"/>
  <c r="AH45"/>
  <c r="B45" s="1"/>
  <c r="AH46"/>
  <c r="B46" s="1"/>
  <c r="AH47"/>
  <c r="B47" s="1"/>
  <c r="AH48"/>
  <c r="B48" s="1"/>
  <c r="AH49"/>
  <c r="B49" s="1"/>
  <c r="AH50"/>
  <c r="B50" s="1"/>
  <c r="AH51"/>
  <c r="B51" s="1"/>
  <c r="C52"/>
  <c r="D52"/>
  <c r="F52"/>
  <c r="G52"/>
  <c r="H52"/>
  <c r="I52"/>
  <c r="J52"/>
  <c r="K52"/>
  <c r="L52"/>
  <c r="M52"/>
  <c r="N52"/>
  <c r="O52"/>
  <c r="P52"/>
  <c r="Q52"/>
  <c r="R52"/>
  <c r="S52"/>
  <c r="T52"/>
  <c r="U52"/>
  <c r="V52"/>
  <c r="W52"/>
  <c r="X52"/>
  <c r="Y52"/>
  <c r="Z52"/>
  <c r="AA52"/>
  <c r="AB52"/>
  <c r="AC52"/>
  <c r="AE52"/>
  <c r="AF52"/>
  <c r="AG52"/>
  <c r="B58"/>
  <c r="AH58"/>
  <c r="B59"/>
  <c r="AH59"/>
  <c r="B60"/>
  <c r="AH60"/>
  <c r="B61"/>
  <c r="AH61"/>
  <c r="B62"/>
  <c r="AH62"/>
  <c r="AH63"/>
  <c r="B63" s="1"/>
  <c r="AH64"/>
  <c r="B64" s="1"/>
  <c r="AH65"/>
  <c r="B65" s="1"/>
  <c r="AH66"/>
  <c r="B66" s="1"/>
  <c r="AH67"/>
  <c r="B67" s="1"/>
  <c r="AH68"/>
  <c r="B68" s="1"/>
  <c r="AH69"/>
  <c r="B69" s="1"/>
  <c r="C70"/>
  <c r="D70"/>
  <c r="F70"/>
  <c r="G70"/>
  <c r="H70"/>
  <c r="I70"/>
  <c r="J70"/>
  <c r="K70"/>
  <c r="L70"/>
  <c r="M70"/>
  <c r="N70"/>
  <c r="O70"/>
  <c r="P70"/>
  <c r="Q70"/>
  <c r="R70"/>
  <c r="S70"/>
  <c r="T70"/>
  <c r="U70"/>
  <c r="V70"/>
  <c r="W70"/>
  <c r="X70"/>
  <c r="Y70"/>
  <c r="Z70"/>
  <c r="AA70"/>
  <c r="AB70"/>
  <c r="AC70"/>
  <c r="AE70"/>
  <c r="AF70"/>
  <c r="AG70"/>
  <c r="AH70"/>
  <c r="AH74"/>
  <c r="AH75"/>
  <c r="B75" s="1"/>
  <c r="B76"/>
  <c r="AH76"/>
  <c r="AH77"/>
  <c r="B77" s="1"/>
  <c r="AH78"/>
  <c r="B78" s="1"/>
  <c r="F27" i="1792" s="1"/>
  <c r="AH79" i="2316"/>
  <c r="B79" s="1"/>
  <c r="AH80"/>
  <c r="B80" s="1"/>
  <c r="AH81"/>
  <c r="B81" s="1"/>
  <c r="AH82"/>
  <c r="B82" s="1"/>
  <c r="AH83"/>
  <c r="B83" s="1"/>
  <c r="AH84"/>
  <c r="B84" s="1"/>
  <c r="AH85"/>
  <c r="B85" s="1"/>
  <c r="C86"/>
  <c r="D86"/>
  <c r="F86"/>
  <c r="G86"/>
  <c r="H86"/>
  <c r="I86"/>
  <c r="J86"/>
  <c r="K86"/>
  <c r="L86"/>
  <c r="M86"/>
  <c r="N86"/>
  <c r="O86"/>
  <c r="P86"/>
  <c r="Q86"/>
  <c r="R86"/>
  <c r="S86"/>
  <c r="T86"/>
  <c r="U86"/>
  <c r="V86"/>
  <c r="W86"/>
  <c r="X86"/>
  <c r="Y86"/>
  <c r="Z86"/>
  <c r="AA86"/>
  <c r="AB86"/>
  <c r="AC86"/>
  <c r="AE86"/>
  <c r="AF86"/>
  <c r="AG86"/>
  <c r="AH91"/>
  <c r="AH92"/>
  <c r="B92" s="1"/>
  <c r="AH93"/>
  <c r="B93" s="1"/>
  <c r="AH94"/>
  <c r="B94" s="1"/>
  <c r="AH95"/>
  <c r="B95" s="1"/>
  <c r="AH96"/>
  <c r="B96" s="1"/>
  <c r="AH97"/>
  <c r="B97" s="1"/>
  <c r="AH98"/>
  <c r="B98" s="1"/>
  <c r="AH99"/>
  <c r="B99" s="1"/>
  <c r="F48" i="1792" s="1"/>
  <c r="AH100" i="2316"/>
  <c r="B100" s="1"/>
  <c r="AH101"/>
  <c r="B101" s="1"/>
  <c r="AH102"/>
  <c r="B102" s="1"/>
  <c r="C103"/>
  <c r="D103"/>
  <c r="E103"/>
  <c r="F103"/>
  <c r="G103"/>
  <c r="H103"/>
  <c r="I103"/>
  <c r="J103"/>
  <c r="K103"/>
  <c r="L103"/>
  <c r="M103"/>
  <c r="N103"/>
  <c r="O103"/>
  <c r="P103"/>
  <c r="Q103"/>
  <c r="R103"/>
  <c r="S103"/>
  <c r="T103"/>
  <c r="U103"/>
  <c r="V103"/>
  <c r="W103"/>
  <c r="X103"/>
  <c r="Y103"/>
  <c r="Z103"/>
  <c r="AA103"/>
  <c r="AB103"/>
  <c r="AC103"/>
  <c r="AD103"/>
  <c r="AE103"/>
  <c r="AF103"/>
  <c r="AG103"/>
  <c r="AH107"/>
  <c r="B107"/>
  <c r="AH108"/>
  <c r="B108" s="1"/>
  <c r="AH109"/>
  <c r="B109"/>
  <c r="AH110"/>
  <c r="B110" s="1"/>
  <c r="AH111"/>
  <c r="B111"/>
  <c r="AH112"/>
  <c r="B112" s="1"/>
  <c r="AH113"/>
  <c r="B113"/>
  <c r="AH114"/>
  <c r="B114" s="1"/>
  <c r="AH115"/>
  <c r="B115"/>
  <c r="AH116"/>
  <c r="AH117"/>
  <c r="B117" s="1"/>
  <c r="AH118"/>
  <c r="B118"/>
  <c r="C119"/>
  <c r="D119"/>
  <c r="E119"/>
  <c r="F119"/>
  <c r="G119"/>
  <c r="H119"/>
  <c r="I119"/>
  <c r="J119"/>
  <c r="K119"/>
  <c r="L119"/>
  <c r="M119"/>
  <c r="N119"/>
  <c r="O119"/>
  <c r="P119"/>
  <c r="Q119"/>
  <c r="R119"/>
  <c r="S119"/>
  <c r="T119"/>
  <c r="U119"/>
  <c r="V119"/>
  <c r="W119"/>
  <c r="X119"/>
  <c r="Y119"/>
  <c r="Z119"/>
  <c r="AA119"/>
  <c r="AB119"/>
  <c r="AC119"/>
  <c r="AD119"/>
  <c r="AE119"/>
  <c r="AF119"/>
  <c r="AG119"/>
  <c r="AH119"/>
  <c r="AH125"/>
  <c r="B125" s="1"/>
  <c r="AH126"/>
  <c r="B126" s="1"/>
  <c r="AH127"/>
  <c r="B127" s="1"/>
  <c r="AH128"/>
  <c r="B128" s="1"/>
  <c r="F185" i="1792" s="1"/>
  <c r="AH129" i="2316"/>
  <c r="B129" s="1"/>
  <c r="AH130"/>
  <c r="B130" s="1"/>
  <c r="AH131"/>
  <c r="B131" s="1"/>
  <c r="AH132"/>
  <c r="B132" s="1"/>
  <c r="F205" i="1792" s="1"/>
  <c r="AH133" i="2316"/>
  <c r="B133" s="1"/>
  <c r="AH134"/>
  <c r="B134"/>
  <c r="AH135"/>
  <c r="B135" s="1"/>
  <c r="AH136"/>
  <c r="B136" s="1"/>
  <c r="C137"/>
  <c r="D137"/>
  <c r="F137"/>
  <c r="G137"/>
  <c r="H137"/>
  <c r="I137"/>
  <c r="J137"/>
  <c r="K137"/>
  <c r="L137"/>
  <c r="M137"/>
  <c r="N137"/>
  <c r="O137"/>
  <c r="P137"/>
  <c r="Q137"/>
  <c r="R137"/>
  <c r="S137"/>
  <c r="T137"/>
  <c r="U137"/>
  <c r="V137"/>
  <c r="W137"/>
  <c r="X137"/>
  <c r="Y137"/>
  <c r="Z137"/>
  <c r="AA137"/>
  <c r="AB137"/>
  <c r="AC137"/>
  <c r="AE137"/>
  <c r="AF137"/>
  <c r="AG137"/>
  <c r="AH141"/>
  <c r="AH142"/>
  <c r="B142" s="1"/>
  <c r="AH143"/>
  <c r="B143" s="1"/>
  <c r="AH144"/>
  <c r="B144" s="1"/>
  <c r="AH145"/>
  <c r="B145" s="1"/>
  <c r="AH146"/>
  <c r="B146" s="1"/>
  <c r="AH147"/>
  <c r="B147" s="1"/>
  <c r="AH148"/>
  <c r="B148" s="1"/>
  <c r="AH149"/>
  <c r="B149" s="1"/>
  <c r="F226" i="1792" s="1"/>
  <c r="AH150" i="2316"/>
  <c r="B150" s="1"/>
  <c r="AH151"/>
  <c r="B151" s="1"/>
  <c r="AH152"/>
  <c r="B152" s="1"/>
  <c r="C153"/>
  <c r="D153"/>
  <c r="F153"/>
  <c r="G153"/>
  <c r="H153"/>
  <c r="I153"/>
  <c r="J153"/>
  <c r="K153"/>
  <c r="L153"/>
  <c r="M153"/>
  <c r="N153"/>
  <c r="O153"/>
  <c r="P153"/>
  <c r="Q153"/>
  <c r="R153"/>
  <c r="S153"/>
  <c r="T153"/>
  <c r="U153"/>
  <c r="V153"/>
  <c r="W153"/>
  <c r="X153"/>
  <c r="Y153"/>
  <c r="Z153"/>
  <c r="AA153"/>
  <c r="AB153"/>
  <c r="AC153"/>
  <c r="AE153"/>
  <c r="AF153"/>
  <c r="AG153"/>
  <c r="AH157"/>
  <c r="B157" s="1"/>
  <c r="AH158"/>
  <c r="B158" s="1"/>
  <c r="AH159"/>
  <c r="B159" s="1"/>
  <c r="AH160"/>
  <c r="B160" s="1"/>
  <c r="AH161"/>
  <c r="B161" s="1"/>
  <c r="F207" i="1792" s="1"/>
  <c r="AH162" i="2316"/>
  <c r="B162" s="1"/>
  <c r="AH163"/>
  <c r="B163" s="1"/>
  <c r="AH164"/>
  <c r="B164"/>
  <c r="AH165"/>
  <c r="B165"/>
  <c r="AH166"/>
  <c r="B166"/>
  <c r="AH167"/>
  <c r="B167" s="1"/>
  <c r="AH168"/>
  <c r="B168" s="1"/>
  <c r="C169"/>
  <c r="D169"/>
  <c r="F169"/>
  <c r="G169"/>
  <c r="H169"/>
  <c r="I169"/>
  <c r="J169"/>
  <c r="K169"/>
  <c r="L169"/>
  <c r="M169"/>
  <c r="N169"/>
  <c r="O169"/>
  <c r="P169"/>
  <c r="Q169"/>
  <c r="R169"/>
  <c r="S169"/>
  <c r="T169"/>
  <c r="U169"/>
  <c r="V169"/>
  <c r="W169"/>
  <c r="X169"/>
  <c r="Y169"/>
  <c r="Z169"/>
  <c r="AA169"/>
  <c r="AB169"/>
  <c r="AC169"/>
  <c r="AE169"/>
  <c r="AF169"/>
  <c r="AG169"/>
  <c r="AH169"/>
  <c r="AH173"/>
  <c r="B173" s="1"/>
  <c r="AH174"/>
  <c r="AH175"/>
  <c r="B175" s="1"/>
  <c r="AH176"/>
  <c r="B176" s="1"/>
  <c r="AH177"/>
  <c r="B177" s="1"/>
  <c r="AH178"/>
  <c r="B178" s="1"/>
  <c r="AH179"/>
  <c r="B179" s="1"/>
  <c r="AH180"/>
  <c r="B180" s="1"/>
  <c r="AH181"/>
  <c r="B181" s="1"/>
  <c r="AH182"/>
  <c r="B182" s="1"/>
  <c r="AH183"/>
  <c r="B183" s="1"/>
  <c r="AH184"/>
  <c r="B184" s="1"/>
  <c r="C185"/>
  <c r="D185"/>
  <c r="F185"/>
  <c r="G185"/>
  <c r="H185"/>
  <c r="I185"/>
  <c r="J185"/>
  <c r="K185"/>
  <c r="L185"/>
  <c r="M185"/>
  <c r="N185"/>
  <c r="O185"/>
  <c r="P185"/>
  <c r="Q185"/>
  <c r="R185"/>
  <c r="S185"/>
  <c r="T185"/>
  <c r="U185"/>
  <c r="V185"/>
  <c r="W185"/>
  <c r="X185"/>
  <c r="Y185"/>
  <c r="Z185"/>
  <c r="AA185"/>
  <c r="AB185"/>
  <c r="AC185"/>
  <c r="AE185"/>
  <c r="AF185"/>
  <c r="AG185"/>
  <c r="AH189"/>
  <c r="B189" s="1"/>
  <c r="AH190"/>
  <c r="B190" s="1"/>
  <c r="F189" i="1792" s="1"/>
  <c r="G189" s="1"/>
  <c r="E209" s="1"/>
  <c r="AH191" i="2316"/>
  <c r="B191" s="1"/>
  <c r="AH192"/>
  <c r="B192" s="1"/>
  <c r="AH193"/>
  <c r="B193" s="1"/>
  <c r="AH194"/>
  <c r="B194" s="1"/>
  <c r="F209" i="1792" s="1"/>
  <c r="AH195" i="2316"/>
  <c r="B195" s="1"/>
  <c r="AH196"/>
  <c r="B196"/>
  <c r="AH197"/>
  <c r="B197" s="1"/>
  <c r="AH198"/>
  <c r="B198"/>
  <c r="AH199"/>
  <c r="B199" s="1"/>
  <c r="AH200"/>
  <c r="B200" s="1"/>
  <c r="C201"/>
  <c r="D201"/>
  <c r="F201"/>
  <c r="G201"/>
  <c r="H201"/>
  <c r="I201"/>
  <c r="J201"/>
  <c r="K201"/>
  <c r="L201"/>
  <c r="M201"/>
  <c r="N201"/>
  <c r="O201"/>
  <c r="P201"/>
  <c r="Q201"/>
  <c r="R201"/>
  <c r="S201"/>
  <c r="T201"/>
  <c r="U201"/>
  <c r="V201"/>
  <c r="W201"/>
  <c r="X201"/>
  <c r="Y201"/>
  <c r="Z201"/>
  <c r="AA201"/>
  <c r="AB201"/>
  <c r="AC201"/>
  <c r="AE201"/>
  <c r="AF201"/>
  <c r="AG201"/>
  <c r="AH205"/>
  <c r="AH206"/>
  <c r="B206" s="1"/>
  <c r="AH207"/>
  <c r="B207" s="1"/>
  <c r="AH208"/>
  <c r="B208" s="1"/>
  <c r="AH209"/>
  <c r="B209" s="1"/>
  <c r="AH210"/>
  <c r="B210" s="1"/>
  <c r="AH211"/>
  <c r="B211" s="1"/>
  <c r="AH212"/>
  <c r="B212"/>
  <c r="AH213"/>
  <c r="B213" s="1"/>
  <c r="AH214"/>
  <c r="B214" s="1"/>
  <c r="AH215"/>
  <c r="B215" s="1"/>
  <c r="AH216"/>
  <c r="B216" s="1"/>
  <c r="C217"/>
  <c r="D217"/>
  <c r="F217"/>
  <c r="G217"/>
  <c r="H217"/>
  <c r="I217"/>
  <c r="J217"/>
  <c r="K217"/>
  <c r="L217"/>
  <c r="M217"/>
  <c r="N217"/>
  <c r="O217"/>
  <c r="P217"/>
  <c r="Q217"/>
  <c r="R217"/>
  <c r="S217"/>
  <c r="T217"/>
  <c r="U217"/>
  <c r="V217"/>
  <c r="W217"/>
  <c r="X217"/>
  <c r="Y217"/>
  <c r="Z217"/>
  <c r="AA217"/>
  <c r="AB217"/>
  <c r="AC217"/>
  <c r="AE217"/>
  <c r="AF217"/>
  <c r="AG217"/>
  <c r="AH221"/>
  <c r="B221" s="1"/>
  <c r="AH222"/>
  <c r="B222" s="1"/>
  <c r="B223"/>
  <c r="AH223"/>
  <c r="B224"/>
  <c r="AH224"/>
  <c r="AH225"/>
  <c r="B225" s="1"/>
  <c r="AH226"/>
  <c r="B226" s="1"/>
  <c r="AH227"/>
  <c r="B227" s="1"/>
  <c r="AH228"/>
  <c r="B228" s="1"/>
  <c r="AH229"/>
  <c r="B229" s="1"/>
  <c r="AH230"/>
  <c r="B230"/>
  <c r="AH231"/>
  <c r="B231" s="1"/>
  <c r="AH232"/>
  <c r="B232" s="1"/>
  <c r="C233"/>
  <c r="D233"/>
  <c r="F233"/>
  <c r="G233"/>
  <c r="H233"/>
  <c r="I233"/>
  <c r="J233"/>
  <c r="K233"/>
  <c r="L233"/>
  <c r="M233"/>
  <c r="N233"/>
  <c r="O233"/>
  <c r="P233"/>
  <c r="Q233"/>
  <c r="R233"/>
  <c r="S233"/>
  <c r="T233"/>
  <c r="U233"/>
  <c r="V233"/>
  <c r="W233"/>
  <c r="X233"/>
  <c r="Y233"/>
  <c r="Z233"/>
  <c r="AA233"/>
  <c r="AB233"/>
  <c r="AC233"/>
  <c r="AE233"/>
  <c r="AF233"/>
  <c r="AG233"/>
  <c r="AH233"/>
  <c r="AH237"/>
  <c r="B237" s="1"/>
  <c r="AH238"/>
  <c r="B238" s="1"/>
  <c r="AH239"/>
  <c r="B239" s="1"/>
  <c r="AH240"/>
  <c r="B240" s="1"/>
  <c r="AH241"/>
  <c r="B241" s="1"/>
  <c r="AH242"/>
  <c r="B242" s="1"/>
  <c r="AH243"/>
  <c r="B243" s="1"/>
  <c r="AH244"/>
  <c r="B244" s="1"/>
  <c r="F212" i="1792" s="1"/>
  <c r="AH245" i="2316"/>
  <c r="B245" s="1"/>
  <c r="AH246"/>
  <c r="B246"/>
  <c r="F232" i="1792" s="1"/>
  <c r="AH247" i="2316"/>
  <c r="B247" s="1"/>
  <c r="AH248"/>
  <c r="B248" s="1"/>
  <c r="C249"/>
  <c r="D249"/>
  <c r="F249"/>
  <c r="G249"/>
  <c r="H249"/>
  <c r="I249"/>
  <c r="J249"/>
  <c r="K249"/>
  <c r="L249"/>
  <c r="M249"/>
  <c r="N249"/>
  <c r="O249"/>
  <c r="P249"/>
  <c r="Q249"/>
  <c r="R249"/>
  <c r="S249"/>
  <c r="T249"/>
  <c r="U249"/>
  <c r="V249"/>
  <c r="W249"/>
  <c r="X249"/>
  <c r="Y249"/>
  <c r="Z249"/>
  <c r="AA249"/>
  <c r="AB249"/>
  <c r="AC249"/>
  <c r="AE249"/>
  <c r="AF249"/>
  <c r="AG249"/>
  <c r="AH249"/>
  <c r="AH253"/>
  <c r="B253" s="1"/>
  <c r="AH254"/>
  <c r="B254" s="1"/>
  <c r="AH255"/>
  <c r="B255" s="1"/>
  <c r="AH256"/>
  <c r="B256" s="1"/>
  <c r="F193" i="1792" s="1"/>
  <c r="G193" s="1"/>
  <c r="E213" s="1"/>
  <c r="AH257" i="2316"/>
  <c r="B257" s="1"/>
  <c r="AH258"/>
  <c r="B258" s="1"/>
  <c r="AH259"/>
  <c r="B259" s="1"/>
  <c r="AH260"/>
  <c r="B260" s="1"/>
  <c r="F213" i="1792" s="1"/>
  <c r="AH261" i="2316"/>
  <c r="B261" s="1"/>
  <c r="AH262"/>
  <c r="B262"/>
  <c r="AH263"/>
  <c r="B263" s="1"/>
  <c r="AH264"/>
  <c r="B264" s="1"/>
  <c r="C265"/>
  <c r="D265"/>
  <c r="F265"/>
  <c r="G265"/>
  <c r="H265"/>
  <c r="I265"/>
  <c r="J265"/>
  <c r="K265"/>
  <c r="L265"/>
  <c r="M265"/>
  <c r="N265"/>
  <c r="O265"/>
  <c r="P265"/>
  <c r="Q265"/>
  <c r="R265"/>
  <c r="S265"/>
  <c r="T265"/>
  <c r="U265"/>
  <c r="V265"/>
  <c r="W265"/>
  <c r="X265"/>
  <c r="Y265"/>
  <c r="Z265"/>
  <c r="AA265"/>
  <c r="AB265"/>
  <c r="AC265"/>
  <c r="AE265"/>
  <c r="AF265"/>
  <c r="AG265"/>
  <c r="AH269"/>
  <c r="AH270"/>
  <c r="B270" s="1"/>
  <c r="AH271"/>
  <c r="B271" s="1"/>
  <c r="AH272"/>
  <c r="B272" s="1"/>
  <c r="AH273"/>
  <c r="B273" s="1"/>
  <c r="AH274"/>
  <c r="B274" s="1"/>
  <c r="AH275"/>
  <c r="B275" s="1"/>
  <c r="AH276"/>
  <c r="B276" s="1"/>
  <c r="AH277"/>
  <c r="B277"/>
  <c r="AH278"/>
  <c r="B278" s="1"/>
  <c r="AH279"/>
  <c r="B279"/>
  <c r="F234" i="1792" s="1"/>
  <c r="AH280" i="2316"/>
  <c r="B280" s="1"/>
  <c r="C281"/>
  <c r="D281"/>
  <c r="F281"/>
  <c r="G281"/>
  <c r="H281"/>
  <c r="I281"/>
  <c r="J281"/>
  <c r="K281"/>
  <c r="L281"/>
  <c r="M281"/>
  <c r="N281"/>
  <c r="O281"/>
  <c r="P281"/>
  <c r="Q281"/>
  <c r="R281"/>
  <c r="S281"/>
  <c r="T281"/>
  <c r="U281"/>
  <c r="V281"/>
  <c r="W281"/>
  <c r="X281"/>
  <c r="Y281"/>
  <c r="Z281"/>
  <c r="AA281"/>
  <c r="AB281"/>
  <c r="AC281"/>
  <c r="AE281"/>
  <c r="AF281"/>
  <c r="AG281"/>
  <c r="AH285"/>
  <c r="B285" s="1"/>
  <c r="AH286"/>
  <c r="AH287"/>
  <c r="B287" s="1"/>
  <c r="AH288"/>
  <c r="B288" s="1"/>
  <c r="AH289"/>
  <c r="B289" s="1"/>
  <c r="AH290"/>
  <c r="B290" s="1"/>
  <c r="F215" i="1792" s="1"/>
  <c r="AH291" i="2316"/>
  <c r="B291" s="1"/>
  <c r="AH292"/>
  <c r="B292"/>
  <c r="AH293"/>
  <c r="B293" s="1"/>
  <c r="AH294"/>
  <c r="B294"/>
  <c r="AH295"/>
  <c r="B295" s="1"/>
  <c r="AH296"/>
  <c r="B296" s="1"/>
  <c r="C297"/>
  <c r="D297"/>
  <c r="F297"/>
  <c r="G297"/>
  <c r="H297"/>
  <c r="I297"/>
  <c r="J297"/>
  <c r="K297"/>
  <c r="L297"/>
  <c r="M297"/>
  <c r="N297"/>
  <c r="O297"/>
  <c r="P297"/>
  <c r="Q297"/>
  <c r="R297"/>
  <c r="S297"/>
  <c r="T297"/>
  <c r="U297"/>
  <c r="V297"/>
  <c r="W297"/>
  <c r="X297"/>
  <c r="Y297"/>
  <c r="Z297"/>
  <c r="AA297"/>
  <c r="AB297"/>
  <c r="AC297"/>
  <c r="AE297"/>
  <c r="AF297"/>
  <c r="AG297"/>
  <c r="AH301"/>
  <c r="AH302"/>
  <c r="B302" s="1"/>
  <c r="AH303"/>
  <c r="B303" s="1"/>
  <c r="AH304"/>
  <c r="B304" s="1"/>
  <c r="AH305"/>
  <c r="B305" s="1"/>
  <c r="AH306"/>
  <c r="B306" s="1"/>
  <c r="AH307"/>
  <c r="B307" s="1"/>
  <c r="AH308"/>
  <c r="B308"/>
  <c r="AH309"/>
  <c r="B309" s="1"/>
  <c r="AH310"/>
  <c r="B310" s="1"/>
  <c r="AH311"/>
  <c r="B311" s="1"/>
  <c r="AH312"/>
  <c r="B312" s="1"/>
  <c r="C313"/>
  <c r="D313"/>
  <c r="F313"/>
  <c r="G313"/>
  <c r="H313"/>
  <c r="I313"/>
  <c r="J313"/>
  <c r="K313"/>
  <c r="L313"/>
  <c r="M313"/>
  <c r="N313"/>
  <c r="O313"/>
  <c r="P313"/>
  <c r="Q313"/>
  <c r="R313"/>
  <c r="S313"/>
  <c r="T313"/>
  <c r="U313"/>
  <c r="V313"/>
  <c r="W313"/>
  <c r="X313"/>
  <c r="Y313"/>
  <c r="Z313"/>
  <c r="AA313"/>
  <c r="AB313"/>
  <c r="AC313"/>
  <c r="AE313"/>
  <c r="AF313"/>
  <c r="AG313"/>
  <c r="AH317"/>
  <c r="B317" s="1"/>
  <c r="B329" s="1"/>
  <c r="AH318"/>
  <c r="B318" s="1"/>
  <c r="AH319"/>
  <c r="B319" s="1"/>
  <c r="AH320"/>
  <c r="B320" s="1"/>
  <c r="AH321"/>
  <c r="B321" s="1"/>
  <c r="F217" i="1792" s="1"/>
  <c r="AH322" i="2316"/>
  <c r="B322" s="1"/>
  <c r="AH323"/>
  <c r="B323" s="1"/>
  <c r="AH324"/>
  <c r="B324"/>
  <c r="AH325"/>
  <c r="B325"/>
  <c r="AH326"/>
  <c r="B326" s="1"/>
  <c r="AH327"/>
  <c r="B327" s="1"/>
  <c r="AH328"/>
  <c r="B328" s="1"/>
  <c r="C329"/>
  <c r="D329"/>
  <c r="F329"/>
  <c r="G329"/>
  <c r="H329"/>
  <c r="I329"/>
  <c r="J329"/>
  <c r="K329"/>
  <c r="L329"/>
  <c r="M329"/>
  <c r="N329"/>
  <c r="O329"/>
  <c r="P329"/>
  <c r="Q329"/>
  <c r="R329"/>
  <c r="S329"/>
  <c r="T329"/>
  <c r="U329"/>
  <c r="V329"/>
  <c r="W329"/>
  <c r="X329"/>
  <c r="Y329"/>
  <c r="Z329"/>
  <c r="AA329"/>
  <c r="AB329"/>
  <c r="AC329"/>
  <c r="AE329"/>
  <c r="AF329"/>
  <c r="AG329"/>
  <c r="AH333"/>
  <c r="B333" s="1"/>
  <c r="AH334"/>
  <c r="AH335"/>
  <c r="B335" s="1"/>
  <c r="AH336"/>
  <c r="B336" s="1"/>
  <c r="AH337"/>
  <c r="B337" s="1"/>
  <c r="AH338"/>
  <c r="B338" s="1"/>
  <c r="AH339"/>
  <c r="B339" s="1"/>
  <c r="AH340"/>
  <c r="B340"/>
  <c r="AH341"/>
  <c r="B341" s="1"/>
  <c r="F238" i="1792" s="1"/>
  <c r="AH342" i="2316"/>
  <c r="B342" s="1"/>
  <c r="AH343"/>
  <c r="B343" s="1"/>
  <c r="AH344"/>
  <c r="B344" s="1"/>
  <c r="C345"/>
  <c r="D345"/>
  <c r="F345"/>
  <c r="G345"/>
  <c r="H345"/>
  <c r="I345"/>
  <c r="J345"/>
  <c r="K345"/>
  <c r="L345"/>
  <c r="M345"/>
  <c r="N345"/>
  <c r="O345"/>
  <c r="P345"/>
  <c r="Q345"/>
  <c r="R345"/>
  <c r="S345"/>
  <c r="T345"/>
  <c r="U345"/>
  <c r="V345"/>
  <c r="W345"/>
  <c r="X345"/>
  <c r="Y345"/>
  <c r="Z345"/>
  <c r="AA345"/>
  <c r="AB345"/>
  <c r="AC345"/>
  <c r="AE345"/>
  <c r="AF345"/>
  <c r="AG345"/>
  <c r="AH349"/>
  <c r="B349" s="1"/>
  <c r="AH350"/>
  <c r="B350" s="1"/>
  <c r="AH351"/>
  <c r="AH352"/>
  <c r="B352" s="1"/>
  <c r="AH353"/>
  <c r="B353" s="1"/>
  <c r="AH354"/>
  <c r="B354" s="1"/>
  <c r="AH355"/>
  <c r="B355" s="1"/>
  <c r="AH356"/>
  <c r="B356"/>
  <c r="AH357"/>
  <c r="B357"/>
  <c r="F239" i="1792" s="1"/>
  <c r="AH358" i="2316"/>
  <c r="B358"/>
  <c r="AH359"/>
  <c r="B359" s="1"/>
  <c r="AH360"/>
  <c r="B360" s="1"/>
  <c r="C361"/>
  <c r="D361"/>
  <c r="F361"/>
  <c r="G361"/>
  <c r="H361"/>
  <c r="I361"/>
  <c r="J361"/>
  <c r="K361"/>
  <c r="L361"/>
  <c r="M361"/>
  <c r="N361"/>
  <c r="O361"/>
  <c r="P361"/>
  <c r="Q361"/>
  <c r="R361"/>
  <c r="S361"/>
  <c r="T361"/>
  <c r="U361"/>
  <c r="V361"/>
  <c r="W361"/>
  <c r="X361"/>
  <c r="Y361"/>
  <c r="Z361"/>
  <c r="AA361"/>
  <c r="AB361"/>
  <c r="AC361"/>
  <c r="AE361"/>
  <c r="AF361"/>
  <c r="AG361"/>
  <c r="AH365"/>
  <c r="B365" s="1"/>
  <c r="AH366"/>
  <c r="AH367"/>
  <c r="B367" s="1"/>
  <c r="AH368"/>
  <c r="B368" s="1"/>
  <c r="AH369"/>
  <c r="B369" s="1"/>
  <c r="AH370"/>
  <c r="B370" s="1"/>
  <c r="F220" i="1792" s="1"/>
  <c r="AH371" i="2316"/>
  <c r="B371" s="1"/>
  <c r="AH372"/>
  <c r="B372" s="1"/>
  <c r="AH373"/>
  <c r="B373"/>
  <c r="AH374"/>
  <c r="B374" s="1"/>
  <c r="AH375"/>
  <c r="B375" s="1"/>
  <c r="AH376"/>
  <c r="B376" s="1"/>
  <c r="C377"/>
  <c r="D377"/>
  <c r="F377"/>
  <c r="G377"/>
  <c r="H377"/>
  <c r="I377"/>
  <c r="J377"/>
  <c r="K377"/>
  <c r="L377"/>
  <c r="M377"/>
  <c r="N377"/>
  <c r="O377"/>
  <c r="P377"/>
  <c r="Q377"/>
  <c r="R377"/>
  <c r="S377"/>
  <c r="T377"/>
  <c r="U377"/>
  <c r="V377"/>
  <c r="W377"/>
  <c r="X377"/>
  <c r="Y377"/>
  <c r="Z377"/>
  <c r="AA377"/>
  <c r="AB377"/>
  <c r="AC377"/>
  <c r="AE377"/>
  <c r="AF377"/>
  <c r="AG377"/>
  <c r="AH381"/>
  <c r="B381" s="1"/>
  <c r="AH382"/>
  <c r="B382" s="1"/>
  <c r="AH383"/>
  <c r="AH384"/>
  <c r="B384" s="1"/>
  <c r="AH385"/>
  <c r="B385" s="1"/>
  <c r="AH386"/>
  <c r="B386" s="1"/>
  <c r="AH387"/>
  <c r="B387" s="1"/>
  <c r="AH388"/>
  <c r="B388"/>
  <c r="AH389"/>
  <c r="B389"/>
  <c r="AH390"/>
  <c r="B390" s="1"/>
  <c r="AH391"/>
  <c r="B391" s="1"/>
  <c r="AH392"/>
  <c r="B392" s="1"/>
  <c r="C393"/>
  <c r="D393"/>
  <c r="F393"/>
  <c r="G393"/>
  <c r="H393"/>
  <c r="I393"/>
  <c r="J393"/>
  <c r="K393"/>
  <c r="L393"/>
  <c r="M393"/>
  <c r="N393"/>
  <c r="O393"/>
  <c r="P393"/>
  <c r="Q393"/>
  <c r="R393"/>
  <c r="S393"/>
  <c r="T393"/>
  <c r="U393"/>
  <c r="V393"/>
  <c r="W393"/>
  <c r="X393"/>
  <c r="Y393"/>
  <c r="Z393"/>
  <c r="AA393"/>
  <c r="AB393"/>
  <c r="AC393"/>
  <c r="AE393"/>
  <c r="AF393"/>
  <c r="AG393"/>
  <c r="AH399"/>
  <c r="B399" s="1"/>
  <c r="AH400"/>
  <c r="B400" s="1"/>
  <c r="B411" s="1"/>
  <c r="AH401"/>
  <c r="B401" s="1"/>
  <c r="AH402"/>
  <c r="B402" s="1"/>
  <c r="AH403"/>
  <c r="B403" s="1"/>
  <c r="AH404"/>
  <c r="B404" s="1"/>
  <c r="AH405"/>
  <c r="B405" s="1"/>
  <c r="AH406"/>
  <c r="B406" s="1"/>
  <c r="AH407"/>
  <c r="B407" s="1"/>
  <c r="AH408"/>
  <c r="B408" s="1"/>
  <c r="F260" i="1792" s="1"/>
  <c r="AH409" i="2316"/>
  <c r="B409" s="1"/>
  <c r="AH410"/>
  <c r="B410" s="1"/>
  <c r="C411"/>
  <c r="D411"/>
  <c r="F411"/>
  <c r="G411"/>
  <c r="H411"/>
  <c r="I411"/>
  <c r="J411"/>
  <c r="K411"/>
  <c r="L411"/>
  <c r="M411"/>
  <c r="N411"/>
  <c r="O411"/>
  <c r="P411"/>
  <c r="Q411"/>
  <c r="R411"/>
  <c r="S411"/>
  <c r="T411"/>
  <c r="U411"/>
  <c r="V411"/>
  <c r="W411"/>
  <c r="X411"/>
  <c r="Y411"/>
  <c r="Z411"/>
  <c r="AA411"/>
  <c r="AB411"/>
  <c r="AC411"/>
  <c r="AE411"/>
  <c r="AF411"/>
  <c r="AG411"/>
  <c r="AH411"/>
  <c r="B415"/>
  <c r="B416"/>
  <c r="AH417"/>
  <c r="B417" s="1"/>
  <c r="AH418"/>
  <c r="AH419"/>
  <c r="B419" s="1"/>
  <c r="AH420"/>
  <c r="B420" s="1"/>
  <c r="AH421"/>
  <c r="B421" s="1"/>
  <c r="AH422"/>
  <c r="B422" s="1"/>
  <c r="F261" i="1792" s="1"/>
  <c r="AH423" i="2316"/>
  <c r="B423" s="1"/>
  <c r="AH424"/>
  <c r="B424"/>
  <c r="AH425"/>
  <c r="B425"/>
  <c r="AH426"/>
  <c r="B426" s="1"/>
  <c r="C427"/>
  <c r="D427"/>
  <c r="F427"/>
  <c r="G427"/>
  <c r="H427"/>
  <c r="I427"/>
  <c r="J427"/>
  <c r="K427"/>
  <c r="L427"/>
  <c r="M427"/>
  <c r="N427"/>
  <c r="O427"/>
  <c r="P427"/>
  <c r="Q427"/>
  <c r="R427"/>
  <c r="S427"/>
  <c r="T427"/>
  <c r="U427"/>
  <c r="V427"/>
  <c r="W427"/>
  <c r="X427"/>
  <c r="Y427"/>
  <c r="Z427"/>
  <c r="AA427"/>
  <c r="AB427"/>
  <c r="AC427"/>
  <c r="AE427"/>
  <c r="AF427"/>
  <c r="AG427"/>
  <c r="AH431"/>
  <c r="B431" s="1"/>
  <c r="AH432"/>
  <c r="B432" s="1"/>
  <c r="AH433"/>
  <c r="AH434"/>
  <c r="B434" s="1"/>
  <c r="AH435"/>
  <c r="B435" s="1"/>
  <c r="AH436"/>
  <c r="B436" s="1"/>
  <c r="AH437"/>
  <c r="B437" s="1"/>
  <c r="AH438"/>
  <c r="B438" s="1"/>
  <c r="AH439"/>
  <c r="B439" s="1"/>
  <c r="AH440"/>
  <c r="B440"/>
  <c r="AH441"/>
  <c r="B441" s="1"/>
  <c r="AH442"/>
  <c r="B442" s="1"/>
  <c r="C443"/>
  <c r="D443"/>
  <c r="F443"/>
  <c r="G443"/>
  <c r="H443"/>
  <c r="I443"/>
  <c r="J443"/>
  <c r="K443"/>
  <c r="L443"/>
  <c r="M443"/>
  <c r="N443"/>
  <c r="O443"/>
  <c r="P443"/>
  <c r="Q443"/>
  <c r="R443"/>
  <c r="S443"/>
  <c r="T443"/>
  <c r="U443"/>
  <c r="V443"/>
  <c r="W443"/>
  <c r="X443"/>
  <c r="Y443"/>
  <c r="Z443"/>
  <c r="AA443"/>
  <c r="AB443"/>
  <c r="AC443"/>
  <c r="AE443"/>
  <c r="AF443"/>
  <c r="AG443"/>
  <c r="AH447"/>
  <c r="AH448"/>
  <c r="B448" s="1"/>
  <c r="AH449"/>
  <c r="B449" s="1"/>
  <c r="AH450"/>
  <c r="B450" s="1"/>
  <c r="AH451"/>
  <c r="B451" s="1"/>
  <c r="AH452"/>
  <c r="B452"/>
  <c r="AH453"/>
  <c r="B453" s="1"/>
  <c r="AH454"/>
  <c r="B454" s="1"/>
  <c r="AH455"/>
  <c r="B455" s="1"/>
  <c r="AH456"/>
  <c r="B456" s="1"/>
  <c r="F265" i="1792" s="1"/>
  <c r="AH457" i="2316"/>
  <c r="B457" s="1"/>
  <c r="AH458"/>
  <c r="B458" s="1"/>
  <c r="C459"/>
  <c r="D459"/>
  <c r="F459"/>
  <c r="G459"/>
  <c r="H459"/>
  <c r="I459"/>
  <c r="J459"/>
  <c r="K459"/>
  <c r="L459"/>
  <c r="M459"/>
  <c r="N459"/>
  <c r="O459"/>
  <c r="P459"/>
  <c r="Q459"/>
  <c r="R459"/>
  <c r="S459"/>
  <c r="T459"/>
  <c r="U459"/>
  <c r="V459"/>
  <c r="W459"/>
  <c r="X459"/>
  <c r="Y459"/>
  <c r="Z459"/>
  <c r="AA459"/>
  <c r="AB459"/>
  <c r="AC459"/>
  <c r="AE459"/>
  <c r="AF459"/>
  <c r="AG459"/>
  <c r="AH463"/>
  <c r="B463" s="1"/>
  <c r="AH464"/>
  <c r="B464" s="1"/>
  <c r="AH465"/>
  <c r="B465" s="1"/>
  <c r="AH466"/>
  <c r="B466" s="1"/>
  <c r="F253" i="1792" s="1"/>
  <c r="AH467" i="2316"/>
  <c r="B467" s="1"/>
  <c r="AH468"/>
  <c r="B468" s="1"/>
  <c r="AH469"/>
  <c r="B469" s="1"/>
  <c r="AH470"/>
  <c r="B470" s="1"/>
  <c r="AH471"/>
  <c r="B471" s="1"/>
  <c r="AH472"/>
  <c r="B472" s="1"/>
  <c r="AH473"/>
  <c r="B473"/>
  <c r="AH474"/>
  <c r="B474" s="1"/>
  <c r="C475"/>
  <c r="D475"/>
  <c r="F475"/>
  <c r="G475"/>
  <c r="H475"/>
  <c r="I475"/>
  <c r="J475"/>
  <c r="K475"/>
  <c r="L475"/>
  <c r="M475"/>
  <c r="N475"/>
  <c r="O475"/>
  <c r="P475"/>
  <c r="Q475"/>
  <c r="R475"/>
  <c r="S475"/>
  <c r="T475"/>
  <c r="U475"/>
  <c r="V475"/>
  <c r="W475"/>
  <c r="X475"/>
  <c r="Y475"/>
  <c r="Z475"/>
  <c r="AA475"/>
  <c r="AB475"/>
  <c r="AC475"/>
  <c r="AE475"/>
  <c r="AF475"/>
  <c r="AG475"/>
  <c r="AH479"/>
  <c r="B479" s="1"/>
  <c r="AH480"/>
  <c r="B480" s="1"/>
  <c r="AH481"/>
  <c r="B481" s="1"/>
  <c r="AH482"/>
  <c r="B482" s="1"/>
  <c r="AH483"/>
  <c r="B483" s="1"/>
  <c r="AH484"/>
  <c r="B484" s="1"/>
  <c r="AH485"/>
  <c r="B485" s="1"/>
  <c r="AH486"/>
  <c r="B486" s="1"/>
  <c r="AH487"/>
  <c r="B487" s="1"/>
  <c r="AH488"/>
  <c r="B488"/>
  <c r="AH489"/>
  <c r="B489"/>
  <c r="AH490"/>
  <c r="B490"/>
  <c r="C491"/>
  <c r="D491"/>
  <c r="F491"/>
  <c r="G491"/>
  <c r="H491"/>
  <c r="I491"/>
  <c r="J491"/>
  <c r="K491"/>
  <c r="L491"/>
  <c r="M491"/>
  <c r="N491"/>
  <c r="O491"/>
  <c r="P491"/>
  <c r="Q491"/>
  <c r="R491"/>
  <c r="S491"/>
  <c r="T491"/>
  <c r="U491"/>
  <c r="V491"/>
  <c r="W491"/>
  <c r="X491"/>
  <c r="Y491"/>
  <c r="Z491"/>
  <c r="AA491"/>
  <c r="AB491"/>
  <c r="AC491"/>
  <c r="AE491"/>
  <c r="AF491"/>
  <c r="AG491"/>
  <c r="AH491"/>
  <c r="AH495"/>
  <c r="B495" s="1"/>
  <c r="AH496"/>
  <c r="B496" s="1"/>
  <c r="AH497"/>
  <c r="B497" s="1"/>
  <c r="AH498"/>
  <c r="B498" s="1"/>
  <c r="AH499"/>
  <c r="B499" s="1"/>
  <c r="AH500"/>
  <c r="B500"/>
  <c r="AH501"/>
  <c r="B501" s="1"/>
  <c r="AH502"/>
  <c r="B502" s="1"/>
  <c r="AH503"/>
  <c r="B503" s="1"/>
  <c r="AH504"/>
  <c r="B504" s="1"/>
  <c r="AH505"/>
  <c r="B505" s="1"/>
  <c r="AH506"/>
  <c r="B506" s="1"/>
  <c r="C507"/>
  <c r="D507"/>
  <c r="F507"/>
  <c r="G507"/>
  <c r="H507"/>
  <c r="I507"/>
  <c r="J507"/>
  <c r="K507"/>
  <c r="L507"/>
  <c r="M507"/>
  <c r="N507"/>
  <c r="O507"/>
  <c r="P507"/>
  <c r="Q507"/>
  <c r="R507"/>
  <c r="S507"/>
  <c r="T507"/>
  <c r="U507"/>
  <c r="V507"/>
  <c r="W507"/>
  <c r="X507"/>
  <c r="Y507"/>
  <c r="Z507"/>
  <c r="AA507"/>
  <c r="AB507"/>
  <c r="AC507"/>
  <c r="AE507"/>
  <c r="AF507"/>
  <c r="AG507"/>
  <c r="AH511"/>
  <c r="B511" s="1"/>
  <c r="AH512"/>
  <c r="B512" s="1"/>
  <c r="AH513"/>
  <c r="B513" s="1"/>
  <c r="AH514"/>
  <c r="B514" s="1"/>
  <c r="AH515"/>
  <c r="B515" s="1"/>
  <c r="AH516"/>
  <c r="B516" s="1"/>
  <c r="AH517"/>
  <c r="B517" s="1"/>
  <c r="AH518"/>
  <c r="B518" s="1"/>
  <c r="AH519"/>
  <c r="B519" s="1"/>
  <c r="AH520"/>
  <c r="B520"/>
  <c r="AH521"/>
  <c r="B521"/>
  <c r="AH522"/>
  <c r="B522" s="1"/>
  <c r="C523"/>
  <c r="D523"/>
  <c r="F523"/>
  <c r="G523"/>
  <c r="H523"/>
  <c r="I523"/>
  <c r="J523"/>
  <c r="K523"/>
  <c r="L523"/>
  <c r="M523"/>
  <c r="N523"/>
  <c r="O523"/>
  <c r="P523"/>
  <c r="Q523"/>
  <c r="R523"/>
  <c r="S523"/>
  <c r="T523"/>
  <c r="U523"/>
  <c r="V523"/>
  <c r="W523"/>
  <c r="X523"/>
  <c r="Y523"/>
  <c r="Z523"/>
  <c r="AA523"/>
  <c r="AB523"/>
  <c r="AC523"/>
  <c r="AE523"/>
  <c r="AF523"/>
  <c r="AG523"/>
  <c r="AH527"/>
  <c r="B527" s="1"/>
  <c r="AH528"/>
  <c r="B528" s="1"/>
  <c r="AH529"/>
  <c r="B529" s="1"/>
  <c r="AH530"/>
  <c r="B530" s="1"/>
  <c r="AH531"/>
  <c r="B531" s="1"/>
  <c r="AH532"/>
  <c r="B532" s="1"/>
  <c r="AH533"/>
  <c r="B533" s="1"/>
  <c r="AH534"/>
  <c r="B534" s="1"/>
  <c r="AH535"/>
  <c r="B535" s="1"/>
  <c r="AH536"/>
  <c r="B536"/>
  <c r="AH537"/>
  <c r="B537"/>
  <c r="AH538"/>
  <c r="B538" s="1"/>
  <c r="C539"/>
  <c r="D539"/>
  <c r="F539"/>
  <c r="G539"/>
  <c r="H539"/>
  <c r="I539"/>
  <c r="J539"/>
  <c r="K539"/>
  <c r="L539"/>
  <c r="M539"/>
  <c r="N539"/>
  <c r="O539"/>
  <c r="P539"/>
  <c r="Q539"/>
  <c r="R539"/>
  <c r="S539"/>
  <c r="T539"/>
  <c r="U539"/>
  <c r="V539"/>
  <c r="W539"/>
  <c r="X539"/>
  <c r="Y539"/>
  <c r="Z539"/>
  <c r="AA539"/>
  <c r="AB539"/>
  <c r="AC539"/>
  <c r="AE539"/>
  <c r="AF539"/>
  <c r="AG539"/>
  <c r="AH543"/>
  <c r="AH544"/>
  <c r="B544" s="1"/>
  <c r="AH545"/>
  <c r="B545" s="1"/>
  <c r="AH546"/>
  <c r="B546" s="1"/>
  <c r="AH547"/>
  <c r="B547" s="1"/>
  <c r="AH548"/>
  <c r="B548" s="1"/>
  <c r="AH549"/>
  <c r="B549" s="1"/>
  <c r="AH550"/>
  <c r="B550" s="1"/>
  <c r="AH551"/>
  <c r="B551" s="1"/>
  <c r="AH552"/>
  <c r="B552"/>
  <c r="AH553"/>
  <c r="B553" s="1"/>
  <c r="AH554"/>
  <c r="B554" s="1"/>
  <c r="C555"/>
  <c r="D555"/>
  <c r="F555"/>
  <c r="G555"/>
  <c r="H555"/>
  <c r="I555"/>
  <c r="J555"/>
  <c r="K555"/>
  <c r="L555"/>
  <c r="M555"/>
  <c r="N555"/>
  <c r="O555"/>
  <c r="P555"/>
  <c r="Q555"/>
  <c r="R555"/>
  <c r="S555"/>
  <c r="T555"/>
  <c r="U555"/>
  <c r="V555"/>
  <c r="W555"/>
  <c r="X555"/>
  <c r="Y555"/>
  <c r="Z555"/>
  <c r="AA555"/>
  <c r="AB555"/>
  <c r="AC555"/>
  <c r="AE555"/>
  <c r="AF555"/>
  <c r="AG555"/>
  <c r="E7" i="1792"/>
  <c r="E10" s="1"/>
  <c r="E8"/>
  <c r="E9"/>
  <c r="C10"/>
  <c r="C16"/>
  <c r="E21"/>
  <c r="E22"/>
  <c r="E23" s="1"/>
  <c r="C23"/>
  <c r="C28"/>
  <c r="E16" i="60796" s="1"/>
  <c r="E38" i="1792"/>
  <c r="E39"/>
  <c r="C40"/>
  <c r="C45"/>
  <c r="C50"/>
  <c r="G55"/>
  <c r="H55" s="1"/>
  <c r="E56"/>
  <c r="J56"/>
  <c r="E57"/>
  <c r="J57"/>
  <c r="E58"/>
  <c r="G58" s="1"/>
  <c r="J58"/>
  <c r="J59" s="1"/>
  <c r="J60" s="1"/>
  <c r="J61" s="1"/>
  <c r="J62" s="1"/>
  <c r="J63" s="1"/>
  <c r="J64" s="1"/>
  <c r="J65" s="1"/>
  <c r="J66" s="1"/>
  <c r="J67" s="1"/>
  <c r="J68" s="1"/>
  <c r="J69" s="1"/>
  <c r="J70" s="1"/>
  <c r="J71" s="1"/>
  <c r="J72" s="1"/>
  <c r="J73" s="1"/>
  <c r="J74" s="1"/>
  <c r="J75" s="1"/>
  <c r="J76" s="1"/>
  <c r="J77" s="1"/>
  <c r="J78" s="1"/>
  <c r="J79" s="1"/>
  <c r="J80" s="1"/>
  <c r="J81" s="1"/>
  <c r="J82" s="1"/>
  <c r="J83" s="1"/>
  <c r="J84" s="1"/>
  <c r="J85" s="1"/>
  <c r="J86" s="1"/>
  <c r="J87" s="1"/>
  <c r="J88" s="1"/>
  <c r="J89" s="1"/>
  <c r="J90" s="1"/>
  <c r="J91" s="1"/>
  <c r="J92" s="1"/>
  <c r="J93" s="1"/>
  <c r="J94" s="1"/>
  <c r="J95" s="1"/>
  <c r="J96" s="1"/>
  <c r="J97" s="1"/>
  <c r="J98" s="1"/>
  <c r="J99" s="1"/>
  <c r="J100" s="1"/>
  <c r="J101" s="1"/>
  <c r="J102" s="1"/>
  <c r="J103" s="1"/>
  <c r="J104" s="1"/>
  <c r="J105" s="1"/>
  <c r="J106" s="1"/>
  <c r="J107" s="1"/>
  <c r="J108" s="1"/>
  <c r="J109" s="1"/>
  <c r="J110" s="1"/>
  <c r="J111" s="1"/>
  <c r="J112" s="1"/>
  <c r="J113" s="1"/>
  <c r="J114" s="1"/>
  <c r="J115" s="1"/>
  <c r="J116" s="1"/>
  <c r="E59"/>
  <c r="G59" s="1"/>
  <c r="E123" s="1"/>
  <c r="G123" s="1"/>
  <c r="H59"/>
  <c r="E60"/>
  <c r="G60" s="1"/>
  <c r="E124" s="1"/>
  <c r="G124" s="1"/>
  <c r="H60"/>
  <c r="E61"/>
  <c r="G61" s="1"/>
  <c r="E125" s="1"/>
  <c r="G125" s="1"/>
  <c r="H61"/>
  <c r="E62"/>
  <c r="G62" s="1"/>
  <c r="E63"/>
  <c r="G63" s="1"/>
  <c r="E127" s="1"/>
  <c r="G127" s="1"/>
  <c r="E64"/>
  <c r="G64" s="1"/>
  <c r="E128" s="1"/>
  <c r="G128" s="1"/>
  <c r="H128" s="1"/>
  <c r="H64"/>
  <c r="E65"/>
  <c r="G65" s="1"/>
  <c r="E129" s="1"/>
  <c r="G129" s="1"/>
  <c r="H65"/>
  <c r="E66"/>
  <c r="G66" s="1"/>
  <c r="E67"/>
  <c r="G67" s="1"/>
  <c r="E131" s="1"/>
  <c r="G131" s="1"/>
  <c r="H67"/>
  <c r="E68"/>
  <c r="G68" s="1"/>
  <c r="E132" s="1"/>
  <c r="G132" s="1"/>
  <c r="E69"/>
  <c r="G69" s="1"/>
  <c r="E133" s="1"/>
  <c r="G133" s="1"/>
  <c r="H69"/>
  <c r="E70"/>
  <c r="G70" s="1"/>
  <c r="E71"/>
  <c r="G71" s="1"/>
  <c r="E135" s="1"/>
  <c r="G135" s="1"/>
  <c r="H135" s="1"/>
  <c r="H71"/>
  <c r="E72"/>
  <c r="G72" s="1"/>
  <c r="E136" s="1"/>
  <c r="G136" s="1"/>
  <c r="D73"/>
  <c r="E74"/>
  <c r="G74" s="1"/>
  <c r="E138" s="1"/>
  <c r="G138" s="1"/>
  <c r="E75"/>
  <c r="E76"/>
  <c r="E77"/>
  <c r="G77" s="1"/>
  <c r="E141" s="1"/>
  <c r="G141" s="1"/>
  <c r="H77"/>
  <c r="E78"/>
  <c r="G78" s="1"/>
  <c r="E142" s="1"/>
  <c r="G142" s="1"/>
  <c r="H78"/>
  <c r="E79"/>
  <c r="G79" s="1"/>
  <c r="E143" s="1"/>
  <c r="G143" s="1"/>
  <c r="H79"/>
  <c r="E80"/>
  <c r="G80" s="1"/>
  <c r="E144" s="1"/>
  <c r="G144" s="1"/>
  <c r="H80"/>
  <c r="E81"/>
  <c r="G81" s="1"/>
  <c r="E145" s="1"/>
  <c r="G145" s="1"/>
  <c r="H81"/>
  <c r="E82"/>
  <c r="G82" s="1"/>
  <c r="E146" s="1"/>
  <c r="G146" s="1"/>
  <c r="H82"/>
  <c r="E83"/>
  <c r="G83" s="1"/>
  <c r="E147" s="1"/>
  <c r="G147" s="1"/>
  <c r="H83"/>
  <c r="E84"/>
  <c r="G84" s="1"/>
  <c r="E148" s="1"/>
  <c r="G148" s="1"/>
  <c r="H84"/>
  <c r="E85"/>
  <c r="G85" s="1"/>
  <c r="E149" s="1"/>
  <c r="G149" s="1"/>
  <c r="H85"/>
  <c r="E86"/>
  <c r="G86" s="1"/>
  <c r="E150" s="1"/>
  <c r="G150" s="1"/>
  <c r="H150" s="1"/>
  <c r="H86"/>
  <c r="E87"/>
  <c r="G87" s="1"/>
  <c r="E151" s="1"/>
  <c r="G151" s="1"/>
  <c r="H87"/>
  <c r="E88"/>
  <c r="G88" s="1"/>
  <c r="E152" s="1"/>
  <c r="G152" s="1"/>
  <c r="H88"/>
  <c r="E89"/>
  <c r="G89" s="1"/>
  <c r="E153" s="1"/>
  <c r="G153" s="1"/>
  <c r="H89"/>
  <c r="E90"/>
  <c r="G90" s="1"/>
  <c r="E154" s="1"/>
  <c r="G154" s="1"/>
  <c r="H90"/>
  <c r="E91"/>
  <c r="G91" s="1"/>
  <c r="E155" s="1"/>
  <c r="G155" s="1"/>
  <c r="H91"/>
  <c r="H92"/>
  <c r="H93"/>
  <c r="E94"/>
  <c r="G94" s="1"/>
  <c r="E158" s="1"/>
  <c r="G158" s="1"/>
  <c r="H94"/>
  <c r="E95"/>
  <c r="G95" s="1"/>
  <c r="E159" s="1"/>
  <c r="G159" s="1"/>
  <c r="H95"/>
  <c r="E96"/>
  <c r="G96" s="1"/>
  <c r="E160" s="1"/>
  <c r="G160" s="1"/>
  <c r="H96"/>
  <c r="E97"/>
  <c r="G97" s="1"/>
  <c r="E161" s="1"/>
  <c r="G161" s="1"/>
  <c r="H97"/>
  <c r="E98"/>
  <c r="G98" s="1"/>
  <c r="E162" s="1"/>
  <c r="G162" s="1"/>
  <c r="H98"/>
  <c r="E99"/>
  <c r="G99" s="1"/>
  <c r="E163" s="1"/>
  <c r="G163" s="1"/>
  <c r="H99"/>
  <c r="E100"/>
  <c r="G100" s="1"/>
  <c r="E164" s="1"/>
  <c r="G164" s="1"/>
  <c r="H100"/>
  <c r="E101"/>
  <c r="G101" s="1"/>
  <c r="E165" s="1"/>
  <c r="G165" s="1"/>
  <c r="H101"/>
  <c r="E102"/>
  <c r="G102" s="1"/>
  <c r="E166" s="1"/>
  <c r="G166" s="1"/>
  <c r="H102"/>
  <c r="E103"/>
  <c r="G103" s="1"/>
  <c r="E167" s="1"/>
  <c r="G167" s="1"/>
  <c r="H103"/>
  <c r="E104"/>
  <c r="G104" s="1"/>
  <c r="E168" s="1"/>
  <c r="G168" s="1"/>
  <c r="H104"/>
  <c r="E105"/>
  <c r="G105" s="1"/>
  <c r="E169" s="1"/>
  <c r="G169" s="1"/>
  <c r="H105"/>
  <c r="E106"/>
  <c r="G106" s="1"/>
  <c r="E170" s="1"/>
  <c r="G170" s="1"/>
  <c r="H106"/>
  <c r="E107"/>
  <c r="G107" s="1"/>
  <c r="E171" s="1"/>
  <c r="G171" s="1"/>
  <c r="H107"/>
  <c r="E109"/>
  <c r="G109" s="1"/>
  <c r="E173" s="1"/>
  <c r="G173" s="1"/>
  <c r="E110"/>
  <c r="G110" s="1"/>
  <c r="E174" s="1"/>
  <c r="G174" s="1"/>
  <c r="E111"/>
  <c r="G111" s="1"/>
  <c r="E175" s="1"/>
  <c r="G175" s="1"/>
  <c r="E112"/>
  <c r="G112" s="1"/>
  <c r="E176" s="1"/>
  <c r="G176" s="1"/>
  <c r="E113"/>
  <c r="G113" s="1"/>
  <c r="E177" s="1"/>
  <c r="G177" s="1"/>
  <c r="H114"/>
  <c r="E115"/>
  <c r="G115" s="1"/>
  <c r="E179" s="1"/>
  <c r="G179" s="1"/>
  <c r="H179" s="1"/>
  <c r="C116"/>
  <c r="E119"/>
  <c r="G119" s="1"/>
  <c r="H119" s="1"/>
  <c r="J120"/>
  <c r="J121" s="1"/>
  <c r="J122"/>
  <c r="J123"/>
  <c r="J124"/>
  <c r="J125" s="1"/>
  <c r="J126" s="1"/>
  <c r="J127" s="1"/>
  <c r="J128" s="1"/>
  <c r="J129" s="1"/>
  <c r="J130" s="1"/>
  <c r="J131" s="1"/>
  <c r="J132" s="1"/>
  <c r="J133" s="1"/>
  <c r="J134" s="1"/>
  <c r="J135" s="1"/>
  <c r="J136" s="1"/>
  <c r="J137" s="1"/>
  <c r="J138" s="1"/>
  <c r="J139" s="1"/>
  <c r="J140" s="1"/>
  <c r="J141" s="1"/>
  <c r="J142" s="1"/>
  <c r="J143" s="1"/>
  <c r="J144" s="1"/>
  <c r="J145" s="1"/>
  <c r="J146" s="1"/>
  <c r="J147" s="1"/>
  <c r="J148" s="1"/>
  <c r="J149" s="1"/>
  <c r="J150" s="1"/>
  <c r="J151" s="1"/>
  <c r="J152" s="1"/>
  <c r="J153" s="1"/>
  <c r="J154" s="1"/>
  <c r="J155" s="1"/>
  <c r="J156" s="1"/>
  <c r="J157" s="1"/>
  <c r="J158" s="1"/>
  <c r="J159" s="1"/>
  <c r="J160" s="1"/>
  <c r="J161" s="1"/>
  <c r="J162" s="1"/>
  <c r="J163" s="1"/>
  <c r="J164" s="1"/>
  <c r="J165" s="1"/>
  <c r="J166" s="1"/>
  <c r="J167" s="1"/>
  <c r="J168" s="1"/>
  <c r="J169" s="1"/>
  <c r="J170" s="1"/>
  <c r="J171" s="1"/>
  <c r="J172" s="1"/>
  <c r="J173" s="1"/>
  <c r="J174" s="1"/>
  <c r="J175" s="1"/>
  <c r="J176" s="1"/>
  <c r="J177" s="1"/>
  <c r="J178" s="1"/>
  <c r="J179" s="1"/>
  <c r="H143"/>
  <c r="H149"/>
  <c r="H152"/>
  <c r="H154"/>
  <c r="H156"/>
  <c r="H160"/>
  <c r="C180"/>
  <c r="D180"/>
  <c r="E185"/>
  <c r="E186"/>
  <c r="E187"/>
  <c r="E188"/>
  <c r="F188"/>
  <c r="E189"/>
  <c r="E190"/>
  <c r="E191"/>
  <c r="E192"/>
  <c r="E193"/>
  <c r="E194"/>
  <c r="E195"/>
  <c r="E196"/>
  <c r="E197"/>
  <c r="F197"/>
  <c r="G197" s="1"/>
  <c r="E217" s="1"/>
  <c r="E198"/>
  <c r="E199"/>
  <c r="E200"/>
  <c r="E201"/>
  <c r="C202"/>
  <c r="C222"/>
  <c r="E247"/>
  <c r="E248"/>
  <c r="E249"/>
  <c r="E250"/>
  <c r="E251"/>
  <c r="E252"/>
  <c r="E253"/>
  <c r="E254"/>
  <c r="E255"/>
  <c r="E256"/>
  <c r="C257"/>
  <c r="C270"/>
  <c r="C9" i="60796"/>
  <c r="F9"/>
  <c r="C11"/>
  <c r="F11"/>
  <c r="E13"/>
  <c r="E14"/>
  <c r="E15"/>
  <c r="E17"/>
  <c r="C18"/>
  <c r="F18"/>
  <c r="C21"/>
  <c r="F21"/>
  <c r="C24"/>
  <c r="F24"/>
  <c r="C26"/>
  <c r="F26"/>
  <c r="C29"/>
  <c r="F29"/>
  <c r="C32"/>
  <c r="F32"/>
  <c r="C34"/>
  <c r="F34"/>
  <c r="C37"/>
  <c r="F37"/>
  <c r="F40"/>
  <c r="C43"/>
  <c r="F43"/>
  <c r="C46"/>
  <c r="F46"/>
  <c r="C49"/>
  <c r="F49"/>
  <c r="C52"/>
  <c r="F52"/>
  <c r="F55"/>
  <c r="C57"/>
  <c r="F57"/>
  <c r="C59"/>
  <c r="F59"/>
  <c r="C61"/>
  <c r="F61"/>
  <c r="C63"/>
  <c r="F63"/>
  <c r="C65"/>
  <c r="F65"/>
  <c r="C67"/>
  <c r="F67"/>
  <c r="C69"/>
  <c r="F69"/>
  <c r="C71"/>
  <c r="F71"/>
  <c r="C73"/>
  <c r="F73"/>
  <c r="C75"/>
  <c r="F75"/>
  <c r="C77"/>
  <c r="F77"/>
  <c r="C79"/>
  <c r="F79"/>
  <c r="C81"/>
  <c r="F81"/>
  <c r="C83"/>
  <c r="F83"/>
  <c r="C84"/>
  <c r="F84"/>
  <c r="G85"/>
  <c r="C87"/>
  <c r="F87"/>
  <c r="C90"/>
  <c r="F90"/>
  <c r="G90"/>
  <c r="G91"/>
  <c r="G92"/>
  <c r="C93"/>
  <c r="F93"/>
  <c r="C96"/>
  <c r="F96"/>
  <c r="E99"/>
  <c r="F99" s="1"/>
  <c r="E100"/>
  <c r="E101"/>
  <c r="E102"/>
  <c r="E103"/>
  <c r="E104"/>
  <c r="E105"/>
  <c r="F105" s="1"/>
  <c r="E106"/>
  <c r="E107"/>
  <c r="F107" s="1"/>
  <c r="E109"/>
  <c r="F109" s="1"/>
  <c r="E110"/>
  <c r="E111"/>
  <c r="F111" s="1"/>
  <c r="E112"/>
  <c r="E113"/>
  <c r="E114"/>
  <c r="E115"/>
  <c r="F115" s="1"/>
  <c r="E117"/>
  <c r="E118"/>
  <c r="E119"/>
  <c r="E120"/>
  <c r="E121"/>
  <c r="E122"/>
  <c r="E123"/>
  <c r="G123"/>
  <c r="E124"/>
  <c r="E125"/>
  <c r="J125"/>
  <c r="E126"/>
  <c r="G126"/>
  <c r="E127"/>
  <c r="G127"/>
  <c r="J127"/>
  <c r="E128"/>
  <c r="C129"/>
  <c r="F129"/>
  <c r="C131"/>
  <c r="F131"/>
  <c r="E133"/>
  <c r="E137"/>
  <c r="F137" s="1"/>
  <c r="E138"/>
  <c r="C139"/>
  <c r="F139"/>
  <c r="C141"/>
  <c r="F141"/>
  <c r="C143"/>
  <c r="F143"/>
  <c r="F144"/>
  <c r="C145"/>
  <c r="F145"/>
  <c r="C148"/>
  <c r="F148"/>
  <c r="C151"/>
  <c r="F151"/>
  <c r="C156"/>
  <c r="F156"/>
  <c r="E162"/>
  <c r="F162" s="1"/>
  <c r="E163"/>
  <c r="C63" i="2" s="1"/>
  <c r="C21" i="1" s="1"/>
  <c r="C6" i="2"/>
  <c r="C7"/>
  <c r="C8"/>
  <c r="C9"/>
  <c r="C11"/>
  <c r="C12"/>
  <c r="C13"/>
  <c r="C14"/>
  <c r="C15"/>
  <c r="C15" i="1" s="1"/>
  <c r="C16" i="2"/>
  <c r="C17"/>
  <c r="C18"/>
  <c r="C19"/>
  <c r="C30" i="1" s="1"/>
  <c r="C20" i="2"/>
  <c r="C21"/>
  <c r="C22"/>
  <c r="C23"/>
  <c r="C24"/>
  <c r="C25"/>
  <c r="C26"/>
  <c r="C27"/>
  <c r="C28"/>
  <c r="C29"/>
  <c r="C30"/>
  <c r="C6" i="1" s="1"/>
  <c r="C31" i="2"/>
  <c r="C7" i="1" s="1"/>
  <c r="C32" i="2"/>
  <c r="C33"/>
  <c r="C34"/>
  <c r="C8" i="1" s="1"/>
  <c r="C35" i="2"/>
  <c r="C36"/>
  <c r="C37"/>
  <c r="C38"/>
  <c r="C10" i="1" s="1"/>
  <c r="C39" i="2"/>
  <c r="C34" i="1" s="1"/>
  <c r="C40" i="2"/>
  <c r="C35" i="1" s="1"/>
  <c r="C41" i="2"/>
  <c r="C36" i="1" s="1"/>
  <c r="C42" i="2"/>
  <c r="C43"/>
  <c r="C38" i="1" s="1"/>
  <c r="C49" i="2"/>
  <c r="C50"/>
  <c r="C54"/>
  <c r="C39" i="1" s="1"/>
  <c r="C55" i="2"/>
  <c r="C56"/>
  <c r="C41" i="1" s="1"/>
  <c r="C57" i="2"/>
  <c r="C18" i="1" s="1"/>
  <c r="C58" i="2"/>
  <c r="C22" i="1" s="1"/>
  <c r="C59" i="2"/>
  <c r="C61"/>
  <c r="C5" i="1"/>
  <c r="C12"/>
  <c r="C13"/>
  <c r="C14"/>
  <c r="C16"/>
  <c r="C31"/>
  <c r="C37"/>
  <c r="C40"/>
  <c r="F256" i="1792"/>
  <c r="G256" s="1"/>
  <c r="E269" s="1"/>
  <c r="H84" i="7380"/>
  <c r="E148"/>
  <c r="G148" s="1"/>
  <c r="H148" s="1"/>
  <c r="G125" i="60796"/>
  <c r="F123"/>
  <c r="H53" i="7380"/>
  <c r="H59"/>
  <c r="E123"/>
  <c r="G123" s="1"/>
  <c r="H123" s="1"/>
  <c r="F176"/>
  <c r="G176" s="1"/>
  <c r="E196" s="1"/>
  <c r="AH151" i="112"/>
  <c r="AH33" i="60802"/>
  <c r="K75" i="60796"/>
  <c r="E156" i="7380"/>
  <c r="G156" s="1"/>
  <c r="H156" s="1"/>
  <c r="E152"/>
  <c r="G152" s="1"/>
  <c r="H152" s="1"/>
  <c r="E150"/>
  <c r="G150" s="1"/>
  <c r="H150" s="1"/>
  <c r="E138"/>
  <c r="G138" s="1"/>
  <c r="H138" s="1"/>
  <c r="E132"/>
  <c r="E130"/>
  <c r="G130" s="1"/>
  <c r="H130" s="1"/>
  <c r="AH40" i="60806"/>
  <c r="B476" i="2819"/>
  <c r="B329"/>
  <c r="G130" i="60796"/>
  <c r="B446" i="112"/>
  <c r="B509" i="60805"/>
  <c r="I495" s="1"/>
  <c r="AH17" i="60802"/>
  <c r="E165" i="7380"/>
  <c r="G165" s="1"/>
  <c r="H165" s="1"/>
  <c r="H101"/>
  <c r="H115" i="1792"/>
  <c r="H74"/>
  <c r="E118" i="7380"/>
  <c r="G118" s="1"/>
  <c r="H118" s="1"/>
  <c r="H83"/>
  <c r="H157" i="1792"/>
  <c r="H146"/>
  <c r="H144"/>
  <c r="F221"/>
  <c r="F218"/>
  <c r="F211"/>
  <c r="F208"/>
  <c r="F26"/>
  <c r="AH20" i="2316"/>
  <c r="F203" i="7380"/>
  <c r="F194"/>
  <c r="G27" i="60796"/>
  <c r="G20"/>
  <c r="B67" i="1024"/>
  <c r="AH82" i="60799"/>
  <c r="AH162"/>
  <c r="E396" i="60801"/>
  <c r="G396" s="1"/>
  <c r="G397" s="1"/>
  <c r="F96" i="11565"/>
  <c r="K96" i="60796"/>
  <c r="AH19" i="1024"/>
  <c r="E8" i="60797"/>
  <c r="C44" i="2"/>
  <c r="D44" i="1908"/>
  <c r="G91"/>
  <c r="G90"/>
  <c r="G105"/>
  <c r="G98"/>
  <c r="G97"/>
  <c r="G102"/>
  <c r="G101"/>
  <c r="G100"/>
  <c r="G95"/>
  <c r="G94"/>
  <c r="G93"/>
  <c r="G92"/>
  <c r="B476" i="60805"/>
  <c r="F246" i="60801" s="1"/>
  <c r="AH380" i="112"/>
  <c r="K90" i="60796"/>
  <c r="H50" i="7380"/>
  <c r="E114"/>
  <c r="G114" s="1"/>
  <c r="H114" s="1"/>
  <c r="G128" i="60796"/>
  <c r="E9" i="60797"/>
  <c r="B64" i="523"/>
  <c r="AH35" i="8194"/>
  <c r="F13" i="7380"/>
  <c r="E62" i="1908"/>
  <c r="F62" s="1"/>
  <c r="D79" s="1"/>
  <c r="AH261" i="60808"/>
  <c r="AH278"/>
  <c r="B233" i="2316"/>
  <c r="F191" i="1792"/>
  <c r="E108" i="60796"/>
  <c r="D66" i="60809"/>
  <c r="E66" s="1"/>
  <c r="E63"/>
  <c r="C64" s="1"/>
  <c r="E64" s="1"/>
  <c r="C65" s="1"/>
  <c r="E65" s="1"/>
  <c r="H48" i="7380"/>
  <c r="E112"/>
  <c r="G112" s="1"/>
  <c r="H112" s="1"/>
  <c r="AH156" i="60808"/>
  <c r="F61" i="60801"/>
  <c r="AH113" i="60802"/>
  <c r="F43" i="1792"/>
  <c r="F268"/>
  <c r="B539" i="2316"/>
  <c r="B523"/>
  <c r="F269" i="1792"/>
  <c r="B491" i="2316"/>
  <c r="B475"/>
  <c r="F262" i="1792"/>
  <c r="F249" i="7380"/>
  <c r="D45" i="60797"/>
  <c r="F44" i="1792"/>
  <c r="F45" s="1"/>
  <c r="G22" i="60796" s="1"/>
  <c r="G89"/>
  <c r="U7" i="2048"/>
  <c r="I43"/>
  <c r="K43" s="1"/>
  <c r="I40"/>
  <c r="K40" s="1"/>
  <c r="U46"/>
  <c r="W46" s="1"/>
  <c r="I19"/>
  <c r="K19" s="1"/>
  <c r="K53"/>
  <c r="I55"/>
  <c r="K55" s="1"/>
  <c r="U43"/>
  <c r="W43" s="1"/>
  <c r="U31"/>
  <c r="W31" s="1"/>
  <c r="AS40"/>
  <c r="AU40" s="1"/>
  <c r="U22"/>
  <c r="W22" s="1"/>
  <c r="AG46"/>
  <c r="AI46"/>
  <c r="I52"/>
  <c r="K52" s="1"/>
  <c r="AS28"/>
  <c r="AU28" s="1"/>
  <c r="I25"/>
  <c r="K25" s="1"/>
  <c r="U13"/>
  <c r="W13" s="1"/>
  <c r="J23" i="97"/>
  <c r="AS43" i="2048"/>
  <c r="AU43" s="1"/>
  <c r="AG43"/>
  <c r="AI43" s="1"/>
  <c r="AG31"/>
  <c r="AI31" s="1"/>
  <c r="AS25"/>
  <c r="AU25" s="1"/>
  <c r="AS10"/>
  <c r="AU10" s="1"/>
  <c r="K5"/>
  <c r="I67"/>
  <c r="K67" s="1"/>
  <c r="AG40"/>
  <c r="AI40"/>
  <c r="I49"/>
  <c r="B16" i="97"/>
  <c r="J20"/>
  <c r="W7" i="2048"/>
  <c r="AG28"/>
  <c r="AI28" s="1"/>
  <c r="U25"/>
  <c r="W25" s="1"/>
  <c r="AF51"/>
  <c r="K18" i="97" s="1"/>
  <c r="H20"/>
  <c r="K49" i="2048"/>
  <c r="E109" i="7380"/>
  <c r="G109" s="1"/>
  <c r="H109" s="1"/>
  <c r="K58" i="2048"/>
  <c r="C28" i="1908"/>
  <c r="G117"/>
  <c r="F122"/>
  <c r="AH35" i="60797"/>
  <c r="L4" i="60804"/>
  <c r="G98" i="60796"/>
  <c r="H96" s="1"/>
  <c r="D57" i="60809"/>
  <c r="D60" s="1"/>
  <c r="B156" i="60808"/>
  <c r="E80" i="60809"/>
  <c r="C81" s="1"/>
  <c r="E72"/>
  <c r="C73" s="1"/>
  <c r="E73" s="1"/>
  <c r="C74" s="1"/>
  <c r="B203" i="112"/>
  <c r="G114" i="1908"/>
  <c r="F114"/>
  <c r="B409" i="60805"/>
  <c r="B230"/>
  <c r="F126" i="1908"/>
  <c r="G126"/>
  <c r="H359" i="60801"/>
  <c r="F363"/>
  <c r="AH87" i="32"/>
  <c r="F171" i="7380"/>
  <c r="G171" s="1"/>
  <c r="F237" i="1792"/>
  <c r="AH34" i="60799"/>
  <c r="AH33" i="60798"/>
  <c r="G11" i="60796"/>
  <c r="K11" s="1"/>
  <c r="E22" i="1908"/>
  <c r="G105" i="60796" s="1"/>
  <c r="B35" i="60805"/>
  <c r="B37" s="1"/>
  <c r="G7" i="60796"/>
  <c r="K7" s="1"/>
  <c r="D74" i="60809"/>
  <c r="G141" i="60796"/>
  <c r="I141" s="1"/>
  <c r="F142" s="1"/>
  <c r="M21" i="97"/>
  <c r="F116" i="1908"/>
  <c r="F125"/>
  <c r="G125"/>
  <c r="F120"/>
  <c r="G120"/>
  <c r="F129"/>
  <c r="G121"/>
  <c r="F69" i="60801"/>
  <c r="G69" s="1"/>
  <c r="E70" s="1"/>
  <c r="E55"/>
  <c r="G74" i="60796"/>
  <c r="B130" i="60799"/>
  <c r="E12" i="60800" s="1"/>
  <c r="E161" i="60801"/>
  <c r="F161" s="1"/>
  <c r="AH37" i="2819"/>
  <c r="G61" i="60796"/>
  <c r="I61" s="1"/>
  <c r="F62" s="1"/>
  <c r="B19" i="8194"/>
  <c r="S4" i="60803"/>
  <c r="E34" i="1908"/>
  <c r="E80"/>
  <c r="E82"/>
  <c r="E75"/>
  <c r="F27" i="11565"/>
  <c r="G66" i="60796"/>
  <c r="G8"/>
  <c r="E32" i="60803"/>
  <c r="E21"/>
  <c r="E23"/>
  <c r="E20"/>
  <c r="E9"/>
  <c r="AH49" i="60802"/>
  <c r="E11" i="60803"/>
  <c r="B17" i="60802"/>
  <c r="E4" i="60803"/>
  <c r="G4" s="1"/>
  <c r="E7"/>
  <c r="AH53" i="2819"/>
  <c r="F15" i="11565"/>
  <c r="E15" i="1908"/>
  <c r="G102" i="60796" s="1"/>
  <c r="D101" i="60809"/>
  <c r="E101" s="1"/>
  <c r="B278" i="60808"/>
  <c r="E9" i="11565"/>
  <c r="H108" i="1792"/>
  <c r="AQ79" i="60801"/>
  <c r="AQ118" s="1"/>
  <c r="AQ155" s="1"/>
  <c r="C53" i="2" l="1"/>
  <c r="C29" i="1" s="1"/>
  <c r="J63" i="60809"/>
  <c r="H64" s="1"/>
  <c r="J64" s="1"/>
  <c r="H65" s="1"/>
  <c r="J65" s="1"/>
  <c r="E136" i="60796"/>
  <c r="C48" i="2"/>
  <c r="C25" i="1" s="1"/>
  <c r="K65" i="60796"/>
  <c r="D29" i="2"/>
  <c r="D5" i="1" s="1"/>
  <c r="F5" s="1"/>
  <c r="H7" i="11565"/>
  <c r="G7"/>
  <c r="E13" s="1"/>
  <c r="B489" i="32"/>
  <c r="B463" i="112"/>
  <c r="H87" i="7380"/>
  <c r="E151"/>
  <c r="G151" s="1"/>
  <c r="H151" s="1"/>
  <c r="I93" i="60796"/>
  <c r="F94" s="1"/>
  <c r="I94" s="1"/>
  <c r="F95" s="1"/>
  <c r="K93"/>
  <c r="D42" i="2"/>
  <c r="H93" i="60796"/>
  <c r="L93" s="1"/>
  <c r="K164"/>
  <c r="I164"/>
  <c r="F165" s="1"/>
  <c r="G58" i="11565"/>
  <c r="H58"/>
  <c r="F254" i="7380"/>
  <c r="E33" i="1908"/>
  <c r="B286" i="2316"/>
  <c r="AH297"/>
  <c r="H76" i="7380"/>
  <c r="E140"/>
  <c r="G140" s="1"/>
  <c r="H140" s="1"/>
  <c r="H69"/>
  <c r="E133"/>
  <c r="G133" s="1"/>
  <c r="H133" s="1"/>
  <c r="H55"/>
  <c r="E119"/>
  <c r="G119" s="1"/>
  <c r="H119" s="1"/>
  <c r="B493" i="32"/>
  <c r="AH505"/>
  <c r="B382"/>
  <c r="B393" s="1"/>
  <c r="AH393"/>
  <c r="B8"/>
  <c r="F8" i="7380" s="1"/>
  <c r="AH20" i="32"/>
  <c r="G115" i="60796"/>
  <c r="G54" i="1908"/>
  <c r="F54"/>
  <c r="D72" s="1"/>
  <c r="B285" i="2819"/>
  <c r="AH297"/>
  <c r="B141"/>
  <c r="AH153"/>
  <c r="I96" i="60796"/>
  <c r="F97" s="1"/>
  <c r="I97" s="1"/>
  <c r="F98" s="1"/>
  <c r="D43" i="2"/>
  <c r="E43" s="1"/>
  <c r="E279" i="60804"/>
  <c r="F279" s="1"/>
  <c r="K276" s="1"/>
  <c r="G278"/>
  <c r="B334" i="2316"/>
  <c r="AH345"/>
  <c r="B169"/>
  <c r="F187" i="1792"/>
  <c r="G187" s="1"/>
  <c r="E207" s="1"/>
  <c r="G185"/>
  <c r="E205" s="1"/>
  <c r="G205" s="1"/>
  <c r="E225" s="1"/>
  <c r="B91" i="2316"/>
  <c r="AH103"/>
  <c r="C159" i="60796"/>
  <c r="F159"/>
  <c r="H70" i="7380"/>
  <c r="E134"/>
  <c r="G134" s="1"/>
  <c r="H134" s="1"/>
  <c r="H64"/>
  <c r="E128"/>
  <c r="B431" i="32"/>
  <c r="AH441"/>
  <c r="B194"/>
  <c r="B199" s="1"/>
  <c r="AH199"/>
  <c r="B123"/>
  <c r="B135" s="1"/>
  <c r="AH135"/>
  <c r="B126" i="112"/>
  <c r="B135" s="1"/>
  <c r="AH135"/>
  <c r="B512" i="2819"/>
  <c r="B524" s="1"/>
  <c r="AH524"/>
  <c r="AH416"/>
  <c r="D427"/>
  <c r="B39" i="516"/>
  <c r="G143" i="60796" s="1"/>
  <c r="K143" s="1"/>
  <c r="AH51" i="516"/>
  <c r="E122" i="1792"/>
  <c r="G122" s="1"/>
  <c r="H58"/>
  <c r="G56"/>
  <c r="E120" s="1"/>
  <c r="G120" s="1"/>
  <c r="B543" i="2316"/>
  <c r="AH555"/>
  <c r="B366"/>
  <c r="AH377"/>
  <c r="B301"/>
  <c r="F196" i="1792" s="1"/>
  <c r="G196" s="1"/>
  <c r="E216" s="1"/>
  <c r="AH313" i="2316"/>
  <c r="F192" i="1792"/>
  <c r="G192" s="1"/>
  <c r="E212" s="1"/>
  <c r="B265" i="2316"/>
  <c r="B40"/>
  <c r="F9" i="1792" s="1"/>
  <c r="G9" s="1"/>
  <c r="E15" s="1"/>
  <c r="AH52" i="2316"/>
  <c r="B27"/>
  <c r="B36" s="1"/>
  <c r="AH36"/>
  <c r="H79" i="7380"/>
  <c r="E143"/>
  <c r="G143" s="1"/>
  <c r="H143" s="1"/>
  <c r="H61"/>
  <c r="E125"/>
  <c r="G125" s="1"/>
  <c r="H125" s="1"/>
  <c r="H51"/>
  <c r="E115"/>
  <c r="G115" s="1"/>
  <c r="H115" s="1"/>
  <c r="B268" i="32"/>
  <c r="AH279"/>
  <c r="AH94"/>
  <c r="AB103"/>
  <c r="B25" i="514"/>
  <c r="AH35"/>
  <c r="F106" i="1908"/>
  <c r="D127" s="1"/>
  <c r="G106"/>
  <c r="B11" i="112"/>
  <c r="E8" i="1908" s="1"/>
  <c r="G99" i="60796" s="1"/>
  <c r="AH21" i="112"/>
  <c r="B451" i="2819"/>
  <c r="B460" s="1"/>
  <c r="AH460"/>
  <c r="B367"/>
  <c r="AH379"/>
  <c r="B111"/>
  <c r="F35" i="11565" s="1"/>
  <c r="AH121" i="2819"/>
  <c r="B76"/>
  <c r="AH87"/>
  <c r="B59"/>
  <c r="AH71"/>
  <c r="B71" i="2561"/>
  <c r="G46" i="60796" s="1"/>
  <c r="AH83" i="2561"/>
  <c r="B117" i="60802"/>
  <c r="E29" i="60803" s="1"/>
  <c r="AH129" i="60802"/>
  <c r="B88"/>
  <c r="AH97"/>
  <c r="H80" i="7380"/>
  <c r="E144"/>
  <c r="G144" s="1"/>
  <c r="H144" s="1"/>
  <c r="D102"/>
  <c r="E63"/>
  <c r="G63" s="1"/>
  <c r="AH316" i="112"/>
  <c r="B306"/>
  <c r="B316" s="1"/>
  <c r="B77" i="60808"/>
  <c r="AH86"/>
  <c r="B128"/>
  <c r="B138" s="1"/>
  <c r="D49" i="60809" s="1"/>
  <c r="AH138" i="60808"/>
  <c r="AH191"/>
  <c r="B188"/>
  <c r="K71" i="2048"/>
  <c r="B343" i="32"/>
  <c r="B247"/>
  <c r="F195" i="7380"/>
  <c r="B496" i="112"/>
  <c r="E51" i="11565"/>
  <c r="B249" i="2819"/>
  <c r="U19" i="2048"/>
  <c r="W19" s="1"/>
  <c r="H65" i="60796"/>
  <c r="L65" s="1"/>
  <c r="AH17" i="60806"/>
  <c r="H191" i="1792"/>
  <c r="AH103" i="112"/>
  <c r="F39" i="1792"/>
  <c r="G39" s="1"/>
  <c r="AH463" i="112"/>
  <c r="G56" i="1908"/>
  <c r="G27"/>
  <c r="G58" i="60796"/>
  <c r="G52"/>
  <c r="K52" s="1"/>
  <c r="AH51" i="29741"/>
  <c r="W56" i="2048"/>
  <c r="AH50"/>
  <c r="M10" i="97" s="1"/>
  <c r="M22" s="1"/>
  <c r="G44" i="60796"/>
  <c r="B219" i="112"/>
  <c r="AH83" i="8194"/>
  <c r="AH18" i="60799"/>
  <c r="D75" i="60809"/>
  <c r="E75" s="1"/>
  <c r="H90" i="7380"/>
  <c r="AH329" i="2316"/>
  <c r="I7" i="2048"/>
  <c r="K7" s="1"/>
  <c r="K72" s="1"/>
  <c r="J22" i="97"/>
  <c r="T57" i="2048"/>
  <c r="K17" i="97" s="1"/>
  <c r="AH71" i="112"/>
  <c r="AH262" i="60805"/>
  <c r="C123" i="60796"/>
  <c r="D108" i="1908"/>
  <c r="H256" i="1792"/>
  <c r="AH489" i="32"/>
  <c r="C62" i="2"/>
  <c r="C20" i="1" s="1"/>
  <c r="D35" i="2"/>
  <c r="C9" i="1"/>
  <c r="C32"/>
  <c r="C13" i="60796"/>
  <c r="F254" i="1792"/>
  <c r="F251"/>
  <c r="G251" s="1"/>
  <c r="E264" s="1"/>
  <c r="F250"/>
  <c r="G250" s="1"/>
  <c r="E263" s="1"/>
  <c r="F266"/>
  <c r="G253"/>
  <c r="E266" s="1"/>
  <c r="F216"/>
  <c r="H216" s="1"/>
  <c r="AH265" i="2316"/>
  <c r="G28" i="60796"/>
  <c r="B84" i="1024"/>
  <c r="F253" i="7380"/>
  <c r="F246"/>
  <c r="AH343" i="32"/>
  <c r="F213" i="7380"/>
  <c r="B25" i="32"/>
  <c r="D69" i="1908"/>
  <c r="G64"/>
  <c r="E86" i="11565"/>
  <c r="AH443" i="2819"/>
  <c r="AH169"/>
  <c r="AH137"/>
  <c r="B55" i="2561"/>
  <c r="K88" i="60796"/>
  <c r="G20" i="97"/>
  <c r="AG22" i="2048"/>
  <c r="AI22" s="1"/>
  <c r="B66" i="60799"/>
  <c r="E8" i="60800" s="1"/>
  <c r="G312" i="60801"/>
  <c r="B17" i="60806"/>
  <c r="K123" i="60796"/>
  <c r="I123"/>
  <c r="F124" s="1"/>
  <c r="E130" i="1792"/>
  <c r="G130" s="1"/>
  <c r="H66"/>
  <c r="B418" i="2316"/>
  <c r="B427" s="1"/>
  <c r="AH427"/>
  <c r="B351"/>
  <c r="AH361"/>
  <c r="B141"/>
  <c r="AH153"/>
  <c r="AH35" i="1024"/>
  <c r="B23"/>
  <c r="G9" i="60796" s="1"/>
  <c r="K9" s="1"/>
  <c r="H81" i="7380"/>
  <c r="E145"/>
  <c r="G145" s="1"/>
  <c r="H145" s="1"/>
  <c r="B446" i="32"/>
  <c r="B457" s="1"/>
  <c r="AH457"/>
  <c r="B222"/>
  <c r="B231" s="1"/>
  <c r="AH231"/>
  <c r="B139"/>
  <c r="AH151"/>
  <c r="B57"/>
  <c r="F26" i="7380" s="1"/>
  <c r="F27" s="1"/>
  <c r="AH69" i="32"/>
  <c r="F107" i="1908"/>
  <c r="D128" s="1"/>
  <c r="G107"/>
  <c r="B256" i="2819"/>
  <c r="AH265"/>
  <c r="AH19" i="2561"/>
  <c r="B8"/>
  <c r="B19" s="1"/>
  <c r="B65" i="60808"/>
  <c r="B68" s="1"/>
  <c r="D23" i="60809" s="1"/>
  <c r="AH68" i="60808"/>
  <c r="H78" i="7380"/>
  <c r="E142"/>
  <c r="G142" s="1"/>
  <c r="H142" s="1"/>
  <c r="G41"/>
  <c r="C133" i="60796"/>
  <c r="F133"/>
  <c r="H100" i="7380"/>
  <c r="E164"/>
  <c r="G164" s="1"/>
  <c r="H164" s="1"/>
  <c r="B413" i="32"/>
  <c r="B425" s="1"/>
  <c r="AH425"/>
  <c r="B366"/>
  <c r="B377" s="1"/>
  <c r="AH377"/>
  <c r="G131" i="60796"/>
  <c r="K131" s="1"/>
  <c r="B514" i="112"/>
  <c r="B157"/>
  <c r="B169" s="1"/>
  <c r="AH169"/>
  <c r="B75"/>
  <c r="AH87"/>
  <c r="B25"/>
  <c r="AH37"/>
  <c r="B383" i="2819"/>
  <c r="B395" s="1"/>
  <c r="AH395"/>
  <c r="B58" i="8194"/>
  <c r="G71" i="60796" s="1"/>
  <c r="I71" s="1"/>
  <c r="F72" s="1"/>
  <c r="AH67" i="8194"/>
  <c r="B41" i="523"/>
  <c r="AH51"/>
  <c r="B7"/>
  <c r="AH19"/>
  <c r="AG5" i="2048"/>
  <c r="AF50"/>
  <c r="K10" i="97" s="1"/>
  <c r="K22" s="1"/>
  <c r="B198" i="60799"/>
  <c r="B210" s="1"/>
  <c r="E17" i="60800" s="1"/>
  <c r="AH210" i="60799"/>
  <c r="B61" i="60797"/>
  <c r="D44" s="1"/>
  <c r="AH65"/>
  <c r="C102" i="7380"/>
  <c r="E154" i="60796" s="1"/>
  <c r="F154" s="1"/>
  <c r="E62" i="7380"/>
  <c r="G62" s="1"/>
  <c r="B215" i="60808"/>
  <c r="B226" s="1"/>
  <c r="AH226"/>
  <c r="B433" i="2316"/>
  <c r="AH443"/>
  <c r="B383"/>
  <c r="F201" i="1792" s="1"/>
  <c r="G201" s="1"/>
  <c r="E221" s="1"/>
  <c r="AH393" i="2316"/>
  <c r="B462" i="32"/>
  <c r="B473" s="1"/>
  <c r="AH473"/>
  <c r="B398"/>
  <c r="B409" s="1"/>
  <c r="AH409"/>
  <c r="B108"/>
  <c r="B119" s="1"/>
  <c r="AH119"/>
  <c r="F60" i="1908"/>
  <c r="D77" s="1"/>
  <c r="G60"/>
  <c r="B483" i="2819"/>
  <c r="AH492"/>
  <c r="B402"/>
  <c r="AH411"/>
  <c r="B221"/>
  <c r="AH233"/>
  <c r="B12" i="516"/>
  <c r="AH19"/>
  <c r="B87" i="2561"/>
  <c r="G49" i="60796" s="1"/>
  <c r="I49" s="1"/>
  <c r="F50" s="1"/>
  <c r="AH99" i="2561"/>
  <c r="B39"/>
  <c r="AH51"/>
  <c r="G37" i="60796"/>
  <c r="B35" i="2561"/>
  <c r="AS5" i="2048"/>
  <c r="AR50"/>
  <c r="K11" i="97" s="1"/>
  <c r="B133" i="60802"/>
  <c r="E30" i="60803" s="1"/>
  <c r="AH145" i="60802"/>
  <c r="L230" i="60804"/>
  <c r="I241"/>
  <c r="B231" i="60808"/>
  <c r="B243" s="1"/>
  <c r="AH243"/>
  <c r="C27" i="60810"/>
  <c r="G8"/>
  <c r="G10" s="1"/>
  <c r="D49" i="2"/>
  <c r="F49" s="1"/>
  <c r="B327" i="32"/>
  <c r="E43" i="1908"/>
  <c r="G43" s="1"/>
  <c r="B35" i="523"/>
  <c r="AG25" i="2048"/>
  <c r="AI25" s="1"/>
  <c r="G73" i="60796"/>
  <c r="I73" s="1"/>
  <c r="F74" s="1"/>
  <c r="F113" i="1908"/>
  <c r="AH428" i="112"/>
  <c r="G99" i="1908"/>
  <c r="E136" i="7380"/>
  <c r="H68" i="1792"/>
  <c r="F241" i="7380"/>
  <c r="B479" i="112"/>
  <c r="B217" i="2819"/>
  <c r="AH35" i="523"/>
  <c r="AF51" i="2561"/>
  <c r="G41" i="60796"/>
  <c r="G36"/>
  <c r="AH194" i="60799"/>
  <c r="B162"/>
  <c r="E14" i="60800" s="1"/>
  <c r="B51" i="8194"/>
  <c r="AH137" i="2316"/>
  <c r="G277" i="60804"/>
  <c r="AH35" i="2561"/>
  <c r="U56" i="2048"/>
  <c r="L9" i="97" s="1"/>
  <c r="AI37" i="2048"/>
  <c r="T56"/>
  <c r="K9" i="97" s="1"/>
  <c r="G129" i="60796"/>
  <c r="E116"/>
  <c r="C47" i="2" s="1"/>
  <c r="C24" i="1" s="1"/>
  <c r="H63" i="1792"/>
  <c r="AH539" i="2316"/>
  <c r="F267" i="1792"/>
  <c r="AH523" i="2316"/>
  <c r="F264" i="1792"/>
  <c r="AH507" i="2316"/>
  <c r="B507"/>
  <c r="F263" i="1792"/>
  <c r="AH475" i="2316"/>
  <c r="F228" i="1792"/>
  <c r="F21"/>
  <c r="G18" i="60796"/>
  <c r="K18" s="1"/>
  <c r="E121" i="7380"/>
  <c r="G121" s="1"/>
  <c r="H121" s="1"/>
  <c r="F214"/>
  <c r="F193"/>
  <c r="F192"/>
  <c r="B35" i="514"/>
  <c r="E59" i="1908"/>
  <c r="F59" s="1"/>
  <c r="D76" s="1"/>
  <c r="B268" i="112"/>
  <c r="E58" i="1908" s="1"/>
  <c r="F58" s="1"/>
  <c r="B411" i="2819"/>
  <c r="AH361"/>
  <c r="AH201"/>
  <c r="B158"/>
  <c r="F38" i="11565" s="1"/>
  <c r="G38" s="1"/>
  <c r="AH21" i="2819"/>
  <c r="G38" i="60796"/>
  <c r="B35" i="11520"/>
  <c r="U40" i="2048"/>
  <c r="W40" s="1"/>
  <c r="AS34"/>
  <c r="AU34" s="1"/>
  <c r="U10"/>
  <c r="W10" s="1"/>
  <c r="AR51"/>
  <c r="K19" i="97" s="1"/>
  <c r="B49" i="60798"/>
  <c r="B183" i="60799"/>
  <c r="G336" i="60801"/>
  <c r="AT50" i="2048"/>
  <c r="M11" i="97" s="1"/>
  <c r="M23" s="1"/>
  <c r="E202" i="1792"/>
  <c r="G188"/>
  <c r="E208" s="1"/>
  <c r="G208" s="1"/>
  <c r="E228" s="1"/>
  <c r="G76"/>
  <c r="E140" s="1"/>
  <c r="G140" s="1"/>
  <c r="E73"/>
  <c r="G73" s="1"/>
  <c r="E137" s="1"/>
  <c r="G137" s="1"/>
  <c r="D116"/>
  <c r="G24" i="60796" s="1"/>
  <c r="I24" s="1"/>
  <c r="F25" s="1"/>
  <c r="B447" i="2316"/>
  <c r="F252" i="1792" s="1"/>
  <c r="AH459" i="2316"/>
  <c r="B205"/>
  <c r="F190" i="1792" s="1"/>
  <c r="G190" s="1"/>
  <c r="E210" s="1"/>
  <c r="AH217" i="2316"/>
  <c r="H187" i="7380"/>
  <c r="E207"/>
  <c r="G207" s="1"/>
  <c r="H207" s="1"/>
  <c r="B300" i="32"/>
  <c r="F185" i="7380" s="1"/>
  <c r="G185" s="1"/>
  <c r="AH311" i="32"/>
  <c r="B41"/>
  <c r="AH53"/>
  <c r="B496" i="2819"/>
  <c r="B508" s="1"/>
  <c r="AH508"/>
  <c r="B301"/>
  <c r="AH313"/>
  <c r="B269"/>
  <c r="AH281"/>
  <c r="B173"/>
  <c r="AH185"/>
  <c r="B91" i="60808"/>
  <c r="B103" s="1"/>
  <c r="D36" i="60809" s="1"/>
  <c r="E36" s="1"/>
  <c r="E37" s="1"/>
  <c r="AH103" i="60808"/>
  <c r="E81" i="60809"/>
  <c r="C10" i="2"/>
  <c r="C11" i="1" s="1"/>
  <c r="F247" i="1792"/>
  <c r="G247" s="1"/>
  <c r="E260" s="1"/>
  <c r="H260" s="1"/>
  <c r="F219"/>
  <c r="AH86" i="2316"/>
  <c r="F14" i="1792"/>
  <c r="F7"/>
  <c r="F238" i="7380"/>
  <c r="G156" i="60796"/>
  <c r="E10" i="11565"/>
  <c r="B361" i="2819"/>
  <c r="F43" i="11565"/>
  <c r="B51" i="516"/>
  <c r="AH115" i="2561"/>
  <c r="G50" i="60796"/>
  <c r="D22" i="2" s="1"/>
  <c r="AU44" i="2048"/>
  <c r="AS46" s="1"/>
  <c r="AU46" s="1"/>
  <c r="U37"/>
  <c r="W37" s="1"/>
  <c r="AI11"/>
  <c r="AG13" s="1"/>
  <c r="AI13" s="1"/>
  <c r="B35" i="60797"/>
  <c r="E6" s="1"/>
  <c r="F6" s="1"/>
  <c r="D7" s="1"/>
  <c r="F7" s="1"/>
  <c r="D8" s="1"/>
  <c r="F8" s="1"/>
  <c r="D9" s="1"/>
  <c r="F9" s="1"/>
  <c r="D10" s="1"/>
  <c r="F10" s="1"/>
  <c r="D11" s="1"/>
  <c r="F11" s="1"/>
  <c r="D12" s="1"/>
  <c r="B146" i="60799"/>
  <c r="B16" i="60805"/>
  <c r="E33" i="60803"/>
  <c r="G75" i="1792"/>
  <c r="E139" s="1"/>
  <c r="G139" s="1"/>
  <c r="E134"/>
  <c r="G134" s="1"/>
  <c r="H134" s="1"/>
  <c r="H70"/>
  <c r="E126"/>
  <c r="G126" s="1"/>
  <c r="H62"/>
  <c r="H57"/>
  <c r="G57"/>
  <c r="E121" s="1"/>
  <c r="G121" s="1"/>
  <c r="H121" s="1"/>
  <c r="B269" i="2316"/>
  <c r="AH281"/>
  <c r="B174"/>
  <c r="B185" s="1"/>
  <c r="AH185"/>
  <c r="H77" i="7380"/>
  <c r="E141"/>
  <c r="G141" s="1"/>
  <c r="H141" s="1"/>
  <c r="B349" i="32"/>
  <c r="AH361"/>
  <c r="B252"/>
  <c r="B263" s="1"/>
  <c r="AH263"/>
  <c r="B171"/>
  <c r="F177" i="7380" s="1"/>
  <c r="G177" s="1"/>
  <c r="E197" s="1"/>
  <c r="G197" s="1"/>
  <c r="AH183" i="32"/>
  <c r="B7" i="514"/>
  <c r="AH19"/>
  <c r="B108" i="112"/>
  <c r="AH119"/>
  <c r="B333" i="2819"/>
  <c r="B345" s="1"/>
  <c r="AH345"/>
  <c r="B102" i="60799"/>
  <c r="B114" s="1"/>
  <c r="E11" i="60800" s="1"/>
  <c r="AH114" i="60799"/>
  <c r="B53" i="60802"/>
  <c r="AH65"/>
  <c r="C137" i="60796"/>
  <c r="E40" i="1792"/>
  <c r="B459" i="2316"/>
  <c r="F214" i="1792"/>
  <c r="B249" i="2316"/>
  <c r="B74"/>
  <c r="F22" i="1792" s="1"/>
  <c r="G22" s="1"/>
  <c r="F8"/>
  <c r="G8" s="1"/>
  <c r="G26" i="60796"/>
  <c r="H26" s="1"/>
  <c r="L26" s="1"/>
  <c r="G19"/>
  <c r="E163" i="7380"/>
  <c r="G163" s="1"/>
  <c r="H163" s="1"/>
  <c r="E111"/>
  <c r="G111" s="1"/>
  <c r="H111" s="1"/>
  <c r="B215" i="32"/>
  <c r="G149" i="60796"/>
  <c r="E68" i="1908"/>
  <c r="F68" s="1"/>
  <c r="D84" s="1"/>
  <c r="F41" i="11565"/>
  <c r="B104" i="2561"/>
  <c r="G84" i="60796"/>
  <c r="D39" i="2" s="1"/>
  <c r="D34" i="1" s="1"/>
  <c r="B19" i="11520"/>
  <c r="AU35" i="2048"/>
  <c r="AS37" s="1"/>
  <c r="AU37" s="1"/>
  <c r="AH49" i="60798"/>
  <c r="B444" i="60805"/>
  <c r="F240" i="60801" s="1"/>
  <c r="B121" i="60808"/>
  <c r="D44" i="60809" s="1"/>
  <c r="E95" i="7380"/>
  <c r="G95" s="1"/>
  <c r="G344" i="60801"/>
  <c r="E172" i="1792"/>
  <c r="G172" s="1"/>
  <c r="D18" i="60809"/>
  <c r="B48" i="60808"/>
  <c r="B51" s="1"/>
  <c r="AH51"/>
  <c r="C46" i="2"/>
  <c r="C26" i="1" s="1"/>
  <c r="C99" i="60796"/>
  <c r="D41" i="2"/>
  <c r="F41" s="1"/>
  <c r="F196" i="7380"/>
  <c r="G196" s="1"/>
  <c r="AH479" i="112"/>
  <c r="E135" i="60796"/>
  <c r="F135" s="1"/>
  <c r="N9" i="97"/>
  <c r="H72" i="2048"/>
  <c r="K16" i="97" s="1"/>
  <c r="K44" i="2048"/>
  <c r="I46" s="1"/>
  <c r="K46" s="1"/>
  <c r="AU29"/>
  <c r="AS31" s="1"/>
  <c r="AU31" s="1"/>
  <c r="B17" i="60798"/>
  <c r="H286" i="60801"/>
  <c r="E31" i="60803"/>
  <c r="G165" i="60796"/>
  <c r="D64" i="2" s="1"/>
  <c r="E64" s="1"/>
  <c r="D83" i="60809"/>
  <c r="E83" s="1"/>
  <c r="I66"/>
  <c r="J66" s="1"/>
  <c r="J72" i="2048"/>
  <c r="M16" i="97" s="1"/>
  <c r="H344" i="60801"/>
  <c r="B492" i="60805"/>
  <c r="E406" i="60801" s="1"/>
  <c r="D36" i="1"/>
  <c r="F36" s="1"/>
  <c r="D37"/>
  <c r="E10" i="60809"/>
  <c r="E11" s="1"/>
  <c r="H57" i="60796"/>
  <c r="F43" i="2"/>
  <c r="I7" i="60796"/>
  <c r="F8" s="1"/>
  <c r="G8" i="7380"/>
  <c r="J21" i="97"/>
  <c r="D40" i="2"/>
  <c r="C105" i="60796"/>
  <c r="G68" i="1908"/>
  <c r="C45" i="2"/>
  <c r="G191" i="1792"/>
  <c r="E211" s="1"/>
  <c r="H129" i="60796"/>
  <c r="J129" s="1"/>
  <c r="D23" i="2"/>
  <c r="F23" s="1"/>
  <c r="H84" i="60796"/>
  <c r="D33" i="2"/>
  <c r="K57" i="60796"/>
  <c r="F270" i="1792"/>
  <c r="G33" i="60796" s="1"/>
  <c r="F8" i="1908"/>
  <c r="D14" s="1"/>
  <c r="G8"/>
  <c r="F28" i="1792"/>
  <c r="G16" i="60796" s="1"/>
  <c r="H9"/>
  <c r="D25" i="2"/>
  <c r="F25" s="1"/>
  <c r="H7" i="60796"/>
  <c r="H11"/>
  <c r="J11" s="1"/>
  <c r="F19" i="7380"/>
  <c r="F22" i="11565"/>
  <c r="G22" s="1"/>
  <c r="E27" s="1"/>
  <c r="B51" i="2561"/>
  <c r="G40" i="60796"/>
  <c r="K40" s="1"/>
  <c r="C60" i="2"/>
  <c r="C19" i="1" s="1"/>
  <c r="H166" i="1792"/>
  <c r="B185" i="2819"/>
  <c r="F39" i="11565"/>
  <c r="K141" i="60796"/>
  <c r="AH17" i="60798"/>
  <c r="AH396" i="112"/>
  <c r="H136" i="1792"/>
  <c r="H72"/>
  <c r="J221" i="60804"/>
  <c r="G64" i="60796"/>
  <c r="K221" i="60804"/>
  <c r="E79" i="1908"/>
  <c r="E77"/>
  <c r="E73"/>
  <c r="E36" i="60803"/>
  <c r="E24"/>
  <c r="B81" i="60802"/>
  <c r="E17" i="60803"/>
  <c r="E22"/>
  <c r="E19"/>
  <c r="E12"/>
  <c r="E5"/>
  <c r="B33" i="60802"/>
  <c r="E8" i="60803"/>
  <c r="E10"/>
  <c r="C111" i="60796"/>
  <c r="E185" i="60801"/>
  <c r="F184"/>
  <c r="F185" s="1"/>
  <c r="E190"/>
  <c r="F189"/>
  <c r="F190" s="1"/>
  <c r="E60" i="60809"/>
  <c r="D47" i="60797"/>
  <c r="B65"/>
  <c r="F251" i="7380"/>
  <c r="B441" i="32"/>
  <c r="H89" i="7380"/>
  <c r="E153"/>
  <c r="G153" s="1"/>
  <c r="H153" s="1"/>
  <c r="D112" i="1908"/>
  <c r="AP112" i="60801"/>
  <c r="F225" i="7380"/>
  <c r="F219"/>
  <c r="F217"/>
  <c r="F216"/>
  <c r="B167" i="32"/>
  <c r="F212" i="7380"/>
  <c r="B53" i="32"/>
  <c r="F35" i="7380"/>
  <c r="F241" i="1792"/>
  <c r="F236"/>
  <c r="F230"/>
  <c r="F49"/>
  <c r="F50" s="1"/>
  <c r="G23" i="60796" s="1"/>
  <c r="F32" i="1792"/>
  <c r="B86" i="2316"/>
  <c r="F31" i="1792"/>
  <c r="B70" i="2316"/>
  <c r="F15" i="1792"/>
  <c r="I11" i="60796"/>
  <c r="F12" s="1"/>
  <c r="AH19" i="8194"/>
  <c r="E35" i="60803"/>
  <c r="E34"/>
  <c r="E28"/>
  <c r="B113" i="60802"/>
  <c r="B65"/>
  <c r="E16" i="60803"/>
  <c r="E6"/>
  <c r="B49" i="60802"/>
  <c r="F4" i="60803"/>
  <c r="D7" s="1"/>
  <c r="G108" i="60796"/>
  <c r="B35" i="1024"/>
  <c r="G286" i="60801"/>
  <c r="C51" i="2"/>
  <c r="C27" i="1" s="1"/>
  <c r="D48" i="60797"/>
  <c r="E48" s="1"/>
  <c r="H8" i="60810"/>
  <c r="H11" s="1"/>
  <c r="K61" i="60796"/>
  <c r="E76" i="1908"/>
  <c r="G76" s="1"/>
  <c r="H363" i="60801"/>
  <c r="AH201" i="2316"/>
  <c r="F229" i="1792"/>
  <c r="B201" i="2316"/>
  <c r="B87" i="32"/>
  <c r="F211" i="7380"/>
  <c r="F225" i="1792"/>
  <c r="B137" i="2316"/>
  <c r="AH69" i="523"/>
  <c r="F241" i="60801"/>
  <c r="H240"/>
  <c r="H241" s="1"/>
  <c r="G112" i="1908"/>
  <c r="F130"/>
  <c r="F64"/>
  <c r="D81" s="1"/>
  <c r="G119" i="60796"/>
  <c r="F27" i="1908"/>
  <c r="D35" s="1"/>
  <c r="F55"/>
  <c r="D73" s="1"/>
  <c r="F124"/>
  <c r="G124"/>
  <c r="K132"/>
  <c r="B185" i="112"/>
  <c r="AH185"/>
  <c r="B178" i="60799"/>
  <c r="E15" i="60800" s="1"/>
  <c r="B50" i="60799"/>
  <c r="E7" i="60800" s="1"/>
  <c r="H178" i="1792"/>
  <c r="H165"/>
  <c r="H158"/>
  <c r="H131"/>
  <c r="E13" i="60800"/>
  <c r="E147" i="60799"/>
  <c r="G72" i="60796"/>
  <c r="K72" s="1"/>
  <c r="G63"/>
  <c r="D28" i="2" s="1"/>
  <c r="B35" i="8194"/>
  <c r="G76" i="60796"/>
  <c r="H75" s="1"/>
  <c r="L75" s="1"/>
  <c r="B99" i="8194"/>
  <c r="K73" i="60796"/>
  <c r="AP79" i="60801"/>
  <c r="F13" i="11565"/>
  <c r="G13" s="1"/>
  <c r="B21" i="2819"/>
  <c r="G144" i="60796"/>
  <c r="F18" i="7380"/>
  <c r="B20" i="32"/>
  <c r="F22" i="1908"/>
  <c r="D31" s="1"/>
  <c r="F31" s="1"/>
  <c r="G113" i="60796"/>
  <c r="G58" i="1908"/>
  <c r="E65"/>
  <c r="B380" i="112"/>
  <c r="E63" i="1908"/>
  <c r="G63" s="1"/>
  <c r="B348" i="112"/>
  <c r="E42" i="1908"/>
  <c r="E24"/>
  <c r="B87" i="112"/>
  <c r="B53"/>
  <c r="E10" i="1908"/>
  <c r="B21" i="112"/>
  <c r="E14" i="1908"/>
  <c r="G100" i="60796" s="1"/>
  <c r="H99" s="1"/>
  <c r="B284" i="112"/>
  <c r="E57" i="1908"/>
  <c r="B251" i="112"/>
  <c r="B103"/>
  <c r="E25" i="1908"/>
  <c r="E66"/>
  <c r="E16"/>
  <c r="G104" i="60796" s="1"/>
  <c r="AH514" i="112"/>
  <c r="AH496"/>
  <c r="C229" i="7380"/>
  <c r="AH278" i="60805"/>
  <c r="E253" i="60801"/>
  <c r="G252"/>
  <c r="G253" s="1"/>
  <c r="F253"/>
  <c r="H252"/>
  <c r="H253" s="1"/>
  <c r="F63"/>
  <c r="G63" s="1"/>
  <c r="L241" i="60804"/>
  <c r="L22"/>
  <c r="I22"/>
  <c r="G119" i="1908"/>
  <c r="F119"/>
  <c r="G115"/>
  <c r="F115"/>
  <c r="D7" i="2"/>
  <c r="F7" s="1"/>
  <c r="E84" i="1908"/>
  <c r="B428" i="112"/>
  <c r="B364"/>
  <c r="E81" i="1908"/>
  <c r="E78"/>
  <c r="E83"/>
  <c r="B396" i="112"/>
  <c r="B332"/>
  <c r="B300"/>
  <c r="G120" i="60796"/>
  <c r="B235" i="112"/>
  <c r="E74" i="1908"/>
  <c r="G240" i="60801"/>
  <c r="G241" s="1"/>
  <c r="B69" i="523"/>
  <c r="B71" s="1"/>
  <c r="AP107" i="60801"/>
  <c r="AP108"/>
  <c r="B53" i="2819"/>
  <c r="B37"/>
  <c r="F8" i="11565"/>
  <c r="G8" s="1"/>
  <c r="E14" s="1"/>
  <c r="G14" s="1"/>
  <c r="B20" i="2316"/>
  <c r="G7" i="1792"/>
  <c r="E13" s="1"/>
  <c r="AP105" i="60801"/>
  <c r="AP106"/>
  <c r="AP110"/>
  <c r="B33" i="60798"/>
  <c r="AP99" i="60801"/>
  <c r="AP100"/>
  <c r="AP101"/>
  <c r="AP102"/>
  <c r="AP103"/>
  <c r="AP104"/>
  <c r="AP111"/>
  <c r="G363"/>
  <c r="AH295" i="32"/>
  <c r="F224" i="7380"/>
  <c r="B295" i="32"/>
  <c r="B279"/>
  <c r="F223" i="7380"/>
  <c r="D91" i="60809"/>
  <c r="D93" s="1"/>
  <c r="E93" s="1"/>
  <c r="B261" i="60808"/>
  <c r="B151" i="32"/>
  <c r="F215" i="7380"/>
  <c r="K129" i="60796"/>
  <c r="E35" i="2"/>
  <c r="B36" i="60797"/>
  <c r="E12"/>
  <c r="E14" s="1"/>
  <c r="E15" s="1"/>
  <c r="F15" s="1"/>
  <c r="G136" i="60796"/>
  <c r="D16" i="97"/>
  <c r="E107" i="7380"/>
  <c r="G107" s="1"/>
  <c r="H107" s="1"/>
  <c r="H43"/>
  <c r="G22" i="1908"/>
  <c r="E35"/>
  <c r="G110" i="60796" s="1"/>
  <c r="B151" i="112"/>
  <c r="G279" i="60804"/>
  <c r="G132" i="7380"/>
  <c r="H132" s="1"/>
  <c r="F166"/>
  <c r="F180" i="1792"/>
  <c r="G25" i="60796" s="1"/>
  <c r="G128" i="7380"/>
  <c r="H128" s="1"/>
  <c r="G136"/>
  <c r="H136" s="1"/>
  <c r="H167" i="1792"/>
  <c r="C154" i="60796"/>
  <c r="K166"/>
  <c r="C17" i="1"/>
  <c r="D81" i="523"/>
  <c r="E158" i="7380"/>
  <c r="G158" s="1"/>
  <c r="H158" s="1"/>
  <c r="D6" i="2"/>
  <c r="K8" i="60796"/>
  <c r="G61" i="60801"/>
  <c r="E62" s="1"/>
  <c r="G62" s="1"/>
  <c r="E12"/>
  <c r="F12" s="1"/>
  <c r="F14" s="1"/>
  <c r="E217"/>
  <c r="AP80"/>
  <c r="AP81"/>
  <c r="AP82"/>
  <c r="AP83"/>
  <c r="AP84"/>
  <c r="AP85"/>
  <c r="AP86"/>
  <c r="AP87"/>
  <c r="AP88"/>
  <c r="AP89"/>
  <c r="AP90"/>
  <c r="AP91"/>
  <c r="AP92"/>
  <c r="AP93"/>
  <c r="AP94"/>
  <c r="AP95"/>
  <c r="AP96"/>
  <c r="AP97"/>
  <c r="AP98"/>
  <c r="AP109"/>
  <c r="F168"/>
  <c r="F170" s="1"/>
  <c r="E175"/>
  <c r="H246"/>
  <c r="H247" s="1"/>
  <c r="F247"/>
  <c r="B166" i="60805"/>
  <c r="E160" i="60801"/>
  <c r="F160" s="1"/>
  <c r="E159"/>
  <c r="F159" s="1"/>
  <c r="B150" i="60805"/>
  <c r="B375"/>
  <c r="E48" i="60801" s="1"/>
  <c r="F48" s="1"/>
  <c r="F50" s="1"/>
  <c r="B127" i="60805"/>
  <c r="F318" i="60801" s="1"/>
  <c r="F319" s="1"/>
  <c r="B262" i="60805"/>
  <c r="E179" i="60801" s="1"/>
  <c r="E180" s="1"/>
  <c r="E162"/>
  <c r="B198" i="60805"/>
  <c r="E407" i="60801"/>
  <c r="G406"/>
  <c r="G407" s="1"/>
  <c r="F70"/>
  <c r="F71" s="1"/>
  <c r="B356" i="60805"/>
  <c r="B392"/>
  <c r="E54" i="60801" s="1"/>
  <c r="E56" s="1"/>
  <c r="F396"/>
  <c r="B328" i="60805"/>
  <c r="E43" i="60801" s="1"/>
  <c r="F43" s="1"/>
  <c r="B311" i="60805"/>
  <c r="E42" i="60801" s="1"/>
  <c r="B246" i="60805"/>
  <c r="E195" i="60801" s="1"/>
  <c r="F195" s="1"/>
  <c r="F196" s="1"/>
  <c r="B428" i="60805"/>
  <c r="F123" i="1908"/>
  <c r="G118"/>
  <c r="E132"/>
  <c r="F118"/>
  <c r="G124" i="60796"/>
  <c r="L9"/>
  <c r="J9"/>
  <c r="E33" i="2"/>
  <c r="F33"/>
  <c r="H171" i="7380"/>
  <c r="E191"/>
  <c r="G191" s="1"/>
  <c r="L7" i="60796"/>
  <c r="J7"/>
  <c r="G212" i="1792"/>
  <c r="E232" s="1"/>
  <c r="G232" s="1"/>
  <c r="H212"/>
  <c r="F81" i="1908"/>
  <c r="G59"/>
  <c r="I143" i="60796"/>
  <c r="E227" i="7380"/>
  <c r="H77" i="60796"/>
  <c r="L77" s="1"/>
  <c r="F10" i="1792"/>
  <c r="I8" i="60796"/>
  <c r="H73"/>
  <c r="L73" s="1"/>
  <c r="I63"/>
  <c r="F64" s="1"/>
  <c r="K64" s="1"/>
  <c r="I65"/>
  <c r="F66" s="1"/>
  <c r="K66" s="1"/>
  <c r="D8" i="2"/>
  <c r="C33" i="1"/>
  <c r="C162" i="60796"/>
  <c r="K105"/>
  <c r="H190" i="1792"/>
  <c r="I74" i="60796"/>
  <c r="K74"/>
  <c r="H207" i="1792"/>
  <c r="G207"/>
  <c r="E227" s="1"/>
  <c r="G227" s="1"/>
  <c r="E5" i="1"/>
  <c r="H9" i="1792"/>
  <c r="J65" i="60796"/>
  <c r="K165"/>
  <c r="J96"/>
  <c r="L96"/>
  <c r="H205" i="1792"/>
  <c r="I9" i="60796"/>
  <c r="F10" s="1"/>
  <c r="I59"/>
  <c r="F60" s="1"/>
  <c r="G109"/>
  <c r="K109" s="1"/>
  <c r="H176" i="7380"/>
  <c r="I129" i="60796"/>
  <c r="F130" s="1"/>
  <c r="K130" s="1"/>
  <c r="H90"/>
  <c r="L90" s="1"/>
  <c r="I88"/>
  <c r="F89" s="1"/>
  <c r="C15"/>
  <c r="H201" i="1792"/>
  <c r="H197"/>
  <c r="H193"/>
  <c r="H189"/>
  <c r="H187"/>
  <c r="H185"/>
  <c r="E25" i="2"/>
  <c r="F28" i="11565"/>
  <c r="G70" i="60796" s="1"/>
  <c r="H61"/>
  <c r="E74" i="60809"/>
  <c r="I105" i="60796"/>
  <c r="F106" s="1"/>
  <c r="I166"/>
  <c r="J93"/>
  <c r="D56" i="2"/>
  <c r="L129" i="60796"/>
  <c r="H131"/>
  <c r="J131" s="1"/>
  <c r="F35" i="2"/>
  <c r="K156" i="60796"/>
  <c r="K87"/>
  <c r="H46"/>
  <c r="L46" s="1"/>
  <c r="H253" i="1792"/>
  <c r="H192"/>
  <c r="K62" i="60796"/>
  <c r="I62"/>
  <c r="I64"/>
  <c r="I12"/>
  <c r="K12"/>
  <c r="F9" i="11565" s="1"/>
  <c r="I10" i="60796"/>
  <c r="K10"/>
  <c r="C82" i="60809"/>
  <c r="E82" s="1"/>
  <c r="G84" i="1908"/>
  <c r="F84"/>
  <c r="C23" i="1"/>
  <c r="G211" i="1792"/>
  <c r="E231" s="1"/>
  <c r="H211"/>
  <c r="E65" i="2"/>
  <c r="D43" i="1"/>
  <c r="F65" i="2"/>
  <c r="G79" i="1908"/>
  <c r="F79"/>
  <c r="G246" i="60801"/>
  <c r="G247" s="1"/>
  <c r="E247"/>
  <c r="H227" i="1792"/>
  <c r="H269"/>
  <c r="G269"/>
  <c r="E36" i="1"/>
  <c r="I130" i="60796"/>
  <c r="I89"/>
  <c r="K89"/>
  <c r="J77"/>
  <c r="H266" i="1792"/>
  <c r="G266"/>
  <c r="H263"/>
  <c r="G263"/>
  <c r="G221"/>
  <c r="E241" s="1"/>
  <c r="H221"/>
  <c r="G217"/>
  <c r="E237" s="1"/>
  <c r="G237" s="1"/>
  <c r="H217"/>
  <c r="G213"/>
  <c r="E233" s="1"/>
  <c r="H213"/>
  <c r="H112"/>
  <c r="H110"/>
  <c r="G7" i="60803"/>
  <c r="F7"/>
  <c r="D10" s="1"/>
  <c r="K106" i="60796"/>
  <c r="I106"/>
  <c r="I58"/>
  <c r="K58"/>
  <c r="F72" i="1908"/>
  <c r="G72"/>
  <c r="K64" i="2048"/>
  <c r="E40" i="2"/>
  <c r="F40"/>
  <c r="D35" i="1"/>
  <c r="E44" i="1792"/>
  <c r="G44" s="1"/>
  <c r="E49" s="1"/>
  <c r="H39"/>
  <c r="G77" i="1908"/>
  <c r="F77"/>
  <c r="H13" i="11565"/>
  <c r="E14" i="1792"/>
  <c r="G14" s="1"/>
  <c r="H14" s="1"/>
  <c r="H8"/>
  <c r="I99" i="60796"/>
  <c r="F100" s="1"/>
  <c r="K99"/>
  <c r="K115"/>
  <c r="I115"/>
  <c r="G209" i="1792"/>
  <c r="E229" s="1"/>
  <c r="H209"/>
  <c r="H113"/>
  <c r="H111"/>
  <c r="H109"/>
  <c r="K21" i="97"/>
  <c r="E162" i="7380"/>
  <c r="G162" s="1"/>
  <c r="H162" s="1"/>
  <c r="H98"/>
  <c r="H93"/>
  <c r="E157"/>
  <c r="G157" s="1"/>
  <c r="H157" s="1"/>
  <c r="H56"/>
  <c r="E120"/>
  <c r="G120" s="1"/>
  <c r="H120" s="1"/>
  <c r="H49"/>
  <c r="E113"/>
  <c r="G113" s="1"/>
  <c r="H113" s="1"/>
  <c r="H46"/>
  <c r="E110"/>
  <c r="G110" s="1"/>
  <c r="H110" s="1"/>
  <c r="H42"/>
  <c r="E106"/>
  <c r="D27" i="2"/>
  <c r="D19"/>
  <c r="E57" i="60809"/>
  <c r="C58" s="1"/>
  <c r="E58" s="1"/>
  <c r="C59" s="1"/>
  <c r="E59" s="1"/>
  <c r="H87" i="60796"/>
  <c r="H166"/>
  <c r="F56" i="1908"/>
  <c r="D74" s="1"/>
  <c r="G62"/>
  <c r="F63"/>
  <c r="D80" s="1"/>
  <c r="D41" i="1"/>
  <c r="D50" i="2"/>
  <c r="I131" i="60796"/>
  <c r="F132" s="1"/>
  <c r="I90"/>
  <c r="F91" s="1"/>
  <c r="I77"/>
  <c r="F78" s="1"/>
  <c r="I40"/>
  <c r="F41" s="1"/>
  <c r="I41" s="1"/>
  <c r="F42" s="1"/>
  <c r="F233" i="1792"/>
  <c r="H233" s="1"/>
  <c r="F210"/>
  <c r="F239" i="7380"/>
  <c r="F237"/>
  <c r="F227"/>
  <c r="G227" s="1"/>
  <c r="H227" s="1"/>
  <c r="F222"/>
  <c r="F182"/>
  <c r="G182" s="1"/>
  <c r="F179"/>
  <c r="G179" s="1"/>
  <c r="F175"/>
  <c r="G175" s="1"/>
  <c r="F30"/>
  <c r="G150" i="60796"/>
  <c r="H22" i="1792"/>
  <c r="E27"/>
  <c r="G27" s="1"/>
  <c r="E32" s="1"/>
  <c r="G32" s="1"/>
  <c r="E160" i="7380"/>
  <c r="G160" s="1"/>
  <c r="H160" s="1"/>
  <c r="H96"/>
  <c r="G155"/>
  <c r="H155" s="1"/>
  <c r="H91"/>
  <c r="E146"/>
  <c r="G146" s="1"/>
  <c r="H146" s="1"/>
  <c r="H82"/>
  <c r="E124"/>
  <c r="G124" s="1"/>
  <c r="H124" s="1"/>
  <c r="H60"/>
  <c r="H58"/>
  <c r="E122"/>
  <c r="G122" s="1"/>
  <c r="H122" s="1"/>
  <c r="H52"/>
  <c r="E116"/>
  <c r="G116" s="1"/>
  <c r="H116" s="1"/>
  <c r="F112" i="1908"/>
  <c r="B412" i="112"/>
  <c r="E67" i="1908"/>
  <c r="E41" i="2"/>
  <c r="E23"/>
  <c r="K46" i="60796"/>
  <c r="F15"/>
  <c r="F13"/>
  <c r="E257" i="1792"/>
  <c r="H188"/>
  <c r="F240"/>
  <c r="F235"/>
  <c r="F231"/>
  <c r="H231" s="1"/>
  <c r="F206"/>
  <c r="F13"/>
  <c r="F16" s="1"/>
  <c r="G14" i="60796" s="1"/>
  <c r="F240" i="7380"/>
  <c r="F236"/>
  <c r="F186"/>
  <c r="G186" s="1"/>
  <c r="F184"/>
  <c r="G184" s="1"/>
  <c r="F183"/>
  <c r="G183" s="1"/>
  <c r="F221"/>
  <c r="F181"/>
  <c r="G181" s="1"/>
  <c r="F220"/>
  <c r="F218"/>
  <c r="F174"/>
  <c r="G174" s="1"/>
  <c r="F36"/>
  <c r="F14"/>
  <c r="B105" i="2819"/>
  <c r="F34" i="11565"/>
  <c r="B119" i="2316"/>
  <c r="AH446" i="112"/>
  <c r="AH412"/>
  <c r="AH364"/>
  <c r="AH348"/>
  <c r="AH332"/>
  <c r="AH300"/>
  <c r="AH284"/>
  <c r="AH268"/>
  <c r="AH251"/>
  <c r="AH235"/>
  <c r="AH219"/>
  <c r="AH203"/>
  <c r="F97" i="11565"/>
  <c r="F80"/>
  <c r="F90"/>
  <c r="F89"/>
  <c r="F70"/>
  <c r="F69"/>
  <c r="F68"/>
  <c r="F67"/>
  <c r="F66"/>
  <c r="F65"/>
  <c r="F61"/>
  <c r="F60"/>
  <c r="F59"/>
  <c r="F57"/>
  <c r="F56"/>
  <c r="B115" i="2561"/>
  <c r="B201" i="2819"/>
  <c r="F40" i="11565"/>
  <c r="B137" i="2819"/>
  <c r="F36" i="11565"/>
  <c r="H25" i="7380"/>
  <c r="E47" i="1908"/>
  <c r="F93" i="11565"/>
  <c r="F98"/>
  <c r="F92"/>
  <c r="F79"/>
  <c r="F94"/>
  <c r="F91"/>
  <c r="F78"/>
  <c r="F77"/>
  <c r="F50"/>
  <c r="F49"/>
  <c r="F48"/>
  <c r="F64"/>
  <c r="F63"/>
  <c r="F62"/>
  <c r="F55"/>
  <c r="F54"/>
  <c r="B87" i="2819"/>
  <c r="B115" i="8194"/>
  <c r="G142" i="60796"/>
  <c r="B83" i="2561"/>
  <c r="U16" i="2048"/>
  <c r="E91" i="60809"/>
  <c r="C92"/>
  <c r="E98"/>
  <c r="C99"/>
  <c r="AH35" i="516"/>
  <c r="B98" i="60799"/>
  <c r="E10" i="60800" s="1"/>
  <c r="B82" i="60799"/>
  <c r="E9" i="60800" s="1"/>
  <c r="E90" i="60809"/>
  <c r="C91"/>
  <c r="E99"/>
  <c r="C100"/>
  <c r="B35" i="29741"/>
  <c r="AG10" i="2048"/>
  <c r="B226" i="60799"/>
  <c r="E18" i="60800" s="1"/>
  <c r="B194" i="60799"/>
  <c r="E16" i="60800" s="1"/>
  <c r="B344" i="60805"/>
  <c r="B86" i="60808"/>
  <c r="D31" i="60809" s="1"/>
  <c r="I71" i="2048"/>
  <c r="L8" i="97" s="1"/>
  <c r="J71" i="2048"/>
  <c r="M8" i="97" s="1"/>
  <c r="AH35" i="29741"/>
  <c r="B53" i="60805"/>
  <c r="H71" i="2048"/>
  <c r="K8" i="97" s="1"/>
  <c r="AH50" i="60799"/>
  <c r="G154" i="60796"/>
  <c r="B278" i="60805"/>
  <c r="G103" i="1908"/>
  <c r="G130"/>
  <c r="C135" i="60796" l="1"/>
  <c r="F22" i="2"/>
  <c r="E22"/>
  <c r="J90" i="60796"/>
  <c r="F76" i="1908"/>
  <c r="D18" i="2"/>
  <c r="I72" i="60796"/>
  <c r="F256" i="7380"/>
  <c r="G163" i="60796" s="1"/>
  <c r="G15" i="1792"/>
  <c r="H15" s="1"/>
  <c r="G216"/>
  <c r="E236" s="1"/>
  <c r="I165" i="60796"/>
  <c r="G21" i="1792"/>
  <c r="H21" s="1"/>
  <c r="F34"/>
  <c r="G34" s="1"/>
  <c r="H34" s="1"/>
  <c r="J24" i="97"/>
  <c r="D42" i="1"/>
  <c r="F42" s="1"/>
  <c r="F33" i="1792"/>
  <c r="G17" i="60796" s="1"/>
  <c r="G264" i="1792"/>
  <c r="E7" i="2"/>
  <c r="K50" i="60796"/>
  <c r="I50"/>
  <c r="F51" s="1"/>
  <c r="H236" i="1792"/>
  <c r="G236"/>
  <c r="H196" i="7380"/>
  <c r="E216"/>
  <c r="G216" s="1"/>
  <c r="H216" s="1"/>
  <c r="E34" i="1"/>
  <c r="F34"/>
  <c r="K98" i="60796"/>
  <c r="I98"/>
  <c r="G27" i="11565"/>
  <c r="H27"/>
  <c r="G228" i="1792"/>
  <c r="H228"/>
  <c r="K95" i="60796"/>
  <c r="I95"/>
  <c r="W57" i="2048"/>
  <c r="H254" i="7380"/>
  <c r="F18" i="2"/>
  <c r="E18"/>
  <c r="D45" i="60809"/>
  <c r="E44"/>
  <c r="E45" s="1"/>
  <c r="G41" i="11565"/>
  <c r="E61" s="1"/>
  <c r="H41"/>
  <c r="B119" i="112"/>
  <c r="E23" i="1908"/>
  <c r="F45" i="11565"/>
  <c r="B281" i="2819"/>
  <c r="F30" i="60803"/>
  <c r="D33" s="1"/>
  <c r="F33" s="1"/>
  <c r="D36" s="1"/>
  <c r="G36" s="1"/>
  <c r="G30"/>
  <c r="B233" i="2819"/>
  <c r="F42" i="11565"/>
  <c r="F83"/>
  <c r="B492" i="2819"/>
  <c r="F249" i="1792"/>
  <c r="B443" i="2316"/>
  <c r="G55" i="60796"/>
  <c r="B19" i="523"/>
  <c r="B37" i="112"/>
  <c r="E9" i="1908"/>
  <c r="H41" i="7380"/>
  <c r="E105"/>
  <c r="G105" s="1"/>
  <c r="H105" s="1"/>
  <c r="E49" i="60809"/>
  <c r="E50" s="1"/>
  <c r="D50"/>
  <c r="F29" i="60803"/>
  <c r="D32" s="1"/>
  <c r="G29"/>
  <c r="B71" i="2819"/>
  <c r="F21" i="11565"/>
  <c r="B94" i="32"/>
  <c r="AH103"/>
  <c r="B416" i="2819"/>
  <c r="AH427"/>
  <c r="F198" i="1792"/>
  <c r="B345" i="2316"/>
  <c r="H95" i="7380"/>
  <c r="E159"/>
  <c r="G159" s="1"/>
  <c r="H159" s="1"/>
  <c r="G43" i="11565"/>
  <c r="E63" s="1"/>
  <c r="H63" s="1"/>
  <c r="H43"/>
  <c r="H241" i="7380"/>
  <c r="G241"/>
  <c r="E254" s="1"/>
  <c r="G254" s="1"/>
  <c r="G43" i="60796"/>
  <c r="B67" i="2561"/>
  <c r="F9" i="7380"/>
  <c r="G9" s="1"/>
  <c r="B36" i="32"/>
  <c r="G148" i="60796"/>
  <c r="H148" s="1"/>
  <c r="B19" i="514"/>
  <c r="F194" i="1792"/>
  <c r="B281" i="2316"/>
  <c r="I156" i="60796"/>
  <c r="F157" s="1"/>
  <c r="H156"/>
  <c r="D61" i="2"/>
  <c r="F47" i="11565"/>
  <c r="B313" i="2819"/>
  <c r="G252" i="1792"/>
  <c r="E265" s="1"/>
  <c r="H252"/>
  <c r="AU5" i="2048"/>
  <c r="AS50"/>
  <c r="L11" i="97" s="1"/>
  <c r="N11" s="1"/>
  <c r="B19" i="516"/>
  <c r="G139" i="60796"/>
  <c r="AI5" i="2048"/>
  <c r="AG50"/>
  <c r="L10" i="97" s="1"/>
  <c r="N10" s="1"/>
  <c r="G60" i="60796"/>
  <c r="B51" i="523"/>
  <c r="F128" i="1908"/>
  <c r="G128"/>
  <c r="B361" i="2316"/>
  <c r="F199" i="1792"/>
  <c r="E18" i="60803"/>
  <c r="B97" i="60802"/>
  <c r="I46" i="60796"/>
  <c r="F47" s="1"/>
  <c r="D21" i="2"/>
  <c r="B379" i="2819"/>
  <c r="F76" i="11565"/>
  <c r="F200" i="1792"/>
  <c r="B377" i="2316"/>
  <c r="B103"/>
  <c r="F38" i="1792"/>
  <c r="B153" i="2819"/>
  <c r="F37" i="11565"/>
  <c r="F42" i="2"/>
  <c r="E42"/>
  <c r="G118" i="60796"/>
  <c r="K49"/>
  <c r="H210" i="1792"/>
  <c r="E85" i="1908"/>
  <c r="F116" i="60796"/>
  <c r="F14" i="1908"/>
  <c r="H251" i="1792"/>
  <c r="I52" i="60796"/>
  <c r="F53" s="1"/>
  <c r="H264" i="1792"/>
  <c r="K94" i="60796"/>
  <c r="I37"/>
  <c r="F38" s="1"/>
  <c r="I26"/>
  <c r="F27" s="1"/>
  <c r="E42" i="1"/>
  <c r="E26" i="1908"/>
  <c r="H71" i="60796"/>
  <c r="L71" s="1"/>
  <c r="B145" i="60802"/>
  <c r="B183" i="32"/>
  <c r="F64" i="2"/>
  <c r="B121" i="2819"/>
  <c r="K97" i="60796"/>
  <c r="B99" i="2561"/>
  <c r="F235" i="7380"/>
  <c r="H235" s="1"/>
  <c r="F173"/>
  <c r="G173" s="1"/>
  <c r="H177"/>
  <c r="L131" i="60796"/>
  <c r="G14" i="1908"/>
  <c r="I66" i="60796"/>
  <c r="H24"/>
  <c r="H196" i="1792"/>
  <c r="K26" i="60796"/>
  <c r="F23" i="1792"/>
  <c r="G15" i="60796" s="1"/>
  <c r="F73" i="1908"/>
  <c r="I18" i="60796"/>
  <c r="F19" s="1"/>
  <c r="I19" s="1"/>
  <c r="F20" s="1"/>
  <c r="K20" s="1"/>
  <c r="G260" i="1792"/>
  <c r="G31" i="1908"/>
  <c r="K24" i="60796"/>
  <c r="E29" i="2"/>
  <c r="G81" i="1908"/>
  <c r="H22" i="11565"/>
  <c r="F16"/>
  <c r="G68" i="60796" s="1"/>
  <c r="K71"/>
  <c r="B67" i="8194"/>
  <c r="B129" i="60802"/>
  <c r="B52" i="2316"/>
  <c r="B311" i="32"/>
  <c r="J26" i="60796"/>
  <c r="H208" i="1792"/>
  <c r="E49" i="2"/>
  <c r="F39"/>
  <c r="E61" i="1908"/>
  <c r="H75" i="1792"/>
  <c r="B169" i="2819"/>
  <c r="H76" i="1792"/>
  <c r="G34" i="60796"/>
  <c r="F198" i="7380"/>
  <c r="G198" s="1"/>
  <c r="D14" i="2"/>
  <c r="H18" i="60796"/>
  <c r="B393" i="2316"/>
  <c r="H56" i="1792"/>
  <c r="E18" i="60809"/>
  <c r="E19" s="1"/>
  <c r="D19"/>
  <c r="F233" i="7380"/>
  <c r="B361" i="32"/>
  <c r="K37" i="60796"/>
  <c r="H37"/>
  <c r="D24" i="60809"/>
  <c r="E23"/>
  <c r="E24" s="1"/>
  <c r="F44" i="11565"/>
  <c r="B265" i="2819"/>
  <c r="B153" i="2316"/>
  <c r="F186" i="1792"/>
  <c r="H35" i="11565"/>
  <c r="G35"/>
  <c r="E55" s="1"/>
  <c r="H55" s="1"/>
  <c r="F127" i="1908"/>
  <c r="G127"/>
  <c r="F255" i="1792"/>
  <c r="B555" i="2316"/>
  <c r="B297" i="2819"/>
  <c r="F46" i="11565"/>
  <c r="G238" i="7380"/>
  <c r="E251" s="1"/>
  <c r="G251" s="1"/>
  <c r="H238"/>
  <c r="H62"/>
  <c r="E126"/>
  <c r="G126" s="1"/>
  <c r="H126" s="1"/>
  <c r="I84" i="60796"/>
  <c r="F85" s="1"/>
  <c r="K84"/>
  <c r="G254" i="1792"/>
  <c r="E267" s="1"/>
  <c r="H254"/>
  <c r="B191" i="60808"/>
  <c r="I58" i="60809"/>
  <c r="H63" i="7380"/>
  <c r="E127"/>
  <c r="G127" s="1"/>
  <c r="H127" s="1"/>
  <c r="B505" i="32"/>
  <c r="F242" i="7380"/>
  <c r="F195" i="1792"/>
  <c r="B297" i="2316"/>
  <c r="H61" i="11565"/>
  <c r="B69" i="32"/>
  <c r="H52" i="60796"/>
  <c r="F84" i="11565"/>
  <c r="D37" i="60809"/>
  <c r="F12" i="60797"/>
  <c r="D13" s="1"/>
  <c r="F13" s="1"/>
  <c r="D32" i="2"/>
  <c r="H164" i="60796"/>
  <c r="E102" i="7380"/>
  <c r="G102" s="1"/>
  <c r="H102" s="1"/>
  <c r="K20" i="97"/>
  <c r="F85" i="11565"/>
  <c r="F234" i="7380"/>
  <c r="H234" s="1"/>
  <c r="D132" i="1908"/>
  <c r="F180" i="7380"/>
  <c r="G180" s="1"/>
  <c r="J46" i="60796"/>
  <c r="G49" i="1792"/>
  <c r="I72" i="2048"/>
  <c r="L16" i="97" s="1"/>
  <c r="D13" i="2"/>
  <c r="D14" i="1" s="1"/>
  <c r="H247" i="1792"/>
  <c r="H49" i="60796"/>
  <c r="H38" i="11565"/>
  <c r="D38" i="1"/>
  <c r="E38" s="1"/>
  <c r="L11" i="60796"/>
  <c r="F29" i="2"/>
  <c r="E26" i="1792"/>
  <c r="G26" s="1"/>
  <c r="H26" s="1"/>
  <c r="I124" i="60796"/>
  <c r="F125" s="1"/>
  <c r="I125" s="1"/>
  <c r="F126" s="1"/>
  <c r="B37" i="60797"/>
  <c r="E39" i="2"/>
  <c r="G73" i="1908"/>
  <c r="D11" i="2"/>
  <c r="F11" s="1"/>
  <c r="B217" i="2316"/>
  <c r="F108" i="1908"/>
  <c r="E13" i="60803"/>
  <c r="H250" i="1792"/>
  <c r="B313" i="2316"/>
  <c r="C115" i="60796"/>
  <c r="F248" i="1792"/>
  <c r="F257" s="1"/>
  <c r="G32" i="60796" s="1"/>
  <c r="K23" i="97"/>
  <c r="K24" s="1"/>
  <c r="C52" i="2" s="1"/>
  <c r="F43" i="1908"/>
  <c r="D48" s="1"/>
  <c r="F10" i="7380"/>
  <c r="E28" i="2"/>
  <c r="F28"/>
  <c r="H237" i="1792"/>
  <c r="H232"/>
  <c r="F179" i="60801"/>
  <c r="F180" s="1"/>
  <c r="J73" i="60796"/>
  <c r="G225" i="1792"/>
  <c r="G71" i="60801"/>
  <c r="H8" i="7380"/>
  <c r="E13"/>
  <c r="G13" s="1"/>
  <c r="J57" i="60796"/>
  <c r="L57"/>
  <c r="L84"/>
  <c r="J84"/>
  <c r="E37" i="1"/>
  <c r="F37"/>
  <c r="G122" i="60796"/>
  <c r="E17" i="1908"/>
  <c r="F20" i="7380"/>
  <c r="G147" i="60796" s="1"/>
  <c r="H14" i="11565"/>
  <c r="H8"/>
  <c r="H40" i="60796"/>
  <c r="E36" i="1908"/>
  <c r="G35"/>
  <c r="G39" i="11565"/>
  <c r="E59" s="1"/>
  <c r="H59" s="1"/>
  <c r="H39"/>
  <c r="G17" i="60803"/>
  <c r="F17"/>
  <c r="D20" s="1"/>
  <c r="G5"/>
  <c r="F5"/>
  <c r="D8" s="1"/>
  <c r="K76" i="60796"/>
  <c r="I76"/>
  <c r="F35" i="1908"/>
  <c r="H225" i="1792"/>
  <c r="G13"/>
  <c r="F28" i="60803"/>
  <c r="D31" s="1"/>
  <c r="G28"/>
  <c r="E37"/>
  <c r="G16"/>
  <c r="F16"/>
  <c r="D19" s="1"/>
  <c r="E25"/>
  <c r="F6"/>
  <c r="D9" s="1"/>
  <c r="F9" s="1"/>
  <c r="D12" s="1"/>
  <c r="G6"/>
  <c r="D34" i="2"/>
  <c r="F34" s="1"/>
  <c r="E50" i="60801"/>
  <c r="K124" i="60796"/>
  <c r="G155"/>
  <c r="H154" s="1"/>
  <c r="K25"/>
  <c r="H318" i="60801"/>
  <c r="H319" s="1"/>
  <c r="F132" i="1908"/>
  <c r="I25" i="60796"/>
  <c r="K63"/>
  <c r="H63"/>
  <c r="F32" i="2"/>
  <c r="E32"/>
  <c r="J75" i="60796"/>
  <c r="J71"/>
  <c r="K144"/>
  <c r="I144"/>
  <c r="H143"/>
  <c r="G25" i="1908"/>
  <c r="F25"/>
  <c r="G24"/>
  <c r="G107" i="60796"/>
  <c r="F24" i="1908"/>
  <c r="D32" s="1"/>
  <c r="F26"/>
  <c r="D34" s="1"/>
  <c r="G26"/>
  <c r="F65"/>
  <c r="D82" s="1"/>
  <c r="G65"/>
  <c r="I109" i="60796"/>
  <c r="F110" s="1"/>
  <c r="I110" s="1"/>
  <c r="F66" i="1908"/>
  <c r="D83" s="1"/>
  <c r="G66"/>
  <c r="F57"/>
  <c r="D75" s="1"/>
  <c r="G117" i="60796"/>
  <c r="G57" i="1908"/>
  <c r="G103" i="60796"/>
  <c r="G10" i="1908"/>
  <c r="E11"/>
  <c r="F10"/>
  <c r="G42"/>
  <c r="F42"/>
  <c r="G111" i="60796"/>
  <c r="E44" i="1908"/>
  <c r="F74"/>
  <c r="B18" i="60805"/>
  <c r="E5" i="60801"/>
  <c r="E200"/>
  <c r="F200" s="1"/>
  <c r="F201" s="1"/>
  <c r="H7" i="1792"/>
  <c r="F54" i="60801"/>
  <c r="F56" s="1"/>
  <c r="G70"/>
  <c r="E6" i="2"/>
  <c r="F6"/>
  <c r="AP118" i="60801"/>
  <c r="AP155" s="1"/>
  <c r="F162"/>
  <c r="F163" s="1"/>
  <c r="E163"/>
  <c r="I162" s="1"/>
  <c r="F42"/>
  <c r="F44" s="1"/>
  <c r="E44"/>
  <c r="K68" s="1"/>
  <c r="F397"/>
  <c r="H396"/>
  <c r="H397" s="1"/>
  <c r="H123" i="60796"/>
  <c r="D48" i="2"/>
  <c r="F10" i="11565"/>
  <c r="H9"/>
  <c r="G9"/>
  <c r="E15" s="1"/>
  <c r="G13" i="60796"/>
  <c r="I13" s="1"/>
  <c r="F14" s="1"/>
  <c r="G10" i="1792"/>
  <c r="E16" s="1"/>
  <c r="E8" i="2"/>
  <c r="F8"/>
  <c r="H191" i="7380"/>
  <c r="E211"/>
  <c r="G211" s="1"/>
  <c r="H211" s="1"/>
  <c r="J61" i="60796"/>
  <c r="L61"/>
  <c r="G23" i="1792"/>
  <c r="E28" s="1"/>
  <c r="G28" s="1"/>
  <c r="F38" i="1"/>
  <c r="E19" i="60800"/>
  <c r="G19" s="1"/>
  <c r="F228" i="7380"/>
  <c r="G161" i="60796" s="1"/>
  <c r="F56" i="2"/>
  <c r="E56"/>
  <c r="H185" i="7380"/>
  <c r="E205"/>
  <c r="G205" s="1"/>
  <c r="K154" i="60796"/>
  <c r="I154"/>
  <c r="F155" s="1"/>
  <c r="D60" i="2"/>
  <c r="E31" i="60809"/>
  <c r="E32" s="1"/>
  <c r="D32"/>
  <c r="G49" i="11565"/>
  <c r="E69" s="1"/>
  <c r="G69" s="1"/>
  <c r="H49"/>
  <c r="G36"/>
  <c r="E56" s="1"/>
  <c r="H56" s="1"/>
  <c r="H36"/>
  <c r="B55" i="60805"/>
  <c r="E20" i="60801"/>
  <c r="G135" i="60796"/>
  <c r="M20" i="97"/>
  <c r="M24" s="1"/>
  <c r="D8"/>
  <c r="N8"/>
  <c r="W16" i="2048"/>
  <c r="U57"/>
  <c r="L17" i="97" s="1"/>
  <c r="D55" i="2"/>
  <c r="H141" i="60796"/>
  <c r="K142"/>
  <c r="G48" i="11565"/>
  <c r="E68" s="1"/>
  <c r="G68" s="1"/>
  <c r="H48"/>
  <c r="G50"/>
  <c r="E70" s="1"/>
  <c r="G70" s="1"/>
  <c r="H50"/>
  <c r="G78"/>
  <c r="E91" s="1"/>
  <c r="G91" s="1"/>
  <c r="H78"/>
  <c r="F99"/>
  <c r="G82" i="60796" s="1"/>
  <c r="H85" i="11565"/>
  <c r="G85"/>
  <c r="E98" s="1"/>
  <c r="G98" s="1"/>
  <c r="G84"/>
  <c r="E97" s="1"/>
  <c r="G97" s="1"/>
  <c r="H84"/>
  <c r="G34"/>
  <c r="H34"/>
  <c r="F37" i="7380"/>
  <c r="G153" i="60796" s="1"/>
  <c r="H174" i="7380"/>
  <c r="E194"/>
  <c r="G194" s="1"/>
  <c r="H184"/>
  <c r="E204"/>
  <c r="G204" s="1"/>
  <c r="H186"/>
  <c r="E206"/>
  <c r="G206" s="1"/>
  <c r="G235"/>
  <c r="E248" s="1"/>
  <c r="G240"/>
  <c r="E253" s="1"/>
  <c r="H240"/>
  <c r="F32"/>
  <c r="G152" i="60796" s="1"/>
  <c r="G30" i="7380"/>
  <c r="H175"/>
  <c r="E195"/>
  <c r="G195" s="1"/>
  <c r="H180"/>
  <c r="E200"/>
  <c r="G200" s="1"/>
  <c r="H237"/>
  <c r="G237"/>
  <c r="E250" s="1"/>
  <c r="I42" i="60796"/>
  <c r="K42"/>
  <c r="I91"/>
  <c r="F92" s="1"/>
  <c r="K91"/>
  <c r="I132"/>
  <c r="K132"/>
  <c r="J166"/>
  <c r="L166"/>
  <c r="E27" i="2"/>
  <c r="F27"/>
  <c r="G106" i="7380"/>
  <c r="H197"/>
  <c r="E217"/>
  <c r="G217" s="1"/>
  <c r="H217" s="1"/>
  <c r="I116" i="60796"/>
  <c r="F117" s="1"/>
  <c r="K116"/>
  <c r="E35" i="1"/>
  <c r="F35"/>
  <c r="F36" i="60803"/>
  <c r="G10"/>
  <c r="F10"/>
  <c r="H91" i="11565"/>
  <c r="H69"/>
  <c r="G26" i="7380"/>
  <c r="F15"/>
  <c r="K110" i="60796"/>
  <c r="K13"/>
  <c r="G210" i="1792"/>
  <c r="E230" s="1"/>
  <c r="F242"/>
  <c r="G31" i="60796" s="1"/>
  <c r="G231" i="1792"/>
  <c r="AI10" i="2048"/>
  <c r="F71" i="11565"/>
  <c r="G80" i="60796" s="1"/>
  <c r="H54" i="11565"/>
  <c r="G54"/>
  <c r="G77"/>
  <c r="E90" s="1"/>
  <c r="G90" s="1"/>
  <c r="H77"/>
  <c r="G79"/>
  <c r="E92" s="1"/>
  <c r="G92" s="1"/>
  <c r="H79"/>
  <c r="E49" i="1908"/>
  <c r="G112" i="60796"/>
  <c r="G40" i="11565"/>
  <c r="E60" s="1"/>
  <c r="G60" s="1"/>
  <c r="H40"/>
  <c r="G80"/>
  <c r="E93" s="1"/>
  <c r="G93" s="1"/>
  <c r="H80"/>
  <c r="E116" i="1792"/>
  <c r="G116" s="1"/>
  <c r="H116" s="1"/>
  <c r="G27" i="7380"/>
  <c r="E32" s="1"/>
  <c r="G151" i="60796"/>
  <c r="H181" i="7380"/>
  <c r="E201"/>
  <c r="G201" s="1"/>
  <c r="H183"/>
  <c r="E203"/>
  <c r="G203" s="1"/>
  <c r="F243"/>
  <c r="H236"/>
  <c r="G236"/>
  <c r="E249" s="1"/>
  <c r="F222" i="1792"/>
  <c r="G30" i="60796" s="1"/>
  <c r="G67" i="1908"/>
  <c r="F67"/>
  <c r="E69"/>
  <c r="G121" i="60796"/>
  <c r="H173" i="7380"/>
  <c r="E193"/>
  <c r="G193" s="1"/>
  <c r="H179"/>
  <c r="E199"/>
  <c r="G199" s="1"/>
  <c r="H182"/>
  <c r="E202"/>
  <c r="G202" s="1"/>
  <c r="G239"/>
  <c r="E252" s="1"/>
  <c r="H239"/>
  <c r="K78" i="60796"/>
  <c r="I78"/>
  <c r="E50" i="2"/>
  <c r="F50"/>
  <c r="E41" i="1"/>
  <c r="F41"/>
  <c r="F80" i="1908"/>
  <c r="G80"/>
  <c r="L87" i="60796"/>
  <c r="J87"/>
  <c r="F19" i="2"/>
  <c r="D30" i="1"/>
  <c r="E19" i="2"/>
  <c r="H229" i="1792"/>
  <c r="G229"/>
  <c r="L99" i="60796"/>
  <c r="J99"/>
  <c r="I100"/>
  <c r="F101" s="1"/>
  <c r="K100"/>
  <c r="N16" i="97"/>
  <c r="L20"/>
  <c r="H241" i="1792"/>
  <c r="G241"/>
  <c r="E43" i="1"/>
  <c r="F43"/>
  <c r="E13" i="2"/>
  <c r="J24" i="60796"/>
  <c r="L24"/>
  <c r="H68" i="11565"/>
  <c r="H70"/>
  <c r="H90"/>
  <c r="H97"/>
  <c r="G61"/>
  <c r="H13" i="1792"/>
  <c r="I142" i="60796"/>
  <c r="G74" i="1908"/>
  <c r="G16" i="1792"/>
  <c r="G55" i="11565"/>
  <c r="K41" i="60796"/>
  <c r="G233" i="1792"/>
  <c r="E33" l="1"/>
  <c r="G33" s="1"/>
  <c r="I15" i="60796"/>
  <c r="F16" s="1"/>
  <c r="K15"/>
  <c r="I32"/>
  <c r="F33" s="1"/>
  <c r="D16" i="2"/>
  <c r="K32" i="60796"/>
  <c r="H32"/>
  <c r="L52"/>
  <c r="J52"/>
  <c r="H46" i="11565"/>
  <c r="G46"/>
  <c r="E66" s="1"/>
  <c r="G186" i="1792"/>
  <c r="E206" s="1"/>
  <c r="H186"/>
  <c r="F202"/>
  <c r="G38"/>
  <c r="F40"/>
  <c r="K157" i="60796"/>
  <c r="I157"/>
  <c r="F158" s="1"/>
  <c r="H43"/>
  <c r="K43"/>
  <c r="D20" i="2"/>
  <c r="I43" i="60796"/>
  <c r="F44" s="1"/>
  <c r="G198" i="1792"/>
  <c r="E218" s="1"/>
  <c r="H198"/>
  <c r="F32" i="60803"/>
  <c r="D35" s="1"/>
  <c r="G32"/>
  <c r="H83" i="11565"/>
  <c r="G83"/>
  <c r="E96" s="1"/>
  <c r="F48" i="1908"/>
  <c r="G48"/>
  <c r="L164" i="60796"/>
  <c r="J164"/>
  <c r="I85"/>
  <c r="F86" s="1"/>
  <c r="K85"/>
  <c r="G255" i="1792"/>
  <c r="E268" s="1"/>
  <c r="H255"/>
  <c r="H44" i="11565"/>
  <c r="G44"/>
  <c r="E64" s="1"/>
  <c r="I53" i="60796"/>
  <c r="F54" s="1"/>
  <c r="K53"/>
  <c r="I47"/>
  <c r="F48" s="1"/>
  <c r="K47"/>
  <c r="D26" i="2"/>
  <c r="H59" i="60796"/>
  <c r="K60"/>
  <c r="I60"/>
  <c r="L156"/>
  <c r="J156"/>
  <c r="G248" i="1792"/>
  <c r="E261" s="1"/>
  <c r="H248"/>
  <c r="E31"/>
  <c r="G31" s="1"/>
  <c r="H31" s="1"/>
  <c r="G195"/>
  <c r="E215" s="1"/>
  <c r="H195"/>
  <c r="G267"/>
  <c r="H267"/>
  <c r="H233" i="7380"/>
  <c r="G233"/>
  <c r="E246" s="1"/>
  <c r="G18" i="60803"/>
  <c r="F18"/>
  <c r="D21" s="1"/>
  <c r="AI50" i="2048"/>
  <c r="AG7"/>
  <c r="AU50"/>
  <c r="AS7"/>
  <c r="G47" i="11565"/>
  <c r="E67" s="1"/>
  <c r="H47"/>
  <c r="H21"/>
  <c r="G21"/>
  <c r="E26" s="1"/>
  <c r="G26" s="1"/>
  <c r="F23"/>
  <c r="G101" i="60796"/>
  <c r="H101" s="1"/>
  <c r="G9" i="1908"/>
  <c r="F9"/>
  <c r="D15" s="1"/>
  <c r="H42" i="11565"/>
  <c r="G42"/>
  <c r="E62" s="1"/>
  <c r="E166" i="7380"/>
  <c r="G166" s="1"/>
  <c r="H166" s="1"/>
  <c r="C8" i="97"/>
  <c r="K41" i="60801"/>
  <c r="H251" i="7380"/>
  <c r="G28" i="11565"/>
  <c r="F13" i="2"/>
  <c r="D58"/>
  <c r="F58" s="1"/>
  <c r="G234" i="7380"/>
  <c r="E247" s="1"/>
  <c r="G247" s="1"/>
  <c r="D85" i="1908"/>
  <c r="F85" s="1"/>
  <c r="K125" i="60796"/>
  <c r="I20"/>
  <c r="H98" i="11565"/>
  <c r="H13" i="60796"/>
  <c r="L13" s="1"/>
  <c r="F51" i="11565"/>
  <c r="D12" i="1"/>
  <c r="F12" s="1"/>
  <c r="F208" i="7380"/>
  <c r="G160" i="60796" s="1"/>
  <c r="G33" i="60803"/>
  <c r="H198" i="7380"/>
  <c r="E218"/>
  <c r="G218" s="1"/>
  <c r="H218" s="1"/>
  <c r="K38" i="60796"/>
  <c r="I38"/>
  <c r="F39" s="1"/>
  <c r="H76" i="11565"/>
  <c r="G76"/>
  <c r="E89" s="1"/>
  <c r="K148" i="60796"/>
  <c r="I148"/>
  <c r="F149" s="1"/>
  <c r="F172" i="7380"/>
  <c r="B103" i="32"/>
  <c r="I55" i="60796"/>
  <c r="F56" s="1"/>
  <c r="K55"/>
  <c r="D24" i="2"/>
  <c r="H55" i="60796"/>
  <c r="K51"/>
  <c r="I51"/>
  <c r="F14" i="2"/>
  <c r="E14"/>
  <c r="K27" i="60796"/>
  <c r="I27"/>
  <c r="F28" s="1"/>
  <c r="G200" i="1792"/>
  <c r="E220" s="1"/>
  <c r="H200"/>
  <c r="H265"/>
  <c r="G265"/>
  <c r="G23" i="1908"/>
  <c r="F23"/>
  <c r="E28"/>
  <c r="G10" i="7380"/>
  <c r="E15" s="1"/>
  <c r="G15" s="1"/>
  <c r="E20" s="1"/>
  <c r="G20" s="1"/>
  <c r="G145" i="60796"/>
  <c r="L49"/>
  <c r="J49"/>
  <c r="G242" i="7380"/>
  <c r="E255" s="1"/>
  <c r="H242"/>
  <c r="J58" i="60809"/>
  <c r="H59" s="1"/>
  <c r="J59" s="1"/>
  <c r="I60"/>
  <c r="J60" s="1"/>
  <c r="L37" i="60796"/>
  <c r="J37"/>
  <c r="L18"/>
  <c r="J18"/>
  <c r="I34"/>
  <c r="F35" s="1"/>
  <c r="K34"/>
  <c r="H34"/>
  <c r="D17" i="2"/>
  <c r="G61" i="1908"/>
  <c r="F61"/>
  <c r="D78" s="1"/>
  <c r="G37" i="11565"/>
  <c r="E57" s="1"/>
  <c r="H37"/>
  <c r="F21" i="2"/>
  <c r="E21"/>
  <c r="G199" i="1792"/>
  <c r="E219" s="1"/>
  <c r="H199"/>
  <c r="I139" i="60796"/>
  <c r="F140" s="1"/>
  <c r="D54" i="2"/>
  <c r="H139" i="60796"/>
  <c r="K139"/>
  <c r="F61" i="2"/>
  <c r="E61"/>
  <c r="G194" i="1792"/>
  <c r="E214" s="1"/>
  <c r="H194"/>
  <c r="H9" i="7380"/>
  <c r="E14"/>
  <c r="G14" s="1"/>
  <c r="F81" i="11565"/>
  <c r="B427" i="2819"/>
  <c r="G249" i="1792"/>
  <c r="E262" s="1"/>
  <c r="H249"/>
  <c r="G45" i="11565"/>
  <c r="E65" s="1"/>
  <c r="H45"/>
  <c r="G257" i="1792"/>
  <c r="E270" s="1"/>
  <c r="G270" s="1"/>
  <c r="G63" i="11565"/>
  <c r="E11" i="2"/>
  <c r="K19" i="60796"/>
  <c r="I14"/>
  <c r="K14"/>
  <c r="G32" i="7380"/>
  <c r="E37" s="1"/>
  <c r="G37" s="1"/>
  <c r="G59" i="11565"/>
  <c r="D9" i="2"/>
  <c r="E9" s="1"/>
  <c r="G83" i="60796"/>
  <c r="I83" s="1"/>
  <c r="E18" i="7380"/>
  <c r="G18" s="1"/>
  <c r="H18" s="1"/>
  <c r="H13"/>
  <c r="F19" i="60800"/>
  <c r="H19" s="1"/>
  <c r="L40" i="60796"/>
  <c r="J40"/>
  <c r="D52" i="2"/>
  <c r="F52" s="1"/>
  <c r="N24" i="97"/>
  <c r="F20" i="60803"/>
  <c r="D23" s="1"/>
  <c r="G20"/>
  <c r="G8"/>
  <c r="F8"/>
  <c r="D11" s="1"/>
  <c r="E12" i="1"/>
  <c r="F31" i="60803"/>
  <c r="D34" s="1"/>
  <c r="G31"/>
  <c r="G19"/>
  <c r="F19"/>
  <c r="D22" s="1"/>
  <c r="G12"/>
  <c r="F12"/>
  <c r="D8" i="1"/>
  <c r="F8" s="1"/>
  <c r="H106" i="7380"/>
  <c r="E34" i="2"/>
  <c r="L63" i="60796"/>
  <c r="J63"/>
  <c r="J143"/>
  <c r="L143"/>
  <c r="K111"/>
  <c r="I111"/>
  <c r="F112" s="1"/>
  <c r="I112" s="1"/>
  <c r="F113" s="1"/>
  <c r="H103"/>
  <c r="F32" i="1908"/>
  <c r="G32"/>
  <c r="D47"/>
  <c r="F44"/>
  <c r="D16"/>
  <c r="G75"/>
  <c r="F75"/>
  <c r="G83"/>
  <c r="F83"/>
  <c r="G82"/>
  <c r="F82"/>
  <c r="G34"/>
  <c r="F34"/>
  <c r="H105" i="60796"/>
  <c r="I107"/>
  <c r="F108" s="1"/>
  <c r="D45" i="2"/>
  <c r="K107" i="60796"/>
  <c r="F28" i="1908"/>
  <c r="D33"/>
  <c r="F5" i="60801"/>
  <c r="F7" s="1"/>
  <c r="E7"/>
  <c r="J123" i="60796"/>
  <c r="L123"/>
  <c r="D25" i="1"/>
  <c r="F48" i="2"/>
  <c r="E48"/>
  <c r="G15" i="11565"/>
  <c r="H15"/>
  <c r="G67" i="60796"/>
  <c r="G10" i="11565"/>
  <c r="E16" s="1"/>
  <c r="G16" s="1"/>
  <c r="H15" i="60796"/>
  <c r="D10" i="2"/>
  <c r="I126" i="60796"/>
  <c r="F127" s="1"/>
  <c r="K126"/>
  <c r="E30" i="1"/>
  <c r="F30"/>
  <c r="H202" i="7380"/>
  <c r="E222"/>
  <c r="G222" s="1"/>
  <c r="H222" s="1"/>
  <c r="H199"/>
  <c r="E219"/>
  <c r="H193"/>
  <c r="E213"/>
  <c r="G213" s="1"/>
  <c r="E58" i="2"/>
  <c r="G69" i="1908"/>
  <c r="F69"/>
  <c r="G249" i="7380"/>
  <c r="H249"/>
  <c r="G243"/>
  <c r="E256" s="1"/>
  <c r="G256" s="1"/>
  <c r="G162" i="60796"/>
  <c r="H247" i="7380"/>
  <c r="H73" i="1792"/>
  <c r="H111" i="60796"/>
  <c r="D46" i="2"/>
  <c r="H26" i="7380"/>
  <c r="E31"/>
  <c r="K92" i="60796"/>
  <c r="I92"/>
  <c r="J13"/>
  <c r="H248" i="7380"/>
  <c r="G248"/>
  <c r="E226"/>
  <c r="G226" s="1"/>
  <c r="H226" s="1"/>
  <c r="H206"/>
  <c r="H204"/>
  <c r="E224"/>
  <c r="G224" s="1"/>
  <c r="H224" s="1"/>
  <c r="H194"/>
  <c r="E214"/>
  <c r="G214" s="1"/>
  <c r="H214" s="1"/>
  <c r="G79" i="60796"/>
  <c r="G51" i="11565"/>
  <c r="J141" i="60796"/>
  <c r="L141"/>
  <c r="N17" i="97"/>
  <c r="N21" s="1"/>
  <c r="L21"/>
  <c r="I135" i="60796"/>
  <c r="F136" s="1"/>
  <c r="H135"/>
  <c r="K135"/>
  <c r="G56" i="11565"/>
  <c r="D19" i="1"/>
  <c r="E60" i="2"/>
  <c r="F60"/>
  <c r="H60" i="11565"/>
  <c r="H92"/>
  <c r="E14" i="1"/>
  <c r="F14"/>
  <c r="G252" i="7380"/>
  <c r="H252"/>
  <c r="J148" i="60796"/>
  <c r="L148"/>
  <c r="H115"/>
  <c r="D47" i="2"/>
  <c r="H203" i="7380"/>
  <c r="E223"/>
  <c r="G223" s="1"/>
  <c r="H223" s="1"/>
  <c r="H201"/>
  <c r="E221"/>
  <c r="G221" s="1"/>
  <c r="H221" s="1"/>
  <c r="I151" i="60796"/>
  <c r="F152" s="1"/>
  <c r="I152" s="1"/>
  <c r="F153" s="1"/>
  <c r="I153" s="1"/>
  <c r="K151"/>
  <c r="H151"/>
  <c r="D59" i="2"/>
  <c r="C28" i="1"/>
  <c r="C66" i="2"/>
  <c r="C68" s="1"/>
  <c r="G230" i="1792"/>
  <c r="H230"/>
  <c r="G146" i="60796"/>
  <c r="I117"/>
  <c r="F118" s="1"/>
  <c r="K117"/>
  <c r="H250" i="7380"/>
  <c r="G250"/>
  <c r="H200"/>
  <c r="E220"/>
  <c r="G220" s="1"/>
  <c r="H220" s="1"/>
  <c r="H195"/>
  <c r="E215"/>
  <c r="G215" s="1"/>
  <c r="H215" s="1"/>
  <c r="H30"/>
  <c r="E35"/>
  <c r="G35" s="1"/>
  <c r="H35" s="1"/>
  <c r="I16" i="60796"/>
  <c r="F17" s="1"/>
  <c r="K16"/>
  <c r="H253" i="7380"/>
  <c r="G253"/>
  <c r="D40" i="1"/>
  <c r="E55" i="2"/>
  <c r="F55"/>
  <c r="E8" i="97"/>
  <c r="N20"/>
  <c r="D28" i="1"/>
  <c r="F28" s="1"/>
  <c r="F20" i="60801"/>
  <c r="J154" i="60796"/>
  <c r="L154"/>
  <c r="I155"/>
  <c r="K155"/>
  <c r="J83"/>
  <c r="H205" i="7380"/>
  <c r="E225"/>
  <c r="G225" s="1"/>
  <c r="H225" s="1"/>
  <c r="H93" i="11565"/>
  <c r="K101" i="60796" l="1"/>
  <c r="D44" i="2"/>
  <c r="F44" s="1"/>
  <c r="D37" i="60803"/>
  <c r="F37" s="1"/>
  <c r="I101" i="60796"/>
  <c r="F102" s="1"/>
  <c r="F26" i="2"/>
  <c r="E26"/>
  <c r="I54" i="60796"/>
  <c r="K54"/>
  <c r="G218" i="1792"/>
  <c r="E238" s="1"/>
  <c r="H218"/>
  <c r="L43" i="60796"/>
  <c r="J43"/>
  <c r="E43" i="1792"/>
  <c r="G43" s="1"/>
  <c r="E48" s="1"/>
  <c r="G48" s="1"/>
  <c r="H38"/>
  <c r="G66" i="11565"/>
  <c r="H66"/>
  <c r="H262" i="1792"/>
  <c r="G262"/>
  <c r="I140" i="60796"/>
  <c r="K140"/>
  <c r="I28"/>
  <c r="K28"/>
  <c r="I39"/>
  <c r="K39"/>
  <c r="F21" i="60803"/>
  <c r="D24" s="1"/>
  <c r="G21"/>
  <c r="J59" i="60796"/>
  <c r="L59"/>
  <c r="G96" i="11565"/>
  <c r="H96"/>
  <c r="G40" i="1792"/>
  <c r="E45" s="1"/>
  <c r="G45" s="1"/>
  <c r="E50" s="1"/>
  <c r="G50" s="1"/>
  <c r="G21" i="60796"/>
  <c r="H206" i="1792"/>
  <c r="G206"/>
  <c r="E226" s="1"/>
  <c r="E222"/>
  <c r="G222" s="1"/>
  <c r="H14" i="7380"/>
  <c r="E19"/>
  <c r="G19" s="1"/>
  <c r="H19" s="1"/>
  <c r="E54" i="2"/>
  <c r="D39" i="1"/>
  <c r="F54" i="2"/>
  <c r="F78" i="1908"/>
  <c r="G78"/>
  <c r="I145" i="60796"/>
  <c r="F146" s="1"/>
  <c r="K146" s="1"/>
  <c r="K145"/>
  <c r="G220" i="1792"/>
  <c r="E240" s="1"/>
  <c r="H220"/>
  <c r="F188" i="7380"/>
  <c r="G172"/>
  <c r="H67" i="11565"/>
  <c r="G67"/>
  <c r="H65"/>
  <c r="G65"/>
  <c r="H81"/>
  <c r="G81"/>
  <c r="E94" s="1"/>
  <c r="F86"/>
  <c r="G214" i="1792"/>
  <c r="E234" s="1"/>
  <c r="H214"/>
  <c r="J139" i="60796"/>
  <c r="L139"/>
  <c r="G219" i="1792"/>
  <c r="E239" s="1"/>
  <c r="H219"/>
  <c r="H57" i="11565"/>
  <c r="G57"/>
  <c r="L34" i="60796"/>
  <c r="J34"/>
  <c r="J55"/>
  <c r="L55"/>
  <c r="H89" i="11565"/>
  <c r="G89"/>
  <c r="H62"/>
  <c r="G62"/>
  <c r="AI7" i="2048"/>
  <c r="AI51" s="1"/>
  <c r="AG51"/>
  <c r="L18" i="97" s="1"/>
  <c r="G246" i="7380"/>
  <c r="H246"/>
  <c r="G64" i="11565"/>
  <c r="H64"/>
  <c r="I44" i="60796"/>
  <c r="F45" s="1"/>
  <c r="K44"/>
  <c r="I158"/>
  <c r="K158"/>
  <c r="G29"/>
  <c r="G202" i="1792"/>
  <c r="E52" i="2"/>
  <c r="F9"/>
  <c r="K83" i="60796"/>
  <c r="E71" i="11565"/>
  <c r="G71" s="1"/>
  <c r="F11" i="1908"/>
  <c r="D32" i="1"/>
  <c r="F17" i="2"/>
  <c r="E17"/>
  <c r="I56" i="60796"/>
  <c r="K56"/>
  <c r="H268" i="1792"/>
  <c r="G268"/>
  <c r="L32" i="60796"/>
  <c r="J32"/>
  <c r="K35"/>
  <c r="I35"/>
  <c r="F36" s="1"/>
  <c r="H255" i="7380"/>
  <c r="G255"/>
  <c r="I149" i="60796"/>
  <c r="F150" s="1"/>
  <c r="K149"/>
  <c r="G15" i="1908"/>
  <c r="F15"/>
  <c r="AU7" i="2048"/>
  <c r="AU51" s="1"/>
  <c r="AS51"/>
  <c r="L19" i="97" s="1"/>
  <c r="I33" i="60796"/>
  <c r="K33"/>
  <c r="D33" i="1"/>
  <c r="E24" i="2"/>
  <c r="F24"/>
  <c r="G69" i="60796"/>
  <c r="G23" i="11565"/>
  <c r="E28" s="1"/>
  <c r="H215" i="1792"/>
  <c r="G215"/>
  <c r="E235" s="1"/>
  <c r="H261"/>
  <c r="G261"/>
  <c r="I48" i="60796"/>
  <c r="K48"/>
  <c r="I86"/>
  <c r="K86"/>
  <c r="F35" i="60803"/>
  <c r="G35"/>
  <c r="E20" i="2"/>
  <c r="D31" i="1"/>
  <c r="F20" i="2"/>
  <c r="E16"/>
  <c r="F16"/>
  <c r="D16" i="1"/>
  <c r="I146" i="60796"/>
  <c r="F147" s="1"/>
  <c r="K147" s="1"/>
  <c r="D38" i="2"/>
  <c r="H83" i="60796"/>
  <c r="L83" s="1"/>
  <c r="K112"/>
  <c r="G219" i="7380"/>
  <c r="H219" s="1"/>
  <c r="D25" i="60803"/>
  <c r="F25" s="1"/>
  <c r="G23"/>
  <c r="F23"/>
  <c r="G11"/>
  <c r="F11"/>
  <c r="D13"/>
  <c r="F13" s="1"/>
  <c r="E8" i="1"/>
  <c r="F34" i="60803"/>
  <c r="G34"/>
  <c r="G22"/>
  <c r="F22"/>
  <c r="F33" i="1908"/>
  <c r="F36" s="1"/>
  <c r="G33"/>
  <c r="I108" i="60796"/>
  <c r="K108"/>
  <c r="D36" i="1908"/>
  <c r="E45" i="2"/>
  <c r="D23" i="1"/>
  <c r="F45" i="2"/>
  <c r="L105" i="60796"/>
  <c r="J105"/>
  <c r="G16" i="1908"/>
  <c r="D17"/>
  <c r="F16"/>
  <c r="F17" s="1"/>
  <c r="D49"/>
  <c r="F47"/>
  <c r="F49" s="1"/>
  <c r="G47"/>
  <c r="E44" i="2"/>
  <c r="F22" i="60801"/>
  <c r="E37" s="1"/>
  <c r="F37" s="1"/>
  <c r="E25" i="1"/>
  <c r="F25"/>
  <c r="H67" i="60796"/>
  <c r="K67"/>
  <c r="D30" i="2"/>
  <c r="I67" i="60796"/>
  <c r="F68" s="1"/>
  <c r="D11" i="1"/>
  <c r="E10" i="2"/>
  <c r="F10"/>
  <c r="L15" i="60796"/>
  <c r="J15"/>
  <c r="D10" i="1"/>
  <c r="F38" i="2"/>
  <c r="E38"/>
  <c r="F40" i="1"/>
  <c r="E40"/>
  <c r="I17" i="60796"/>
  <c r="K17"/>
  <c r="L151"/>
  <c r="J151"/>
  <c r="E47" i="2"/>
  <c r="F47"/>
  <c r="D24" i="1"/>
  <c r="F19"/>
  <c r="E19"/>
  <c r="L135" i="60796"/>
  <c r="J135"/>
  <c r="H31" i="7380"/>
  <c r="G31"/>
  <c r="E36" s="1"/>
  <c r="F46" i="2"/>
  <c r="E46"/>
  <c r="I113" i="60796"/>
  <c r="F114" s="1"/>
  <c r="K113"/>
  <c r="G180" i="1792"/>
  <c r="E180"/>
  <c r="K162" i="60796"/>
  <c r="D63" i="2"/>
  <c r="I162" i="60796"/>
  <c r="F163" s="1"/>
  <c r="H162"/>
  <c r="I102"/>
  <c r="F103" s="1"/>
  <c r="K102"/>
  <c r="I127"/>
  <c r="F128" s="1"/>
  <c r="K127"/>
  <c r="E28" i="1"/>
  <c r="K153" i="60796"/>
  <c r="I118"/>
  <c r="F119" s="1"/>
  <c r="K118"/>
  <c r="D57" i="2"/>
  <c r="H145" i="60796"/>
  <c r="F59" i="2"/>
  <c r="E59"/>
  <c r="L115" i="60796"/>
  <c r="J115"/>
  <c r="K136"/>
  <c r="I136"/>
  <c r="D36" i="2"/>
  <c r="I79" i="60796"/>
  <c r="F80" s="1"/>
  <c r="H79"/>
  <c r="K79"/>
  <c r="J111"/>
  <c r="L111"/>
  <c r="K152"/>
  <c r="D22" i="1"/>
  <c r="D26" l="1"/>
  <c r="E16"/>
  <c r="F16"/>
  <c r="F33"/>
  <c r="E33"/>
  <c r="K150" i="60796"/>
  <c r="I150"/>
  <c r="I45"/>
  <c r="K45"/>
  <c r="E242" i="1792"/>
  <c r="G242" s="1"/>
  <c r="G226"/>
  <c r="H226"/>
  <c r="L23" i="97"/>
  <c r="N19"/>
  <c r="N23" s="1"/>
  <c r="I36" i="60796"/>
  <c r="K36"/>
  <c r="G81"/>
  <c r="G86" i="11565"/>
  <c r="E99" s="1"/>
  <c r="G99" s="1"/>
  <c r="G159" i="60796"/>
  <c r="G188" i="7380"/>
  <c r="F39" i="1"/>
  <c r="E39"/>
  <c r="H239" i="1792"/>
  <c r="G239"/>
  <c r="H234"/>
  <c r="G234"/>
  <c r="E192" i="7380"/>
  <c r="H172"/>
  <c r="D12" i="2"/>
  <c r="K21" i="60796"/>
  <c r="I21"/>
  <c r="F22" s="1"/>
  <c r="I22" s="1"/>
  <c r="F23" s="1"/>
  <c r="I23" s="1"/>
  <c r="H21"/>
  <c r="D31" i="2"/>
  <c r="H69" i="60796"/>
  <c r="I69"/>
  <c r="F70" s="1"/>
  <c r="K69"/>
  <c r="F32" i="1"/>
  <c r="E32"/>
  <c r="C16" i="97"/>
  <c r="L22"/>
  <c r="N18"/>
  <c r="G240" i="1792"/>
  <c r="H240"/>
  <c r="F24" i="60803"/>
  <c r="G24"/>
  <c r="H238" i="1792"/>
  <c r="G238"/>
  <c r="I147" i="60796"/>
  <c r="E31" i="1"/>
  <c r="F31"/>
  <c r="I29" i="60796"/>
  <c r="F30" s="1"/>
  <c r="K29"/>
  <c r="D15" i="2"/>
  <c r="H29" i="60796"/>
  <c r="G94" i="11565"/>
  <c r="H94"/>
  <c r="G235" i="1792"/>
  <c r="H235"/>
  <c r="H180"/>
  <c r="F23" i="1"/>
  <c r="E23"/>
  <c r="E30" i="2"/>
  <c r="D6" i="1"/>
  <c r="F30" i="2"/>
  <c r="J67" i="60796"/>
  <c r="L67"/>
  <c r="I68"/>
  <c r="K68"/>
  <c r="F11" i="1"/>
  <c r="E11"/>
  <c r="L79" i="60796"/>
  <c r="J79"/>
  <c r="F22" i="1"/>
  <c r="E22"/>
  <c r="I80" i="60796"/>
  <c r="K80"/>
  <c r="L145"/>
  <c r="J145"/>
  <c r="I119"/>
  <c r="F120" s="1"/>
  <c r="K119"/>
  <c r="K128"/>
  <c r="I128"/>
  <c r="I103"/>
  <c r="F104" s="1"/>
  <c r="K103"/>
  <c r="L162"/>
  <c r="J162"/>
  <c r="E63" i="2"/>
  <c r="D21" i="1"/>
  <c r="F63" i="2"/>
  <c r="F26" i="1"/>
  <c r="E26"/>
  <c r="F10"/>
  <c r="E10"/>
  <c r="F36" i="2"/>
  <c r="E36"/>
  <c r="F57"/>
  <c r="D18" i="1"/>
  <c r="E57" i="2"/>
  <c r="K163" i="60796"/>
  <c r="I163"/>
  <c r="I114"/>
  <c r="K114"/>
  <c r="G36" i="7380"/>
  <c r="H36"/>
  <c r="F24" i="1"/>
  <c r="E24"/>
  <c r="F15" i="2" l="1"/>
  <c r="E15"/>
  <c r="D15" i="1"/>
  <c r="N22" i="97"/>
  <c r="E16"/>
  <c r="J29" i="60796"/>
  <c r="L29"/>
  <c r="L69"/>
  <c r="J69"/>
  <c r="I30"/>
  <c r="F31" s="1"/>
  <c r="K30"/>
  <c r="I70"/>
  <c r="K70"/>
  <c r="E208" i="7380"/>
  <c r="G208" s="1"/>
  <c r="G192"/>
  <c r="D62" i="2"/>
  <c r="K159" i="60796"/>
  <c r="H159"/>
  <c r="I159"/>
  <c r="F160" s="1"/>
  <c r="J21"/>
  <c r="L21"/>
  <c r="D7" i="1"/>
  <c r="E31" i="2"/>
  <c r="F31"/>
  <c r="F12"/>
  <c r="D13" i="1"/>
  <c r="E12" i="2"/>
  <c r="D17" i="1"/>
  <c r="K81" i="60796"/>
  <c r="D37" i="2"/>
  <c r="I81" i="60796"/>
  <c r="F82" s="1"/>
  <c r="H81"/>
  <c r="F6" i="1"/>
  <c r="E6"/>
  <c r="I104" i="60796"/>
  <c r="K104"/>
  <c r="I120"/>
  <c r="F121" s="1"/>
  <c r="K120"/>
  <c r="F18" i="1"/>
  <c r="E18"/>
  <c r="F21"/>
  <c r="E21"/>
  <c r="L81" i="60796" l="1"/>
  <c r="J81"/>
  <c r="F17" i="1"/>
  <c r="E17"/>
  <c r="D20"/>
  <c r="E62" i="2"/>
  <c r="F62"/>
  <c r="F37"/>
  <c r="D9" i="1"/>
  <c r="E37" i="2"/>
  <c r="E13" i="1"/>
  <c r="F13"/>
  <c r="F7"/>
  <c r="E7"/>
  <c r="J159" i="60796"/>
  <c r="L159"/>
  <c r="I31"/>
  <c r="K31"/>
  <c r="K82"/>
  <c r="I82"/>
  <c r="K160"/>
  <c r="I160"/>
  <c r="F161" s="1"/>
  <c r="H192" i="7380"/>
  <c r="E212"/>
  <c r="E15" i="1"/>
  <c r="F15"/>
  <c r="I121" i="60796"/>
  <c r="F122" s="1"/>
  <c r="K121"/>
  <c r="G212" i="7380" l="1"/>
  <c r="H212" s="1"/>
  <c r="E228"/>
  <c r="G228" s="1"/>
  <c r="E9" i="1"/>
  <c r="F9"/>
  <c r="E20"/>
  <c r="F20"/>
  <c r="I161" i="60796"/>
  <c r="K161"/>
  <c r="I122"/>
  <c r="K122"/>
  <c r="B32" i="60812"/>
  <c r="B31"/>
  <c r="B33" s="1"/>
  <c r="M12"/>
  <c r="H12"/>
  <c r="H11"/>
  <c r="H13" s="1"/>
  <c r="K10"/>
  <c r="M9"/>
  <c r="M11" s="1"/>
  <c r="M13" s="1"/>
  <c r="C9"/>
  <c r="H8"/>
  <c r="J8" s="1"/>
  <c r="L8" s="1"/>
  <c r="G8"/>
  <c r="I8" s="1"/>
  <c r="K8" s="1"/>
  <c r="K7"/>
  <c r="E6" s="1"/>
  <c r="J7"/>
  <c r="J6"/>
  <c r="L6" s="1"/>
  <c r="J9" s="1"/>
  <c r="D6"/>
  <c r="C6"/>
  <c r="C11" s="1"/>
  <c r="F77" i="60811"/>
  <c r="B77"/>
  <c r="L75"/>
  <c r="K75"/>
  <c r="H75"/>
  <c r="G75"/>
  <c r="D75"/>
  <c r="C75"/>
  <c r="H74"/>
  <c r="G74"/>
  <c r="D74"/>
  <c r="C74"/>
  <c r="H73"/>
  <c r="H77" s="1"/>
  <c r="G73"/>
  <c r="G77" s="1"/>
  <c r="D73"/>
  <c r="D77" s="1"/>
  <c r="C73"/>
  <c r="C77" s="1"/>
  <c r="K67"/>
  <c r="M62"/>
  <c r="K32" s="1"/>
  <c r="L62"/>
  <c r="M60"/>
  <c r="L60"/>
  <c r="K18" s="1"/>
  <c r="M18" s="1"/>
  <c r="O18" s="1"/>
  <c r="M41" s="1"/>
  <c r="O41" s="1"/>
  <c r="M59"/>
  <c r="L59"/>
  <c r="K16" s="1"/>
  <c r="M16" s="1"/>
  <c r="O16" s="1"/>
  <c r="M39" s="1"/>
  <c r="O39" s="1"/>
  <c r="L54"/>
  <c r="J54"/>
  <c r="L53"/>
  <c r="J53"/>
  <c r="L52"/>
  <c r="J52"/>
  <c r="L51"/>
  <c r="J51"/>
  <c r="L50"/>
  <c r="J50"/>
  <c r="J49"/>
  <c r="L48"/>
  <c r="J48"/>
  <c r="J47"/>
  <c r="J46"/>
  <c r="L45"/>
  <c r="J45"/>
  <c r="L44"/>
  <c r="J44"/>
  <c r="J43"/>
  <c r="K42"/>
  <c r="K41"/>
  <c r="K39"/>
  <c r="L37"/>
  <c r="L49" s="1"/>
  <c r="N35"/>
  <c r="L35"/>
  <c r="L47" s="1"/>
  <c r="N34"/>
  <c r="L34"/>
  <c r="L46" s="1"/>
  <c r="K33"/>
  <c r="B31"/>
  <c r="D20"/>
  <c r="E20" s="1"/>
  <c r="F20" s="1"/>
  <c r="G20" s="1"/>
  <c r="N19"/>
  <c r="N54" s="1"/>
  <c r="M19"/>
  <c r="O19" s="1"/>
  <c r="N18"/>
  <c r="N53" s="1"/>
  <c r="N17"/>
  <c r="Q17" s="1"/>
  <c r="M17"/>
  <c r="N16"/>
  <c r="N51" s="1"/>
  <c r="N15"/>
  <c r="N50" s="1"/>
  <c r="M15"/>
  <c r="O15" s="1"/>
  <c r="M38" s="1"/>
  <c r="O38" s="1"/>
  <c r="N14"/>
  <c r="N49" s="1"/>
  <c r="M14"/>
  <c r="N13"/>
  <c r="N48" s="1"/>
  <c r="M13"/>
  <c r="O13" s="1"/>
  <c r="M36" s="1"/>
  <c r="O36" s="1"/>
  <c r="N12"/>
  <c r="N47" s="1"/>
  <c r="M12"/>
  <c r="N11"/>
  <c r="M11"/>
  <c r="O11" s="1"/>
  <c r="M34" s="1"/>
  <c r="O34" s="1"/>
  <c r="N10"/>
  <c r="M10"/>
  <c r="N9"/>
  <c r="N44" s="1"/>
  <c r="K9"/>
  <c r="M9" s="1"/>
  <c r="O9" s="1"/>
  <c r="N8"/>
  <c r="N43" s="1"/>
  <c r="M8"/>
  <c r="B8"/>
  <c r="J55" l="1"/>
  <c r="F6" i="60812"/>
  <c r="K9"/>
  <c r="L9" s="1"/>
  <c r="O10" i="60811"/>
  <c r="M33" s="1"/>
  <c r="O12"/>
  <c r="M35" s="1"/>
  <c r="O35" s="1"/>
  <c r="O14"/>
  <c r="M37" s="1"/>
  <c r="O37" s="1"/>
  <c r="M45"/>
  <c r="M48"/>
  <c r="O48" s="1"/>
  <c r="D78"/>
  <c r="N46"/>
  <c r="L55"/>
  <c r="K12" i="60812"/>
  <c r="K51" i="60811"/>
  <c r="H78"/>
  <c r="C8"/>
  <c r="E8" s="1"/>
  <c r="D8"/>
  <c r="O17"/>
  <c r="M40" s="1"/>
  <c r="O40" s="1"/>
  <c r="Q40" s="1"/>
  <c r="K53"/>
  <c r="M53" s="1"/>
  <c r="O53" s="1"/>
  <c r="M50"/>
  <c r="O50" s="1"/>
  <c r="M52"/>
  <c r="M54"/>
  <c r="O54" s="1"/>
  <c r="G43"/>
  <c r="H20"/>
  <c r="M42"/>
  <c r="O42" s="1"/>
  <c r="M46"/>
  <c r="O46" s="1"/>
  <c r="M49"/>
  <c r="O49" s="1"/>
  <c r="Q39"/>
  <c r="M32"/>
  <c r="O32" s="1"/>
  <c r="M47"/>
  <c r="O47" s="1"/>
  <c r="M51"/>
  <c r="O51" s="1"/>
  <c r="K44"/>
  <c r="K55" s="1"/>
  <c r="M55" s="1"/>
  <c r="N52"/>
  <c r="O52" s="1"/>
  <c r="O8"/>
  <c r="Q9"/>
  <c r="G133" i="60796"/>
  <c r="M43" i="60811"/>
  <c r="O43" s="1"/>
  <c r="Q41"/>
  <c r="Q38"/>
  <c r="Q37"/>
  <c r="Q36"/>
  <c r="Q32"/>
  <c r="J11" i="60812"/>
  <c r="G137" i="60796"/>
  <c r="L7" i="60812"/>
  <c r="D9" s="1"/>
  <c r="K11" l="1"/>
  <c r="K13" s="1"/>
  <c r="L13" s="1"/>
  <c r="G138" i="60796"/>
  <c r="D53" i="2" s="1"/>
  <c r="E9" i="60812"/>
  <c r="F9" s="1"/>
  <c r="M44" i="60811"/>
  <c r="O44" s="1"/>
  <c r="I133" i="60796"/>
  <c r="F134" s="1"/>
  <c r="K133"/>
  <c r="M31" i="60811"/>
  <c r="O31" s="1"/>
  <c r="R31" s="1"/>
  <c r="Q8"/>
  <c r="I20"/>
  <c r="J20" s="1"/>
  <c r="K20" s="1"/>
  <c r="H43"/>
  <c r="K137" i="60796"/>
  <c r="I137"/>
  <c r="F138" s="1"/>
  <c r="J10" i="60812"/>
  <c r="E11" l="1"/>
  <c r="H137" i="60796"/>
  <c r="M20" i="60811"/>
  <c r="N20" s="1"/>
  <c r="O20" s="1"/>
  <c r="L20"/>
  <c r="C31"/>
  <c r="J12" i="60812"/>
  <c r="L10"/>
  <c r="I138" i="60796"/>
  <c r="K138"/>
  <c r="E53" i="2"/>
  <c r="D29" i="1"/>
  <c r="F53" i="2"/>
  <c r="L137" i="60796"/>
  <c r="J137"/>
  <c r="Q31" i="60811" l="1"/>
  <c r="E29" i="1"/>
  <c r="F29"/>
  <c r="T43" i="60811"/>
  <c r="S35"/>
  <c r="R35" s="1"/>
  <c r="S41"/>
  <c r="R41" s="1"/>
  <c r="S34"/>
  <c r="R34" s="1"/>
  <c r="S40"/>
  <c r="R40" s="1"/>
  <c r="S42"/>
  <c r="R42" s="1"/>
  <c r="R32"/>
  <c r="S33"/>
  <c r="S39"/>
  <c r="R39" s="1"/>
  <c r="S38"/>
  <c r="R38" s="1"/>
  <c r="R37"/>
  <c r="S36"/>
  <c r="R36" s="1"/>
  <c r="N45"/>
  <c r="N55" s="1"/>
  <c r="G134" i="60796"/>
  <c r="I134" s="1"/>
  <c r="O33" i="60811"/>
  <c r="Q33" s="1"/>
  <c r="D31"/>
  <c r="E31" s="1"/>
  <c r="K134" i="60796" l="1"/>
  <c r="R33" i="60811"/>
  <c r="D51" i="2"/>
  <c r="H133" i="60796"/>
  <c r="O45" i="60811"/>
  <c r="O55" s="1"/>
  <c r="F51" i="2" l="1"/>
  <c r="D27" i="1"/>
  <c r="E51" i="2"/>
  <c r="D66"/>
  <c r="D67" s="1"/>
  <c r="L133" i="60796"/>
  <c r="J133"/>
  <c r="F27" i="1" l="1"/>
  <c r="E27"/>
</calcChain>
</file>

<file path=xl/comments1.xml><?xml version="1.0" encoding="utf-8"?>
<comments xmlns="http://schemas.openxmlformats.org/spreadsheetml/2006/main">
  <authors>
    <author>rgarcia</author>
  </authors>
  <commentList>
    <comment ref="D29" authorId="0">
      <text>
        <r>
          <rPr>
            <b/>
            <sz val="9"/>
            <color indexed="81"/>
            <rFont val="Tahoma"/>
            <family val="2"/>
          </rPr>
          <t>rgarcia:</t>
        </r>
        <r>
          <rPr>
            <sz val="9"/>
            <color indexed="81"/>
            <rFont val="Tahoma"/>
            <family val="2"/>
          </rPr>
          <t xml:space="preserve">
dato erroneo</t>
        </r>
      </text>
    </comment>
  </commentList>
</comments>
</file>

<file path=xl/comments2.xml><?xml version="1.0" encoding="utf-8"?>
<comments xmlns="http://schemas.openxmlformats.org/spreadsheetml/2006/main">
  <authors>
    <author>ENORERO</author>
  </authors>
  <commentList>
    <comment ref="C52" authorId="0">
      <text>
        <r>
          <rPr>
            <b/>
            <sz val="8"/>
            <color indexed="81"/>
            <rFont val="Tahoma"/>
            <family val="2"/>
          </rPr>
          <t>ENORERO:</t>
        </r>
        <r>
          <rPr>
            <sz val="8"/>
            <color indexed="81"/>
            <rFont val="Tahoma"/>
            <family val="2"/>
          </rPr>
          <t xml:space="preserve">
Cuota real por R.M.Ex. N° 40/2012 y y D. Ex. 1251/2011 3.656 tons. Acá está con los des
cuentos aplicados</t>
        </r>
      </text>
    </comment>
    <comment ref="D53" authorId="0">
      <text>
        <r>
          <rPr>
            <b/>
            <sz val="8"/>
            <color indexed="81"/>
            <rFont val="Tahoma"/>
            <family val="2"/>
          </rPr>
          <t>ENORERO:</t>
        </r>
        <r>
          <rPr>
            <sz val="8"/>
            <color indexed="81"/>
            <rFont val="Tahoma"/>
            <family val="2"/>
          </rPr>
          <t xml:space="preserve">
Son  Son  717.3 tons. De traspaso a industrial entre las dos zonas , según resl. Ex. No. 534 del 09-03-2012 tons. De traspaso a industrial entre las dos zonas , según resl. Ex. No. 534 del 09-03-2012</t>
        </r>
      </text>
    </comment>
  </commentList>
</comments>
</file>

<file path=xl/comments3.xml><?xml version="1.0" encoding="utf-8"?>
<comments xmlns="http://schemas.openxmlformats.org/spreadsheetml/2006/main">
  <authors>
    <author>mmendoza</author>
    <author>ENORERO</author>
  </authors>
  <commentList>
    <comment ref="H6" authorId="0">
      <text>
        <r>
          <rPr>
            <b/>
            <sz val="10"/>
            <color indexed="81"/>
            <rFont val="Tahoma"/>
            <family val="2"/>
          </rPr>
          <t>mmendoza:</t>
        </r>
        <r>
          <rPr>
            <sz val="10"/>
            <color indexed="81"/>
            <rFont val="Tahoma"/>
            <family val="2"/>
          </rPr>
          <t xml:space="preserve">
</t>
        </r>
        <r>
          <rPr>
            <b/>
            <sz val="12"/>
            <color indexed="81"/>
            <rFont val="Tahoma"/>
            <family val="2"/>
          </rPr>
          <t>Durante el año 2012 las cesiones se descontaron del desembarque  y no como dato aparte en columna transferencias, que es como se realizó a partir del 2013</t>
        </r>
      </text>
    </comment>
    <comment ref="C7" authorId="1">
      <text>
        <r>
          <rPr>
            <b/>
            <sz val="8"/>
            <color indexed="81"/>
            <rFont val="Tahoma"/>
            <family val="2"/>
          </rPr>
          <t>ENORERO:</t>
        </r>
        <r>
          <rPr>
            <sz val="8"/>
            <color indexed="81"/>
            <rFont val="Tahoma"/>
            <family val="2"/>
          </rPr>
          <t xml:space="preserve">
DRECRETO NO. 1132  DEL 15-11-2012  MODIFICA TONS. </t>
        </r>
      </text>
    </comment>
    <comment ref="E7" authorId="1">
      <text>
        <r>
          <rPr>
            <b/>
            <sz val="8"/>
            <color indexed="81"/>
            <rFont val="Tahoma"/>
            <family val="2"/>
          </rPr>
          <t>ENORERO:</t>
        </r>
        <r>
          <rPr>
            <sz val="8"/>
            <color indexed="81"/>
            <rFont val="Tahoma"/>
            <family val="2"/>
          </rPr>
          <t xml:space="preserve">
DS  441/2012 modifica % de captura
D.D.P. ORD. 3064/2012 MODIFICA CUOTA.</t>
        </r>
      </text>
    </comment>
    <comment ref="E8" authorId="1">
      <text>
        <r>
          <rPr>
            <b/>
            <sz val="8"/>
            <color indexed="81"/>
            <rFont val="Tahoma"/>
            <family val="2"/>
          </rPr>
          <t>ENORERO:</t>
        </r>
        <r>
          <rPr>
            <sz val="8"/>
            <color indexed="81"/>
            <rFont val="Tahoma"/>
            <family val="2"/>
          </rPr>
          <t xml:space="preserve">
DDP. ORD. 3064/2012 MODIFICA CUOTA 
</t>
        </r>
      </text>
    </comment>
    <comment ref="E9" authorId="1">
      <text>
        <r>
          <rPr>
            <b/>
            <sz val="8"/>
            <color indexed="81"/>
            <rFont val="Tahoma"/>
            <family val="2"/>
          </rPr>
          <t>ENORERO:</t>
        </r>
        <r>
          <rPr>
            <sz val="8"/>
            <color indexed="81"/>
            <rFont val="Tahoma"/>
            <family val="2"/>
          </rPr>
          <t xml:space="preserve">
DDP. ORD. 3064/2012 MODIFICA CUOTA </t>
        </r>
      </text>
    </comment>
    <comment ref="E10" authorId="1">
      <text>
        <r>
          <rPr>
            <b/>
            <sz val="8"/>
            <color indexed="81"/>
            <rFont val="Tahoma"/>
            <family val="2"/>
          </rPr>
          <t>ENORERO:</t>
        </r>
        <r>
          <rPr>
            <sz val="8"/>
            <color indexed="81"/>
            <rFont val="Tahoma"/>
            <family val="2"/>
          </rPr>
          <t xml:space="preserve">
DDP. ORD. 3064/2012 MODIFICA CUOTA </t>
        </r>
      </text>
    </comment>
    <comment ref="G24" authorId="1">
      <text>
        <r>
          <rPr>
            <b/>
            <sz val="8"/>
            <color indexed="81"/>
            <rFont val="Tahoma"/>
            <family val="2"/>
          </rPr>
          <t>ENORERO:</t>
        </r>
        <r>
          <rPr>
            <sz val="8"/>
            <color indexed="81"/>
            <rFont val="Tahoma"/>
            <family val="2"/>
          </rPr>
          <t xml:space="preserve">
están sumados los traspasos
</t>
        </r>
      </text>
    </comment>
    <comment ref="G25" authorId="1">
      <text>
        <r>
          <rPr>
            <b/>
            <sz val="8"/>
            <color indexed="81"/>
            <rFont val="Tahoma"/>
            <family val="2"/>
          </rPr>
          <t>ENORERO:</t>
        </r>
        <r>
          <rPr>
            <sz val="8"/>
            <color indexed="81"/>
            <rFont val="Tahoma"/>
            <family val="2"/>
          </rPr>
          <t xml:space="preserve">
ENORERO:
están sumados los traspasos
</t>
        </r>
      </text>
    </comment>
    <comment ref="G137" authorId="1">
      <text>
        <r>
          <rPr>
            <b/>
            <sz val="8"/>
            <color indexed="81"/>
            <rFont val="Tahoma"/>
            <family val="2"/>
          </rPr>
          <t>ENORERO:</t>
        </r>
        <r>
          <rPr>
            <sz val="8"/>
            <color indexed="81"/>
            <rFont val="Tahoma"/>
            <family val="2"/>
          </rPr>
          <t xml:space="preserve">
Son  192.3 tons. De traspaso a industrial entre las dos zonas , según resl. Ex. No. 534 del 09-03-2012</t>
        </r>
      </text>
    </comment>
    <comment ref="G138" authorId="1">
      <text>
        <r>
          <rPr>
            <b/>
            <sz val="8"/>
            <color indexed="81"/>
            <rFont val="Tahoma"/>
            <family val="2"/>
          </rPr>
          <t>ENORERO:</t>
        </r>
        <r>
          <rPr>
            <sz val="8"/>
            <color indexed="81"/>
            <rFont val="Tahoma"/>
            <family val="2"/>
          </rPr>
          <t xml:space="preserve">
Son  260.4 tons. De traspaso a industrial entre las dos zonas , según resl. Ex. No. 534 del 09-03-2012</t>
        </r>
      </text>
    </comment>
    <comment ref="C154" authorId="1">
      <text>
        <r>
          <rPr>
            <b/>
            <sz val="8"/>
            <color indexed="81"/>
            <rFont val="Tahoma"/>
            <family val="2"/>
          </rPr>
          <t>ENORERO:</t>
        </r>
        <r>
          <rPr>
            <sz val="8"/>
            <color indexed="81"/>
            <rFont val="Tahoma"/>
            <family val="2"/>
          </rPr>
          <t xml:space="preserve">
decreto 392/2012 modifica cuota global anual a 583.779. En esta casilla está sumado el traspaso de RAE de otras regiones.
</t>
        </r>
      </text>
    </comment>
    <comment ref="E154" authorId="1">
      <text>
        <r>
          <rPr>
            <b/>
            <sz val="8"/>
            <color indexed="81"/>
            <rFont val="Tahoma"/>
            <family val="2"/>
          </rPr>
          <t>ENORERO:</t>
        </r>
        <r>
          <rPr>
            <sz val="8"/>
            <color indexed="81"/>
            <rFont val="Tahoma"/>
            <family val="2"/>
          </rPr>
          <t xml:space="preserve">
Según resl. N° 3925 la cuota real RAE para el primer período es de 554.590 tos</t>
        </r>
      </text>
    </comment>
    <comment ref="G154" authorId="1">
      <text>
        <r>
          <rPr>
            <b/>
            <sz val="8"/>
            <color indexed="81"/>
            <rFont val="Tahoma"/>
            <family val="2"/>
          </rPr>
          <t>ENORERO:</t>
        </r>
        <r>
          <rPr>
            <sz val="8"/>
            <color indexed="81"/>
            <rFont val="Tahoma"/>
            <family val="2"/>
          </rPr>
          <t xml:space="preserve">
ENORERO:
están sumados los traspasos
</t>
        </r>
      </text>
    </comment>
    <comment ref="E155" authorId="1">
      <text>
        <r>
          <rPr>
            <b/>
            <sz val="8"/>
            <color indexed="81"/>
            <rFont val="Tahoma"/>
            <family val="2"/>
          </rPr>
          <t>ENORERO:</t>
        </r>
        <r>
          <rPr>
            <sz val="8"/>
            <color indexed="81"/>
            <rFont val="Tahoma"/>
            <family val="2"/>
          </rPr>
          <t xml:space="preserve">
según decreto N° 392/2012 las toneladas reales para el  2do. Período son de 29.189
</t>
        </r>
      </text>
    </comment>
    <comment ref="G155" authorId="1">
      <text>
        <r>
          <rPr>
            <b/>
            <sz val="8"/>
            <color indexed="81"/>
            <rFont val="Tahoma"/>
            <family val="2"/>
          </rPr>
          <t>ENORERO:</t>
        </r>
        <r>
          <rPr>
            <sz val="8"/>
            <color indexed="81"/>
            <rFont val="Tahoma"/>
            <family val="2"/>
          </rPr>
          <t xml:space="preserve">
ENORERO:
están sumados los traspasos
</t>
        </r>
      </text>
    </comment>
  </commentList>
</comments>
</file>

<file path=xl/comments4.xml><?xml version="1.0" encoding="utf-8"?>
<comments xmlns="http://schemas.openxmlformats.org/spreadsheetml/2006/main">
  <authors>
    <author>ENORERO</author>
  </authors>
  <commentList>
    <comment ref="C73" authorId="0">
      <text>
        <r>
          <rPr>
            <b/>
            <sz val="8"/>
            <color indexed="81"/>
            <rFont val="Tahoma"/>
            <family val="2"/>
          </rPr>
          <t>ENORERO:</t>
        </r>
        <r>
          <rPr>
            <sz val="8"/>
            <color indexed="81"/>
            <rFont val="Tahoma"/>
            <family val="2"/>
          </rPr>
          <t xml:space="preserve">
traspaso a embarcaciones rpa. 953670 y 950877 137 tons. Y rel. 3/2012  trasdpaso a RPA 957372 debora I  3.74 tons</t>
        </r>
      </text>
    </comment>
    <comment ref="C77" authorId="0">
      <text>
        <r>
          <rPr>
            <b/>
            <sz val="8"/>
            <color indexed="81"/>
            <rFont val="Tahoma"/>
            <family val="2"/>
          </rPr>
          <t>ENORERO:</t>
        </r>
        <r>
          <rPr>
            <sz val="8"/>
            <color indexed="81"/>
            <rFont val="Tahoma"/>
            <family val="2"/>
          </rPr>
          <t xml:space="preserve">
cede cuota a SIPARMAR CORONEL RES: EX N° 835/2012
</t>
        </r>
      </text>
    </comment>
    <comment ref="D92" authorId="0">
      <text>
        <r>
          <rPr>
            <b/>
            <sz val="8"/>
            <color indexed="81"/>
            <rFont val="Tahoma"/>
            <family val="2"/>
          </rPr>
          <t xml:space="preserve">ENORE
RELS. 17/2012 
TRASPASO DE 18 TONS. </t>
        </r>
      </text>
    </comment>
    <comment ref="C94" authorId="0">
      <text>
        <r>
          <rPr>
            <b/>
            <sz val="8"/>
            <color indexed="81"/>
            <rFont val="Tahoma"/>
            <family val="2"/>
          </rPr>
          <t>ENORERO:</t>
        </r>
        <r>
          <rPr>
            <sz val="8"/>
            <color indexed="81"/>
            <rFont val="Tahoma"/>
            <family val="2"/>
          </rPr>
          <t xml:space="preserve">
Resl. N° 4/2012 , traspaso 1 tons. A BUENA FE RPA 954873
</t>
        </r>
      </text>
    </comment>
    <comment ref="D103" authorId="0">
      <text>
        <r>
          <rPr>
            <b/>
            <sz val="8"/>
            <color indexed="81"/>
            <rFont val="Tahoma"/>
            <family val="2"/>
          </rPr>
          <t>ENORERO:</t>
        </r>
        <r>
          <rPr>
            <sz val="8"/>
            <color indexed="81"/>
            <rFont val="Tahoma"/>
            <family val="2"/>
          </rPr>
          <t xml:space="preserve">
rels. 1496/2012 traspaso a embarcación
</t>
        </r>
      </text>
    </comment>
    <comment ref="C108" authorId="0">
      <text>
        <r>
          <rPr>
            <b/>
            <sz val="8"/>
            <color indexed="81"/>
            <rFont val="Tahoma"/>
            <family val="2"/>
          </rPr>
          <t>ENORERO:</t>
        </r>
        <r>
          <rPr>
            <sz val="8"/>
            <color indexed="81"/>
            <rFont val="Tahoma"/>
            <family val="2"/>
          </rPr>
          <t xml:space="preserve">
aumenta cuota , resl 2924/2012
</t>
        </r>
      </text>
    </comment>
    <comment ref="C113" authorId="0">
      <text>
        <r>
          <rPr>
            <b/>
            <sz val="8"/>
            <color indexed="81"/>
            <rFont val="Tahoma"/>
            <family val="2"/>
          </rPr>
          <t>ENORERO:</t>
        </r>
        <r>
          <rPr>
            <sz val="8"/>
            <color indexed="81"/>
            <rFont val="Tahoma"/>
            <family val="2"/>
          </rPr>
          <t xml:space="preserve">
ENORERO:
res.ex . 849/2012 modifica toneladas, reasigna tons. </t>
        </r>
      </text>
    </comment>
    <comment ref="I113" authorId="0">
      <text>
        <r>
          <rPr>
            <b/>
            <sz val="8"/>
            <color indexed="81"/>
            <rFont val="Tahoma"/>
            <family val="2"/>
          </rPr>
          <t>ENORERO:</t>
        </r>
        <r>
          <rPr>
            <sz val="8"/>
            <color indexed="81"/>
            <rFont val="Tahoma"/>
            <family val="2"/>
          </rPr>
          <t xml:space="preserve">
Se hacen cierres parciales por embarcación, son 256 embarcaciones y cada una no debe superar los 250 tons.. , en conjunto</t>
        </r>
      </text>
    </comment>
    <comment ref="C141" authorId="0">
      <text>
        <r>
          <rPr>
            <b/>
            <sz val="8"/>
            <color indexed="81"/>
            <rFont val="Tahoma"/>
            <family val="2"/>
          </rPr>
          <t>ENORERO:</t>
        </r>
        <r>
          <rPr>
            <sz val="8"/>
            <color indexed="81"/>
            <rFont val="Tahoma"/>
            <family val="2"/>
          </rPr>
          <t xml:space="preserve">
ENORERO:
cede cuota a SIPARMAR CORONEL RES: EX N° 835/2012</t>
        </r>
      </text>
    </comment>
    <comment ref="C172" authorId="0">
      <text>
        <r>
          <rPr>
            <b/>
            <sz val="8"/>
            <color indexed="81"/>
            <rFont val="Tahoma"/>
            <family val="2"/>
          </rPr>
          <t>ENORERO:</t>
        </r>
        <r>
          <rPr>
            <sz val="8"/>
            <color indexed="81"/>
            <rFont val="Tahoma"/>
            <family val="2"/>
          </rPr>
          <t xml:space="preserve">
resl. 2924/2012 aumeta cuota 
</t>
        </r>
      </text>
    </comment>
    <comment ref="C177" authorId="0">
      <text>
        <r>
          <rPr>
            <b/>
            <sz val="8"/>
            <color indexed="81"/>
            <rFont val="Tahoma"/>
            <family val="2"/>
          </rPr>
          <t>ENORERO:</t>
        </r>
        <r>
          <rPr>
            <sz val="8"/>
            <color indexed="81"/>
            <rFont val="Tahoma"/>
            <family val="2"/>
          </rPr>
          <t xml:space="preserve">
ENORERO:
res.ex . 849/2012 modifica toneladas</t>
        </r>
      </text>
    </comment>
    <comment ref="I177" authorId="0">
      <text>
        <r>
          <rPr>
            <b/>
            <sz val="8"/>
            <color indexed="81"/>
            <rFont val="Tahoma"/>
            <family val="2"/>
          </rPr>
          <t>ENORERO:</t>
        </r>
        <r>
          <rPr>
            <sz val="8"/>
            <color indexed="81"/>
            <rFont val="Tahoma"/>
            <family val="2"/>
          </rPr>
          <t xml:space="preserve">
Se hacen cierres parciales por embarcación, son 256 embarcaciones y cada una no debe superar los 250 tons.. , en conjunto</t>
        </r>
      </text>
    </comment>
    <comment ref="C179" authorId="0">
      <text>
        <r>
          <rPr>
            <b/>
            <sz val="8"/>
            <color indexed="81"/>
            <rFont val="Tahoma"/>
            <family val="2"/>
          </rPr>
          <t>ENORERO:</t>
        </r>
        <r>
          <rPr>
            <sz val="8"/>
            <color indexed="81"/>
            <rFont val="Tahoma"/>
            <family val="2"/>
          </rPr>
          <t xml:space="preserve">
RESL. 1898/2012 TRASPASO, DEJA EL PERÍODO IGUAL 
</t>
        </r>
      </text>
    </comment>
    <comment ref="C185" authorId="0">
      <text>
        <r>
          <rPr>
            <b/>
            <sz val="8"/>
            <color indexed="81"/>
            <rFont val="Tahoma"/>
            <family val="2"/>
          </rPr>
          <t>ENORERO:</t>
        </r>
        <r>
          <rPr>
            <sz val="8"/>
            <color indexed="81"/>
            <rFont val="Tahoma"/>
            <family val="2"/>
          </rPr>
          <t xml:space="preserve">
traspaso cuota res. N° 587 del 15-03-2012
</t>
        </r>
      </text>
    </comment>
    <comment ref="C187" authorId="0">
      <text>
        <r>
          <rPr>
            <b/>
            <sz val="8"/>
            <color indexed="81"/>
            <rFont val="Tahoma"/>
            <family val="2"/>
          </rPr>
          <t>ENORERO:</t>
        </r>
        <r>
          <rPr>
            <sz val="8"/>
            <color indexed="81"/>
            <rFont val="Tahoma"/>
            <family val="2"/>
          </rPr>
          <t xml:space="preserve">
traspaso cuota res. N° 587 del 15-03-2012</t>
        </r>
      </text>
    </comment>
    <comment ref="C189" authorId="0">
      <text>
        <r>
          <rPr>
            <b/>
            <sz val="8"/>
            <color indexed="81"/>
            <rFont val="Tahoma"/>
            <family val="2"/>
          </rPr>
          <t>ENORERO:</t>
        </r>
        <r>
          <rPr>
            <sz val="8"/>
            <color indexed="81"/>
            <rFont val="Tahoma"/>
            <family val="2"/>
          </rPr>
          <t xml:space="preserve">
traspaso cuota res. N° 587 del 15-03-2012</t>
        </r>
      </text>
    </comment>
    <comment ref="C229" authorId="0">
      <text>
        <r>
          <rPr>
            <b/>
            <sz val="8"/>
            <color indexed="81"/>
            <rFont val="Tahoma"/>
            <family val="2"/>
          </rPr>
          <t>ENORERO:</t>
        </r>
        <r>
          <rPr>
            <sz val="8"/>
            <color indexed="81"/>
            <rFont val="Tahoma"/>
            <family val="2"/>
          </rPr>
          <t xml:space="preserve">
resl. 2878/2012  cede 0.6 tons. a dos emb. De la xiv reg. </t>
        </r>
      </text>
    </comment>
    <comment ref="C247" authorId="0">
      <text>
        <r>
          <rPr>
            <b/>
            <sz val="8"/>
            <color indexed="81"/>
            <rFont val="Tahoma"/>
            <family val="2"/>
          </rPr>
          <t>ENORERO:</t>
        </r>
        <r>
          <rPr>
            <sz val="8"/>
            <color indexed="81"/>
            <rFont val="Tahoma"/>
            <family val="2"/>
          </rPr>
          <t xml:space="preserve">
RESL. NO. 1461/2012  CESIÓN  20 TONS. A AQUAPESCA AG. </t>
        </r>
      </text>
    </comment>
    <comment ref="C249" authorId="0">
      <text>
        <r>
          <rPr>
            <b/>
            <sz val="8"/>
            <color indexed="81"/>
            <rFont val="Tahoma"/>
            <family val="2"/>
          </rPr>
          <t>ENORERO:</t>
        </r>
        <r>
          <rPr>
            <sz val="8"/>
            <color indexed="81"/>
            <rFont val="Tahoma"/>
            <family val="2"/>
          </rPr>
          <t xml:space="preserve">
CEDE 16 TON A STI. SAN RAFAEL 641/2012
RECIBE DE ASERCHI AG. 20 TONS. SEGÚN RESL. 1461/2012</t>
        </r>
      </text>
    </comment>
    <comment ref="C254" authorId="0">
      <text>
        <r>
          <rPr>
            <b/>
            <sz val="8"/>
            <color indexed="81"/>
            <rFont val="Tahoma"/>
            <family val="2"/>
          </rPr>
          <t>ENORERO:</t>
        </r>
        <r>
          <rPr>
            <sz val="8"/>
            <color indexed="81"/>
            <rFont val="Tahoma"/>
            <family val="2"/>
          </rPr>
          <t xml:space="preserve">
resl. 641 /2012 cesión de 16 tons. Desde STI: Aquapesca</t>
        </r>
      </text>
    </comment>
    <comment ref="C260" authorId="0">
      <text>
        <r>
          <rPr>
            <b/>
            <sz val="8"/>
            <color indexed="81"/>
            <rFont val="Tahoma"/>
            <family val="2"/>
          </rPr>
          <t>ENORERO:</t>
        </r>
        <r>
          <rPr>
            <sz val="8"/>
            <color indexed="81"/>
            <rFont val="Tahoma"/>
            <family val="2"/>
          </rPr>
          <t xml:space="preserve">
ENORERO:
RESL. NO. 1461/2012  CESIÓN  20 TONS. A AQUAPESCA AG. </t>
        </r>
      </text>
    </comment>
    <comment ref="C262" authorId="0">
      <text>
        <r>
          <rPr>
            <b/>
            <sz val="8"/>
            <color indexed="81"/>
            <rFont val="Tahoma"/>
            <family val="2"/>
          </rPr>
          <t>ENORERO:</t>
        </r>
        <r>
          <rPr>
            <sz val="8"/>
            <color indexed="81"/>
            <rFont val="Tahoma"/>
            <family val="2"/>
          </rPr>
          <t xml:space="preserve">
ENORERO:
CEDE 16 TON A STI. SAN RAFAEL 641/2012
RECIBE DE ASERCHI AG. 20 TONS. SEGÚN RESL. 1461/2012</t>
        </r>
      </text>
    </comment>
  </commentList>
</comments>
</file>

<file path=xl/comments5.xml><?xml version="1.0" encoding="utf-8"?>
<comments xmlns="http://schemas.openxmlformats.org/spreadsheetml/2006/main">
  <authors>
    <author>ENORERO</author>
  </authors>
  <commentList>
    <comment ref="A5" authorId="0">
      <text>
        <r>
          <rPr>
            <b/>
            <sz val="8"/>
            <color indexed="81"/>
            <rFont val="Tahoma"/>
            <family val="2"/>
          </rPr>
          <t>ENORERO:</t>
        </r>
        <r>
          <rPr>
            <sz val="8"/>
            <color indexed="81"/>
            <rFont val="Tahoma"/>
            <family val="2"/>
          </rPr>
          <t xml:space="preserve">
ENORERO:
resl. 945/2012 aumenta cuotas por períodos a 10.352 total .</t>
        </r>
      </text>
    </comment>
    <comment ref="A22" authorId="0">
      <text>
        <r>
          <rPr>
            <b/>
            <sz val="8"/>
            <color indexed="81"/>
            <rFont val="Tahoma"/>
            <family val="2"/>
          </rPr>
          <t>ENORERO:</t>
        </r>
        <r>
          <rPr>
            <sz val="8"/>
            <color indexed="81"/>
            <rFont val="Tahoma"/>
            <family val="2"/>
          </rPr>
          <t xml:space="preserve">
resl. 943/2012 aumneta cuota 
</t>
        </r>
      </text>
    </comment>
    <comment ref="B25" authorId="0">
      <text>
        <r>
          <rPr>
            <b/>
            <sz val="8"/>
            <color indexed="81"/>
            <rFont val="Tahoma"/>
            <family val="2"/>
          </rPr>
          <t>ENORERO:</t>
        </r>
        <r>
          <rPr>
            <sz val="8"/>
            <color indexed="81"/>
            <rFont val="Tahoma"/>
            <family val="2"/>
          </rPr>
          <t xml:space="preserve">
res. ex. 946/2012  modifica valores para bolson y STI. 
.</t>
        </r>
      </text>
    </comment>
    <comment ref="B30" authorId="0">
      <text>
        <r>
          <rPr>
            <b/>
            <sz val="8"/>
            <color indexed="81"/>
            <rFont val="Tahoma"/>
            <family val="2"/>
          </rPr>
          <t>ENORERO:</t>
        </r>
        <r>
          <rPr>
            <sz val="8"/>
            <color indexed="81"/>
            <rFont val="Tahoma"/>
            <family val="2"/>
          </rPr>
          <t xml:space="preserve">
res. ex. 946/2012  modifica valores para bolson y STI. </t>
        </r>
      </text>
    </comment>
    <comment ref="B35" authorId="0">
      <text>
        <r>
          <rPr>
            <b/>
            <sz val="8"/>
            <color indexed="81"/>
            <rFont val="Tahoma"/>
            <family val="2"/>
          </rPr>
          <t>ENORERO:</t>
        </r>
        <r>
          <rPr>
            <sz val="8"/>
            <color indexed="81"/>
            <rFont val="Tahoma"/>
            <family val="2"/>
          </rPr>
          <t xml:space="preserve">
res. ex. 946/2012  modifica valores para bolson y STI. </t>
        </r>
      </text>
    </comment>
    <comment ref="C43" authorId="0">
      <text>
        <r>
          <rPr>
            <b/>
            <sz val="8"/>
            <color indexed="81"/>
            <rFont val="Tahoma"/>
            <family val="2"/>
          </rPr>
          <t>ENORERO:</t>
        </r>
        <r>
          <rPr>
            <sz val="8"/>
            <color indexed="81"/>
            <rFont val="Tahoma"/>
            <family val="2"/>
          </rPr>
          <t xml:space="preserve">
Resl 2224/2012 cede 1000 tons. a SIPARMA y resl. 11/2012  traspasa 500 tons. a SIPAR GENTE DE MAR; resl. 12/2012 cesión para ARPROPELAR AG. DE 500 TONS.
traspasa 100 tons. a STI. Tome y Quichuito resl. N° 21/2012
+ TRASPASO RESL. 3038/2012 , 500 TONS.
</t>
        </r>
      </text>
    </comment>
    <comment ref="C45" authorId="0">
      <text>
        <r>
          <rPr>
            <b/>
            <sz val="8"/>
            <color indexed="81"/>
            <rFont val="Tahoma"/>
            <family val="2"/>
          </rPr>
          <t>ENORERO:</t>
        </r>
        <r>
          <rPr>
            <sz val="8"/>
            <color indexed="81"/>
            <rFont val="Tahoma"/>
            <family val="2"/>
          </rPr>
          <t xml:space="preserve">
RECIBE TRASPASO DE LA RESL. 16/2012 DE ASPAS.</t>
        </r>
      </text>
    </comment>
    <comment ref="C48" authorId="0">
      <text>
        <r>
          <rPr>
            <b/>
            <sz val="8"/>
            <color indexed="81"/>
            <rFont val="Tahoma"/>
            <family val="2"/>
          </rPr>
          <t>ENORERO:</t>
        </r>
        <r>
          <rPr>
            <sz val="8"/>
            <color indexed="81"/>
            <rFont val="Tahoma"/>
            <family val="2"/>
          </rPr>
          <t xml:space="preserve">
REGCIBE 500 TONS. DE TRASPASO desde Aarpropelas resl. 12/2012  y resl 13/2012 que recibe 500 tons. del  STI. Siparbun.</t>
        </r>
      </text>
    </comment>
    <comment ref="C50" authorId="0">
      <text>
        <r>
          <rPr>
            <b/>
            <sz val="8"/>
            <color indexed="81"/>
            <rFont val="Tahoma"/>
            <family val="2"/>
          </rPr>
          <t>ENORERO:resl. N° 10/2012 recibe 180 tons. desde STI. Coronel el golfo de Arauco.</t>
        </r>
      </text>
    </comment>
    <comment ref="D53" authorId="0">
      <text>
        <r>
          <rPr>
            <b/>
            <sz val="8"/>
            <color indexed="81"/>
            <rFont val="Tahoma"/>
            <family val="2"/>
          </rPr>
          <t>ENORERO:</t>
        </r>
        <r>
          <rPr>
            <sz val="8"/>
            <color indexed="81"/>
            <rFont val="Tahoma"/>
            <family val="2"/>
          </rPr>
          <t xml:space="preserve">
RESL. N° 7/2012
TRASPASO</t>
        </r>
      </text>
    </comment>
    <comment ref="C54" authorId="0">
      <text>
        <r>
          <rPr>
            <b/>
            <sz val="8"/>
            <color indexed="81"/>
            <rFont val="Tahoma"/>
            <family val="2"/>
          </rPr>
          <t>ENORERO:</t>
        </r>
        <r>
          <rPr>
            <sz val="8"/>
            <color indexed="81"/>
            <rFont val="Tahoma"/>
            <family val="2"/>
          </rPr>
          <t xml:space="preserve">
RECIBEN TRASPASO DESDE sti COLIUMO RESL. 2136 /2012  , 1000 TONS.</t>
        </r>
      </text>
    </comment>
    <comment ref="C58" authorId="0">
      <text>
        <r>
          <rPr>
            <b/>
            <sz val="8"/>
            <color indexed="81"/>
            <rFont val="Tahoma"/>
            <family val="2"/>
          </rPr>
          <t>ENORERO:</t>
        </r>
        <r>
          <rPr>
            <sz val="8"/>
            <color indexed="81"/>
            <rFont val="Tahoma"/>
            <family val="2"/>
          </rPr>
          <t xml:space="preserve">
resl. 3539/2012 1400
ton. De descuento</t>
        </r>
      </text>
    </comment>
    <comment ref="C59" authorId="0">
      <text>
        <r>
          <rPr>
            <b/>
            <sz val="8"/>
            <color indexed="81"/>
            <rFont val="Tahoma"/>
            <family val="2"/>
          </rPr>
          <t>ENORERO:</t>
        </r>
        <r>
          <rPr>
            <sz val="8"/>
            <color indexed="81"/>
            <rFont val="Tahoma"/>
            <family val="2"/>
          </rPr>
          <t xml:space="preserve">
traspaso  RESL. 1/2012 a RPA. 953670 y 950877  1479 tons y 46.26 tons. A DEBORA I  según resl. N° 3/2012</t>
        </r>
      </text>
    </comment>
    <comment ref="D59" authorId="0">
      <text>
        <r>
          <rPr>
            <b/>
            <sz val="8"/>
            <color indexed="81"/>
            <rFont val="Tahoma"/>
            <family val="2"/>
          </rPr>
          <t>ENORERO:</t>
        </r>
        <r>
          <rPr>
            <sz val="8"/>
            <color indexed="81"/>
            <rFont val="Tahoma"/>
            <family val="2"/>
          </rPr>
          <t xml:space="preserve">
ENORERO:
traspaso  RESL. 1/2012 a RPA. 953670 y 950877  1479 tons y 46.26 tons. A DEBORA I  según resl. N° 3/2012</t>
        </r>
      </text>
    </comment>
    <comment ref="C60" authorId="0">
      <text>
        <r>
          <rPr>
            <b/>
            <sz val="8"/>
            <color indexed="81"/>
            <rFont val="Tahoma"/>
            <family val="2"/>
          </rPr>
          <t>ENORERO:</t>
        </r>
        <r>
          <rPr>
            <sz val="8"/>
            <color indexed="81"/>
            <rFont val="Tahoma"/>
            <family val="2"/>
          </rPr>
          <t xml:space="preserve">
resl. 22/2012 cede 1000 tons a Sipar.
</t>
        </r>
      </text>
    </comment>
    <comment ref="D60" authorId="0">
      <text>
        <r>
          <rPr>
            <b/>
            <sz val="8"/>
            <color indexed="81"/>
            <rFont val="Tahoma"/>
            <family val="2"/>
          </rPr>
          <t>ENORERO:</t>
        </r>
        <r>
          <rPr>
            <sz val="8"/>
            <color indexed="81"/>
            <rFont val="Tahoma"/>
            <family val="2"/>
          </rPr>
          <t xml:space="preserve">
traspasa 400 tons,  a AG. Acerval Valdivia XIV reg.  Regl. 3440/2012
</t>
        </r>
      </text>
    </comment>
    <comment ref="C62" authorId="0">
      <text>
        <r>
          <rPr>
            <b/>
            <sz val="8"/>
            <color indexed="81"/>
            <rFont val="Tahoma"/>
            <family val="2"/>
          </rPr>
          <t>ENORERO:</t>
        </r>
        <r>
          <rPr>
            <sz val="8"/>
            <color indexed="81"/>
            <rFont val="Tahoma"/>
            <family val="2"/>
          </rPr>
          <t xml:space="preserve">
RECIBE TRASPASO, SEGÚN RELS. NO. 1898/2012,    1095.9 TONS. y  Resl. 2224/2012 recibe cesión de 1000 tons. de parte de ARPESCA </t>
        </r>
      </text>
    </comment>
    <comment ref="A63" authorId="0">
      <text>
        <r>
          <rPr>
            <b/>
            <sz val="8"/>
            <color indexed="81"/>
            <rFont val="Tahoma"/>
            <family val="2"/>
          </rPr>
          <t>ENORERO:</t>
        </r>
        <r>
          <rPr>
            <sz val="8"/>
            <color indexed="81"/>
            <rFont val="Tahoma"/>
            <family val="2"/>
          </rPr>
          <t xml:space="preserve">
Re.ex. 835  /2012 cede sus tons. A SiPARMAR CORONEL</t>
        </r>
      </text>
    </comment>
    <comment ref="D63" authorId="0">
      <text>
        <r>
          <rPr>
            <b/>
            <sz val="8"/>
            <color indexed="81"/>
            <rFont val="Tahoma"/>
            <family val="2"/>
          </rPr>
          <t>ENORERO:</t>
        </r>
        <r>
          <rPr>
            <sz val="8"/>
            <color indexed="81"/>
            <rFont val="Tahoma"/>
            <family val="2"/>
          </rPr>
          <t xml:space="preserve">
RESL. 5/2012 TRASPASA A EMBARCACIÓN RPA 956410 DON JOSE I</t>
        </r>
      </text>
    </comment>
    <comment ref="C70" authorId="0">
      <text>
        <r>
          <rPr>
            <b/>
            <sz val="8"/>
            <color indexed="81"/>
            <rFont val="Tahoma"/>
            <family val="2"/>
          </rPr>
          <t>ENORERO:</t>
        </r>
        <r>
          <rPr>
            <sz val="8"/>
            <color indexed="81"/>
            <rFont val="Tahoma"/>
            <family val="2"/>
          </rPr>
          <t xml:space="preserve">
resl. 3598/2012 reduce en 400 tons. 
</t>
        </r>
      </text>
    </comment>
    <comment ref="C78" authorId="0">
      <text>
        <r>
          <rPr>
            <b/>
            <sz val="8"/>
            <color indexed="81"/>
            <rFont val="Tahoma"/>
            <family val="2"/>
          </rPr>
          <t>ENORERO:</t>
        </r>
        <r>
          <rPr>
            <sz val="8"/>
            <color indexed="81"/>
            <rFont val="Tahoma"/>
            <family val="2"/>
          </rPr>
          <t xml:space="preserve">
RELS. 3038/2012 TRASPASA 367 TONS A MARISELA Y LINARES RPA 5851
</t>
        </r>
      </text>
    </comment>
    <comment ref="C79" authorId="0">
      <text>
        <r>
          <rPr>
            <b/>
            <sz val="8"/>
            <color indexed="81"/>
            <rFont val="Tahoma"/>
            <family val="2"/>
          </rPr>
          <t>ENORERO:</t>
        </r>
        <r>
          <rPr>
            <sz val="8"/>
            <color indexed="81"/>
            <rFont val="Tahoma"/>
            <family val="2"/>
          </rPr>
          <t xml:space="preserve">
RELS. 3038/2012 TRASPASA 367 TONS A MARISELA Y LINARES RPA 901835</t>
        </r>
      </text>
    </comment>
    <comment ref="C80" authorId="0">
      <text>
        <r>
          <rPr>
            <b/>
            <sz val="8"/>
            <color indexed="81"/>
            <rFont val="Tahoma"/>
            <family val="2"/>
          </rPr>
          <t>ENORERO:</t>
        </r>
        <r>
          <rPr>
            <sz val="8"/>
            <color indexed="81"/>
            <rFont val="Tahoma"/>
            <family val="2"/>
          </rPr>
          <t xml:space="preserve">
Rels. 10/2012 traspasa 180 tons a Ag, Pesc. Art. De Coronel .
</t>
        </r>
      </text>
    </comment>
    <comment ref="D80" authorId="0">
      <text>
        <r>
          <rPr>
            <b/>
            <sz val="8"/>
            <color indexed="81"/>
            <rFont val="Tahoma"/>
            <family val="2"/>
          </rPr>
          <t>ENORERO:</t>
        </r>
        <r>
          <rPr>
            <sz val="8"/>
            <color indexed="81"/>
            <rFont val="Tahoma"/>
            <family val="2"/>
          </rPr>
          <t xml:space="preserve">
ENORERO:
RESL n° 4/2012 traspaso 99 tons. A BUENA FE RPA 954873 .
</t>
        </r>
      </text>
    </comment>
    <comment ref="C83" authorId="0">
      <text>
        <r>
          <rPr>
            <b/>
            <sz val="8"/>
            <color indexed="81"/>
            <rFont val="Tahoma"/>
            <family val="2"/>
          </rPr>
          <t>ENORERO:</t>
        </r>
        <r>
          <rPr>
            <sz val="8"/>
            <color indexed="81"/>
            <rFont val="Tahoma"/>
            <family val="2"/>
          </rPr>
          <t xml:space="preserve">
RESL. 2136/2012  TRASPASO A AG. PESCAMAR 1000 TONS.</t>
        </r>
      </text>
    </comment>
    <comment ref="D83" authorId="0">
      <text>
        <r>
          <rPr>
            <b/>
            <sz val="8"/>
            <color indexed="81"/>
            <rFont val="Tahoma"/>
            <family val="2"/>
          </rPr>
          <t>ENORERO:</t>
        </r>
        <r>
          <rPr>
            <sz val="8"/>
            <color indexed="81"/>
            <rFont val="Tahoma"/>
            <family val="2"/>
          </rPr>
          <t xml:space="preserve">
trapaso a la región XIV a la emb. Acuario III RPA 954796 RESl. 2537/2012 614 tons. 
Traspaso 2925/2012 hacia la embarcación Acuario III 1.297 tons.</t>
        </r>
      </text>
    </comment>
    <comment ref="C84" authorId="0">
      <text>
        <r>
          <rPr>
            <b/>
            <sz val="8"/>
            <color indexed="81"/>
            <rFont val="Tahoma"/>
            <family val="2"/>
          </rPr>
          <t>ENORERO:</t>
        </r>
        <r>
          <rPr>
            <sz val="8"/>
            <color indexed="81"/>
            <rFont val="Tahoma"/>
            <family val="2"/>
          </rPr>
          <t xml:space="preserve">
resl. N° 02/2012  traspazo  a Don Claudio RPA 924618  600
 tonns.</t>
        </r>
      </text>
    </comment>
    <comment ref="D84" authorId="0">
      <text>
        <r>
          <rPr>
            <b/>
            <sz val="8"/>
            <color indexed="81"/>
            <rFont val="Tahoma"/>
            <family val="2"/>
          </rPr>
          <t>ENORERO:</t>
        </r>
        <r>
          <rPr>
            <sz val="8"/>
            <color indexed="81"/>
            <rFont val="Tahoma"/>
            <family val="2"/>
          </rPr>
          <t xml:space="preserve">
ENORERO:
AGREGA 5297 TON SEGÚN RESL. NO. 2/2012 TRASPASO 600 TONS., RESL1871/2012  y 1872/2012, en  donde se cede cuota, 1500 tons.
</t>
        </r>
      </text>
    </comment>
    <comment ref="C88" authorId="0">
      <text>
        <r>
          <rPr>
            <b/>
            <sz val="8"/>
            <color indexed="81"/>
            <rFont val="Tahoma"/>
            <family val="2"/>
          </rPr>
          <t>ENORERO:</t>
        </r>
        <r>
          <rPr>
            <sz val="8"/>
            <color indexed="81"/>
            <rFont val="Tahoma"/>
            <family val="2"/>
          </rPr>
          <t xml:space="preserve">
CESIÓN ENTRE SINDICATOS, RESL.  3341/2012, 500 TONS A Acermar de LA XIV REGIÓN
</t>
        </r>
      </text>
    </comment>
    <comment ref="D89" authorId="0">
      <text>
        <r>
          <rPr>
            <b/>
            <sz val="8"/>
            <color indexed="81"/>
            <rFont val="Tahoma"/>
            <family val="2"/>
          </rPr>
          <t>ENORERO:</t>
        </r>
        <r>
          <rPr>
            <sz val="8"/>
            <color indexed="81"/>
            <rFont val="Tahoma"/>
            <family val="2"/>
          </rPr>
          <t xml:space="preserve">
rels. 1496/2012 traspaso a rpa. 923199 DOMENICA
</t>
        </r>
      </text>
    </comment>
    <comment ref="C90" authorId="0">
      <text>
        <r>
          <rPr>
            <b/>
            <sz val="8"/>
            <color indexed="81"/>
            <rFont val="Tahoma"/>
            <family val="2"/>
          </rPr>
          <t>ENORERO:</t>
        </r>
        <r>
          <rPr>
            <sz val="8"/>
            <color indexed="81"/>
            <rFont val="Tahoma"/>
            <family val="2"/>
          </rPr>
          <t xml:space="preserve">
resl. 2839/2012  recibe traspaso de la VII reg. 303 tons. </t>
        </r>
      </text>
    </comment>
    <comment ref="D90" authorId="0">
      <text>
        <r>
          <rPr>
            <b/>
            <sz val="8"/>
            <color indexed="81"/>
            <rFont val="Tahoma"/>
            <family val="2"/>
          </rPr>
          <t>ENORERO:</t>
        </r>
        <r>
          <rPr>
            <sz val="8"/>
            <color indexed="81"/>
            <rFont val="Tahoma"/>
            <family val="2"/>
          </rPr>
          <t xml:space="preserve">
CESIÓN ENTRE ORG. 1489/2012
CESION A EMB LINARES 
RPA 901835 IX REG , RESL 3095/2012  300 TONS.
</t>
        </r>
      </text>
    </comment>
    <comment ref="C91" authorId="0">
      <text>
        <r>
          <rPr>
            <b/>
            <sz val="8"/>
            <color indexed="81"/>
            <rFont val="Tahoma"/>
            <family val="2"/>
          </rPr>
          <t>ENORERO:</t>
        </r>
        <r>
          <rPr>
            <sz val="8"/>
            <color indexed="81"/>
            <rFont val="Tahoma"/>
            <family val="2"/>
          </rPr>
          <t xml:space="preserve">
RESL. N° 16/2012 TRASPASA 700 TONS,. A SIARPAR
</t>
        </r>
      </text>
    </comment>
    <comment ref="D91" authorId="0">
      <text>
        <r>
          <rPr>
            <b/>
            <sz val="8"/>
            <color indexed="81"/>
            <rFont val="Tahoma"/>
            <family val="2"/>
          </rPr>
          <t>ENORERO:</t>
        </r>
        <r>
          <rPr>
            <sz val="8"/>
            <color indexed="81"/>
            <rFont val="Tahoma"/>
            <family val="2"/>
          </rPr>
          <t xml:space="preserve">
rels. 1666/2012 traspqaso a  ACERVAL AG: de Valdivia XIV región.
RESL. 3212/2012 TRASPASO A ORG. DE LA XIV REG ACERVA. 500 TONS.
</t>
        </r>
      </text>
    </comment>
    <comment ref="C94" authorId="0">
      <text>
        <r>
          <rPr>
            <b/>
            <sz val="8"/>
            <color indexed="81"/>
            <rFont val="Tahoma"/>
            <family val="2"/>
          </rPr>
          <t xml:space="preserve">ENORERo
resl. N° 11/2012, recibe 500 tons, de ARPESCA AG: 
|
Se aumenta toneladas según resl. 2924/2012
</t>
        </r>
      </text>
    </comment>
    <comment ref="D94" authorId="0">
      <text>
        <r>
          <rPr>
            <b/>
            <sz val="8"/>
            <color indexed="81"/>
            <rFont val="Tahoma"/>
            <family val="2"/>
          </rPr>
          <t>ENORERO:</t>
        </r>
        <r>
          <rPr>
            <sz val="8"/>
            <color indexed="81"/>
            <rFont val="Tahoma"/>
            <family val="2"/>
          </rPr>
          <t xml:space="preserve">
resl. No. 1861/2012 cesión de 200 tons.  A embarcación DOMENICA  RPA 923199
</t>
        </r>
      </text>
    </comment>
    <comment ref="C95" authorId="0">
      <text>
        <r>
          <rPr>
            <b/>
            <sz val="8"/>
            <color indexed="81"/>
            <rFont val="Tahoma"/>
            <family val="2"/>
          </rPr>
          <t>ENORERO:</t>
        </r>
        <r>
          <rPr>
            <sz val="8"/>
            <color indexed="81"/>
            <rFont val="Tahoma"/>
            <family val="2"/>
          </rPr>
          <t xml:space="preserve">
Traspasa 500 tonns. Al AG. Arpropelar. Resl .13/2012</t>
        </r>
      </text>
    </comment>
    <comment ref="D95" authorId="0">
      <text>
        <r>
          <rPr>
            <b/>
            <sz val="8"/>
            <color indexed="81"/>
            <rFont val="Tahoma"/>
            <family val="2"/>
          </rPr>
          <t>ENORERO:</t>
        </r>
        <r>
          <rPr>
            <sz val="8"/>
            <color indexed="81"/>
            <rFont val="Tahoma"/>
            <family val="2"/>
          </rPr>
          <t xml:space="preserve">
RESL. NO. 6/2012 TRASPASO Y RES n° 8/2012 TRASPASO</t>
        </r>
      </text>
    </comment>
    <comment ref="A99" authorId="0">
      <text>
        <r>
          <rPr>
            <b/>
            <sz val="8"/>
            <color indexed="81"/>
            <rFont val="Tahoma"/>
            <family val="2"/>
          </rPr>
          <t>ENORERO:</t>
        </r>
        <r>
          <rPr>
            <sz val="8"/>
            <color indexed="81"/>
            <rFont val="Tahoma"/>
            <family val="2"/>
          </rPr>
          <t xml:space="preserve">
Son 256 embarcaciones </t>
        </r>
      </text>
    </comment>
    <comment ref="C99" authorId="0">
      <text>
        <r>
          <rPr>
            <b/>
            <sz val="8"/>
            <color indexed="81"/>
            <rFont val="Tahoma"/>
            <family val="2"/>
          </rPr>
          <t>ENORERO:</t>
        </r>
        <r>
          <rPr>
            <sz val="8"/>
            <color indexed="81"/>
            <rFont val="Tahoma"/>
            <family val="2"/>
          </rPr>
          <t xml:space="preserve">
res.ex . 849/2012 modifica toneladas</t>
        </r>
      </text>
    </comment>
    <comment ref="I99" authorId="0">
      <text>
        <r>
          <rPr>
            <b/>
            <sz val="8"/>
            <color indexed="81"/>
            <rFont val="Tahoma"/>
            <family val="2"/>
          </rPr>
          <t>ENORERO:</t>
        </r>
        <r>
          <rPr>
            <sz val="8"/>
            <color indexed="81"/>
            <rFont val="Tahoma"/>
            <family val="2"/>
          </rPr>
          <t xml:space="preserve">
Se hacen cierres parciales por embarcación, son 256 embarcaciones y cada una no debe superar los 250 tons.. , en conjunto</t>
        </r>
      </text>
    </comment>
    <comment ref="D117" authorId="0">
      <text>
        <r>
          <rPr>
            <b/>
            <sz val="8"/>
            <color indexed="81"/>
            <rFont val="Tahoma"/>
            <family val="2"/>
          </rPr>
          <t>ENORERO:</t>
        </r>
        <r>
          <rPr>
            <sz val="8"/>
            <color indexed="81"/>
            <rFont val="Tahoma"/>
            <family val="2"/>
          </rPr>
          <t xml:space="preserve">
RESL. N° 7/2012
TRASPASO</t>
        </r>
      </text>
    </comment>
    <comment ref="C118" authorId="0">
      <text>
        <r>
          <rPr>
            <b/>
            <sz val="8"/>
            <color indexed="81"/>
            <rFont val="Tahoma"/>
            <family val="2"/>
          </rPr>
          <t>ENORERO:</t>
        </r>
        <r>
          <rPr>
            <sz val="8"/>
            <color indexed="81"/>
            <rFont val="Tahoma"/>
            <family val="2"/>
          </rPr>
          <t xml:space="preserve">
rel. De traspaso entre org. N° 14/2012 le traspasan 500 tons.</t>
        </r>
      </text>
    </comment>
    <comment ref="C124" authorId="0">
      <text>
        <r>
          <rPr>
            <b/>
            <sz val="8"/>
            <color indexed="81"/>
            <rFont val="Tahoma"/>
            <family val="2"/>
          </rPr>
          <t xml:space="preserve">ENORERO:
traspasa a PESCAMAR 500 tons. según resl. N° 14/2012
</t>
        </r>
      </text>
    </comment>
    <comment ref="C126" authorId="0">
      <text>
        <r>
          <rPr>
            <b/>
            <sz val="8"/>
            <color indexed="81"/>
            <rFont val="Tahoma"/>
            <family val="2"/>
          </rPr>
          <t>ENORERO:</t>
        </r>
        <r>
          <rPr>
            <sz val="8"/>
            <color indexed="81"/>
            <rFont val="Tahoma"/>
            <family val="2"/>
          </rPr>
          <t xml:space="preserve">
RESL. 1898/2012 TRASPASO PERÍODO QUEDA IGUAL QUE ANTES
</t>
        </r>
      </text>
    </comment>
    <comment ref="A127" authorId="0">
      <text>
        <r>
          <rPr>
            <b/>
            <sz val="8"/>
            <color indexed="81"/>
            <rFont val="Tahoma"/>
            <family val="2"/>
          </rPr>
          <t>ENORERO:</t>
        </r>
        <r>
          <rPr>
            <sz val="8"/>
            <color indexed="81"/>
            <rFont val="Tahoma"/>
            <family val="2"/>
          </rPr>
          <t xml:space="preserve">
cede sus toneladas a SIPARMAR CORONEL Res. Ex. 835/2012.
</t>
        </r>
      </text>
    </comment>
    <comment ref="D127" authorId="0">
      <text>
        <r>
          <rPr>
            <b/>
            <sz val="8"/>
            <color indexed="81"/>
            <rFont val="Tahoma"/>
            <family val="2"/>
          </rPr>
          <t>ENORERO:</t>
        </r>
        <r>
          <rPr>
            <sz val="8"/>
            <color indexed="81"/>
            <rFont val="Tahoma"/>
            <family val="2"/>
          </rPr>
          <t xml:space="preserve">
ENORERO:
RESL. 5/2012 TRASPASA A EMBARCACIÓN RPA 956410 DIN JOSE I</t>
        </r>
      </text>
    </comment>
    <comment ref="D148" authorId="0">
      <text>
        <r>
          <rPr>
            <b/>
            <sz val="8"/>
            <color indexed="81"/>
            <rFont val="Tahoma"/>
            <family val="2"/>
          </rPr>
          <t>ENORERO:</t>
        </r>
        <r>
          <rPr>
            <sz val="8"/>
            <color indexed="81"/>
            <rFont val="Tahoma"/>
            <family val="2"/>
          </rPr>
          <t xml:space="preserve">
TRASPSO SEGÚN RESL. 2/2012  600 TONS. DESCONTADAS EN PERÍODO ANTEROR
</t>
        </r>
      </text>
    </comment>
    <comment ref="C151" authorId="0">
      <text>
        <r>
          <rPr>
            <b/>
            <sz val="8"/>
            <color indexed="81"/>
            <rFont val="Tahoma"/>
            <family val="2"/>
          </rPr>
          <t>ENORERO:</t>
        </r>
        <r>
          <rPr>
            <sz val="8"/>
            <color indexed="81"/>
            <rFont val="Tahoma"/>
            <family val="2"/>
          </rPr>
          <t xml:space="preserve">
RSL. 25/20212 TRASPASA 10 TONS. BRISAS DEL MAR VIII REG. </t>
        </r>
      </text>
    </comment>
    <comment ref="C155" authorId="0">
      <text>
        <r>
          <rPr>
            <b/>
            <sz val="8"/>
            <color indexed="81"/>
            <rFont val="Tahoma"/>
            <family val="2"/>
          </rPr>
          <t>ENORERO:</t>
        </r>
        <r>
          <rPr>
            <sz val="8"/>
            <color indexed="81"/>
            <rFont val="Tahoma"/>
            <family val="2"/>
          </rPr>
          <t xml:space="preserve">
hasta el 11 12 12 tenian de cuota asignada 553 pero por resolucion 3213 del 11 12 12 ceden 500 a AG ACERVAL quedando con 53
</t>
        </r>
      </text>
    </comment>
    <comment ref="C163" authorId="0">
      <text>
        <r>
          <rPr>
            <b/>
            <sz val="8"/>
            <color indexed="81"/>
            <rFont val="Tahoma"/>
            <family val="2"/>
          </rPr>
          <t>ENORERO:</t>
        </r>
        <r>
          <rPr>
            <sz val="8"/>
            <color indexed="81"/>
            <rFont val="Tahoma"/>
            <family val="2"/>
          </rPr>
          <t xml:space="preserve">
ENORERO:
res.ex . 849/2012 modifica toneladas y 944/2012</t>
        </r>
      </text>
    </comment>
    <comment ref="I163" authorId="0">
      <text>
        <r>
          <rPr>
            <b/>
            <sz val="8"/>
            <color indexed="81"/>
            <rFont val="Tahoma"/>
            <family val="2"/>
          </rPr>
          <t>ENORERO:</t>
        </r>
        <r>
          <rPr>
            <sz val="8"/>
            <color indexed="81"/>
            <rFont val="Tahoma"/>
            <family val="2"/>
          </rPr>
          <t xml:space="preserve">
Se hacen cierres parciales por embarcación, son 256 embarcaciones y cada una no debe superar los 250 tons.. , en conjunto</t>
        </r>
      </text>
    </comment>
    <comment ref="C171" authorId="0">
      <text>
        <r>
          <rPr>
            <b/>
            <sz val="8"/>
            <color indexed="81"/>
            <rFont val="Tahoma"/>
            <family val="2"/>
          </rPr>
          <t>ENORERO:</t>
        </r>
        <r>
          <rPr>
            <sz val="8"/>
            <color indexed="81"/>
            <rFont val="Tahoma"/>
            <family val="2"/>
          </rPr>
          <t xml:space="preserve">
traspaso cuota res. N° 587 del 15-03-2012</t>
        </r>
      </text>
    </comment>
    <comment ref="C173" authorId="0">
      <text>
        <r>
          <rPr>
            <b/>
            <sz val="8"/>
            <color indexed="81"/>
            <rFont val="Tahoma"/>
            <family val="2"/>
          </rPr>
          <t>ENORERO:</t>
        </r>
        <r>
          <rPr>
            <sz val="8"/>
            <color indexed="81"/>
            <rFont val="Tahoma"/>
            <family val="2"/>
          </rPr>
          <t xml:space="preserve">
traspaso cuota res. N° 587 del 15-03-2012</t>
        </r>
      </text>
    </comment>
    <comment ref="C175" authorId="0">
      <text>
        <r>
          <rPr>
            <b/>
            <sz val="8"/>
            <color indexed="81"/>
            <rFont val="Tahoma"/>
            <family val="2"/>
          </rPr>
          <t>ENORERO:</t>
        </r>
        <r>
          <rPr>
            <sz val="8"/>
            <color indexed="81"/>
            <rFont val="Tahoma"/>
            <family val="2"/>
          </rPr>
          <t xml:space="preserve">
traspaso cuota res. N° 587 del 15-03-2012</t>
        </r>
      </text>
    </comment>
    <comment ref="C183" authorId="0">
      <text>
        <r>
          <rPr>
            <b/>
            <sz val="8"/>
            <color indexed="81"/>
            <rFont val="Tahoma"/>
            <family val="2"/>
          </rPr>
          <t>ENORERO:</t>
        </r>
        <r>
          <rPr>
            <sz val="8"/>
            <color indexed="81"/>
            <rFont val="Tahoma"/>
            <family val="2"/>
          </rPr>
          <t xml:space="preserve">
traspaso cuota res. N° 587 del 15-03-2012</t>
        </r>
      </text>
    </comment>
    <comment ref="C184" authorId="0">
      <text>
        <r>
          <rPr>
            <b/>
            <sz val="8"/>
            <color indexed="81"/>
            <rFont val="Tahoma"/>
            <family val="2"/>
          </rPr>
          <t>ENORERO:</t>
        </r>
        <r>
          <rPr>
            <sz val="8"/>
            <color indexed="81"/>
            <rFont val="Tahoma"/>
            <family val="2"/>
          </rPr>
          <t xml:space="preserve">
traspaso cuota res. N° 587 del 15-03-2012</t>
        </r>
      </text>
    </comment>
    <comment ref="C191" authorId="0">
      <text>
        <r>
          <rPr>
            <b/>
            <sz val="8"/>
            <color indexed="81"/>
            <rFont val="Tahoma"/>
            <family val="2"/>
          </rPr>
          <t>ENORERO:</t>
        </r>
        <r>
          <rPr>
            <sz val="8"/>
            <color indexed="81"/>
            <rFont val="Tahoma"/>
            <family val="2"/>
          </rPr>
          <t xml:space="preserve">
RESL. 1666/2012  RECIBE TRASPASO DESDE LA VIII REG -ASPAS. 600 TON
RESIBE TRASPASO POR 
RESL. 3213/2012  SON 500  TONS. PARA EL 2DO. PERIODO ASPAS DE LA VIII REG. 
Recibe cesión de 400 tons. de parte de SPAADA VIII reg.  Resl. 3440/2022
</t>
        </r>
      </text>
    </comment>
    <comment ref="C195" authorId="0">
      <text>
        <r>
          <rPr>
            <b/>
            <sz val="8"/>
            <color indexed="81"/>
            <rFont val="Tahoma"/>
            <family val="2"/>
          </rPr>
          <t>ENORERO:</t>
        </r>
        <r>
          <rPr>
            <sz val="8"/>
            <color indexed="81"/>
            <rFont val="Tahoma"/>
            <family val="2"/>
          </rPr>
          <t xml:space="preserve">
resl. NO: 3115/2012  recibe traspaso de 2800 tons. de VIII reg. </t>
        </r>
      </text>
    </comment>
    <comment ref="C204" authorId="0">
      <text>
        <r>
          <rPr>
            <b/>
            <sz val="8"/>
            <color indexed="81"/>
            <rFont val="Tahoma"/>
            <family val="2"/>
          </rPr>
          <t>ENORERO:</t>
        </r>
        <r>
          <rPr>
            <sz val="8"/>
            <color indexed="81"/>
            <rFont val="Tahoma"/>
            <family val="2"/>
          </rPr>
          <t xml:space="preserve">
RECIBE 500 TONS.. DE TRASPASO SEDE LA VIII REGIÓN RESL. 3341/2012.</t>
        </r>
      </text>
    </comment>
    <comment ref="C215" authorId="0">
      <text>
        <r>
          <rPr>
            <b/>
            <sz val="8"/>
            <color indexed="81"/>
            <rFont val="Tahoma"/>
            <family val="2"/>
          </rPr>
          <t>ENORERO:</t>
        </r>
        <r>
          <rPr>
            <sz val="8"/>
            <color indexed="81"/>
            <rFont val="Tahoma"/>
            <family val="2"/>
          </rPr>
          <t xml:space="preserve">
resl. 2878 modifica la cuota por cesión a embarcaciones  de la XIV
</t>
        </r>
      </text>
    </comment>
    <comment ref="C233" authorId="0">
      <text>
        <r>
          <rPr>
            <b/>
            <sz val="8"/>
            <color indexed="81"/>
            <rFont val="Tahoma"/>
            <family val="2"/>
          </rPr>
          <t>ENORERO:</t>
        </r>
        <r>
          <rPr>
            <sz val="8"/>
            <color indexed="81"/>
            <rFont val="Tahoma"/>
            <family val="2"/>
          </rPr>
          <t xml:space="preserve">
CEDE 543 TONS A AQUAPESCA SEGÚN RESL. N° 1461*/20121
</t>
        </r>
      </text>
    </comment>
    <comment ref="C234" authorId="0">
      <text>
        <r>
          <rPr>
            <b/>
            <sz val="8"/>
            <color indexed="81"/>
            <rFont val="Tahoma"/>
            <family val="2"/>
          </rPr>
          <t>ENORERO:</t>
        </r>
        <r>
          <rPr>
            <sz val="8"/>
            <color indexed="81"/>
            <rFont val="Tahoma"/>
            <family val="2"/>
          </rPr>
          <t xml:space="preserve">
RELS. 1871/2012 TRASPASÓ A LA VIII REGIÓN 5.297
</t>
        </r>
      </text>
    </comment>
    <comment ref="C235" authorId="0">
      <text>
        <r>
          <rPr>
            <b/>
            <sz val="8"/>
            <color indexed="81"/>
            <rFont val="Tahoma"/>
            <family val="2"/>
          </rPr>
          <t>ENORERO:</t>
        </r>
        <r>
          <rPr>
            <sz val="8"/>
            <color indexed="81"/>
            <rFont val="Tahoma"/>
            <family val="2"/>
          </rPr>
          <t xml:space="preserve">
CEDIÓ  207 tons. PESCA A STI QUELLÓN , RES 641/2012 207 TONS.
 Y ADEMAS RECIBE DE ASERCHI 543 TONS. SEGÚN RESL. 1461/2012</t>
        </r>
      </text>
    </comment>
    <comment ref="C238" authorId="0">
      <text>
        <r>
          <rPr>
            <b/>
            <sz val="8"/>
            <color indexed="81"/>
            <rFont val="Tahoma"/>
            <family val="2"/>
          </rPr>
          <t>ENORERO:</t>
        </r>
        <r>
          <rPr>
            <sz val="8"/>
            <color indexed="81"/>
            <rFont val="Tahoma"/>
            <family val="2"/>
          </rPr>
          <t xml:space="preserve">
hasta el 11 12 12 tenian de cuota asignada 2443 pero por resolucion 3214 del 11 12 12 ceden 500 a las naves nataly (100 ton) y Antares III (400 ton) 
era 9773 ene ago y 2443 sep dic
queda como: 9273 enero agos y 2443 sep dic
</t>
        </r>
      </text>
    </comment>
    <comment ref="C241" authorId="0">
      <text>
        <r>
          <rPr>
            <b/>
            <sz val="8"/>
            <color indexed="81"/>
            <rFont val="Tahoma"/>
            <family val="2"/>
          </rPr>
          <t>ENORERO:</t>
        </r>
        <r>
          <rPr>
            <sz val="8"/>
            <color indexed="81"/>
            <rFont val="Tahoma"/>
            <family val="2"/>
          </rPr>
          <t xml:space="preserve">
Resl. 641/2012 le cedieron desde Aquapesca 207 ton.</t>
        </r>
      </text>
    </comment>
    <comment ref="C246" authorId="0">
      <text>
        <r>
          <rPr>
            <b/>
            <sz val="8"/>
            <color indexed="81"/>
            <rFont val="Tahoma"/>
            <family val="2"/>
          </rPr>
          <t>ENORERO:</t>
        </r>
        <r>
          <rPr>
            <sz val="8"/>
            <color indexed="81"/>
            <rFont val="Tahoma"/>
            <family val="2"/>
          </rPr>
          <t xml:space="preserve">
CEDE 57
 TONS A AQUAPESCA SEGÚN RESL. N° 1461*/20121
</t>
        </r>
      </text>
    </comment>
    <comment ref="C248" authorId="0">
      <text>
        <r>
          <rPr>
            <b/>
            <sz val="8"/>
            <color indexed="81"/>
            <rFont val="Tahoma"/>
            <family val="2"/>
          </rPr>
          <t>ENORERO:</t>
        </r>
        <r>
          <rPr>
            <sz val="8"/>
            <color indexed="81"/>
            <rFont val="Tahoma"/>
            <family val="2"/>
          </rPr>
          <t xml:space="preserve">
 RECIBE DE ASERCHI 57 TONS. SEGÚN RESL. 1461/2012</t>
        </r>
      </text>
    </comment>
    <comment ref="C251" authorId="0">
      <text>
        <r>
          <rPr>
            <b/>
            <sz val="8"/>
            <color indexed="81"/>
            <rFont val="Tahoma"/>
            <family val="2"/>
          </rPr>
          <t>ENORERO:</t>
        </r>
        <r>
          <rPr>
            <sz val="8"/>
            <color indexed="81"/>
            <rFont val="Tahoma"/>
            <family val="2"/>
          </rPr>
          <t xml:space="preserve">
hasta el 11 12 12 tenian de cuota asignada 2443 pero por resolucion 3214 del 11 12 12 ceden 500 a las naves nataly (100 ton) y Antares III (400 ton) 
era 9773 ene ago y 2443 sep dic
queda como: 9273 enero agos y 2443 sep dic
</t>
        </r>
      </text>
    </comment>
  </commentList>
</comments>
</file>

<file path=xl/comments6.xml><?xml version="1.0" encoding="utf-8"?>
<comments xmlns="http://schemas.openxmlformats.org/spreadsheetml/2006/main">
  <authors>
    <author>ENORERO</author>
  </authors>
  <commentList>
    <comment ref="AA17" authorId="0">
      <text>
        <r>
          <rPr>
            <b/>
            <sz val="8"/>
            <color indexed="81"/>
            <rFont val="Tahoma"/>
            <family val="2"/>
          </rPr>
          <t>ENORERO:</t>
        </r>
        <r>
          <rPr>
            <sz val="8"/>
            <color indexed="81"/>
            <rFont val="Tahoma"/>
            <family val="2"/>
          </rPr>
          <t xml:space="preserve">
Viene de la resl. 2883/2012 sobre-consumo que se debe imputar a la cuota global, original de la embarcación.</t>
        </r>
      </text>
    </comment>
  </commentList>
</comments>
</file>

<file path=xl/comments7.xml><?xml version="1.0" encoding="utf-8"?>
<comments xmlns="http://schemas.openxmlformats.org/spreadsheetml/2006/main">
  <authors>
    <author>ENORERO</author>
  </authors>
  <commentList>
    <comment ref="B32" authorId="0">
      <text>
        <r>
          <rPr>
            <b/>
            <sz val="8"/>
            <color indexed="81"/>
            <rFont val="Tahoma"/>
            <family val="2"/>
          </rPr>
          <t>ENORERO:</t>
        </r>
        <r>
          <rPr>
            <sz val="8"/>
            <color indexed="81"/>
            <rFont val="Tahoma"/>
            <family val="2"/>
          </rPr>
          <t xml:space="preserve">
carnada
</t>
        </r>
      </text>
    </comment>
    <comment ref="C32" authorId="0">
      <text>
        <r>
          <rPr>
            <b/>
            <sz val="8"/>
            <color indexed="81"/>
            <rFont val="Tahoma"/>
            <family val="2"/>
          </rPr>
          <t>ENORERO:</t>
        </r>
        <r>
          <rPr>
            <sz val="8"/>
            <color indexed="81"/>
            <rFont val="Tahoma"/>
            <family val="2"/>
          </rPr>
          <t xml:space="preserve">
Información como carnada
</t>
        </r>
      </text>
    </comment>
  </commentList>
</comments>
</file>

<file path=xl/comments8.xml><?xml version="1.0" encoding="utf-8"?>
<comments xmlns="http://schemas.openxmlformats.org/spreadsheetml/2006/main">
  <authors>
    <author>ENORERO</author>
  </authors>
  <commentList>
    <comment ref="C22" authorId="0">
      <text>
        <r>
          <rPr>
            <b/>
            <sz val="8"/>
            <color indexed="81"/>
            <rFont val="Tahoma"/>
            <family val="2"/>
          </rPr>
          <t>ENORERO:</t>
        </r>
        <r>
          <rPr>
            <sz val="8"/>
            <color indexed="81"/>
            <rFont val="Tahoma"/>
            <family val="2"/>
          </rPr>
          <t xml:space="preserve">
Resl. Ex. 2325/2012 ceden 500 tons a Sti de VI  y VII regiones
</t>
        </r>
      </text>
    </comment>
    <comment ref="B24" authorId="0">
      <text>
        <r>
          <rPr>
            <b/>
            <sz val="8"/>
            <color indexed="81"/>
            <rFont val="Tahoma"/>
            <family val="2"/>
          </rPr>
          <t>ENORERO:</t>
        </r>
        <r>
          <rPr>
            <sz val="8"/>
            <color indexed="81"/>
            <rFont val="Tahoma"/>
            <family val="2"/>
          </rPr>
          <t xml:space="preserve">
DESDE 16 DE FEBRERO RES. EX 431/2012 Y MODF. RES. 799/2012</t>
        </r>
      </text>
    </comment>
    <comment ref="C24" authorId="0">
      <text>
        <r>
          <rPr>
            <b/>
            <sz val="8"/>
            <color indexed="81"/>
            <rFont val="Tahoma"/>
            <family val="2"/>
          </rPr>
          <t>ENORERO:</t>
        </r>
        <r>
          <rPr>
            <sz val="8"/>
            <color indexed="81"/>
            <rFont val="Tahoma"/>
            <family val="2"/>
          </rPr>
          <t xml:space="preserve">
resl. 2600/2012 cede pesca a VI y VII regiones 70 tons.  Se modificac según resl. 2785/2012 se traspasa a la VII reg.</t>
        </r>
      </text>
    </comment>
    <comment ref="B25" authorId="0">
      <text>
        <r>
          <rPr>
            <b/>
            <sz val="8"/>
            <color indexed="81"/>
            <rFont val="Tahoma"/>
            <family val="2"/>
          </rPr>
          <t>ENORERO:</t>
        </r>
        <r>
          <rPr>
            <sz val="8"/>
            <color indexed="81"/>
            <rFont val="Tahoma"/>
            <family val="2"/>
          </rPr>
          <t xml:space="preserve">
DESDE 16 DE FEBRERO RES. EX 431/2012 Y MODF. RES. 799/2012</t>
        </r>
      </text>
    </comment>
    <comment ref="C25" authorId="0">
      <text>
        <r>
          <rPr>
            <b/>
            <sz val="8"/>
            <color indexed="81"/>
            <rFont val="Tahoma"/>
            <family val="2"/>
          </rPr>
          <t>ENORERO:</t>
        </r>
        <r>
          <rPr>
            <sz val="8"/>
            <color indexed="81"/>
            <rFont val="Tahoma"/>
            <family val="2"/>
          </rPr>
          <t xml:space="preserve">
nueva cuota original para la el sector es de 34.816 tons. según resl. 2075/2012</t>
        </r>
      </text>
    </comment>
    <comment ref="B26" authorId="0">
      <text>
        <r>
          <rPr>
            <b/>
            <sz val="8"/>
            <color indexed="81"/>
            <rFont val="Tahoma"/>
            <family val="2"/>
          </rPr>
          <t>ENORERO:</t>
        </r>
        <r>
          <rPr>
            <sz val="8"/>
            <color indexed="81"/>
            <rFont val="Tahoma"/>
            <family val="2"/>
          </rPr>
          <t xml:space="preserve">
DESDE 16 DE FEBRERO RES. EX 431/2012 Y MODF. RES. 799/2012</t>
        </r>
      </text>
    </comment>
    <comment ref="C26" authorId="0">
      <text>
        <r>
          <rPr>
            <b/>
            <sz val="8"/>
            <color indexed="81"/>
            <rFont val="Tahoma"/>
            <family val="2"/>
          </rPr>
          <t>ENORERO:</t>
        </r>
        <r>
          <rPr>
            <sz val="8"/>
            <color indexed="81"/>
            <rFont val="Tahoma"/>
            <family val="2"/>
          </rPr>
          <t xml:space="preserve">
Resl. 2958/2012  traspara 500 tons. VI, VII y Sect. Sur de la V reg. </t>
        </r>
      </text>
    </comment>
    <comment ref="B27" authorId="0">
      <text>
        <r>
          <rPr>
            <b/>
            <sz val="8"/>
            <color indexed="81"/>
            <rFont val="Tahoma"/>
            <family val="2"/>
          </rPr>
          <t>ENORERO:</t>
        </r>
        <r>
          <rPr>
            <sz val="8"/>
            <color indexed="81"/>
            <rFont val="Tahoma"/>
            <family val="2"/>
          </rPr>
          <t xml:space="preserve">
DESDE 16 DE FEBRERO RES. EX 431/2012 Y MODF. RES. 799/2012</t>
        </r>
      </text>
    </comment>
    <comment ref="C32" authorId="0">
      <text>
        <r>
          <rPr>
            <b/>
            <sz val="8"/>
            <color indexed="81"/>
            <rFont val="Tahoma"/>
            <family val="2"/>
          </rPr>
          <t>ENORERO:</t>
        </r>
        <r>
          <rPr>
            <sz val="8"/>
            <color indexed="81"/>
            <rFont val="Tahoma"/>
            <family val="2"/>
          </rPr>
          <t xml:space="preserve">
se trasopasa según resolución no. 2785/2012 a  la VII reg. </t>
        </r>
      </text>
    </comment>
    <comment ref="C33" authorId="0">
      <text>
        <r>
          <rPr>
            <b/>
            <sz val="8"/>
            <color indexed="81"/>
            <rFont val="Tahoma"/>
            <family val="2"/>
          </rPr>
          <t>ENORERO:</t>
        </r>
        <r>
          <rPr>
            <sz val="8"/>
            <color indexed="81"/>
            <rFont val="Tahoma"/>
            <family val="2"/>
          </rPr>
          <t xml:space="preserve">
nueva cuota para sector debiera ser 19, 997, según resl. 2075/2012.
</t>
        </r>
      </text>
    </comment>
    <comment ref="C35" authorId="0">
      <text>
        <r>
          <rPr>
            <b/>
            <sz val="8"/>
            <color indexed="81"/>
            <rFont val="Tahoma"/>
            <family val="2"/>
          </rPr>
          <t>ENORERO:</t>
        </r>
        <r>
          <rPr>
            <sz val="8"/>
            <color indexed="81"/>
            <rFont val="Tahoma"/>
            <family val="2"/>
          </rPr>
          <t xml:space="preserve">
RESL. 2958/2012 TRASPASO DESDE ZONA CENTRO V REGION
llega traspaso de 300 tons. rel 3405-2012 dese la VIII reg.
</t>
        </r>
      </text>
    </comment>
    <comment ref="C48" authorId="0">
      <text>
        <r>
          <rPr>
            <b/>
            <sz val="8"/>
            <color indexed="81"/>
            <rFont val="Tahoma"/>
            <family val="2"/>
          </rPr>
          <t>ENORERO:</t>
        </r>
        <r>
          <rPr>
            <sz val="8"/>
            <color indexed="81"/>
            <rFont val="Tahoma"/>
            <family val="2"/>
          </rPr>
          <t xml:space="preserve">
resl. 2325/2012 aumenta en 100 tons. traspaso de industrial. + 150 tons. desde la V reg resl 2600/2012
resl. 2958/2012 aumenta 150 tons. desde la V reg. zona centro - bolson
Recibe traspaso de 100 tons. resl. 3405 desde la VIII reg. .</t>
        </r>
      </text>
    </comment>
    <comment ref="C54" authorId="0">
      <text>
        <r>
          <rPr>
            <b/>
            <sz val="8"/>
            <color indexed="81"/>
            <rFont val="Tahoma"/>
            <family val="2"/>
          </rPr>
          <t>ENORERO:</t>
        </r>
        <r>
          <rPr>
            <sz val="8"/>
            <color indexed="81"/>
            <rFont val="Tahoma"/>
            <family val="2"/>
          </rPr>
          <t xml:space="preserve">
res. ex. 893/2012 redistribución de cuota.
 Se suman 75 tons. cesión org. Desde la V reg.  Resl. 2075/2012</t>
        </r>
      </text>
    </comment>
    <comment ref="A55" authorId="0">
      <text>
        <r>
          <rPr>
            <b/>
            <sz val="8"/>
            <color indexed="81"/>
            <rFont val="Tahoma"/>
            <family val="2"/>
          </rPr>
          <t>ENORERO:</t>
        </r>
        <r>
          <rPr>
            <sz val="8"/>
            <color indexed="81"/>
            <rFont val="Tahoma"/>
            <family val="2"/>
          </rPr>
          <t xml:space="preserve">
Resl. N° 3522 del 27-12-2011, establece distribución del RAE.</t>
        </r>
      </text>
    </comment>
    <comment ref="H58" authorId="0">
      <text>
        <r>
          <rPr>
            <b/>
            <sz val="8"/>
            <color indexed="81"/>
            <rFont val="Tahoma"/>
            <family val="2"/>
          </rPr>
          <t>ENORERO:Res. Ex. N° 431 16-02-2012</t>
        </r>
      </text>
    </comment>
    <comment ref="C61" authorId="0">
      <text>
        <r>
          <rPr>
            <b/>
            <sz val="8"/>
            <color indexed="81"/>
            <rFont val="Tahoma"/>
            <family val="2"/>
          </rPr>
          <t>ENORERO:</t>
        </r>
        <r>
          <rPr>
            <sz val="8"/>
            <color indexed="81"/>
            <rFont val="Tahoma"/>
            <family val="2"/>
          </rPr>
          <t xml:space="preserve">
valores ajustados según res. NO. 799/2012
llega traspaso de 300 tons. rel 3405-2012 dese la VIII reg.
</t>
        </r>
      </text>
    </comment>
    <comment ref="C62" authorId="0">
      <text>
        <r>
          <rPr>
            <b/>
            <sz val="8"/>
            <color indexed="81"/>
            <rFont val="Tahoma"/>
            <family val="2"/>
          </rPr>
          <t>ENORERO:</t>
        </r>
        <r>
          <rPr>
            <sz val="8"/>
            <color indexed="81"/>
            <rFont val="Tahoma"/>
            <family val="2"/>
          </rPr>
          <t xml:space="preserve">
ENORERO:
valores ajustados según res. NO. 799/2012
llega traspaso de 300 tons. rel 3405-2012 dese la VIII reg.</t>
        </r>
      </text>
    </comment>
    <comment ref="C63" authorId="0">
      <text>
        <r>
          <rPr>
            <b/>
            <sz val="8"/>
            <color indexed="81"/>
            <rFont val="Tahoma"/>
            <family val="2"/>
          </rPr>
          <t>ENORERO:</t>
        </r>
        <r>
          <rPr>
            <sz val="8"/>
            <color indexed="81"/>
            <rFont val="Tahoma"/>
            <family val="2"/>
          </rPr>
          <t xml:space="preserve">
ENORERO:
valores ajustados según res. NO. 799/2012
llega traspaso de 300 tons. rel 3405-2012 dese la VIII reg.</t>
        </r>
      </text>
    </comment>
    <comment ref="C64" authorId="0">
      <text>
        <r>
          <rPr>
            <b/>
            <sz val="8"/>
            <color indexed="81"/>
            <rFont val="Tahoma"/>
            <family val="2"/>
          </rPr>
          <t>ENORERO:</t>
        </r>
        <r>
          <rPr>
            <sz val="8"/>
            <color indexed="81"/>
            <rFont val="Tahoma"/>
            <family val="2"/>
          </rPr>
          <t xml:space="preserve">
ENORERO:
valores ajustados según res. NO. 799/2012
llega traspaso de 300 tons. rel 3405-2012 dese la VIII reg.</t>
        </r>
      </text>
    </comment>
    <comment ref="C65" authorId="0">
      <text>
        <r>
          <rPr>
            <b/>
            <sz val="8"/>
            <color indexed="81"/>
            <rFont val="Tahoma"/>
            <family val="2"/>
          </rPr>
          <t>ENORERO:</t>
        </r>
        <r>
          <rPr>
            <sz val="8"/>
            <color indexed="81"/>
            <rFont val="Tahoma"/>
            <family val="2"/>
          </rPr>
          <t xml:space="preserve">
ENORERO:
valores ajustados según res. NO. 799/2012 , rels. N° 1706/2012 adelanata cuota del 2do. Período
llega traspaso de 300 tons. rel 3405-2012 dese la VIII reg.</t>
        </r>
      </text>
    </comment>
    <comment ref="C66" authorId="0">
      <text>
        <r>
          <rPr>
            <b/>
            <sz val="8"/>
            <color indexed="81"/>
            <rFont val="Tahoma"/>
            <family val="2"/>
          </rPr>
          <t>ENORERO:</t>
        </r>
        <r>
          <rPr>
            <sz val="8"/>
            <color indexed="81"/>
            <rFont val="Tahoma"/>
            <family val="2"/>
          </rPr>
          <t xml:space="preserve">
ENORERO:
valores ajustados según res. NO. 799/2012
y 1380/17.05.12
llega traspaso de 300 tons. rel 3405-2012 dese la VIII reg.</t>
        </r>
      </text>
    </comment>
    <comment ref="H67" authorId="0">
      <text>
        <r>
          <rPr>
            <b/>
            <sz val="8"/>
            <color indexed="81"/>
            <rFont val="Tahoma"/>
            <family val="2"/>
          </rPr>
          <t>ENORERO:Res. Ex. N° 431 16-02-2012</t>
        </r>
      </text>
    </comment>
    <comment ref="C68" authorId="0">
      <text>
        <r>
          <rPr>
            <b/>
            <sz val="8"/>
            <color indexed="81"/>
            <rFont val="Tahoma"/>
            <family val="2"/>
          </rPr>
          <t>ENORERO:</t>
        </r>
        <r>
          <rPr>
            <sz val="8"/>
            <color indexed="81"/>
            <rFont val="Tahoma"/>
            <family val="2"/>
          </rPr>
          <t xml:space="preserve">
ENORERO:
valores ajustados según res. NO. 799/2012
dese la VIII reg.</t>
        </r>
      </text>
    </comment>
    <comment ref="C72" authorId="0">
      <text>
        <r>
          <rPr>
            <b/>
            <sz val="8"/>
            <color indexed="81"/>
            <rFont val="Tahoma"/>
            <family val="2"/>
          </rPr>
          <t>ENORERO:</t>
        </r>
        <r>
          <rPr>
            <sz val="8"/>
            <color indexed="81"/>
            <rFont val="Tahoma"/>
            <family val="2"/>
          </rPr>
          <t xml:space="preserve">
llegan de ceción 35 tons. desde la V región area sur . Resl. N° 2325/2012, mas 100 tons. desde la V reg   resl. 2600/2012</t>
        </r>
      </text>
    </comment>
    <comment ref="C73" authorId="0">
      <text>
        <r>
          <rPr>
            <b/>
            <sz val="8"/>
            <color indexed="81"/>
            <rFont val="Tahoma"/>
            <family val="2"/>
          </rPr>
          <t>ENORERO:</t>
        </r>
        <r>
          <rPr>
            <sz val="8"/>
            <color indexed="81"/>
            <rFont val="Tahoma"/>
            <family val="2"/>
          </rPr>
          <t xml:space="preserve">
resl. NO. 2325/2012 llega cesión desde la V región.-
llega traspaso de 13.703
 tons. rel 3405-2012 dese la VIII reg.</t>
        </r>
      </text>
    </comment>
    <comment ref="C74" authorId="0">
      <text>
        <r>
          <rPr>
            <b/>
            <sz val="8"/>
            <color indexed="81"/>
            <rFont val="Tahoma"/>
            <family val="2"/>
          </rPr>
          <t>ENORERO:</t>
        </r>
        <r>
          <rPr>
            <sz val="8"/>
            <color indexed="81"/>
            <rFont val="Tahoma"/>
            <family val="2"/>
          </rPr>
          <t xml:space="preserve">
ENORERO:
resl. NO. 2325/2012 llega cesión desde la V región.-
llega traspaso de 30,262 tons. rel 3405-2012 dese la VIII reg.</t>
        </r>
      </text>
    </comment>
    <comment ref="C75" authorId="0">
      <text>
        <r>
          <rPr>
            <b/>
            <sz val="8"/>
            <color indexed="81"/>
            <rFont val="Tahoma"/>
            <family val="2"/>
          </rPr>
          <t>ENORERO:</t>
        </r>
        <r>
          <rPr>
            <sz val="8"/>
            <color indexed="81"/>
            <rFont val="Tahoma"/>
            <family val="2"/>
          </rPr>
          <t xml:space="preserve">
ENORERO:
resl. NO. 2325/2012 llega cesión desde la V región.-
llega traspaso de 5,139 tons. rel 3405-2012 dese la VIII reg.</t>
        </r>
      </text>
    </comment>
    <comment ref="C76" authorId="0">
      <text>
        <r>
          <rPr>
            <b/>
            <sz val="8"/>
            <color indexed="81"/>
            <rFont val="Tahoma"/>
            <family val="2"/>
          </rPr>
          <t>ENORERO:</t>
        </r>
        <r>
          <rPr>
            <sz val="8"/>
            <color indexed="81"/>
            <rFont val="Tahoma"/>
            <family val="2"/>
          </rPr>
          <t xml:space="preserve">
ENORERO:
resl. NO. 2325/2012 llega cesión desde la V región.- Se aumenta cuota con traspaso segu n reg 2785/2012 en 4,1 tons provenientes de la V reg. Portales.
llega traspaso de 0,571 tons. rel 3405-2012 dese la VIII reg.</t>
        </r>
      </text>
    </comment>
    <comment ref="C77" authorId="0">
      <text>
        <r>
          <rPr>
            <b/>
            <sz val="8"/>
            <color indexed="81"/>
            <rFont val="Tahoma"/>
            <family val="2"/>
          </rPr>
          <t>ENORERO:</t>
        </r>
        <r>
          <rPr>
            <sz val="8"/>
            <color indexed="81"/>
            <rFont val="Tahoma"/>
            <family val="2"/>
          </rPr>
          <t xml:space="preserve">
ENORERO:
resl. NO. 2325/2012 llega cesión desde la V región.- además se suma el traspaso de la resl. 2785/2012 desde la V reg- protales, 2.05 tons.
llega traspaso de 2,332 tons. rel 3405-2012 dese la VIII reg.
</t>
        </r>
      </text>
    </comment>
    <comment ref="C78" authorId="0">
      <text>
        <r>
          <rPr>
            <b/>
            <sz val="8"/>
            <color indexed="81"/>
            <rFont val="Tahoma"/>
            <family val="2"/>
          </rPr>
          <t>ENORERO:</t>
        </r>
        <r>
          <rPr>
            <sz val="8"/>
            <color indexed="81"/>
            <rFont val="Tahoma"/>
            <family val="2"/>
          </rPr>
          <t xml:space="preserve">
ENORERO:
resl. NO. 2325/2012 llega cesión desde la V región.-
3405-2012 recibe traspaso 15.759
</t>
        </r>
      </text>
    </comment>
    <comment ref="C79" authorId="0">
      <text>
        <r>
          <rPr>
            <b/>
            <sz val="8"/>
            <color indexed="81"/>
            <rFont val="Tahoma"/>
            <family val="2"/>
          </rPr>
          <t>ENORERO:</t>
        </r>
        <r>
          <rPr>
            <sz val="8"/>
            <color indexed="81"/>
            <rFont val="Tahoma"/>
            <family val="2"/>
          </rPr>
          <t xml:space="preserve">
ENORERO:
resl. NO. 2325/2012 llega cesión desde la V región.-
recibe 14.326 tons resl 3405/2012 desde la VIII reg.</t>
        </r>
      </text>
    </comment>
    <comment ref="C80" authorId="0">
      <text>
        <r>
          <rPr>
            <b/>
            <sz val="8"/>
            <color indexed="81"/>
            <rFont val="Tahoma"/>
            <family val="2"/>
          </rPr>
          <t>ENORERO:</t>
        </r>
        <r>
          <rPr>
            <sz val="8"/>
            <color indexed="81"/>
            <rFont val="Tahoma"/>
            <family val="2"/>
          </rPr>
          <t xml:space="preserve">
ENORERO:
resl. NO. 2325/2012 llega cesión desde la V RECIBE TRASPASO DESDE LA viii REG 3405 /201214, 4.298</t>
        </r>
      </text>
    </comment>
    <comment ref="C81" authorId="0">
      <text>
        <r>
          <rPr>
            <b/>
            <sz val="8"/>
            <color indexed="81"/>
            <rFont val="Tahoma"/>
            <family val="2"/>
          </rPr>
          <t>ENORERO:</t>
        </r>
        <r>
          <rPr>
            <sz val="8"/>
            <color indexed="81"/>
            <rFont val="Tahoma"/>
            <family val="2"/>
          </rPr>
          <t xml:space="preserve">
ENORERO:
resl. NO. 2325/2012 llega cesión desde la V región.-
RECIBE TRASPASO DESDE LA viii REG. 2.149 TONS.   RESL. </t>
        </r>
      </text>
    </comment>
    <comment ref="C82" authorId="0">
      <text>
        <r>
          <rPr>
            <b/>
            <sz val="8"/>
            <color indexed="81"/>
            <rFont val="Tahoma"/>
            <family val="2"/>
          </rPr>
          <t>ENORERO:</t>
        </r>
        <r>
          <rPr>
            <sz val="8"/>
            <color indexed="81"/>
            <rFont val="Tahoma"/>
            <family val="2"/>
          </rPr>
          <t xml:space="preserve">
adelantó cuota para el 1er período según resl. N° 1706/2012
llaga cesión desde la V región , resl. NO. 2325/2012
RECIBE TRASPASO DESDE LA VIII REG . 4.,656 TONS. RESL 3405/2012
</t>
        </r>
      </text>
    </comment>
    <comment ref="C83" authorId="0">
      <text>
        <r>
          <rPr>
            <b/>
            <sz val="8"/>
            <color indexed="81"/>
            <rFont val="Tahoma"/>
            <family val="2"/>
          </rPr>
          <t>ENORERO:</t>
        </r>
        <r>
          <rPr>
            <sz val="8"/>
            <color indexed="81"/>
            <rFont val="Tahoma"/>
            <family val="2"/>
          </rPr>
          <t xml:space="preserve">
ENORERO:
resl. NO. 2325/2012 llega cesión desde la V región.-
llega traspaso de 300 tons. rel 3405-2012 dese la VIII reg.
RECIBE TRASPASO DESDE LA VIII REG. 3,94 TONS.  RESL 3405/2012</t>
        </r>
      </text>
    </comment>
    <comment ref="C84" authorId="0">
      <text>
        <r>
          <rPr>
            <b/>
            <sz val="8"/>
            <color indexed="81"/>
            <rFont val="Tahoma"/>
            <family val="2"/>
          </rPr>
          <t>ENORERO:</t>
        </r>
        <r>
          <rPr>
            <sz val="8"/>
            <color indexed="81"/>
            <rFont val="Tahoma"/>
            <family val="2"/>
          </rPr>
          <t xml:space="preserve">
ENORERO:
resl. NO. 2325/2012 llega cesión desde la V región.- + 114,7 tons. desde la V región resl 2600/2012
RECIBE TRAPASO DESDE LA VIII RES. 2,865 TONS. RESL. 3405/2012</t>
        </r>
      </text>
    </comment>
    <comment ref="C90" authorId="0">
      <text>
        <r>
          <rPr>
            <b/>
            <sz val="10"/>
            <color indexed="81"/>
            <rFont val="Tahoma"/>
            <family val="2"/>
          </rPr>
          <t>ENORERO:</t>
        </r>
        <r>
          <rPr>
            <sz val="10"/>
            <color indexed="81"/>
            <rFont val="Tahoma"/>
            <family val="2"/>
          </rPr>
          <t xml:space="preserve">
ajuste según resl. 799/2012
modificación según resl. 23/2012  queda en 1053 tons. </t>
        </r>
      </text>
    </comment>
    <comment ref="C91" authorId="0">
      <text>
        <r>
          <rPr>
            <b/>
            <sz val="8"/>
            <color indexed="81"/>
            <rFont val="Tahoma"/>
            <family val="2"/>
          </rPr>
          <t>ENORERO:</t>
        </r>
        <r>
          <rPr>
            <sz val="8"/>
            <color indexed="81"/>
            <rFont val="Tahoma"/>
            <family val="2"/>
          </rPr>
          <t xml:space="preserve">
ajuste según resl. 799/2012</t>
        </r>
      </text>
    </comment>
    <comment ref="C92" authorId="0">
      <text>
        <r>
          <rPr>
            <b/>
            <sz val="8"/>
            <color indexed="81"/>
            <rFont val="Tahoma"/>
            <family val="2"/>
          </rPr>
          <t>ENORERO:</t>
        </r>
        <r>
          <rPr>
            <sz val="8"/>
            <color indexed="81"/>
            <rFont val="Tahoma"/>
            <family val="2"/>
          </rPr>
          <t xml:space="preserve">
ajuste según resl. 799/2012</t>
        </r>
      </text>
    </comment>
    <comment ref="C93" authorId="0">
      <text>
        <r>
          <rPr>
            <b/>
            <sz val="8"/>
            <color indexed="81"/>
            <rFont val="Tahoma"/>
            <family val="2"/>
          </rPr>
          <t>ENORERO:</t>
        </r>
        <r>
          <rPr>
            <sz val="8"/>
            <color indexed="81"/>
            <rFont val="Tahoma"/>
            <family val="2"/>
          </rPr>
          <t xml:space="preserve">
ajuste según resl. 799/2012</t>
        </r>
      </text>
    </comment>
    <comment ref="C94" authorId="0">
      <text>
        <r>
          <rPr>
            <b/>
            <sz val="8"/>
            <color indexed="81"/>
            <rFont val="Tahoma"/>
            <family val="2"/>
          </rPr>
          <t>ENORERO:</t>
        </r>
        <r>
          <rPr>
            <sz val="8"/>
            <color indexed="81"/>
            <rFont val="Tahoma"/>
            <family val="2"/>
          </rPr>
          <t xml:space="preserve">
ajuste según resl. 799/2012</t>
        </r>
      </text>
    </comment>
    <comment ref="C95" authorId="0">
      <text>
        <r>
          <rPr>
            <b/>
            <sz val="8"/>
            <color indexed="81"/>
            <rFont val="Tahoma"/>
            <family val="2"/>
          </rPr>
          <t>ENORERO:</t>
        </r>
        <r>
          <rPr>
            <sz val="8"/>
            <color indexed="81"/>
            <rFont val="Tahoma"/>
            <family val="2"/>
          </rPr>
          <t xml:space="preserve">
ajuste según resl. 799/2012</t>
        </r>
      </text>
    </comment>
    <comment ref="C96" authorId="0">
      <text>
        <r>
          <rPr>
            <b/>
            <sz val="8"/>
            <color indexed="81"/>
            <rFont val="Tahoma"/>
            <family val="2"/>
          </rPr>
          <t>ENORERO:</t>
        </r>
        <r>
          <rPr>
            <sz val="8"/>
            <color indexed="81"/>
            <rFont val="Tahoma"/>
            <family val="2"/>
          </rPr>
          <t xml:space="preserve">
ajuste según resl. 799/2012</t>
        </r>
      </text>
    </comment>
    <comment ref="C97" authorId="0">
      <text>
        <r>
          <rPr>
            <b/>
            <sz val="8"/>
            <color indexed="81"/>
            <rFont val="Tahoma"/>
            <family val="2"/>
          </rPr>
          <t>ENORERO:</t>
        </r>
        <r>
          <rPr>
            <sz val="8"/>
            <color indexed="81"/>
            <rFont val="Tahoma"/>
            <family val="2"/>
          </rPr>
          <t xml:space="preserve">
ajuste según resl. 799/2012</t>
        </r>
      </text>
    </comment>
    <comment ref="C98" authorId="0">
      <text>
        <r>
          <rPr>
            <b/>
            <sz val="8"/>
            <color indexed="81"/>
            <rFont val="Tahoma"/>
            <family val="2"/>
          </rPr>
          <t>ENORERO:</t>
        </r>
        <r>
          <rPr>
            <sz val="8"/>
            <color indexed="81"/>
            <rFont val="Tahoma"/>
            <family val="2"/>
          </rPr>
          <t xml:space="preserve">
ajuste según resl. 799/2012</t>
        </r>
      </text>
    </comment>
    <comment ref="C99" authorId="0">
      <text>
        <r>
          <rPr>
            <b/>
            <sz val="8"/>
            <color indexed="81"/>
            <rFont val="Tahoma"/>
            <family val="2"/>
          </rPr>
          <t>ENORERO:</t>
        </r>
        <r>
          <rPr>
            <sz val="8"/>
            <color indexed="81"/>
            <rFont val="Tahoma"/>
            <family val="2"/>
          </rPr>
          <t xml:space="preserve">
ajuste según resl. 799/2012</t>
        </r>
      </text>
    </comment>
    <comment ref="C100" authorId="0">
      <text>
        <r>
          <rPr>
            <b/>
            <sz val="8"/>
            <color indexed="81"/>
            <rFont val="Tahoma"/>
            <family val="2"/>
          </rPr>
          <t>ENORERO:</t>
        </r>
        <r>
          <rPr>
            <sz val="8"/>
            <color indexed="81"/>
            <rFont val="Tahoma"/>
            <family val="2"/>
          </rPr>
          <t xml:space="preserve">
ajuste según resl. 799/2012</t>
        </r>
      </text>
    </comment>
    <comment ref="C101" authorId="0">
      <text>
        <r>
          <rPr>
            <b/>
            <sz val="8"/>
            <color indexed="81"/>
            <rFont val="Tahoma"/>
            <family val="2"/>
          </rPr>
          <t>ENORERO:</t>
        </r>
        <r>
          <rPr>
            <sz val="8"/>
            <color indexed="81"/>
            <rFont val="Tahoma"/>
            <family val="2"/>
          </rPr>
          <t xml:space="preserve">
ajuste según resl. 799/2012</t>
        </r>
      </text>
    </comment>
    <comment ref="C102" authorId="0">
      <text>
        <r>
          <rPr>
            <b/>
            <sz val="8"/>
            <color indexed="81"/>
            <rFont val="Tahoma"/>
            <family val="2"/>
          </rPr>
          <t>ENORERO:</t>
        </r>
        <r>
          <rPr>
            <sz val="8"/>
            <color indexed="81"/>
            <rFont val="Tahoma"/>
            <family val="2"/>
          </rPr>
          <t xml:space="preserve">
ajuste según resl. 799/2012</t>
        </r>
      </text>
    </comment>
    <comment ref="C103" authorId="0">
      <text>
        <r>
          <rPr>
            <b/>
            <sz val="8"/>
            <color indexed="81"/>
            <rFont val="Tahoma"/>
            <family val="2"/>
          </rPr>
          <t>ENORERO:</t>
        </r>
        <r>
          <rPr>
            <sz val="8"/>
            <color indexed="81"/>
            <rFont val="Tahoma"/>
            <family val="2"/>
          </rPr>
          <t xml:space="preserve">
ajuste según resl. 799/2012</t>
        </r>
      </text>
    </comment>
    <comment ref="C105" authorId="0">
      <text>
        <r>
          <rPr>
            <b/>
            <sz val="8"/>
            <color indexed="81"/>
            <rFont val="Tahoma"/>
            <family val="2"/>
          </rPr>
          <t>ENORERO:</t>
        </r>
        <r>
          <rPr>
            <sz val="8"/>
            <color indexed="81"/>
            <rFont val="Tahoma"/>
            <family val="2"/>
          </rPr>
          <t xml:space="preserve">
ajuste según resl. 799/2012 y resl. N° 1706/2012 adelanta cuota del 2do. Período
y rels. 1705/2012  modifica redistribución de cuota Norte.
</t>
        </r>
      </text>
    </comment>
    <comment ref="C112" authorId="0">
      <text>
        <r>
          <rPr>
            <b/>
            <sz val="12"/>
            <color indexed="81"/>
            <rFont val="Tahoma"/>
            <family val="2"/>
          </rPr>
          <t>ENORERO:</t>
        </r>
        <r>
          <rPr>
            <sz val="12"/>
            <color indexed="81"/>
            <rFont val="Tahoma"/>
            <family val="2"/>
          </rPr>
          <t xml:space="preserve">
Resl. Ex. N° 9/2012 traspasa 50 tons. a nómina de embarcaciones inscritas en la pesqueria
Res 23 22-11-2012 quedan con 340 tons
rel 3405/2012 recibe 50 ton. Desde area centro
</t>
        </r>
        <r>
          <rPr>
            <sz val="8"/>
            <color indexed="81"/>
            <rFont val="Tahoma"/>
            <family val="2"/>
          </rPr>
          <t xml:space="preserve">
</t>
        </r>
      </text>
    </comment>
    <comment ref="C114" authorId="0">
      <text>
        <r>
          <rPr>
            <b/>
            <sz val="8"/>
            <color indexed="81"/>
            <rFont val="Tahoma"/>
            <family val="2"/>
          </rPr>
          <t>ENORERO:</t>
        </r>
        <r>
          <rPr>
            <sz val="8"/>
            <color indexed="81"/>
            <rFont val="Tahoma"/>
            <family val="2"/>
          </rPr>
          <t xml:space="preserve">
llega traspaso de 2 tons. rel 3405-2012 dese la  area centro  VIII reg.</t>
        </r>
      </text>
    </comment>
    <comment ref="C119" authorId="0">
      <text>
        <r>
          <rPr>
            <b/>
            <sz val="8"/>
            <color indexed="81"/>
            <rFont val="Tahoma"/>
            <family val="2"/>
          </rPr>
          <t>ENORERO:</t>
        </r>
        <r>
          <rPr>
            <sz val="8"/>
            <color indexed="81"/>
            <rFont val="Tahoma"/>
            <family val="2"/>
          </rPr>
          <t xml:space="preserve">
resl 3405/2012 recibe traspaso desede la cento VIII reg.  24 tons.</t>
        </r>
      </text>
    </comment>
    <comment ref="C120" authorId="0">
      <text>
        <r>
          <rPr>
            <b/>
            <sz val="8"/>
            <color indexed="81"/>
            <rFont val="Tahoma"/>
            <family val="2"/>
          </rPr>
          <t>ENORERO:</t>
        </r>
        <r>
          <rPr>
            <sz val="8"/>
            <color indexed="81"/>
            <rFont val="Tahoma"/>
            <family val="2"/>
          </rPr>
          <t xml:space="preserve">
resl 3405/2012 recibe 10 tons. desde  área centro de la VIII reg. </t>
        </r>
      </text>
    </comment>
    <comment ref="C121" authorId="0">
      <text>
        <r>
          <rPr>
            <b/>
            <sz val="8"/>
            <color indexed="81"/>
            <rFont val="Tahoma"/>
            <family val="2"/>
          </rPr>
          <t>ENORERO:</t>
        </r>
        <r>
          <rPr>
            <sz val="8"/>
            <color indexed="81"/>
            <rFont val="Tahoma"/>
            <family val="2"/>
          </rPr>
          <t xml:space="preserve">
recibe traspaso desde la VIII , de 10 tons. resl 3405/2012 desde area centro viii reg </t>
        </r>
      </text>
    </comment>
    <comment ref="C122" authorId="0">
      <text>
        <r>
          <rPr>
            <b/>
            <sz val="8"/>
            <color indexed="81"/>
            <rFont val="Tahoma"/>
            <family val="2"/>
          </rPr>
          <t>ENORERO:</t>
        </r>
        <r>
          <rPr>
            <sz val="8"/>
            <color indexed="81"/>
            <rFont val="Tahoma"/>
            <family val="2"/>
          </rPr>
          <t xml:space="preserve">
recibe trasapso de 10 tons. desde el area centro de la VIII reg. resl. 3405/2012
</t>
        </r>
      </text>
    </comment>
    <comment ref="C126" authorId="0">
      <text>
        <r>
          <rPr>
            <b/>
            <sz val="8"/>
            <color indexed="81"/>
            <rFont val="Tahoma"/>
            <family val="2"/>
          </rPr>
          <t>ENORERO:</t>
        </r>
        <r>
          <rPr>
            <sz val="8"/>
            <color indexed="81"/>
            <rFont val="Tahoma"/>
            <family val="2"/>
          </rPr>
          <t xml:space="preserve">
ENORERO:
ajuste según resl. 799/2012 y resl. N° 1706/2012 adelanta cuota del 2do. Período
recibe traspaso según resl 3405/2012 desde el areas centro de la VIII reg . 50 tons. </t>
        </r>
      </text>
    </comment>
    <comment ref="D127" authorId="0">
      <text>
        <r>
          <rPr>
            <b/>
            <sz val="8"/>
            <color indexed="81"/>
            <rFont val="Tahoma"/>
            <family val="2"/>
          </rPr>
          <t>ENORERO:</t>
        </r>
        <r>
          <rPr>
            <sz val="8"/>
            <color indexed="81"/>
            <rFont val="Tahoma"/>
            <family val="2"/>
          </rPr>
          <t xml:space="preserve">
resl. 3405/2012 traspasa 656 to.s a sindicatos de la VIII , VII , V y VI regiones
</t>
        </r>
      </text>
    </comment>
  </commentList>
</comments>
</file>

<file path=xl/comments9.xml><?xml version="1.0" encoding="utf-8"?>
<comments xmlns="http://schemas.openxmlformats.org/spreadsheetml/2006/main">
  <authors>
    <author>ENORERO</author>
  </authors>
  <commentList>
    <comment ref="AA97" authorId="0">
      <text>
        <r>
          <rPr>
            <b/>
            <sz val="8"/>
            <color indexed="81"/>
            <rFont val="Tahoma"/>
            <family val="2"/>
          </rPr>
          <t>ENORERO:</t>
        </r>
        <r>
          <rPr>
            <sz val="8"/>
            <color indexed="81"/>
            <rFont val="Tahoma"/>
            <family val="2"/>
          </rPr>
          <t xml:space="preserve">
75 tons. que fueron traspasados a la vii reg. </t>
        </r>
      </text>
    </comment>
    <comment ref="C223" authorId="0">
      <text>
        <r>
          <rPr>
            <b/>
            <sz val="8"/>
            <color indexed="81"/>
            <rFont val="Tahoma"/>
            <family val="2"/>
          </rPr>
          <t>ENORERO:</t>
        </r>
        <r>
          <rPr>
            <sz val="8"/>
            <color indexed="81"/>
            <rFont val="Tahoma"/>
            <family val="2"/>
          </rPr>
          <t xml:space="preserve">
resl. N° 339-2012</t>
        </r>
      </text>
    </comment>
    <comment ref="C239" authorId="0">
      <text>
        <r>
          <rPr>
            <b/>
            <sz val="8"/>
            <color indexed="81"/>
            <rFont val="Tahoma"/>
            <family val="2"/>
          </rPr>
          <t>ENORERO:</t>
        </r>
        <r>
          <rPr>
            <sz val="8"/>
            <color indexed="81"/>
            <rFont val="Tahoma"/>
            <family val="2"/>
          </rPr>
          <t xml:space="preserve">
resl. N° 339-2012</t>
        </r>
      </text>
    </comment>
    <comment ref="C256" authorId="0">
      <text>
        <r>
          <rPr>
            <b/>
            <sz val="8"/>
            <color indexed="81"/>
            <rFont val="Tahoma"/>
            <family val="2"/>
          </rPr>
          <t>ENORERO:</t>
        </r>
        <r>
          <rPr>
            <sz val="8"/>
            <color indexed="81"/>
            <rFont val="Tahoma"/>
            <family val="2"/>
          </rPr>
          <t xml:space="preserve">
resl. N° 339-2012</t>
        </r>
      </text>
    </comment>
    <comment ref="C273" authorId="0">
      <text>
        <r>
          <rPr>
            <b/>
            <sz val="8"/>
            <color indexed="81"/>
            <rFont val="Tahoma"/>
            <family val="2"/>
          </rPr>
          <t>ENORERO:</t>
        </r>
        <r>
          <rPr>
            <sz val="8"/>
            <color indexed="81"/>
            <rFont val="Tahoma"/>
            <family val="2"/>
          </rPr>
          <t xml:space="preserve">
resl. N° 339-2012</t>
        </r>
      </text>
    </comment>
    <comment ref="C304" authorId="0">
      <text>
        <r>
          <rPr>
            <b/>
            <sz val="8"/>
            <color indexed="81"/>
            <rFont val="Tahoma"/>
            <family val="2"/>
          </rPr>
          <t>ENORERO:</t>
        </r>
        <r>
          <rPr>
            <sz val="8"/>
            <color indexed="81"/>
            <rFont val="Tahoma"/>
            <family val="2"/>
          </rPr>
          <t xml:space="preserve">
res. N°431 del 2012</t>
        </r>
      </text>
    </comment>
    <comment ref="C320" authorId="0">
      <text>
        <r>
          <rPr>
            <b/>
            <sz val="8"/>
            <color indexed="81"/>
            <rFont val="Tahoma"/>
            <family val="2"/>
          </rPr>
          <t>ENORERO:</t>
        </r>
        <r>
          <rPr>
            <sz val="8"/>
            <color indexed="81"/>
            <rFont val="Tahoma"/>
            <family val="2"/>
          </rPr>
          <t xml:space="preserve">
res. N°431 del 2012</t>
        </r>
      </text>
    </comment>
    <comment ref="C336" authorId="0">
      <text>
        <r>
          <rPr>
            <b/>
            <sz val="8"/>
            <color indexed="81"/>
            <rFont val="Tahoma"/>
            <family val="2"/>
          </rPr>
          <t>ENORERO:</t>
        </r>
        <r>
          <rPr>
            <sz val="8"/>
            <color indexed="81"/>
            <rFont val="Tahoma"/>
            <family val="2"/>
          </rPr>
          <t xml:space="preserve">
res. N°431 del 2012</t>
        </r>
      </text>
    </comment>
    <comment ref="C352" authorId="0">
      <text>
        <r>
          <rPr>
            <b/>
            <sz val="8"/>
            <color indexed="81"/>
            <rFont val="Tahoma"/>
            <family val="2"/>
          </rPr>
          <t>ENORERO:</t>
        </r>
        <r>
          <rPr>
            <sz val="8"/>
            <color indexed="81"/>
            <rFont val="Tahoma"/>
            <family val="2"/>
          </rPr>
          <t xml:space="preserve">
res. N°431 del 2012</t>
        </r>
      </text>
    </comment>
    <comment ref="C368" authorId="0">
      <text>
        <r>
          <rPr>
            <b/>
            <sz val="8"/>
            <color indexed="81"/>
            <rFont val="Tahoma"/>
            <family val="2"/>
          </rPr>
          <t>ENORERO:</t>
        </r>
        <r>
          <rPr>
            <sz val="8"/>
            <color indexed="81"/>
            <rFont val="Tahoma"/>
            <family val="2"/>
          </rPr>
          <t xml:space="preserve">
res. N°431 del 2012</t>
        </r>
      </text>
    </comment>
    <comment ref="C384" authorId="0">
      <text>
        <r>
          <rPr>
            <b/>
            <sz val="8"/>
            <color indexed="81"/>
            <rFont val="Tahoma"/>
            <family val="2"/>
          </rPr>
          <t>ENORERO:</t>
        </r>
        <r>
          <rPr>
            <sz val="8"/>
            <color indexed="81"/>
            <rFont val="Tahoma"/>
            <family val="2"/>
          </rPr>
          <t xml:space="preserve">
res. N°431 del 2012</t>
        </r>
      </text>
    </comment>
    <comment ref="C416" authorId="0">
      <text>
        <r>
          <rPr>
            <b/>
            <sz val="8"/>
            <color indexed="81"/>
            <rFont val="Tahoma"/>
            <family val="2"/>
          </rPr>
          <t>ENORERO:</t>
        </r>
        <r>
          <rPr>
            <sz val="8"/>
            <color indexed="81"/>
            <rFont val="Tahoma"/>
            <family val="2"/>
          </rPr>
          <t xml:space="preserve">
res. N°431 del 2012</t>
        </r>
      </text>
    </comment>
    <comment ref="B507" authorId="0">
      <text>
        <r>
          <rPr>
            <b/>
            <sz val="8"/>
            <color indexed="81"/>
            <rFont val="Tahoma"/>
            <family val="2"/>
          </rPr>
          <t>ENORERO:</t>
        </r>
        <r>
          <rPr>
            <sz val="8"/>
            <color indexed="81"/>
            <rFont val="Tahoma"/>
            <family val="2"/>
          </rPr>
          <t xml:space="preserve">
solo XIV reg.</t>
        </r>
      </text>
    </comment>
  </commentList>
</comments>
</file>

<file path=xl/comments10.xml><?xml version="1.0" encoding="utf-8"?>
<comments xmlns="http://schemas.openxmlformats.org/spreadsheetml/2006/main">
  <authors>
    <author>ENORERO</author>
  </authors>
  <commentList>
    <comment ref="C7" authorId="0">
      <text>
        <r>
          <rPr>
            <b/>
            <sz val="8"/>
            <color indexed="81"/>
            <rFont val="Tahoma"/>
            <family val="2"/>
          </rPr>
          <t>ENORERO:</t>
        </r>
        <r>
          <rPr>
            <sz val="8"/>
            <color indexed="81"/>
            <rFont val="Tahoma"/>
            <family val="2"/>
          </rPr>
          <t xml:space="preserve">
TRASPASO DESDE INDUSTRAIL REL. N° 693 DEL 23-03-2012 356 TONS.</t>
        </r>
      </text>
    </comment>
    <comment ref="D7" authorId="0">
      <text>
        <r>
          <rPr>
            <b/>
            <sz val="8"/>
            <color indexed="81"/>
            <rFont val="Tahoma"/>
            <family val="2"/>
          </rPr>
          <t>ENORERO:</t>
        </r>
        <r>
          <rPr>
            <sz val="8"/>
            <color indexed="81"/>
            <rFont val="Tahoma"/>
            <family val="2"/>
          </rPr>
          <t xml:space="preserve">
resl. 1395/2012 traspaso a grupo de embarcaciones sde 100 tons.
</t>
        </r>
      </text>
    </comment>
    <comment ref="C8" authorId="0">
      <text>
        <r>
          <rPr>
            <b/>
            <sz val="8"/>
            <color indexed="81"/>
            <rFont val="Tahoma"/>
            <family val="2"/>
          </rPr>
          <t>ENORERO:</t>
        </r>
        <r>
          <rPr>
            <sz val="8"/>
            <color indexed="81"/>
            <rFont val="Tahoma"/>
            <family val="2"/>
          </rPr>
          <t xml:space="preserve">
TRASPASO DESDE INDUSTRAIL REL. N° 693 DEL 23-03-2012 44 TONS.</t>
        </r>
      </text>
    </comment>
    <comment ref="C9" authorId="0">
      <text>
        <r>
          <rPr>
            <b/>
            <sz val="8"/>
            <color indexed="81"/>
            <rFont val="Tahoma"/>
            <family val="2"/>
          </rPr>
          <t>ENORERO:</t>
        </r>
        <r>
          <rPr>
            <sz val="8"/>
            <color indexed="81"/>
            <rFont val="Tahoma"/>
            <family val="2"/>
          </rPr>
          <t xml:space="preserve">
TRASPASO DESDE INDUSTRAIL REL. N° 693 DEL 23-03-2012 , 100 TONS.</t>
        </r>
      </text>
    </comment>
    <comment ref="D21" authorId="0">
      <text>
        <r>
          <rPr>
            <b/>
            <sz val="8"/>
            <color indexed="81"/>
            <rFont val="Tahoma"/>
            <family val="2"/>
          </rPr>
          <t>ENORERO:</t>
        </r>
        <r>
          <rPr>
            <sz val="8"/>
            <color indexed="81"/>
            <rFont val="Tahoma"/>
            <family val="2"/>
          </rPr>
          <t xml:space="preserve">
RESL. EX. N° 2374/2012 TRAPASO AINDUSTRIAL  del 30-08-2012.</t>
        </r>
      </text>
    </comment>
    <comment ref="I22" authorId="0">
      <text>
        <r>
          <rPr>
            <b/>
            <sz val="8"/>
            <color indexed="81"/>
            <rFont val="Tahoma"/>
            <family val="2"/>
          </rPr>
          <t>ENORERO:</t>
        </r>
        <r>
          <rPr>
            <sz val="8"/>
            <color indexed="81"/>
            <rFont val="Tahoma"/>
            <family val="2"/>
          </rPr>
          <t xml:space="preserve">
Cierre 02-05-2012 y apertura 09-07-2012</t>
        </r>
      </text>
    </comment>
    <comment ref="D34" authorId="0">
      <text>
        <r>
          <rPr>
            <b/>
            <sz val="8"/>
            <color indexed="81"/>
            <rFont val="Tahoma"/>
            <family val="2"/>
          </rPr>
          <t>ENORERO:</t>
        </r>
        <r>
          <rPr>
            <sz val="8"/>
            <color indexed="81"/>
            <rFont val="Tahoma"/>
            <family val="2"/>
          </rPr>
          <t xml:space="preserve">
RESL. 1799/2012 TRASPASO A ORGANIZACIÓN 3RA . REGIÓN. 118,049 TONS
</t>
        </r>
      </text>
    </comment>
    <comment ref="D38" authorId="0">
      <text>
        <r>
          <rPr>
            <b/>
            <sz val="8"/>
            <color indexed="81"/>
            <rFont val="Tahoma"/>
            <family val="2"/>
          </rPr>
          <t>ENORERO:</t>
        </r>
        <r>
          <rPr>
            <sz val="8"/>
            <color indexed="81"/>
            <rFont val="Tahoma"/>
            <family val="2"/>
          </rPr>
          <t xml:space="preserve">
1226/2012  traspaso a III reg </t>
        </r>
      </text>
    </comment>
    <comment ref="D54" authorId="0">
      <text>
        <r>
          <rPr>
            <b/>
            <sz val="8"/>
            <color indexed="81"/>
            <rFont val="Tahoma"/>
            <family val="2"/>
          </rPr>
          <t>ENORERO:</t>
        </r>
        <r>
          <rPr>
            <sz val="8"/>
            <color indexed="81"/>
            <rFont val="Tahoma"/>
            <family val="2"/>
          </rPr>
          <t xml:space="preserve">
TRASOPASO A ORGANIZACIÓN III REGIÓN RESL 1799/2012 1,381 TONS.
</t>
        </r>
      </text>
    </comment>
    <comment ref="D58" authorId="0">
      <text>
        <r>
          <rPr>
            <b/>
            <sz val="8"/>
            <color indexed="81"/>
            <rFont val="Tahoma"/>
            <family val="2"/>
          </rPr>
          <t>ENORERO:</t>
        </r>
        <r>
          <rPr>
            <sz val="8"/>
            <color indexed="81"/>
            <rFont val="Tahoma"/>
            <family val="2"/>
          </rPr>
          <t xml:space="preserve">
1226/2012  traspaso a III reg </t>
        </r>
      </text>
    </comment>
    <comment ref="D77" authorId="0">
      <text>
        <r>
          <rPr>
            <b/>
            <sz val="8"/>
            <color indexed="81"/>
            <rFont val="Tahoma"/>
            <family val="2"/>
          </rPr>
          <t>ENORERO:</t>
        </r>
        <r>
          <rPr>
            <sz val="8"/>
            <color indexed="81"/>
            <rFont val="Tahoma"/>
            <family val="2"/>
          </rPr>
          <t xml:space="preserve">
traspaso de  827 tons. De jural a industrial resl. N° 1498/2012</t>
        </r>
      </text>
    </comment>
  </commentList>
</comments>
</file>

<file path=xl/comments11.xml><?xml version="1.0" encoding="utf-8"?>
<comments xmlns="http://schemas.openxmlformats.org/spreadsheetml/2006/main">
  <authors>
    <author>ENORERO</author>
  </authors>
  <commentList>
    <comment ref="B19" authorId="0">
      <text>
        <r>
          <rPr>
            <b/>
            <sz val="8"/>
            <color indexed="81"/>
            <rFont val="Tahoma"/>
            <family val="2"/>
          </rPr>
          <t>ENORERO:</t>
        </r>
        <r>
          <rPr>
            <sz val="8"/>
            <color indexed="81"/>
            <rFont val="Tahoma"/>
            <family val="2"/>
          </rPr>
          <t xml:space="preserve">
solo de  Arica  AL 05-10-2012
</t>
        </r>
      </text>
    </comment>
    <comment ref="O98" authorId="0">
      <text>
        <r>
          <rPr>
            <b/>
            <sz val="8"/>
            <color indexed="81"/>
            <rFont val="Tahoma"/>
            <family val="2"/>
          </rPr>
          <t>ENORERO:</t>
        </r>
        <r>
          <rPr>
            <sz val="8"/>
            <color indexed="81"/>
            <rFont val="Tahoma"/>
            <family val="2"/>
          </rPr>
          <t xml:space="preserve">
</t>
        </r>
      </text>
    </comment>
  </commentList>
</comments>
</file>

<file path=xl/comments12.xml><?xml version="1.0" encoding="utf-8"?>
<comments xmlns="http://schemas.openxmlformats.org/spreadsheetml/2006/main">
  <authors>
    <author>ENORERO</author>
  </authors>
  <commentList>
    <comment ref="B19" authorId="0">
      <text>
        <r>
          <rPr>
            <b/>
            <sz val="8"/>
            <color indexed="81"/>
            <rFont val="Tahoma"/>
            <family val="2"/>
          </rPr>
          <t>ENORERO:</t>
        </r>
        <r>
          <rPr>
            <sz val="8"/>
            <color indexed="81"/>
            <rFont val="Tahoma"/>
            <family val="2"/>
          </rPr>
          <t xml:space="preserve">
SOLO DE LA XV REGIÓN  AL 05-10-2012
</t>
        </r>
      </text>
    </comment>
    <comment ref="B51" authorId="0">
      <text>
        <r>
          <rPr>
            <b/>
            <sz val="8"/>
            <color indexed="81"/>
            <rFont val="Tahoma"/>
            <family val="2"/>
          </rPr>
          <t>ENORERO:</t>
        </r>
        <r>
          <rPr>
            <sz val="8"/>
            <color indexed="81"/>
            <rFont val="Tahoma"/>
            <family val="2"/>
          </rPr>
          <t xml:space="preserve">
SOLO INFO. IV REG. </t>
        </r>
      </text>
    </comment>
  </commentList>
</comments>
</file>

<file path=xl/comments13.xml><?xml version="1.0" encoding="utf-8"?>
<comments xmlns="http://schemas.openxmlformats.org/spreadsheetml/2006/main">
  <authors>
    <author>ENORERO</author>
  </authors>
  <commentList>
    <comment ref="AG63" authorId="0">
      <text>
        <r>
          <rPr>
            <b/>
            <sz val="8"/>
            <color indexed="81"/>
            <rFont val="Tahoma"/>
            <family val="2"/>
          </rPr>
          <t>ENORERO:</t>
        </r>
        <r>
          <rPr>
            <sz val="8"/>
            <color indexed="81"/>
            <rFont val="Tahoma"/>
            <family val="2"/>
          </rPr>
          <t xml:space="preserve">
NO  VOLVIÓ A LLEGAR MAS PLANILLA CONSOLIDADA SE SUMA LA DIF. CON RELACIÓN A ULTIMO INFORME A. BRUSCO</t>
        </r>
      </text>
    </comment>
  </commentList>
</comments>
</file>

<file path=xl/comments14.xml><?xml version="1.0" encoding="utf-8"?>
<comments xmlns="http://schemas.openxmlformats.org/spreadsheetml/2006/main">
  <authors>
    <author>ENORERO</author>
  </authors>
  <commentList>
    <comment ref="L8" authorId="0">
      <text>
        <r>
          <rPr>
            <b/>
            <sz val="8"/>
            <color indexed="81"/>
            <rFont val="Tahoma"/>
            <family val="2"/>
          </rPr>
          <t>ENORERO:</t>
        </r>
        <r>
          <rPr>
            <sz val="8"/>
            <color indexed="81"/>
            <rFont val="Tahoma"/>
            <family val="2"/>
          </rPr>
          <t xml:space="preserve">
RESL. 1431/2012 TRASPASO A INDUSTRIAL Y MODIFICADA POR LA RESL. NO. 1630/2012 QUE DA % PARA LOS DOS PERÍODOS.
</t>
        </r>
      </text>
    </comment>
    <comment ref="I11" authorId="0">
      <text>
        <r>
          <rPr>
            <b/>
            <sz val="8"/>
            <color indexed="81"/>
            <rFont val="Tahoma"/>
            <family val="2"/>
          </rPr>
          <t>ENORERO:</t>
        </r>
        <r>
          <rPr>
            <sz val="8"/>
            <color indexed="81"/>
            <rFont val="Tahoma"/>
            <family val="2"/>
          </rPr>
          <t xml:space="preserve">
Res. N° 619 del 19-03-2012 traspaso a industrial,   Res. N° 707 del 29-03-2012  110,248 tons.</t>
        </r>
      </text>
    </comment>
    <comment ref="L11" authorId="0">
      <text>
        <r>
          <rPr>
            <b/>
            <sz val="8"/>
            <color indexed="81"/>
            <rFont val="Tahoma"/>
            <family val="2"/>
          </rPr>
          <t>ENORERO:</t>
        </r>
        <r>
          <rPr>
            <sz val="8"/>
            <color indexed="81"/>
            <rFont val="Tahoma"/>
            <family val="2"/>
          </rPr>
          <t xml:space="preserve">
cesión resl. N° 619/2012 a industial , en total 110.248 tons, para dos períodos</t>
        </r>
      </text>
    </comment>
    <comment ref="L12" authorId="0">
      <text>
        <r>
          <rPr>
            <b/>
            <sz val="8"/>
            <color indexed="81"/>
            <rFont val="Tahoma"/>
            <family val="2"/>
          </rPr>
          <t>ENORERO:</t>
        </r>
        <r>
          <rPr>
            <sz val="8"/>
            <color indexed="81"/>
            <rFont val="Tahoma"/>
            <family val="2"/>
          </rPr>
          <t xml:space="preserve">
TRASPASO A INDUSTRIAL N° 1433/2012 Y RESL. NO. 1632/2012 QUE MODIFICA EN UNA REDISTRIBUCIÓN % EN DOS PERÍODOS
</t>
        </r>
      </text>
    </comment>
    <comment ref="L14" authorId="0">
      <text>
        <r>
          <rPr>
            <b/>
            <sz val="8"/>
            <color indexed="81"/>
            <rFont val="Tahoma"/>
            <family val="2"/>
          </rPr>
          <t>ENORERO:</t>
        </r>
        <r>
          <rPr>
            <sz val="8"/>
            <color indexed="81"/>
            <rFont val="Tahoma"/>
            <family val="2"/>
          </rPr>
          <t xml:space="preserve">
TRAPASO A INDUSTRIAL RESL. N° 1431/2012 y RESL. NO. 1631/2012 QUE MODIFICA Y DIVIDE EN % DE CONSUMO PARA DOS PERÍODOS
</t>
        </r>
      </text>
    </comment>
    <comment ref="L31" authorId="0">
      <text>
        <r>
          <rPr>
            <b/>
            <sz val="8"/>
            <color indexed="81"/>
            <rFont val="Tahoma"/>
            <family val="2"/>
          </rPr>
          <t>ENORERO:</t>
        </r>
        <r>
          <rPr>
            <sz val="8"/>
            <color indexed="81"/>
            <rFont val="Tahoma"/>
            <family val="2"/>
          </rPr>
          <t xml:space="preserve">
ENORERO:
RESL. 1431/2012 TRASPASO A INDUSTRIAL Y MODIFICADA POR LA RESL. NO. 1630/2012 QUE DA % PARA LOS DOS PERÍODOS.</t>
        </r>
      </text>
    </comment>
    <comment ref="I34" authorId="0">
      <text>
        <r>
          <rPr>
            <b/>
            <sz val="8"/>
            <color indexed="81"/>
            <rFont val="Tahoma"/>
            <family val="2"/>
          </rPr>
          <t>ENORERO:</t>
        </r>
        <r>
          <rPr>
            <sz val="8"/>
            <color indexed="81"/>
            <rFont val="Tahoma"/>
            <family val="2"/>
          </rPr>
          <t xml:space="preserve">
Res. N° 619 del 19-03-2012 traspaso a industrial, No se sabe a que período se imputay  Res. N° 707 del 29-03-2012</t>
        </r>
      </text>
    </comment>
    <comment ref="L34" authorId="0">
      <text>
        <r>
          <rPr>
            <b/>
            <sz val="8"/>
            <color indexed="81"/>
            <rFont val="Tahoma"/>
            <family val="2"/>
          </rPr>
          <t>ENORERO:</t>
        </r>
        <r>
          <rPr>
            <sz val="8"/>
            <color indexed="81"/>
            <rFont val="Tahoma"/>
            <family val="2"/>
          </rPr>
          <t xml:space="preserve">
cesión resl. N° 619/2012 a industial , en total 110.248 tons, para dos períodos</t>
        </r>
      </text>
    </comment>
    <comment ref="N34" authorId="0">
      <text>
        <r>
          <rPr>
            <b/>
            <sz val="8"/>
            <color indexed="81"/>
            <rFont val="Tahoma"/>
            <family val="2"/>
          </rPr>
          <t>ENORERO:</t>
        </r>
        <r>
          <rPr>
            <sz val="8"/>
            <color indexed="81"/>
            <rFont val="Tahoma"/>
            <family val="2"/>
          </rPr>
          <t xml:space="preserve">
ENORERO:
res. 704 del 29-03-2012 traspaso a industrial -70.559 tons</t>
        </r>
      </text>
    </comment>
    <comment ref="L35" authorId="0">
      <text>
        <r>
          <rPr>
            <b/>
            <sz val="8"/>
            <color indexed="81"/>
            <rFont val="Tahoma"/>
            <family val="2"/>
          </rPr>
          <t>ENORERO:</t>
        </r>
        <r>
          <rPr>
            <sz val="8"/>
            <color indexed="81"/>
            <rFont val="Tahoma"/>
            <family val="2"/>
          </rPr>
          <t xml:space="preserve">
ENORERO:
TRASPASO A INDUSTRIAL N° 1433/2012 Y RESL. NO. 1632/2012 QUE MODIFICA EN UNA REDISTRIBUCIÓN % EN DOS PERÍODOS</t>
        </r>
      </text>
    </comment>
    <comment ref="L37" authorId="0">
      <text>
        <r>
          <rPr>
            <b/>
            <sz val="8"/>
            <color indexed="81"/>
            <rFont val="Tahoma"/>
            <family val="2"/>
          </rPr>
          <t>ENORERO:</t>
        </r>
        <r>
          <rPr>
            <sz val="8"/>
            <color indexed="81"/>
            <rFont val="Tahoma"/>
            <family val="2"/>
          </rPr>
          <t xml:space="preserve">
resl. 1431/2012 que modifica a la N° 1631/2012 QUE DIO EL VALOR DEL TRASPASO</t>
        </r>
      </text>
    </comment>
    <comment ref="N46" authorId="0">
      <text>
        <r>
          <rPr>
            <b/>
            <sz val="8"/>
            <color indexed="81"/>
            <rFont val="Tahoma"/>
            <family val="2"/>
          </rPr>
          <t>ENORERO:</t>
        </r>
        <r>
          <rPr>
            <sz val="8"/>
            <color indexed="81"/>
            <rFont val="Tahoma"/>
            <family val="2"/>
          </rPr>
          <t xml:space="preserve">
SON 110.248 TON DE TRASPASO A INDUSTRIAL , RES 704/2012, SE TOMAN COMO CONSUMO</t>
        </r>
      </text>
    </comment>
  </commentList>
</comments>
</file>

<file path=xl/comments15.xml><?xml version="1.0" encoding="utf-8"?>
<comments xmlns="http://schemas.openxmlformats.org/spreadsheetml/2006/main">
  <authors>
    <author>ENORERO</author>
  </authors>
  <commentList>
    <comment ref="F8" authorId="0">
      <text>
        <r>
          <rPr>
            <b/>
            <sz val="8"/>
            <color indexed="81"/>
            <rFont val="Tahoma"/>
            <family val="2"/>
          </rPr>
          <t>ENORERO:</t>
        </r>
        <r>
          <rPr>
            <sz val="8"/>
            <color indexed="81"/>
            <rFont val="Tahoma"/>
            <family val="2"/>
          </rPr>
          <t xml:space="preserve">
r.ex. 526/2012 y 844/2012  modificaciones</t>
        </r>
      </text>
    </comment>
  </commentList>
</comments>
</file>

<file path=xl/comments16.xml><?xml version="1.0" encoding="utf-8"?>
<comments xmlns="http://schemas.openxmlformats.org/spreadsheetml/2006/main">
  <authors>
    <author>ENORERO</author>
  </authors>
  <commentList>
    <comment ref="AH5" authorId="0">
      <text>
        <r>
          <rPr>
            <b/>
            <sz val="8"/>
            <color indexed="81"/>
            <rFont val="Tahoma"/>
            <family val="2"/>
          </rPr>
          <t>ENORERO:</t>
        </r>
        <r>
          <rPr>
            <sz val="8"/>
            <color indexed="81"/>
            <rFont val="Tahoma"/>
            <family val="2"/>
          </rPr>
          <t xml:space="preserve">
RESL. 1887/2012 TRASPASA 7.316 TONS. A INDUSTRIAL.
Rels. 2302/2012 traspasa tambien 1.667 tons. a los armadores Industriales Norte exterior</t>
        </r>
      </text>
    </comment>
    <comment ref="E7" authorId="0">
      <text>
        <r>
          <rPr>
            <b/>
            <sz val="8"/>
            <color indexed="81"/>
            <rFont val="Tahoma"/>
            <family val="2"/>
          </rPr>
          <t>ENORERO:</t>
        </r>
        <r>
          <rPr>
            <sz val="8"/>
            <color indexed="81"/>
            <rFont val="Tahoma"/>
            <family val="2"/>
          </rPr>
          <t xml:space="preserve">
aumenta la cuota según resl. 2972/2012 desde AG. Sur Pesca
</t>
        </r>
      </text>
    </comment>
    <comment ref="J7" authorId="0">
      <text>
        <r>
          <rPr>
            <b/>
            <sz val="8"/>
            <color indexed="81"/>
            <rFont val="Tahoma"/>
            <family val="2"/>
          </rPr>
          <t>ENORERO:</t>
        </r>
        <r>
          <rPr>
            <sz val="8"/>
            <color indexed="81"/>
            <rFont val="Tahoma"/>
            <family val="2"/>
          </rPr>
          <t xml:space="preserve">
traspasa 16.632 tons al sector industrial 
resl. 2659/2012
 y traspaso a industrial resl. 2923/2012  12.020 kilos
</t>
        </r>
      </text>
    </comment>
    <comment ref="AH8" authorId="0">
      <text>
        <r>
          <rPr>
            <b/>
            <sz val="8"/>
            <color indexed="81"/>
            <rFont val="Tahoma"/>
            <family val="2"/>
          </rPr>
          <t>ENORERO:</t>
        </r>
        <r>
          <rPr>
            <sz val="8"/>
            <color indexed="81"/>
            <rFont val="Tahoma"/>
            <family val="2"/>
          </rPr>
          <t xml:space="preserve">
traspaso de 20.336 tons.
Art-ind. Resl. 1391/2012
</t>
        </r>
      </text>
    </comment>
    <comment ref="AT8" authorId="0">
      <text>
        <r>
          <rPr>
            <b/>
            <sz val="8"/>
            <color indexed="81"/>
            <rFont val="Tahoma"/>
            <family val="2"/>
          </rPr>
          <t>ENORERO:</t>
        </r>
        <r>
          <rPr>
            <sz val="8"/>
            <color indexed="81"/>
            <rFont val="Tahoma"/>
            <family val="2"/>
          </rPr>
          <t xml:space="preserve">
traspaso IND-ART rels. 1394/2012  de 19.075
</t>
        </r>
      </text>
    </comment>
    <comment ref="AH11" authorId="0">
      <text>
        <r>
          <rPr>
            <b/>
            <sz val="8"/>
            <color indexed="81"/>
            <rFont val="Tahoma"/>
            <family val="2"/>
          </rPr>
          <t>ENORERO:</t>
        </r>
        <r>
          <rPr>
            <sz val="8"/>
            <color indexed="81"/>
            <rFont val="Tahoma"/>
            <family val="2"/>
          </rPr>
          <t xml:space="preserve">
rels. 2302/2012 traspasa 22.804 tons. a los armadores industriales , norte exterior</t>
        </r>
      </text>
    </comment>
    <comment ref="AT17" authorId="0">
      <text>
        <r>
          <rPr>
            <b/>
            <sz val="8"/>
            <color indexed="81"/>
            <rFont val="Tahoma"/>
            <family val="2"/>
          </rPr>
          <t>ENORERO:</t>
        </r>
        <r>
          <rPr>
            <sz val="8"/>
            <color indexed="81"/>
            <rFont val="Tahoma"/>
            <family val="2"/>
          </rPr>
          <t xml:space="preserve">
Traspaso a Industrial de 27.203 tons. resl. N° 642 del 23-03-2012, sumado como consumo.Resol 527 indica 27.203 kg a ceder a industriales, pero a partir de abril hay 449 kg que se trasladan a AG Demersal , por cuanto un pescador se cambia a dicha organización y con ello traspasa sus capturas y sus cesiones.</t>
        </r>
      </text>
    </comment>
    <comment ref="AT19" authorId="0">
      <text>
        <r>
          <rPr>
            <b/>
            <sz val="8"/>
            <color indexed="81"/>
            <rFont val="Tahoma"/>
            <family val="2"/>
          </rPr>
          <t>ENORERO:</t>
        </r>
        <r>
          <rPr>
            <sz val="8"/>
            <color indexed="81"/>
            <rFont val="Tahoma"/>
            <family val="2"/>
          </rPr>
          <t xml:space="preserve">
TRASPASA A INDUSTRIAL SEGÚN RESL. 2834 , 27.870 TONS. </t>
        </r>
      </text>
    </comment>
    <comment ref="AH20" authorId="0">
      <text>
        <r>
          <rPr>
            <b/>
            <sz val="8"/>
            <color indexed="81"/>
            <rFont val="Tahoma"/>
            <family val="2"/>
          </rPr>
          <t>ENORERO:</t>
        </r>
        <r>
          <rPr>
            <sz val="8"/>
            <color indexed="81"/>
            <rFont val="Tahoma"/>
            <family val="2"/>
          </rPr>
          <t xml:space="preserve">
resl. Ex. N° 2302/2012 traspasa 18.376 tons. a los armadores induatriales Norte exterior.</t>
        </r>
      </text>
    </comment>
    <comment ref="AT20" authorId="0">
      <text>
        <r>
          <rPr>
            <b/>
            <sz val="8"/>
            <color indexed="81"/>
            <rFont val="Tahoma"/>
            <family val="2"/>
          </rPr>
          <t>ENORERO:</t>
        </r>
        <r>
          <rPr>
            <sz val="8"/>
            <color indexed="81"/>
            <rFont val="Tahoma"/>
            <family val="2"/>
          </rPr>
          <t xml:space="preserve">
traspaso ART-IND de 35.020 tons
resl. 1394/2012</t>
        </r>
      </text>
    </comment>
    <comment ref="G22" authorId="0">
      <text>
        <r>
          <rPr>
            <b/>
            <sz val="8"/>
            <color indexed="81"/>
            <rFont val="Tahoma"/>
            <family val="2"/>
          </rPr>
          <t>ENORERO:</t>
        </r>
        <r>
          <rPr>
            <sz val="8"/>
            <color indexed="81"/>
            <rFont val="Tahoma"/>
            <family val="2"/>
          </rPr>
          <t xml:space="preserve">
se entraga cuota a STI. chacabuco Walter Montiel resl 2975
</t>
        </r>
      </text>
    </comment>
    <comment ref="A23" authorId="0">
      <text>
        <r>
          <rPr>
            <b/>
            <sz val="8"/>
            <color indexed="81"/>
            <rFont val="Tahoma"/>
            <family val="2"/>
          </rPr>
          <t>ENORERO:</t>
        </r>
        <r>
          <rPr>
            <sz val="8"/>
            <color indexed="81"/>
            <rFont val="Tahoma"/>
            <family val="2"/>
          </rPr>
          <t>XI INFORMA RODRIGO AZOCAR</t>
        </r>
      </text>
    </comment>
    <comment ref="J23" authorId="0">
      <text>
        <r>
          <rPr>
            <b/>
            <sz val="8"/>
            <color indexed="81"/>
            <rFont val="Tahoma"/>
            <family val="2"/>
          </rPr>
          <t>ENORERO:</t>
        </r>
        <r>
          <rPr>
            <sz val="8"/>
            <color indexed="81"/>
            <rFont val="Tahoma"/>
            <family val="2"/>
          </rPr>
          <t xml:space="preserve">
1.188 ton de traspaso.
aquí se encuentran los 1.188 kg de diferencia que establece la resol 527 debido al cambio de organización</t>
        </r>
      </text>
    </comment>
    <comment ref="AT25" authorId="0">
      <text>
        <r>
          <rPr>
            <b/>
            <sz val="8"/>
            <color indexed="81"/>
            <rFont val="Tahoma"/>
            <family val="2"/>
          </rPr>
          <t>ENORERO:</t>
        </r>
        <r>
          <rPr>
            <sz val="8"/>
            <color indexed="81"/>
            <rFont val="Tahoma"/>
            <family val="2"/>
          </rPr>
          <t xml:space="preserve">
TRAPASO
17.342 TONS.  Resl. 2659/2012</t>
        </r>
      </text>
    </comment>
    <comment ref="M26" authorId="0">
      <text>
        <r>
          <rPr>
            <b/>
            <sz val="8"/>
            <color indexed="81"/>
            <rFont val="Tahoma"/>
            <family val="2"/>
          </rPr>
          <t>ENORERO:</t>
        </r>
        <r>
          <rPr>
            <sz val="8"/>
            <color indexed="81"/>
            <rFont val="Tahoma"/>
            <family val="2"/>
          </rPr>
          <t xml:space="preserve">
XI INFORMA ECOMAR
</t>
        </r>
      </text>
    </comment>
    <comment ref="V28" authorId="0">
      <text>
        <r>
          <rPr>
            <b/>
            <sz val="8"/>
            <color indexed="81"/>
            <rFont val="Tahoma"/>
            <family val="2"/>
          </rPr>
          <t>ENORERO:</t>
        </r>
        <r>
          <rPr>
            <sz val="8"/>
            <color indexed="81"/>
            <rFont val="Tahoma"/>
            <family val="2"/>
          </rPr>
          <t xml:space="preserve">
Resl. 2659/2012 trapasa 15.049 tons. al sector industrial + TRASPASO A INDUSTRIAL SEGÚN RESL. 2834  13.247 TONS.
</t>
        </r>
      </text>
    </comment>
    <comment ref="AT29" authorId="0">
      <text>
        <r>
          <rPr>
            <b/>
            <sz val="8"/>
            <color indexed="81"/>
            <rFont val="Tahoma"/>
            <family val="2"/>
          </rPr>
          <t>ENORERO:</t>
        </r>
        <r>
          <rPr>
            <sz val="8"/>
            <color indexed="81"/>
            <rFont val="Tahoma"/>
            <family val="2"/>
          </rPr>
          <t xml:space="preserve">
Traspaso a Industrial de 23.333 tons. resl. N° 642 del 23-03-2012, sumado como consumo.</t>
        </r>
      </text>
    </comment>
    <comment ref="B32" authorId="0">
      <text>
        <r>
          <rPr>
            <b/>
            <sz val="8"/>
            <color indexed="81"/>
            <rFont val="Tahoma"/>
            <family val="2"/>
          </rPr>
          <t>Mod cuota R.EX N° 1320/15.05.12</t>
        </r>
        <r>
          <rPr>
            <sz val="8"/>
            <color indexed="81"/>
            <rFont val="Tahoma"/>
            <family val="2"/>
          </rPr>
          <t xml:space="preserve">
</t>
        </r>
      </text>
    </comment>
    <comment ref="B35" authorId="0">
      <text>
        <r>
          <rPr>
            <b/>
            <sz val="8"/>
            <color indexed="81"/>
            <rFont val="Tahoma"/>
            <family val="2"/>
          </rPr>
          <t>ENORERO:</t>
        </r>
        <r>
          <rPr>
            <sz val="8"/>
            <color indexed="81"/>
            <rFont val="Tahoma"/>
            <family val="2"/>
          </rPr>
          <t xml:space="preserve">
RESL. N 2865 agrega
</t>
        </r>
      </text>
    </comment>
    <comment ref="AH35" authorId="0">
      <text>
        <r>
          <rPr>
            <b/>
            <sz val="8"/>
            <color indexed="81"/>
            <rFont val="Tahoma"/>
            <family val="2"/>
          </rPr>
          <t>ENORERO:</t>
        </r>
        <r>
          <rPr>
            <sz val="8"/>
            <color indexed="81"/>
            <rFont val="Tahoma"/>
            <family val="2"/>
          </rPr>
          <t xml:space="preserve">
rels. 2302/2012 traspasa 20.494 tons a los armadores industriales norte exterior</t>
        </r>
      </text>
    </comment>
    <comment ref="AL35" authorId="0">
      <text>
        <r>
          <rPr>
            <b/>
            <sz val="8"/>
            <color indexed="81"/>
            <rFont val="Tahoma"/>
            <family val="2"/>
          </rPr>
          <t>Mod cuota R.EX N° 1320/15.05.12</t>
        </r>
        <r>
          <rPr>
            <sz val="8"/>
            <color indexed="81"/>
            <rFont val="Tahoma"/>
            <family val="2"/>
          </rPr>
          <t xml:space="preserve">
</t>
        </r>
      </text>
    </comment>
    <comment ref="AT35" authorId="0">
      <text>
        <r>
          <rPr>
            <b/>
            <sz val="8"/>
            <color indexed="81"/>
            <rFont val="Tahoma"/>
            <family val="2"/>
          </rPr>
          <t>ENORERO:</t>
        </r>
        <r>
          <rPr>
            <sz val="8"/>
            <color indexed="81"/>
            <rFont val="Tahoma"/>
            <family val="2"/>
          </rPr>
          <t xml:space="preserve">
0.449 tons., resl. 642/2012 , cabio de organización.
Resl 1887/2012 traspasa 49.446 tons. a industrial.
</t>
        </r>
      </text>
    </comment>
    <comment ref="AH37" authorId="0">
      <text>
        <r>
          <rPr>
            <b/>
            <sz val="8"/>
            <color indexed="81"/>
            <rFont val="Tahoma"/>
            <family val="2"/>
          </rPr>
          <t>ENORERO:</t>
        </r>
        <r>
          <rPr>
            <sz val="8"/>
            <color indexed="81"/>
            <rFont val="Tahoma"/>
            <family val="2"/>
          </rPr>
          <t xml:space="preserve">
resl N°  2923/2012 traspso a industrial 26.303 kilos</t>
        </r>
      </text>
    </comment>
    <comment ref="B38" authorId="0">
      <text>
        <r>
          <rPr>
            <b/>
            <sz val="8"/>
            <color indexed="81"/>
            <rFont val="Tahoma"/>
            <family val="2"/>
          </rPr>
          <t>ENORERO:</t>
        </r>
        <r>
          <rPr>
            <sz val="8"/>
            <color indexed="81"/>
            <rFont val="Tahoma"/>
            <family val="2"/>
          </rPr>
          <t xml:space="preserve">
RESL. N 2865 agrega</t>
        </r>
      </text>
    </comment>
    <comment ref="Z38" authorId="0">
      <text>
        <r>
          <rPr>
            <b/>
            <sz val="8"/>
            <color indexed="81"/>
            <rFont val="Tahoma"/>
            <family val="2"/>
          </rPr>
          <t>ENORERO:</t>
        </r>
        <r>
          <rPr>
            <sz val="8"/>
            <color indexed="81"/>
            <rFont val="Tahoma"/>
            <family val="2"/>
          </rPr>
          <t xml:space="preserve">
RESL. N°2865 MODIFICA VALORES .
</t>
        </r>
      </text>
    </comment>
    <comment ref="B41" authorId="0">
      <text>
        <r>
          <rPr>
            <b/>
            <sz val="8"/>
            <color indexed="81"/>
            <rFont val="Tahoma"/>
            <family val="2"/>
          </rPr>
          <t>ENORERO:</t>
        </r>
        <r>
          <rPr>
            <sz val="8"/>
            <color indexed="81"/>
            <rFont val="Tahoma"/>
            <family val="2"/>
          </rPr>
          <t xml:space="preserve">
Mod. Resl 2568/2012
</t>
        </r>
      </text>
    </comment>
    <comment ref="J41" authorId="0">
      <text>
        <r>
          <rPr>
            <b/>
            <sz val="8"/>
            <color indexed="81"/>
            <rFont val="Tahoma"/>
            <family val="2"/>
          </rPr>
          <t>ENORERO:</t>
        </r>
        <r>
          <rPr>
            <sz val="8"/>
            <color indexed="81"/>
            <rFont val="Tahoma"/>
            <family val="2"/>
          </rPr>
          <t xml:space="preserve">
5.763 TON STRASPASADOS A INDUSTRIAL.</t>
        </r>
      </text>
    </comment>
    <comment ref="AL41" authorId="0">
      <text>
        <r>
          <rPr>
            <b/>
            <sz val="8"/>
            <color indexed="81"/>
            <rFont val="Tahoma"/>
            <family val="2"/>
          </rPr>
          <t>Mod cuota R.EX N° 1320/15.05.12</t>
        </r>
      </text>
    </comment>
    <comment ref="AT41" authorId="0">
      <text>
        <r>
          <rPr>
            <b/>
            <sz val="8"/>
            <color indexed="81"/>
            <rFont val="Tahoma"/>
            <family val="2"/>
          </rPr>
          <t>ENORERO:</t>
        </r>
        <r>
          <rPr>
            <sz val="8"/>
            <color indexed="81"/>
            <rFont val="Tahoma"/>
            <family val="2"/>
          </rPr>
          <t xml:space="preserve">
Traspaso a Industrial de 7.372 tons. resl. N° 527 del 08-03-2012, sumado como consumo. 
Resl. 1138/2012 que incrementa en 2.773 tons, por tanto da un total  de 10.145 de consumo. 
Resl. 1187/2012 , traspasa 0.997 tons. al sector industrial
</t>
        </r>
      </text>
    </comment>
    <comment ref="J44" authorId="0">
      <text>
        <r>
          <rPr>
            <b/>
            <sz val="8"/>
            <color indexed="81"/>
            <rFont val="Tahoma"/>
            <family val="2"/>
          </rPr>
          <t>ENORERO:</t>
        </r>
        <r>
          <rPr>
            <sz val="8"/>
            <color indexed="81"/>
            <rFont val="Tahoma"/>
            <family val="2"/>
          </rPr>
          <t xml:space="preserve">    rels. 1887/2012 , traslapasa 17.639 tons a sector industrail.
</t>
        </r>
      </text>
    </comment>
    <comment ref="AT44" authorId="0">
      <text>
        <r>
          <rPr>
            <b/>
            <sz val="8"/>
            <color indexed="81"/>
            <rFont val="Tahoma"/>
            <family val="2"/>
          </rPr>
          <t>ENORERO:</t>
        </r>
        <r>
          <rPr>
            <sz val="8"/>
            <color indexed="81"/>
            <rFont val="Tahoma"/>
            <family val="2"/>
          </rPr>
          <t xml:space="preserve">
Traspaso a Industrial de 24.457 tons. resl. N° 527 del 08-03-2012, sumado como consumo.</t>
        </r>
      </text>
    </comment>
    <comment ref="V46" authorId="0">
      <text>
        <r>
          <rPr>
            <b/>
            <sz val="8"/>
            <color indexed="81"/>
            <rFont val="Tahoma"/>
            <family val="2"/>
          </rPr>
          <t>ENORERO:</t>
        </r>
        <r>
          <rPr>
            <sz val="8"/>
            <color indexed="81"/>
            <rFont val="Tahoma"/>
            <family val="2"/>
          </rPr>
          <t xml:space="preserve">
resl. 2659/2012 traspasa 36.884 tons a el sector industrial.
Rels. 2923/2012 traspas a industrial 34.984 kilos</t>
        </r>
      </text>
    </comment>
    <comment ref="AT46" authorId="0">
      <text>
        <r>
          <rPr>
            <b/>
            <sz val="8"/>
            <color indexed="81"/>
            <rFont val="Tahoma"/>
            <family val="2"/>
          </rPr>
          <t>ENORERO:</t>
        </r>
        <r>
          <rPr>
            <sz val="8"/>
            <color indexed="81"/>
            <rFont val="Tahoma"/>
            <family val="2"/>
          </rPr>
          <t xml:space="preserve">
Resl 2659/2012 cede 3.077 tons. al sector industrial + TRASPASO A INDUSRTRIAL SEGÚN RESL. 2834 , 26.235 TONS.</t>
        </r>
      </text>
    </comment>
    <comment ref="B47" authorId="0">
      <text>
        <r>
          <rPr>
            <b/>
            <sz val="8"/>
            <color indexed="81"/>
            <rFont val="Tahoma"/>
            <family val="2"/>
          </rPr>
          <t>ENORERO:</t>
        </r>
        <r>
          <rPr>
            <sz val="8"/>
            <color indexed="81"/>
            <rFont val="Tahoma"/>
            <family val="2"/>
          </rPr>
          <t xml:space="preserve">
Mod. Resl 2568/2012</t>
        </r>
      </text>
    </comment>
    <comment ref="V47" authorId="0">
      <text>
        <r>
          <rPr>
            <b/>
            <sz val="8"/>
            <color indexed="81"/>
            <rFont val="Tahoma"/>
            <family val="2"/>
          </rPr>
          <t>ENORERO:</t>
        </r>
        <r>
          <rPr>
            <sz val="8"/>
            <color indexed="81"/>
            <rFont val="Tahoma"/>
            <family val="2"/>
          </rPr>
          <t xml:space="preserve">
14.439 TONS. TRASPASADOS A INDUSTRIAL, SUMADO COMO CONSUMO</t>
        </r>
      </text>
    </comment>
    <comment ref="V49" authorId="0">
      <text>
        <r>
          <rPr>
            <b/>
            <sz val="8"/>
            <color indexed="81"/>
            <rFont val="Tahoma"/>
            <family val="2"/>
          </rPr>
          <t>ENORERO:</t>
        </r>
        <r>
          <rPr>
            <sz val="8"/>
            <color indexed="81"/>
            <rFont val="Tahoma"/>
            <family val="2"/>
          </rPr>
          <t xml:space="preserve">
resl 2923/2012 traspasa a industrial  21.906 kilos
</t>
        </r>
      </text>
    </comment>
    <comment ref="V50" authorId="0">
      <text>
        <r>
          <rPr>
            <b/>
            <sz val="8"/>
            <color indexed="81"/>
            <rFont val="Tahoma"/>
            <family val="2"/>
          </rPr>
          <t>ENORERO:</t>
        </r>
        <r>
          <rPr>
            <sz val="8"/>
            <color indexed="81"/>
            <rFont val="Tahoma"/>
            <family val="2"/>
          </rPr>
          <t xml:space="preserve">
R. Ex. 2302/2012 traspasa 11.750 tons. a los armadores industrialesNorte exterior</t>
        </r>
      </text>
    </comment>
    <comment ref="B53" authorId="0">
      <text>
        <r>
          <rPr>
            <b/>
            <sz val="8"/>
            <color indexed="81"/>
            <rFont val="Tahoma"/>
            <family val="2"/>
          </rPr>
          <t>Mod cuota R.EX N° 1320/15.05.12</t>
        </r>
      </text>
    </comment>
    <comment ref="J53" authorId="0">
      <text>
        <r>
          <rPr>
            <b/>
            <sz val="8"/>
            <color indexed="81"/>
            <rFont val="Tahoma"/>
            <family val="2"/>
          </rPr>
          <t>ENORERO:</t>
        </r>
        <r>
          <rPr>
            <sz val="8"/>
            <color indexed="81"/>
            <rFont val="Tahoma"/>
            <family val="2"/>
          </rPr>
          <t xml:space="preserve">
traspaso de 43.594 tons.
Art-ind  resl. N° 1391/2012, tambien rels. 1694/2012 traspasa 2.999 tons. A Industrial
</t>
        </r>
      </text>
    </comment>
    <comment ref="V53" authorId="0">
      <text>
        <r>
          <rPr>
            <b/>
            <sz val="8"/>
            <color indexed="81"/>
            <rFont val="Tahoma"/>
            <family val="2"/>
          </rPr>
          <t>ENORERO:</t>
        </r>
        <r>
          <rPr>
            <sz val="8"/>
            <color indexed="81"/>
            <rFont val="Tahoma"/>
            <family val="2"/>
          </rPr>
          <t xml:space="preserve">
traspaso de 6.577 tons.
Resl. 1394/2012 art-ind
</t>
        </r>
      </text>
    </comment>
    <comment ref="J56" authorId="0">
      <text>
        <r>
          <rPr>
            <b/>
            <sz val="8"/>
            <color indexed="81"/>
            <rFont val="Tahoma"/>
            <family val="2"/>
          </rPr>
          <t>ENORERO:</t>
        </r>
        <r>
          <rPr>
            <sz val="8"/>
            <color indexed="81"/>
            <rFont val="Tahoma"/>
            <family val="2"/>
          </rPr>
          <t xml:space="preserve">
Resl. 1887/2012, traspasa al sector industrial 12.470 tons.</t>
        </r>
      </text>
    </comment>
    <comment ref="J58" authorId="0">
      <text>
        <r>
          <rPr>
            <b/>
            <sz val="8"/>
            <color indexed="81"/>
            <rFont val="Tahoma"/>
            <family val="2"/>
          </rPr>
          <t>ENORERO:</t>
        </r>
        <r>
          <rPr>
            <sz val="8"/>
            <color indexed="81"/>
            <rFont val="Tahoma"/>
            <family val="2"/>
          </rPr>
          <t xml:space="preserve">
Resl. 2923/2012 traspso a industrial 12.413 kilos
</t>
        </r>
      </text>
    </comment>
    <comment ref="B59" authorId="0">
      <text>
        <r>
          <rPr>
            <b/>
            <sz val="8"/>
            <color indexed="81"/>
            <rFont val="Tahoma"/>
            <family val="2"/>
          </rPr>
          <t>Mod cuota R.EX N° 1320/15.05.12</t>
        </r>
        <r>
          <rPr>
            <sz val="8"/>
            <color indexed="81"/>
            <rFont val="Tahoma"/>
            <family val="2"/>
          </rPr>
          <t xml:space="preserve">
</t>
        </r>
      </text>
    </comment>
    <comment ref="J62" authorId="0">
      <text>
        <r>
          <rPr>
            <b/>
            <sz val="8"/>
            <color indexed="81"/>
            <rFont val="Tahoma"/>
            <family val="2"/>
          </rPr>
          <t>ENORERO:</t>
        </r>
        <r>
          <rPr>
            <sz val="8"/>
            <color indexed="81"/>
            <rFont val="Tahoma"/>
            <family val="2"/>
          </rPr>
          <t xml:space="preserve">
29.906  TNS SON TRASPASADOS A INDUSTRIAL
Resol 527 indica 29.906 kg a ceder a industriales, pero a partir de abril hay 1.188 kg que se trasladan a STI  Pesc Art de Aysén , por cuanto un pescador se cambió a dicha organización y con ello traspasa sus capturas y sus cesiones..</t>
        </r>
      </text>
    </comment>
    <comment ref="J64" authorId="0">
      <text>
        <r>
          <rPr>
            <b/>
            <sz val="8"/>
            <color indexed="81"/>
            <rFont val="Tahoma"/>
            <family val="2"/>
          </rPr>
          <t>ENORERO:</t>
        </r>
        <r>
          <rPr>
            <sz val="8"/>
            <color indexed="81"/>
            <rFont val="Tahoma"/>
            <family val="2"/>
          </rPr>
          <t xml:space="preserve">
resl. 2923/2012 traspasa a industrial 40.327 kilos
</t>
        </r>
      </text>
    </comment>
    <comment ref="J65" authorId="0">
      <text>
        <r>
          <rPr>
            <b/>
            <sz val="8"/>
            <color indexed="81"/>
            <rFont val="Tahoma"/>
            <family val="2"/>
          </rPr>
          <t>ENORERO:</t>
        </r>
        <r>
          <rPr>
            <sz val="8"/>
            <color indexed="81"/>
            <rFont val="Tahoma"/>
            <family val="2"/>
          </rPr>
          <t xml:space="preserve">
21.921  TONS. FUE TRASPASADO A INDUSTRIAL</t>
        </r>
      </text>
    </comment>
    <comment ref="J67" authorId="0">
      <text>
        <r>
          <rPr>
            <b/>
            <sz val="8"/>
            <color indexed="81"/>
            <rFont val="Tahoma"/>
            <family val="2"/>
          </rPr>
          <t>ENORERO:</t>
        </r>
        <r>
          <rPr>
            <sz val="8"/>
            <color indexed="81"/>
            <rFont val="Tahoma"/>
            <family val="2"/>
          </rPr>
          <t xml:space="preserve">
resl 2659/2012 traspasa 2.134 tons. al sector Industrial. + TRASPASO DE 23.189  A INDUSTRAIAL TONS SEGÚN RESL. 2834
</t>
        </r>
      </text>
    </comment>
    <comment ref="J68" authorId="0">
      <text>
        <r>
          <rPr>
            <b/>
            <sz val="8"/>
            <color indexed="81"/>
            <rFont val="Tahoma"/>
            <family val="2"/>
          </rPr>
          <t>ENORERO:</t>
        </r>
        <r>
          <rPr>
            <sz val="8"/>
            <color indexed="81"/>
            <rFont val="Tahoma"/>
            <family val="2"/>
          </rPr>
          <t xml:space="preserve">
rels. 1887/2012 traspas&lt;a a industrial 8.000 tons.</t>
        </r>
      </text>
    </comment>
  </commentList>
</comments>
</file>

<file path=xl/comments17.xml><?xml version="1.0" encoding="utf-8"?>
<comments xmlns="http://schemas.openxmlformats.org/spreadsheetml/2006/main">
  <authors>
    <author>ENORERO</author>
    <author>rgarcia</author>
  </authors>
  <commentList>
    <comment ref="M5" authorId="0">
      <text>
        <r>
          <rPr>
            <b/>
            <sz val="8"/>
            <color indexed="81"/>
            <rFont val="Tahoma"/>
            <family val="2"/>
          </rPr>
          <t>ENORERO:</t>
        </r>
        <r>
          <rPr>
            <sz val="8"/>
            <color indexed="81"/>
            <rFont val="Tahoma"/>
            <family val="2"/>
          </rPr>
          <t xml:space="preserve">
Rex. N° 534 del 09-03-2012, la cual llegó al correo el 21-03-2012
</t>
        </r>
      </text>
    </comment>
    <comment ref="B6" authorId="0">
      <text>
        <r>
          <rPr>
            <b/>
            <sz val="8"/>
            <color indexed="81"/>
            <rFont val="Tahoma"/>
            <family val="2"/>
          </rPr>
          <t>ENORERO:</t>
        </r>
        <r>
          <rPr>
            <sz val="8"/>
            <color indexed="81"/>
            <rFont val="Tahoma"/>
            <family val="2"/>
          </rPr>
          <t xml:space="preserve">
MODIFICACIÓN DE PERÍODOS N° 797/2012</t>
        </r>
      </text>
    </comment>
    <comment ref="K6" authorId="1">
      <text>
        <r>
          <rPr>
            <b/>
            <sz val="9"/>
            <color indexed="81"/>
            <rFont val="Tahoma"/>
            <family val="2"/>
          </rPr>
          <t>rgarcia:</t>
        </r>
        <r>
          <rPr>
            <sz val="9"/>
            <color indexed="81"/>
            <rFont val="Tahoma"/>
            <family val="2"/>
          </rPr>
          <t xml:space="preserve">
NO </t>
        </r>
      </text>
    </comment>
    <comment ref="M9" authorId="0">
      <text>
        <r>
          <rPr>
            <b/>
            <sz val="8"/>
            <color indexed="81"/>
            <rFont val="Tahoma"/>
            <family val="2"/>
          </rPr>
          <t>ENORERO:</t>
        </r>
        <r>
          <rPr>
            <sz val="8"/>
            <color indexed="81"/>
            <rFont val="Tahoma"/>
            <family val="2"/>
          </rPr>
          <t xml:space="preserve">
traspaso a industrial resl. N° 2856, 34.300 tons.
Se agrega Resl. N° 2880/2012 con traspaso de 2,5 tons
</t>
        </r>
      </text>
    </comment>
    <comment ref="M10" authorId="0">
      <text>
        <r>
          <rPr>
            <b/>
            <sz val="8"/>
            <color indexed="81"/>
            <rFont val="Tahoma"/>
            <family val="2"/>
          </rPr>
          <t>ENORERO:</t>
        </r>
        <r>
          <rPr>
            <sz val="8"/>
            <color indexed="81"/>
            <rFont val="Tahoma"/>
            <family val="2"/>
          </rPr>
          <t xml:space="preserve">
traspaso a industrial resl. N° 2856, 34.300 tons.
Traspaso a industrial resl. N° 2880/2012 20,500 tons.</t>
        </r>
      </text>
    </comment>
    <comment ref="K13" authorId="1">
      <text>
        <r>
          <rPr>
            <b/>
            <sz val="9"/>
            <color indexed="81"/>
            <rFont val="Tahoma"/>
            <family val="2"/>
          </rPr>
          <t>rgarcia:
DATO ERRONEO
SE SIUMA TOTALES CON LOS DIARIOS DATO REAL 332,669</t>
        </r>
      </text>
    </comment>
  </commentList>
</comments>
</file>

<file path=xl/comments18.xml><?xml version="1.0" encoding="utf-8"?>
<comments xmlns="http://schemas.openxmlformats.org/spreadsheetml/2006/main">
  <authors>
    <author>ENORERO</author>
  </authors>
  <commentList>
    <comment ref="AA52" authorId="0">
      <text>
        <r>
          <rPr>
            <b/>
            <sz val="8"/>
            <color indexed="81"/>
            <rFont val="Tahoma"/>
            <family val="2"/>
          </rPr>
          <t>ENORERO:</t>
        </r>
        <r>
          <rPr>
            <sz val="8"/>
            <color indexed="81"/>
            <rFont val="Tahoma"/>
            <family val="2"/>
          </rPr>
          <t xml:space="preserve">
fecha de publicación 
</t>
        </r>
      </text>
    </comment>
  </commentList>
</comments>
</file>

<file path=xl/comments19.xml><?xml version="1.0" encoding="utf-8"?>
<comments xmlns="http://schemas.openxmlformats.org/spreadsheetml/2006/main">
  <authors>
    <author>ENORERO</author>
  </authors>
  <commentList>
    <comment ref="C2" authorId="0">
      <text>
        <r>
          <rPr>
            <b/>
            <sz val="8"/>
            <color indexed="81"/>
            <rFont val="Tahoma"/>
            <family val="2"/>
          </rPr>
          <t>ENORERO:</t>
        </r>
        <r>
          <rPr>
            <sz val="8"/>
            <color indexed="81"/>
            <rFont val="Tahoma"/>
            <family val="2"/>
          </rPr>
          <t xml:space="preserve">
Publicación en el diario oficial
</t>
        </r>
      </text>
    </comment>
  </commentList>
</comments>
</file>

<file path=xl/comments20.xml><?xml version="1.0" encoding="utf-8"?>
<comments xmlns="http://schemas.openxmlformats.org/spreadsheetml/2006/main">
  <authors>
    <author>ENORERO</author>
    <author>mbarbagelata</author>
  </authors>
  <commentList>
    <comment ref="D2" authorId="0">
      <text>
        <r>
          <rPr>
            <b/>
            <sz val="8"/>
            <color indexed="81"/>
            <rFont val="Tahoma"/>
            <family val="2"/>
          </rPr>
          <t>ENORERO:</t>
        </r>
        <r>
          <rPr>
            <sz val="8"/>
            <color indexed="81"/>
            <rFont val="Tahoma"/>
            <family val="2"/>
          </rPr>
          <t xml:space="preserve">
resl. N° 1664-2012 corrige periódos de consumo.-</t>
        </r>
      </text>
    </comment>
    <comment ref="D9" authorId="0">
      <text>
        <r>
          <rPr>
            <b/>
            <sz val="8"/>
            <color indexed="81"/>
            <rFont val="Tahoma"/>
            <family val="2"/>
          </rPr>
          <t>ENORERO:</t>
        </r>
        <r>
          <rPr>
            <sz val="8"/>
            <color indexed="81"/>
            <rFont val="Tahoma"/>
            <family val="2"/>
          </rPr>
          <t xml:space="preserve">
resl. N° 1695-2012 traspaso desde industrial.-</t>
        </r>
      </text>
    </comment>
    <comment ref="D17" authorId="0">
      <text>
        <r>
          <rPr>
            <b/>
            <sz val="8"/>
            <color indexed="81"/>
            <rFont val="Tahoma"/>
            <family val="2"/>
          </rPr>
          <t>ENORERO:</t>
        </r>
        <r>
          <rPr>
            <sz val="8"/>
            <color indexed="81"/>
            <rFont val="Tahoma"/>
            <family val="2"/>
          </rPr>
          <t xml:space="preserve">
resl. N° 2883
-2012 traspaso desde industrial.-</t>
        </r>
      </text>
    </comment>
    <comment ref="F22" authorId="0">
      <text>
        <r>
          <rPr>
            <b/>
            <sz val="8"/>
            <color indexed="81"/>
            <rFont val="Tahoma"/>
            <family val="2"/>
          </rPr>
          <t>ENORERO:</t>
        </r>
        <r>
          <rPr>
            <sz val="8"/>
            <color indexed="81"/>
            <rFont val="Tahoma"/>
            <family val="2"/>
          </rPr>
          <t xml:space="preserve">
este sobre consumo ya se cargó a la cuota global como desembarque.
</t>
        </r>
      </text>
    </comment>
    <comment ref="D24" authorId="0">
      <text>
        <r>
          <rPr>
            <b/>
            <sz val="8"/>
            <color indexed="81"/>
            <rFont val="Tahoma"/>
            <family val="2"/>
          </rPr>
          <t>ENORERO:</t>
        </r>
        <r>
          <rPr>
            <sz val="8"/>
            <color indexed="81"/>
            <rFont val="Tahoma"/>
            <family val="2"/>
          </rPr>
          <t xml:space="preserve">
resl. N° 2883
-2012 traspaso desde industrial.-</t>
        </r>
      </text>
    </comment>
    <comment ref="D31" authorId="0">
      <text>
        <r>
          <rPr>
            <b/>
            <sz val="8"/>
            <color indexed="81"/>
            <rFont val="Tahoma"/>
            <family val="2"/>
          </rPr>
          <t>ENORERO:</t>
        </r>
        <r>
          <rPr>
            <sz val="8"/>
            <color indexed="81"/>
            <rFont val="Tahoma"/>
            <family val="2"/>
          </rPr>
          <t xml:space="preserve">
resl. N° 2883
-2012 traspaso desde industrial.-</t>
        </r>
      </text>
    </comment>
    <comment ref="AF83" authorId="1">
      <text>
        <r>
          <rPr>
            <b/>
            <sz val="8"/>
            <color indexed="81"/>
            <rFont val="Tahoma"/>
            <family val="2"/>
          </rPr>
          <t>RES 1887/07/2012</t>
        </r>
      </text>
    </comment>
    <comment ref="AV83" authorId="1">
      <text>
        <r>
          <rPr>
            <b/>
            <sz val="8"/>
            <color indexed="81"/>
            <rFont val="Tahoma"/>
            <family val="2"/>
          </rPr>
          <t>RES EX 2923</t>
        </r>
      </text>
    </comment>
    <comment ref="C85" authorId="1">
      <text>
        <r>
          <rPr>
            <b/>
            <sz val="8"/>
            <color indexed="81"/>
            <rFont val="Tahoma"/>
            <family val="2"/>
          </rPr>
          <t>VISADO EN AYSEN</t>
        </r>
      </text>
    </comment>
    <comment ref="AV86" authorId="1">
      <text>
        <r>
          <rPr>
            <b/>
            <sz val="8"/>
            <color indexed="81"/>
            <rFont val="Tahoma"/>
            <family val="2"/>
          </rPr>
          <t>RES EX 2923</t>
        </r>
      </text>
    </comment>
    <comment ref="AF89" authorId="1">
      <text>
        <r>
          <rPr>
            <b/>
            <sz val="8"/>
            <color indexed="81"/>
            <rFont val="Tahoma"/>
            <family val="2"/>
          </rPr>
          <t>RES 1887/07/2012</t>
        </r>
      </text>
    </comment>
    <comment ref="AV90" authorId="1">
      <text>
        <r>
          <rPr>
            <b/>
            <sz val="8"/>
            <color indexed="81"/>
            <rFont val="Tahoma"/>
            <family val="2"/>
          </rPr>
          <t>RES EX 2659
RES EX 2834</t>
        </r>
      </text>
    </comment>
    <comment ref="AF91" authorId="1">
      <text>
        <r>
          <rPr>
            <b/>
            <sz val="8"/>
            <color indexed="81"/>
            <rFont val="Tahoma"/>
            <family val="2"/>
          </rPr>
          <t>RES 1887/07/2012</t>
        </r>
      </text>
    </comment>
    <comment ref="AV93" authorId="1">
      <text>
        <r>
          <rPr>
            <b/>
            <sz val="8"/>
            <color indexed="81"/>
            <rFont val="Tahoma"/>
            <family val="2"/>
          </rPr>
          <t>RES EX 2659
RES EX 2923</t>
        </r>
      </text>
    </comment>
    <comment ref="AV100" authorId="1">
      <text>
        <r>
          <rPr>
            <b/>
            <sz val="8"/>
            <color indexed="81"/>
            <rFont val="Tahoma"/>
            <family val="2"/>
          </rPr>
          <t>RES EX 2923</t>
        </r>
      </text>
    </comment>
    <comment ref="AF102" authorId="1">
      <text>
        <r>
          <rPr>
            <b/>
            <sz val="8"/>
            <color indexed="81"/>
            <rFont val="Tahoma"/>
            <family val="2"/>
          </rPr>
          <t>RES 2302/08/2012</t>
        </r>
      </text>
    </comment>
    <comment ref="AV111" authorId="1">
      <text>
        <r>
          <rPr>
            <b/>
            <sz val="8"/>
            <color indexed="81"/>
            <rFont val="Tahoma"/>
            <family val="2"/>
          </rPr>
          <t>RES EX 2659
RES EX 2923</t>
        </r>
      </text>
    </comment>
    <comment ref="AV113" authorId="1">
      <text>
        <r>
          <rPr>
            <b/>
            <sz val="8"/>
            <color indexed="81"/>
            <rFont val="Tahoma"/>
            <family val="2"/>
          </rPr>
          <t>RES EX 2659
RES EX 2834</t>
        </r>
      </text>
    </comment>
    <comment ref="AF123" authorId="1">
      <text>
        <r>
          <rPr>
            <b/>
            <sz val="8"/>
            <color indexed="81"/>
            <rFont val="Tahoma"/>
            <family val="2"/>
          </rPr>
          <t>RES 2302/08/2012</t>
        </r>
      </text>
    </comment>
    <comment ref="AF125" authorId="1">
      <text>
        <r>
          <rPr>
            <b/>
            <sz val="8"/>
            <color indexed="81"/>
            <rFont val="Tahoma"/>
            <family val="2"/>
          </rPr>
          <t>RES 1887/07/2012
RES 2302/08/2012</t>
        </r>
      </text>
    </comment>
    <comment ref="AV125" authorId="1">
      <text>
        <r>
          <rPr>
            <b/>
            <sz val="8"/>
            <color indexed="81"/>
            <rFont val="Tahoma"/>
            <family val="2"/>
          </rPr>
          <t>RES EX 2923</t>
        </r>
      </text>
    </comment>
    <comment ref="AF127" authorId="1">
      <text>
        <r>
          <rPr>
            <b/>
            <sz val="8"/>
            <color indexed="81"/>
            <rFont val="Tahoma"/>
            <family val="2"/>
          </rPr>
          <t>RES 2302/08/2012</t>
        </r>
      </text>
    </comment>
    <comment ref="AF131" authorId="1">
      <text>
        <r>
          <rPr>
            <b/>
            <sz val="8"/>
            <color indexed="81"/>
            <rFont val="Tahoma"/>
            <family val="2"/>
          </rPr>
          <t>RES 2302/08/2012</t>
        </r>
      </text>
    </comment>
    <comment ref="AF136" authorId="1">
      <text>
        <r>
          <rPr>
            <b/>
            <sz val="8"/>
            <color indexed="81"/>
            <rFont val="Tahoma"/>
            <family val="2"/>
          </rPr>
          <t>RES 1887/07/2012</t>
        </r>
      </text>
    </comment>
    <comment ref="AF138" authorId="1">
      <text>
        <r>
          <rPr>
            <b/>
            <sz val="8"/>
            <color indexed="81"/>
            <rFont val="Tahoma"/>
            <family val="2"/>
          </rPr>
          <t>RES 1887/07/2012</t>
        </r>
      </text>
    </comment>
    <comment ref="AV139" authorId="1">
      <text>
        <r>
          <rPr>
            <b/>
            <sz val="8"/>
            <color indexed="81"/>
            <rFont val="Tahoma"/>
            <family val="2"/>
          </rPr>
          <t xml:space="preserve">RES EX 2659
RES EX 2834
</t>
        </r>
      </text>
    </comment>
    <comment ref="AV146" authorId="1">
      <text>
        <r>
          <rPr>
            <b/>
            <sz val="8"/>
            <color indexed="81"/>
            <rFont val="Tahoma"/>
            <family val="2"/>
          </rPr>
          <t>RES EX 2834</t>
        </r>
      </text>
    </comment>
    <comment ref="AV147" authorId="1">
      <text>
        <r>
          <rPr>
            <b/>
            <sz val="8"/>
            <color indexed="81"/>
            <rFont val="Tahoma"/>
            <family val="2"/>
          </rPr>
          <t>RES EX 2923</t>
        </r>
      </text>
    </comment>
    <comment ref="AV148" authorId="1">
      <text>
        <r>
          <rPr>
            <b/>
            <sz val="8"/>
            <color indexed="81"/>
            <rFont val="Tahoma"/>
            <family val="2"/>
          </rPr>
          <t>RES EX 2659</t>
        </r>
      </text>
    </comment>
    <comment ref="A157" authorId="0">
      <text>
        <r>
          <rPr>
            <b/>
            <sz val="8"/>
            <color indexed="81"/>
            <rFont val="Tahoma"/>
            <family val="2"/>
          </rPr>
          <t>ENORERO:</t>
        </r>
        <r>
          <rPr>
            <sz val="8"/>
            <color indexed="81"/>
            <rFont val="Tahoma"/>
            <family val="2"/>
          </rPr>
          <t xml:space="preserve">
resl N° 693 del 23-03-2012 traspaso de industrial
</t>
        </r>
      </text>
    </comment>
    <comment ref="A166" authorId="0">
      <text>
        <r>
          <rPr>
            <b/>
            <sz val="8"/>
            <color indexed="81"/>
            <rFont val="Tahoma"/>
            <family val="2"/>
          </rPr>
          <t>ENORERO:</t>
        </r>
        <r>
          <rPr>
            <sz val="8"/>
            <color indexed="81"/>
            <rFont val="Tahoma"/>
            <family val="2"/>
          </rPr>
          <t xml:space="preserve">
resl. Ex. 698 del 27-03-2012, MAS RESL. EX. N° 1225/2012 AGREGA EMB. GAROTA II
</t>
        </r>
      </text>
    </comment>
    <comment ref="A193" authorId="0">
      <text>
        <r>
          <rPr>
            <b/>
            <sz val="8"/>
            <color indexed="81"/>
            <rFont val="Tahoma"/>
            <family val="2"/>
          </rPr>
          <t>ENORERO:</t>
        </r>
        <r>
          <rPr>
            <sz val="8"/>
            <color indexed="81"/>
            <rFont val="Tahoma"/>
            <family val="2"/>
          </rPr>
          <t xml:space="preserve">
resl N° 1970/2012 del 18-07-2012 traspaso de industrial
</t>
        </r>
      </text>
    </comment>
    <comment ref="B369" authorId="0">
      <text>
        <r>
          <rPr>
            <b/>
            <sz val="8"/>
            <color indexed="81"/>
            <rFont val="Tahoma"/>
            <family val="2"/>
          </rPr>
          <t>ENORERO:</t>
        </r>
        <r>
          <rPr>
            <sz val="8"/>
            <color indexed="81"/>
            <rFont val="Tahoma"/>
            <family val="2"/>
          </rPr>
          <t xml:space="preserve">
pesca en la misma XIV región
</t>
        </r>
      </text>
    </comment>
    <comment ref="C396" authorId="0">
      <text>
        <r>
          <rPr>
            <b/>
            <sz val="8"/>
            <color indexed="81"/>
            <rFont val="Tahoma"/>
            <family val="2"/>
          </rPr>
          <t>ENORERO:</t>
        </r>
        <r>
          <rPr>
            <sz val="8"/>
            <color indexed="81"/>
            <rFont val="Tahoma"/>
            <family val="2"/>
          </rPr>
          <t xml:space="preserve">
16.1 tonsnl. De sobreconsumo en la cuota RAE del área.
</t>
        </r>
      </text>
    </comment>
    <comment ref="B406" authorId="0">
      <text>
        <r>
          <rPr>
            <b/>
            <sz val="8"/>
            <color indexed="81"/>
            <rFont val="Tahoma"/>
            <family val="2"/>
          </rPr>
          <t>ENORERO:</t>
        </r>
        <r>
          <rPr>
            <sz val="8"/>
            <color indexed="81"/>
            <rFont val="Tahoma"/>
            <family val="2"/>
          </rPr>
          <t xml:space="preserve">
pesca en la misma XIV región
</t>
        </r>
      </text>
    </comment>
    <comment ref="B413" authorId="0">
      <text>
        <r>
          <rPr>
            <b/>
            <sz val="8"/>
            <color indexed="81"/>
            <rFont val="Tahoma"/>
            <family val="2"/>
          </rPr>
          <t>ENORERO:</t>
        </r>
        <r>
          <rPr>
            <sz val="8"/>
            <color indexed="81"/>
            <rFont val="Tahoma"/>
            <family val="2"/>
          </rPr>
          <t xml:space="preserve">
pesca en la misma XIV región
</t>
        </r>
      </text>
    </comment>
    <comment ref="B422" authorId="0">
      <text>
        <r>
          <rPr>
            <b/>
            <sz val="8"/>
            <color indexed="81"/>
            <rFont val="Tahoma"/>
            <family val="2"/>
          </rPr>
          <t>ENORERO:</t>
        </r>
        <r>
          <rPr>
            <sz val="8"/>
            <color indexed="81"/>
            <rFont val="Tahoma"/>
            <family val="2"/>
          </rPr>
          <t xml:space="preserve">
pesca en la misma XIV región
</t>
        </r>
      </text>
    </comment>
  </commentList>
</comments>
</file>

<file path=xl/comments21.xml><?xml version="1.0" encoding="utf-8"?>
<comments xmlns="http://schemas.openxmlformats.org/spreadsheetml/2006/main">
  <authors>
    <author>ENORERO</author>
  </authors>
  <commentList>
    <comment ref="AB14" authorId="0">
      <text>
        <r>
          <rPr>
            <b/>
            <sz val="8"/>
            <color indexed="81"/>
            <rFont val="Tahoma"/>
            <family val="2"/>
          </rPr>
          <t>ENORERO:</t>
        </r>
        <r>
          <rPr>
            <sz val="8"/>
            <color indexed="81"/>
            <rFont val="Tahoma"/>
            <family val="2"/>
          </rPr>
          <t xml:space="preserve">
Se permite imputar a  esta resolución  1397/2012 ya que quedó saldo.
</t>
        </r>
      </text>
    </comment>
    <comment ref="AB33" authorId="0">
      <text>
        <r>
          <rPr>
            <b/>
            <sz val="8"/>
            <color indexed="81"/>
            <rFont val="Tahoma"/>
            <family val="2"/>
          </rPr>
          <t>ENORERO:</t>
        </r>
        <r>
          <rPr>
            <sz val="8"/>
            <color indexed="81"/>
            <rFont val="Tahoma"/>
            <family val="2"/>
          </rPr>
          <t xml:space="preserve">
se permitío pescar el saldo . De la resl . 1695/2012 ,  esta cuota quedó en cero "0".
</t>
        </r>
      </text>
    </comment>
    <comment ref="B55" authorId="0">
      <text>
        <r>
          <rPr>
            <b/>
            <sz val="8"/>
            <color indexed="81"/>
            <rFont val="Tahoma"/>
            <family val="2"/>
          </rPr>
          <t>ENORERO:</t>
        </r>
        <r>
          <rPr>
            <sz val="8"/>
            <color indexed="81"/>
            <rFont val="Tahoma"/>
            <family val="2"/>
          </rPr>
          <t xml:space="preserve">
ESTO YA FUE CARGADO A LA CUOTA GLOBAL.</t>
        </r>
      </text>
    </comment>
    <comment ref="A133" authorId="0">
      <text>
        <r>
          <rPr>
            <b/>
            <sz val="8"/>
            <color indexed="81"/>
            <rFont val="Tahoma"/>
            <family val="2"/>
          </rPr>
          <t>ENORERO:</t>
        </r>
        <r>
          <rPr>
            <sz val="8"/>
            <color indexed="81"/>
            <rFont val="Tahoma"/>
            <family val="2"/>
          </rPr>
          <t xml:space="preserve">
resl. 693-2012  traspaso ind. art</t>
        </r>
      </text>
    </comment>
    <comment ref="A200" authorId="0">
      <text>
        <r>
          <rPr>
            <b/>
            <sz val="8"/>
            <color indexed="81"/>
            <rFont val="Tahoma"/>
            <family val="2"/>
          </rPr>
          <t>ENORERO:</t>
        </r>
        <r>
          <rPr>
            <sz val="8"/>
            <color indexed="81"/>
            <rFont val="Tahoma"/>
            <family val="2"/>
          </rPr>
          <t xml:space="preserve">
resl ex . 698/2012T
traspaso de Industrial a artesanal.</t>
        </r>
      </text>
    </comment>
    <comment ref="A216" authorId="0">
      <text>
        <r>
          <rPr>
            <b/>
            <sz val="8"/>
            <color indexed="81"/>
            <rFont val="Tahoma"/>
            <family val="2"/>
          </rPr>
          <t>ENORERO:</t>
        </r>
        <r>
          <rPr>
            <sz val="8"/>
            <color indexed="81"/>
            <rFont val="Tahoma"/>
            <family val="2"/>
          </rPr>
          <t xml:space="preserve">
resl ex . 698/2012T
traspaso de Industrial a artesanal.</t>
        </r>
      </text>
    </comment>
    <comment ref="A232" authorId="0">
      <text>
        <r>
          <rPr>
            <b/>
            <sz val="8"/>
            <color indexed="81"/>
            <rFont val="Tahoma"/>
            <family val="2"/>
          </rPr>
          <t>ENORERO:</t>
        </r>
        <r>
          <rPr>
            <sz val="8"/>
            <color indexed="81"/>
            <rFont val="Tahoma"/>
            <family val="2"/>
          </rPr>
          <t xml:space="preserve">
resl ex . 18-07-/2012T
traspaso de Industrial a artesanal.</t>
        </r>
      </text>
    </comment>
  </commentList>
</comments>
</file>

<file path=xl/comments22.xml><?xml version="1.0" encoding="utf-8"?>
<comments xmlns="http://schemas.openxmlformats.org/spreadsheetml/2006/main">
  <authors>
    <author>ENORERO</author>
  </authors>
  <commentList>
    <comment ref="F33" authorId="0">
      <text>
        <r>
          <rPr>
            <b/>
            <sz val="8"/>
            <color indexed="81"/>
            <rFont val="Tahoma"/>
            <family val="2"/>
          </rPr>
          <t>ENORERO:</t>
        </r>
        <r>
          <rPr>
            <sz val="8"/>
            <color indexed="81"/>
            <rFont val="Tahoma"/>
            <family val="2"/>
          </rPr>
          <t xml:space="preserve">
sutitución lo consumido hasat el momento.-</t>
        </r>
      </text>
    </comment>
    <comment ref="G33" authorId="0">
      <text>
        <r>
          <rPr>
            <b/>
            <sz val="8"/>
            <color indexed="81"/>
            <rFont val="Tahoma"/>
            <family val="2"/>
          </rPr>
          <t>ENORERO:</t>
        </r>
        <r>
          <rPr>
            <sz val="8"/>
            <color indexed="81"/>
            <rFont val="Tahoma"/>
            <family val="2"/>
          </rPr>
          <t xml:space="preserve">
lo consumido hasata el momento. </t>
        </r>
      </text>
    </comment>
    <comment ref="G46" authorId="0">
      <text>
        <r>
          <rPr>
            <b/>
            <sz val="8"/>
            <color indexed="81"/>
            <rFont val="Tahoma"/>
            <family val="2"/>
          </rPr>
          <t>ENORERO:</t>
        </r>
        <r>
          <rPr>
            <sz val="8"/>
            <color indexed="81"/>
            <rFont val="Tahoma"/>
            <family val="2"/>
          </rPr>
          <t xml:space="preserve">
resl. 3598/2012 disminuye en 300 rtons. </t>
        </r>
      </text>
    </comment>
    <comment ref="D176" authorId="0">
      <text>
        <r>
          <rPr>
            <b/>
            <sz val="8"/>
            <color indexed="81"/>
            <rFont val="Tahoma"/>
            <family val="2"/>
          </rPr>
          <t>ENORERO:</t>
        </r>
        <r>
          <rPr>
            <sz val="8"/>
            <color indexed="81"/>
            <rFont val="Tahoma"/>
            <family val="2"/>
          </rPr>
          <t xml:space="preserve">
resl. 3539/2012
Reduce en 3.088 tons. de sardina comun y 862 tons. de anchoveta.</t>
        </r>
      </text>
    </comment>
    <comment ref="D181" authorId="0">
      <text>
        <r>
          <rPr>
            <b/>
            <sz val="8"/>
            <color indexed="81"/>
            <rFont val="Tahoma"/>
            <family val="2"/>
          </rPr>
          <t>ENORERO:</t>
        </r>
        <r>
          <rPr>
            <sz val="8"/>
            <color indexed="81"/>
            <rFont val="Tahoma"/>
            <family val="2"/>
          </rPr>
          <t xml:space="preserve">
resl. 3539/2012
Reduce en 3.088 tons. de sardina comun y 862 tons. de anchoveta.</t>
        </r>
      </text>
    </comment>
    <comment ref="D185" authorId="0">
      <text>
        <r>
          <rPr>
            <b/>
            <sz val="8"/>
            <color indexed="81"/>
            <rFont val="Tahoma"/>
            <family val="2"/>
          </rPr>
          <t>ENORERO:</t>
        </r>
        <r>
          <rPr>
            <sz val="8"/>
            <color indexed="81"/>
            <rFont val="Tahoma"/>
            <family val="2"/>
          </rPr>
          <t xml:space="preserve">
resl. 3539/2012
Reduce en 3.088 tons. de sardina comun y 862 tons. de anchoveta.
 </t>
        </r>
      </text>
    </comment>
    <comment ref="D186" authorId="0">
      <text>
        <r>
          <rPr>
            <b/>
            <sz val="8"/>
            <color indexed="81"/>
            <rFont val="Tahoma"/>
            <family val="2"/>
          </rPr>
          <t>ENORERO:</t>
        </r>
        <r>
          <rPr>
            <sz val="8"/>
            <color indexed="81"/>
            <rFont val="Tahoma"/>
            <family val="2"/>
          </rPr>
          <t xml:space="preserve">
resl. 3539/2012
Reduce en 3.088 tons. de sardina comun y 862 tons. de anchoveta.</t>
        </r>
      </text>
    </comment>
    <comment ref="D187" authorId="0">
      <text>
        <r>
          <rPr>
            <b/>
            <sz val="8"/>
            <color indexed="81"/>
            <rFont val="Tahoma"/>
            <family val="2"/>
          </rPr>
          <t>ENORERO:</t>
        </r>
        <r>
          <rPr>
            <sz val="8"/>
            <color indexed="81"/>
            <rFont val="Tahoma"/>
            <family val="2"/>
          </rPr>
          <t xml:space="preserve">
resl. 3539/2012
Reduce en 3.088 tons. de sardina comun y 862 tons. de anchoveta.</t>
        </r>
      </text>
    </comment>
    <comment ref="D188" authorId="0">
      <text>
        <r>
          <rPr>
            <b/>
            <sz val="8"/>
            <color indexed="81"/>
            <rFont val="Tahoma"/>
            <family val="2"/>
          </rPr>
          <t>ENORERO:</t>
        </r>
        <r>
          <rPr>
            <sz val="8"/>
            <color indexed="81"/>
            <rFont val="Tahoma"/>
            <family val="2"/>
          </rPr>
          <t xml:space="preserve">
resl. 3539/2012
Reduce en 3.088 tons. de sardina comun y 862 tons. de anchoveta.</t>
        </r>
      </text>
    </comment>
    <comment ref="D189" authorId="0">
      <text>
        <r>
          <rPr>
            <b/>
            <sz val="8"/>
            <color indexed="81"/>
            <rFont val="Tahoma"/>
            <family val="2"/>
          </rPr>
          <t>ENORERO:</t>
        </r>
        <r>
          <rPr>
            <sz val="8"/>
            <color indexed="81"/>
            <rFont val="Tahoma"/>
            <family val="2"/>
          </rPr>
          <t xml:space="preserve">
resl. 3539/2012
Reduce en 3.088 tons. de sardina comun y 862 tons. de anchoveta.</t>
        </r>
      </text>
    </comment>
    <comment ref="D190" authorId="0">
      <text>
        <r>
          <rPr>
            <b/>
            <sz val="8"/>
            <color indexed="81"/>
            <rFont val="Tahoma"/>
            <family val="2"/>
          </rPr>
          <t>ENORERO:</t>
        </r>
        <r>
          <rPr>
            <sz val="8"/>
            <color indexed="81"/>
            <rFont val="Tahoma"/>
            <family val="2"/>
          </rPr>
          <t xml:space="preserve">
resl. 3539/2012
Reduce en 3.088 tons. de sardina comun y 862 tons. de anchoveta.</t>
        </r>
      </text>
    </comment>
    <comment ref="D191" authorId="0">
      <text>
        <r>
          <rPr>
            <b/>
            <sz val="8"/>
            <color indexed="81"/>
            <rFont val="Tahoma"/>
            <family val="2"/>
          </rPr>
          <t>ENORERO:</t>
        </r>
        <r>
          <rPr>
            <sz val="8"/>
            <color indexed="81"/>
            <rFont val="Tahoma"/>
            <family val="2"/>
          </rPr>
          <t xml:space="preserve">
resl. 3539/2012
Reduce en 3.088 tons. de sardina comun y 862 tons. de anchoveta.</t>
        </r>
      </text>
    </comment>
    <comment ref="D195" authorId="0">
      <text>
        <r>
          <rPr>
            <b/>
            <sz val="8"/>
            <color indexed="81"/>
            <rFont val="Tahoma"/>
            <family val="2"/>
          </rPr>
          <t>ENORERO:</t>
        </r>
        <r>
          <rPr>
            <sz val="8"/>
            <color indexed="81"/>
            <rFont val="Tahoma"/>
            <family val="2"/>
          </rPr>
          <t xml:space="preserve">
resl. 3539/2012
Reduce en 3.088 tons. de sardina comun y 862 tons. de anchoveta.</t>
        </r>
      </text>
    </comment>
  </commentList>
</comments>
</file>

<file path=xl/comments23.xml><?xml version="1.0" encoding="utf-8"?>
<comments xmlns="http://schemas.openxmlformats.org/spreadsheetml/2006/main">
  <authors>
    <author>ENORERO</author>
    <author>mtirado</author>
  </authors>
  <commentList>
    <comment ref="A1" authorId="0">
      <text>
        <r>
          <rPr>
            <b/>
            <sz val="8"/>
            <color indexed="81"/>
            <rFont val="Tahoma"/>
            <family val="2"/>
          </rPr>
          <t>ENORERO:</t>
        </r>
        <r>
          <rPr>
            <sz val="8"/>
            <color indexed="81"/>
            <rFont val="Tahoma"/>
            <family val="2"/>
          </rPr>
          <t xml:space="preserve">
Decreto N° 250 del 09-03-2012.
</t>
        </r>
      </text>
    </comment>
    <comment ref="I3" authorId="1">
      <text>
        <r>
          <rPr>
            <b/>
            <sz val="8"/>
            <color indexed="81"/>
            <rFont val="Tahoma"/>
            <family val="2"/>
          </rPr>
          <t>mtirado:</t>
        </r>
        <r>
          <rPr>
            <sz val="8"/>
            <color indexed="81"/>
            <rFont val="Tahoma"/>
            <family val="2"/>
          </rPr>
          <t xml:space="preserve">
Conforme a Decreto Nº1030 del 19.10.2012</t>
        </r>
      </text>
    </comment>
  </commentList>
</comments>
</file>

<file path=xl/comments24.xml><?xml version="1.0" encoding="utf-8"?>
<comments xmlns="http://schemas.openxmlformats.org/spreadsheetml/2006/main">
  <authors>
    <author>ENORERO</author>
  </authors>
  <commentList>
    <comment ref="C1" authorId="0">
      <text>
        <r>
          <rPr>
            <b/>
            <sz val="8"/>
            <color indexed="81"/>
            <rFont val="Tahoma"/>
            <family val="2"/>
          </rPr>
          <t>ENORERO:</t>
        </r>
        <r>
          <rPr>
            <sz val="8"/>
            <color indexed="81"/>
            <rFont val="Tahoma"/>
            <family val="2"/>
          </rPr>
          <t xml:space="preserve">
Decreto Ex. N° 250 del 09-03-2012
</t>
        </r>
      </text>
    </comment>
  </commentList>
</comments>
</file>

<file path=xl/sharedStrings.xml><?xml version="1.0" encoding="utf-8"?>
<sst xmlns="http://schemas.openxmlformats.org/spreadsheetml/2006/main" count="19861" uniqueCount="1323">
  <si>
    <t>Recurso</t>
  </si>
  <si>
    <t>Unidad de pesquería</t>
  </si>
  <si>
    <t>Cuota Global (t)</t>
  </si>
  <si>
    <t>Desembarque total (t)</t>
  </si>
  <si>
    <t>Saldo total (t)</t>
  </si>
  <si>
    <t>Jurel</t>
  </si>
  <si>
    <t>III</t>
  </si>
  <si>
    <t>IV</t>
  </si>
  <si>
    <t>V     (RAE por Org)</t>
  </si>
  <si>
    <t>VIII</t>
  </si>
  <si>
    <t>Otras regiones (XV,I, II, VI, VII, IX, XIV y X)</t>
  </si>
  <si>
    <t>Anchoveta</t>
  </si>
  <si>
    <t>VIII     (RAE por Org)</t>
  </si>
  <si>
    <t>XIV     (RAE por Org)</t>
  </si>
  <si>
    <t>X     (RAE por Org)</t>
  </si>
  <si>
    <t>Otras regiones (XV a IV, VI, VII y IX)</t>
  </si>
  <si>
    <t>Sardina común</t>
  </si>
  <si>
    <t>Otras regiones (VI, VII y IX)</t>
  </si>
  <si>
    <t>Merluza común</t>
  </si>
  <si>
    <t xml:space="preserve">V  </t>
  </si>
  <si>
    <t xml:space="preserve">VII </t>
  </si>
  <si>
    <t>Otras regiones (IV, VI, IX, XIV y X)</t>
  </si>
  <si>
    <t>Merluza del sur</t>
  </si>
  <si>
    <t>X</t>
  </si>
  <si>
    <t xml:space="preserve">XI </t>
  </si>
  <si>
    <t>XII</t>
  </si>
  <si>
    <t>Camarón nailon</t>
  </si>
  <si>
    <t>V</t>
  </si>
  <si>
    <t>Otras regiones (II, III, VI a VIII)</t>
  </si>
  <si>
    <t>Congrio dorado</t>
  </si>
  <si>
    <t>X - XII</t>
  </si>
  <si>
    <t>Langostino amarillo</t>
  </si>
  <si>
    <t>Langostino colorado</t>
  </si>
  <si>
    <t>II</t>
  </si>
  <si>
    <t>IX</t>
  </si>
  <si>
    <t>XI</t>
  </si>
  <si>
    <t>Sardina española</t>
  </si>
  <si>
    <t>XV y I</t>
  </si>
  <si>
    <t>III - IV</t>
  </si>
  <si>
    <t>VI</t>
  </si>
  <si>
    <t>VII</t>
  </si>
  <si>
    <t xml:space="preserve">IV </t>
  </si>
  <si>
    <t xml:space="preserve">VI </t>
  </si>
  <si>
    <t xml:space="preserve">VIII    </t>
  </si>
  <si>
    <t xml:space="preserve">IX </t>
  </si>
  <si>
    <t>XIV-X</t>
  </si>
  <si>
    <t>Cuota (t)</t>
  </si>
  <si>
    <t>Desembarque (t)</t>
  </si>
  <si>
    <t>Saldo (t)</t>
  </si>
  <si>
    <t>Saldo %</t>
  </si>
  <si>
    <t>Fecha de Cierre</t>
  </si>
  <si>
    <t>Unidad de Pesquería</t>
  </si>
  <si>
    <t>Período</t>
  </si>
  <si>
    <t>Asignada</t>
  </si>
  <si>
    <t>Efectiva</t>
  </si>
  <si>
    <t>Global</t>
  </si>
  <si>
    <t>Ene - Jun</t>
  </si>
  <si>
    <t>Jul - Dic</t>
  </si>
  <si>
    <t>Ene - Oct</t>
  </si>
  <si>
    <t>Nov - Dic</t>
  </si>
  <si>
    <r>
      <t xml:space="preserve">V   </t>
    </r>
    <r>
      <rPr>
        <sz val="8"/>
        <rFont val="@Arial Unicode MS"/>
        <family val="2"/>
      </rPr>
      <t xml:space="preserve">  (RAE por Org)</t>
    </r>
  </si>
  <si>
    <t>Ene-Abr</t>
  </si>
  <si>
    <t>May-Ago</t>
  </si>
  <si>
    <t>Sep-Dic</t>
  </si>
  <si>
    <r>
      <t xml:space="preserve">VIII   </t>
    </r>
    <r>
      <rPr>
        <sz val="8"/>
        <rFont val="@Arial Unicode MS"/>
        <family val="2"/>
      </rPr>
      <t xml:space="preserve">  (RAE por Org)</t>
    </r>
  </si>
  <si>
    <t>Ene- Ago</t>
  </si>
  <si>
    <t>Sep - Dic</t>
  </si>
  <si>
    <r>
      <t xml:space="preserve">XIV </t>
    </r>
    <r>
      <rPr>
        <sz val="8"/>
        <rFont val="@Arial Unicode MS"/>
        <family val="2"/>
      </rPr>
      <t>(RAE por Org)</t>
    </r>
  </si>
  <si>
    <r>
      <t xml:space="preserve">X </t>
    </r>
    <r>
      <rPr>
        <sz val="8"/>
        <rFont val="@Arial Unicode MS"/>
        <family val="2"/>
      </rPr>
      <t>(RAE por Org)</t>
    </r>
  </si>
  <si>
    <t>Ene-Jun</t>
  </si>
  <si>
    <t>Jul-Dic</t>
  </si>
  <si>
    <t>Ene - Mar</t>
  </si>
  <si>
    <t>Abr - Ago</t>
  </si>
  <si>
    <t>JUREL</t>
  </si>
  <si>
    <t>Oct-Dic</t>
  </si>
  <si>
    <t>Ene-Oct</t>
  </si>
  <si>
    <t>Nov-Dic</t>
  </si>
  <si>
    <r>
      <t>V</t>
    </r>
    <r>
      <rPr>
        <sz val="8"/>
        <rFont val="@Arial Unicode MS"/>
        <family val="2"/>
      </rPr>
      <t xml:space="preserve"> (RAE por ORG)</t>
    </r>
  </si>
  <si>
    <r>
      <t>XIV</t>
    </r>
    <r>
      <rPr>
        <sz val="8"/>
        <rFont val="@Arial Unicode MS"/>
        <family val="2"/>
      </rPr>
      <t xml:space="preserve"> (RAE por Org)</t>
    </r>
  </si>
  <si>
    <t>Abr - Jun</t>
  </si>
  <si>
    <t>Jul - Sep</t>
  </si>
  <si>
    <t>Oct - Dic</t>
  </si>
  <si>
    <t>IV Norte</t>
  </si>
  <si>
    <t xml:space="preserve">IV Centro </t>
  </si>
  <si>
    <t>IV Sur</t>
  </si>
  <si>
    <t>V  Norte</t>
  </si>
  <si>
    <r>
      <t>V  Centro</t>
    </r>
    <r>
      <rPr>
        <sz val="8"/>
        <rFont val="@Arial Unicode MS"/>
        <family val="2"/>
      </rPr>
      <t xml:space="preserve">  </t>
    </r>
  </si>
  <si>
    <t>V  Sur</t>
  </si>
  <si>
    <t>VI Norte</t>
  </si>
  <si>
    <t>VI Sur</t>
  </si>
  <si>
    <t>VII Norte 1</t>
  </si>
  <si>
    <t>VII Norte 2</t>
  </si>
  <si>
    <t>VII Centro</t>
  </si>
  <si>
    <t>VII Sur</t>
  </si>
  <si>
    <t>VIII Norte</t>
  </si>
  <si>
    <t xml:space="preserve">VIII Centro </t>
  </si>
  <si>
    <t>VIII Sur</t>
  </si>
  <si>
    <t>XIV - X</t>
  </si>
  <si>
    <t>Abr - Jul</t>
  </si>
  <si>
    <t>Sept - Oct</t>
  </si>
  <si>
    <r>
      <t xml:space="preserve">V     </t>
    </r>
    <r>
      <rPr>
        <sz val="8"/>
        <rFont val="@Arial Unicode MS"/>
        <family val="2"/>
      </rPr>
      <t>(RAE por ORG)</t>
    </r>
  </si>
  <si>
    <t>Ene- Abr</t>
  </si>
  <si>
    <t>May - Ago</t>
  </si>
  <si>
    <r>
      <t xml:space="preserve">VIII    </t>
    </r>
    <r>
      <rPr>
        <sz val="8"/>
        <rFont val="@Arial Unicode MS"/>
        <family val="2"/>
      </rPr>
      <t xml:space="preserve"> (RAE por ORG)</t>
    </r>
  </si>
  <si>
    <t>Ene- Jun</t>
  </si>
  <si>
    <t>V  Región, de Valparaíso</t>
  </si>
  <si>
    <t>Organización</t>
  </si>
  <si>
    <t>Periodo</t>
  </si>
  <si>
    <t>Cuota asignada (t)</t>
  </si>
  <si>
    <t>Cuota efectiva (t)</t>
  </si>
  <si>
    <t>%</t>
  </si>
  <si>
    <t>Total</t>
  </si>
  <si>
    <t>VIII Región, del Bio Bio</t>
  </si>
  <si>
    <t>Ene-Ago</t>
  </si>
  <si>
    <t>XIV Región, de Los Ríos</t>
  </si>
  <si>
    <t>ACERVAL., R.A.G. 207-10</t>
  </si>
  <si>
    <t>ACER., R.A.G. 3793 de 2007</t>
  </si>
  <si>
    <t>ARMAPES., R.A.G. 264-10</t>
  </si>
  <si>
    <t>Sind. Pesc. Art. Y Arm. Cerqueros de Valdivia. R.S.U. 10.02.0409</t>
  </si>
  <si>
    <t>Cuota bolsón o residual</t>
  </si>
  <si>
    <t>X Región, de Los Lagos</t>
  </si>
  <si>
    <t>ASARCECHI., R.A.G. 3532</t>
  </si>
  <si>
    <t>Asc. Arm. Art de la Décima Región., R.A.G.156-10</t>
  </si>
  <si>
    <t>AQUEPESCA., R.A.G.270-10</t>
  </si>
  <si>
    <t>SIPESRAYEN., R.A.G.10.01.0870</t>
  </si>
  <si>
    <t>Sind. Pesc. Art. Caleta San Rafael., R.S.U.10.01.0573</t>
  </si>
  <si>
    <t>V REGION</t>
  </si>
  <si>
    <t>Desembarque</t>
  </si>
  <si>
    <t>Saldo</t>
  </si>
  <si>
    <t>IV Región, de Coquimbo</t>
  </si>
  <si>
    <t>Area</t>
  </si>
  <si>
    <t>% consumido</t>
  </si>
  <si>
    <t>Norte</t>
  </si>
  <si>
    <t xml:space="preserve">Centro </t>
  </si>
  <si>
    <t>Sur</t>
  </si>
  <si>
    <t>V Región, de Valparaíso</t>
  </si>
  <si>
    <t>Ene-Jul</t>
  </si>
  <si>
    <t>VI Región, de O'higgins</t>
  </si>
  <si>
    <t>VII Región, del Maule</t>
  </si>
  <si>
    <t>Norte I</t>
  </si>
  <si>
    <t>Norte II</t>
  </si>
  <si>
    <t>XV y I Región, Arica e Iquique</t>
  </si>
  <si>
    <t>Mes</t>
  </si>
  <si>
    <t>Total mes</t>
  </si>
  <si>
    <t>TOTAL</t>
  </si>
  <si>
    <t>Enero</t>
  </si>
  <si>
    <t>Febrero</t>
  </si>
  <si>
    <t>Marzo</t>
  </si>
  <si>
    <t>Abril</t>
  </si>
  <si>
    <t>Mayo</t>
  </si>
  <si>
    <t>Junio</t>
  </si>
  <si>
    <t>Julio</t>
  </si>
  <si>
    <t>Agosto</t>
  </si>
  <si>
    <t>Septiembre</t>
  </si>
  <si>
    <t>Octubre</t>
  </si>
  <si>
    <t>Noviembre</t>
  </si>
  <si>
    <t>Diciembre</t>
  </si>
  <si>
    <t>II Región, de Antofasta</t>
  </si>
  <si>
    <t>III Región, de Atacama</t>
  </si>
  <si>
    <t>IX Región, de la Araucanía</t>
  </si>
  <si>
    <t>V Región A.G. Armadores artesanales del Puerto de San Antonio R.A.G. N° 2510</t>
  </si>
  <si>
    <t>Región</t>
  </si>
  <si>
    <t>Veda</t>
  </si>
  <si>
    <t>Centro</t>
  </si>
  <si>
    <t>XIV- X Región, de Los Ríos y Los Lagos</t>
  </si>
  <si>
    <t>Cuota Total</t>
  </si>
  <si>
    <t>Cuota Efectiva</t>
  </si>
  <si>
    <t>Cant.desemb.</t>
  </si>
  <si>
    <t xml:space="preserve">Saldo </t>
  </si>
  <si>
    <t>Modificación cuota</t>
  </si>
  <si>
    <t>Cuota por zona</t>
  </si>
  <si>
    <t>Autorizada</t>
  </si>
  <si>
    <t xml:space="preserve">Autorizada </t>
  </si>
  <si>
    <t xml:space="preserve">Total </t>
  </si>
  <si>
    <t>R.EX</t>
  </si>
  <si>
    <t>cuota adic</t>
  </si>
  <si>
    <t>des. Adic</t>
  </si>
  <si>
    <t>Zona</t>
  </si>
  <si>
    <t xml:space="preserve">Descuento </t>
  </si>
  <si>
    <t>(t)</t>
  </si>
  <si>
    <t>Resumen total</t>
  </si>
  <si>
    <r>
      <t xml:space="preserve">Hualaihué: </t>
    </r>
    <r>
      <rPr>
        <sz val="10"/>
        <rFont val="@Arial Unicode MS"/>
        <family val="2"/>
      </rPr>
      <t xml:space="preserve"> Aulén,Chauchil, Contao, Cuberos, Hualaihué Estero, Hualaihué Puerto, Llegiman, Mañihueico,Queten, Rolecha, Tentelhué, Cholgo, El Manzano, Fiordo Comau, Hornopirén, Llanchid, Los Toros, Pichicolo, Puerto Bonito, Puntilla Pichicolo, Puntilla Quellón, Quiacas, San Pedro del Manzano, Sirenita Pichicolo, Unión y Esfuerzo Puntilla Pichicolo</t>
    </r>
  </si>
  <si>
    <r>
      <t xml:space="preserve">Los Lagos: </t>
    </r>
    <r>
      <rPr>
        <sz val="10"/>
        <rFont val="@Arial Unicode MS"/>
        <family val="2"/>
      </rPr>
      <t>Hueihue, Huelden, Dalcahue, Isla Chanques, Isla Tac, Aucho, Tenaun e Isla Llingua</t>
    </r>
  </si>
  <si>
    <r>
      <t xml:space="preserve">Dalcahue: </t>
    </r>
    <r>
      <rPr>
        <sz val="10"/>
        <rFont val="@Arial Unicode MS"/>
        <family val="2"/>
      </rPr>
      <t>Los Toros, Coñimo, Linao, Llingua, Manao, Mechuque, Meulin, Tenaun, Teuquelin, Lliuco, Hueihue, Huelden, Aucho, Huite, Dalcahue, Isla Butachauques e isla Tac</t>
    </r>
  </si>
  <si>
    <r>
      <t xml:space="preserve">Patagonia: </t>
    </r>
    <r>
      <rPr>
        <sz val="10"/>
        <rFont val="@Arial Unicode MS"/>
        <family val="2"/>
      </rPr>
      <t>Loyola, Poyo, Hueque, Aycara, Buill y Chumelden</t>
    </r>
  </si>
  <si>
    <r>
      <t xml:space="preserve">Palena: </t>
    </r>
    <r>
      <rPr>
        <sz val="10"/>
        <rFont val="@Arial Unicode MS"/>
        <family val="2"/>
      </rPr>
      <t>Loyola, Poyo, Hueque, Aycara, Buill y Chumelden</t>
    </r>
  </si>
  <si>
    <t>R.Ex</t>
  </si>
  <si>
    <t>Con descuento</t>
  </si>
  <si>
    <t>Sur I</t>
  </si>
  <si>
    <t>Sur II</t>
  </si>
  <si>
    <t>Flota Sur I</t>
  </si>
  <si>
    <t>Flota Sur II</t>
  </si>
  <si>
    <t>Flota Norte I</t>
  </si>
  <si>
    <t>Flota Norte II</t>
  </si>
  <si>
    <t>Consultor</t>
  </si>
  <si>
    <t>Cuota  asignada (t)</t>
  </si>
  <si>
    <t>Aumento cuota (t)</t>
  </si>
  <si>
    <t>Descuento (t)</t>
  </si>
  <si>
    <t>Cuota c/desc (t)</t>
  </si>
  <si>
    <t>Sind. Chacabuco-Walter Montiel</t>
  </si>
  <si>
    <t>Sind. Archipielago del Sur</t>
  </si>
  <si>
    <t>Coopesgal</t>
  </si>
  <si>
    <t>STI Bahía Chacabuco</t>
  </si>
  <si>
    <t>STI. Elefantes</t>
  </si>
  <si>
    <t>Cooperativa Milenaria</t>
  </si>
  <si>
    <t>STI. Canal Puyuhuapi</t>
  </si>
  <si>
    <t>Cuota Residual</t>
  </si>
  <si>
    <t>Aycon</t>
  </si>
  <si>
    <t>STI.N° 1 Puerto Puyuhuapi</t>
  </si>
  <si>
    <t>STI. Raúl Marin Balmaceda</t>
  </si>
  <si>
    <t>STI. Litoral Norte</t>
  </si>
  <si>
    <t>STI.N° 1 Puerto Cisnes</t>
  </si>
  <si>
    <t>AG. Isla Toto</t>
  </si>
  <si>
    <t>Rodrigo Azocar</t>
  </si>
  <si>
    <t>Coopefish</t>
  </si>
  <si>
    <t>STI. El Pitico</t>
  </si>
  <si>
    <t>AG. Demersal</t>
  </si>
  <si>
    <t>Cuota Total asignada (t)</t>
  </si>
  <si>
    <t>Cuota Total efectiva (t)</t>
  </si>
  <si>
    <t>Cuota asignada por zona (t)</t>
  </si>
  <si>
    <t>Exceso</t>
  </si>
  <si>
    <t>Cuota efectiva por zona (Ton)</t>
  </si>
  <si>
    <t>Desembarque por zona (t)</t>
  </si>
  <si>
    <t>Saldo por zona (t)</t>
  </si>
  <si>
    <t>Pta Arenas</t>
  </si>
  <si>
    <t>III y IV Regiones, de Atacama y Coquimbo</t>
  </si>
  <si>
    <t>V región</t>
  </si>
  <si>
    <t>Caleta Tubul.R.O.Comunitaria Funcional 478-2007</t>
  </si>
  <si>
    <t>AGREPAR BIO BIO A.G 468-8</t>
  </si>
  <si>
    <t>ARPESCA.R.A.G. 429-8</t>
  </si>
  <si>
    <t>ARPES BIO BIO R.A.G.445-8</t>
  </si>
  <si>
    <t>SIARPAR R.A.G.448-8</t>
  </si>
  <si>
    <t>ARMAR R.A.G. 384-8</t>
  </si>
  <si>
    <t>AGEMAPAR R.A.G.376-8</t>
  </si>
  <si>
    <t>ARPROPELAR R.A.G.353-8</t>
  </si>
  <si>
    <t>ITALMAR R.A.G.392-8</t>
  </si>
  <si>
    <t>A.G. Pescadores Artesanales de Coronel R.A.G.5-8</t>
  </si>
  <si>
    <t>A.G. Pescadores Artesanales de San Vicente R.A.G.18-8</t>
  </si>
  <si>
    <t>PESCA MAR R.A.G. 450-8</t>
  </si>
  <si>
    <t>GEMAR R.A.G.464-8</t>
  </si>
  <si>
    <t>ARPESCA R.A.G.447-8</t>
  </si>
  <si>
    <t>Cooperativa Pelilleros Isla Sta. María Ltda. Rol 1826</t>
  </si>
  <si>
    <t>Cooperativa GEVIMAR. Rol 4465</t>
  </si>
  <si>
    <t>STI.Lo Rojas y Caletas del Golfo de Arauco.R.S.U.08.07.0307</t>
  </si>
  <si>
    <t>STI. SPAADA. R.S.U. 08.05.0339</t>
  </si>
  <si>
    <t>STI. SIPARMAR R.S.U.08.05.0399</t>
  </si>
  <si>
    <t>STI. Brisas del Mar R.S.U.08.04.0115</t>
  </si>
  <si>
    <t>STI. SARPAR BIO BIO. R.S.U. 08.05.0378</t>
  </si>
  <si>
    <t>STI. SITRAL. R.S.U.08.07.0322</t>
  </si>
  <si>
    <t>STI. MAR AZUL. R.S.U. 08.05.0434</t>
  </si>
  <si>
    <t>STI. Sindicato Tsunami R.S.U. 08.05.0428</t>
  </si>
  <si>
    <t>STI. Merluceros y afines Caleta Lo Rojas. R.S.U.08.07.0227</t>
  </si>
  <si>
    <t>STI. SIPARMARCEA. R.S.U.08.05.0430</t>
  </si>
  <si>
    <t>STI. APAT. R.S.U.08.05.0380</t>
  </si>
  <si>
    <t>STI. Caleta Tumbes. R.S.U.08.05.0057</t>
  </si>
  <si>
    <t>STI. SPARHITAL. R.S.U.08.05.0382</t>
  </si>
  <si>
    <t>STI. Peninsula de Tumbes. R.S.U.08.05.0391</t>
  </si>
  <si>
    <t>STI. Los Bagres.R.S.U.08.06.0024</t>
  </si>
  <si>
    <t>STI. Puerto de Coronel y el Golfo de Arauco. R.S.U.08.07.0183</t>
  </si>
  <si>
    <t>STI. Caleta Lota Bajo. R.S.U.08.07.0106</t>
  </si>
  <si>
    <t>STI. Caleta Cocholgüe. R.S.U.08.06.0023</t>
  </si>
  <si>
    <t>STI. Caleta Coliumo. R.S.U.08.06.0027</t>
  </si>
  <si>
    <t>STI.SIPESMAFESA. R.S.U. 08.07.0332</t>
  </si>
  <si>
    <t>STI. SIPARMA LOTA. R.S.U.08.07.0306</t>
  </si>
  <si>
    <t>STI. SIPARMA CORONEL. R.S.U.08.07.0271</t>
  </si>
  <si>
    <t>STI. SIPEAYRAS. R.S.U.08.07.0296</t>
  </si>
  <si>
    <t>STI. Caletas Tomé y Quichiuto. R.S.U.08.06.0043</t>
  </si>
  <si>
    <t>STI. SIPAR GENTE DE MAR. R.S.U. 08.07.0326</t>
  </si>
  <si>
    <t>STI. SIPARBUM. R.S.U. 08.05.0424</t>
  </si>
  <si>
    <t>STI. Hermandad de la Costa. R.S.U. 08.05.0404</t>
  </si>
  <si>
    <t>STI. SARPE. R.S.U. 08.05.0398</t>
  </si>
  <si>
    <t>Cuota bolsón</t>
  </si>
  <si>
    <t>A.G. Armadores Artesanales San Antonio R.A.G. 2510</t>
  </si>
  <si>
    <t>Pescadores artesanales no afiliados</t>
  </si>
  <si>
    <t>Sind. Arm. y Trip. de la Isla de Chiloé, R.S.U.10.04.0214</t>
  </si>
  <si>
    <t>Herederos del Arte</t>
  </si>
  <si>
    <t>Sind. Ind. Corcovado.R.S.U.10.16.0040</t>
  </si>
  <si>
    <t>Sind.Comuna de Quellón.R.S.U.10.16.0010</t>
  </si>
  <si>
    <t>% consumido 2011</t>
  </si>
  <si>
    <t>Ene-Sept</t>
  </si>
  <si>
    <t>X Región, De los Lagos</t>
  </si>
  <si>
    <t>XI Región, de Aysén</t>
  </si>
  <si>
    <t>XII Región, de Magallanes</t>
  </si>
  <si>
    <t>STI. Caleta Portales R.S.U.05.01.037</t>
  </si>
  <si>
    <t>STI. Concón R.S.U. 05.6.043</t>
  </si>
  <si>
    <t>COOPESUR</t>
  </si>
  <si>
    <t>CODEMAIH</t>
  </si>
  <si>
    <t>Ene-Sep</t>
  </si>
  <si>
    <t>STI. Artesanales de Amargo R.S.U.14.01.0105</t>
  </si>
  <si>
    <t>STI. Caleta de Los Molinos R.S.U.14.01.0136</t>
  </si>
  <si>
    <t>STI. Gente de Mar R.S.U.14.01.0266</t>
  </si>
  <si>
    <t>STI. Pescadores Artesanales de Bonifacio R.S.U.14.01.0140</t>
  </si>
  <si>
    <t>STI. Pescadores Artesanales de Corral R.S.U.14.01.0115</t>
  </si>
  <si>
    <t>STI. Balneario de Niebla R.S.U.14.01.0127</t>
  </si>
  <si>
    <t>STI. Caleta Tres Espino Niebla R.S.U.14.01.0270</t>
  </si>
  <si>
    <t>STI. Artesanales Históricos de Valdivia R.S.U.14.01.0514</t>
  </si>
  <si>
    <t>SIARPEMAR R.S.U.08.05.0459</t>
  </si>
  <si>
    <t>STI. Caleta Lo Rojas R.S.U 08.07.0287</t>
  </si>
  <si>
    <t>STI. Patrones y tripulantes Caleta Cocholgüe R.S.U08.0601.06</t>
  </si>
  <si>
    <t>STI. Comuna Talcahuano R.S.U.08.05.0487</t>
  </si>
  <si>
    <t>STI. Río Maipo R.S.U.08.05.0488</t>
  </si>
  <si>
    <t>STI. Comuna de Lota R.S.U.08.07.0220</t>
  </si>
  <si>
    <t>STI.Isla Maria Puerto Sur R.S.U.08.07.0364</t>
  </si>
  <si>
    <t>A.G.APESCA R.A.G. 428-8</t>
  </si>
  <si>
    <t>STI. Proacentro de Duao (Norte II)</t>
  </si>
  <si>
    <t>Cuota residual (Norte II)</t>
  </si>
  <si>
    <t>STI. Proacentro de Duao Norte II</t>
  </si>
  <si>
    <t>CATEGORIA</t>
  </si>
  <si>
    <t>CUOTA ANUAL</t>
  </si>
  <si>
    <t>EXTRAIDO</t>
  </si>
  <si>
    <t>SALDO</t>
  </si>
  <si>
    <t>VEDA</t>
  </si>
  <si>
    <t>Resumen Global Cuotas Artesanales 2012</t>
  </si>
  <si>
    <t>Resumen Artesanal por unidad de pesquería, 2012</t>
  </si>
  <si>
    <t>VADA</t>
  </si>
  <si>
    <t>Pta. Arenas</t>
  </si>
  <si>
    <t>Pto. Natales</t>
  </si>
  <si>
    <t>Total XII</t>
  </si>
  <si>
    <t>veda</t>
  </si>
  <si>
    <t>IV  Región, de Coquimbo</t>
  </si>
  <si>
    <t>A.G. de pescadores Art.  Y Buzos Marisc. De Coquimbo IV Región</t>
  </si>
  <si>
    <t xml:space="preserve">Cuota Residual  - Bolson </t>
  </si>
  <si>
    <t>Resumen RAE Anchoveta 2012</t>
  </si>
  <si>
    <t>Cooperativa de Armadores Cerqueros IV Región</t>
  </si>
  <si>
    <t>IV REGIÓN</t>
  </si>
  <si>
    <t>Cooperativa de Armadores Cerqueros IV región</t>
  </si>
  <si>
    <t xml:space="preserve">Cuota residual - Bolson </t>
  </si>
  <si>
    <t>A.G. de pescadores Artesanales y Buzos Mariscadores de Coquimbo - IV Región</t>
  </si>
  <si>
    <t>IV Región</t>
  </si>
  <si>
    <t>Merluza sur, aguas interiores de la  X Región 2012</t>
  </si>
  <si>
    <t>Hualaihue (Pupelde)</t>
  </si>
  <si>
    <t>Puerto Montt A (Pupelde)</t>
  </si>
  <si>
    <t>Puerto Montt B (Mares Chile)</t>
  </si>
  <si>
    <t>Palena (Mares Chile )</t>
  </si>
  <si>
    <t>Patagonia (Mares Chile )</t>
  </si>
  <si>
    <t>Calbuco A (Pupelde )</t>
  </si>
  <si>
    <t xml:space="preserve">Chiloe A (Pupelde ) </t>
  </si>
  <si>
    <t>Chiloe B (Mares Chile)</t>
  </si>
  <si>
    <t>Chiloe C (Itekmar)</t>
  </si>
  <si>
    <t>Calbuco C (Itekmar)</t>
  </si>
  <si>
    <t>CalbucoB (Mares Chile)</t>
  </si>
  <si>
    <t>% consumido 2012</t>
  </si>
  <si>
    <t>Veda X y XI Región cada año entre  el 16 enero y el 1° de marzo de cada año</t>
  </si>
  <si>
    <t>Veda XII región cada año, entre el 1 de septiembre y hasta y 15 marzo año sgte.</t>
  </si>
  <si>
    <t>AG. Sur Pesca</t>
  </si>
  <si>
    <t>Pesc. Art. Aysen</t>
  </si>
  <si>
    <t>AG. Aysen</t>
  </si>
  <si>
    <t>Sind. Aysen - Canal Costa</t>
  </si>
  <si>
    <t>Sind. Aysen - Los Chonos</t>
  </si>
  <si>
    <t>No asociados Aysen Chacabuco</t>
  </si>
  <si>
    <t>Sindicato Aguirre-Moraleda</t>
  </si>
  <si>
    <t>STI. Pesca Artesanal N°1 Islas Huichas</t>
  </si>
  <si>
    <t>STI. "Nuevo Amanecer"</t>
  </si>
  <si>
    <t>SIND. Aguirre- Aguas Claras</t>
  </si>
  <si>
    <t>SIND. Aguirre- Mares Del Sur</t>
  </si>
  <si>
    <t>NO Asociados Aguirre - Andrade</t>
  </si>
  <si>
    <t>Sind. Puyuhuapi B.M. Pesc.Artes</t>
  </si>
  <si>
    <t>STI. Puerto Puyuhuapi "Los Delfines"</t>
  </si>
  <si>
    <t>STI. Esfuerzo del Moraleda de Pto. Gala</t>
  </si>
  <si>
    <t>Sind. Puyuhuapi - Nuevo Horizonte</t>
  </si>
  <si>
    <t>No Asociados - Gala</t>
  </si>
  <si>
    <t>Coop. Pioneros del Mar de Pto. Cisnes "Coopacis"</t>
  </si>
  <si>
    <t>STI. De la pesca artesanal de Puerto Gaviota</t>
  </si>
  <si>
    <t>AG. De Puerto Cisnes</t>
  </si>
  <si>
    <t>STI. Moraleda De Puerto Cisnes</t>
  </si>
  <si>
    <t>STI. Sind. Cisnes - La Unión</t>
  </si>
  <si>
    <t>STI. Moraleda de Pto. Gaviota</t>
  </si>
  <si>
    <t>STI. Amparo de Pto. Gaviota</t>
  </si>
  <si>
    <t>No Asociados - Cisnes</t>
  </si>
  <si>
    <t>No Asociados Aguirre - Andrade</t>
  </si>
  <si>
    <t>No Asociados Gala - Aycon</t>
  </si>
  <si>
    <t>Ecomar SA.</t>
  </si>
  <si>
    <t>STI. Rio Aysen</t>
  </si>
  <si>
    <t>Coop. De puerto Aguirre "Copeagu"</t>
  </si>
  <si>
    <t>STI. Andrade - Islas Huichas N° 3</t>
  </si>
  <si>
    <t>STI. De La pesca Artesanal de Caleta Andrade</t>
  </si>
  <si>
    <t>Sind. Gala - Antonio Ronchi</t>
  </si>
  <si>
    <t>Sid. Aysen - Los eternos Navegantes</t>
  </si>
  <si>
    <t>Bahía Mar</t>
  </si>
  <si>
    <t>STI. Estuario de Aysen</t>
  </si>
  <si>
    <t>STI. Pescadores Artesanales Litoral Sur</t>
  </si>
  <si>
    <t>STI. Pescadores Artesanales Playas Blancas</t>
  </si>
  <si>
    <t>SIND. Andrade - Francisco Andrade</t>
  </si>
  <si>
    <t>SIND. - Gala N° 1</t>
  </si>
  <si>
    <t>Sind. Cisnes - Pesca. Art. Y B.M.</t>
  </si>
  <si>
    <t>No Asociados Norte 2</t>
  </si>
  <si>
    <t>STI. De Buzos y Pescadores Artesanales "Sindeqpay" de pto. Aysen</t>
  </si>
  <si>
    <t>STI. Pescadores Artesanales Última Esperanza</t>
  </si>
  <si>
    <t>Congrio dorado 2012</t>
  </si>
  <si>
    <t>Resumen RAE Merluza común 2012</t>
  </si>
  <si>
    <t>Sardina española 2012</t>
  </si>
  <si>
    <t>Merluza sur, aguas interiores de la XII Región 2012</t>
  </si>
  <si>
    <t>Merluza sur, aguas interiores de la XI Región 2012</t>
  </si>
  <si>
    <t>Langostino amarillo 2012</t>
  </si>
  <si>
    <t>Langostino colorado 2012</t>
  </si>
  <si>
    <t>Camarón nailon 2012</t>
  </si>
  <si>
    <t>RAE Sardina común 2012</t>
  </si>
  <si>
    <t>Jurel 2012</t>
  </si>
  <si>
    <t>RAE Jurel 2012</t>
  </si>
  <si>
    <t>Resumen RAE Jurel 2012</t>
  </si>
  <si>
    <t>RAE Merluza común 2012</t>
  </si>
  <si>
    <t>Sardina común 2012</t>
  </si>
  <si>
    <t>Resumen RAE Sardina común 2012</t>
  </si>
  <si>
    <t>Anchoveta 2012</t>
  </si>
  <si>
    <t>RAE Anchoveta 2012</t>
  </si>
  <si>
    <t>Resumen por Periodo Cuota Artesanal 2012</t>
  </si>
  <si>
    <t>Sind. Trab. Indp. Y Ram Afn. PERCERVAL R.S.U. 10.01.0948</t>
  </si>
  <si>
    <t>Sind. Trab. Indp. Y Ram Afn. PERCERCAL R.S.U. 10.01.0948</t>
  </si>
  <si>
    <t>Cuota Bolsón o Residual</t>
  </si>
  <si>
    <t>APEVAL AG. R.A.G N° 29-14</t>
  </si>
  <si>
    <t>ACERMAR A.G. R.A.G. N ° 4205</t>
  </si>
  <si>
    <t>S.T.I. Buz. Y Pesc. De MEHUÍN N° 1 R.S.U. 14.03.0021</t>
  </si>
  <si>
    <t>S.T.I. Buz. Y Pesc. De MEHUÍN N° 2 R.S.U. 14.03.0090</t>
  </si>
  <si>
    <t>S.T.I. Buz. Y Marisc.  De MEHUÍN N° 2 R.S.U. 14.03.0090</t>
  </si>
  <si>
    <t>Exceso 2011</t>
  </si>
  <si>
    <t>ZONAS CON EXCESOS</t>
  </si>
  <si>
    <t>desctos</t>
  </si>
  <si>
    <t xml:space="preserve"> </t>
  </si>
  <si>
    <t>Calbuco B (Mares Chile)</t>
  </si>
  <si>
    <t>Cuota Anual 2012</t>
  </si>
  <si>
    <t>% Descuentos</t>
  </si>
  <si>
    <t>Cuota efectiva 2011   - exceso</t>
  </si>
  <si>
    <t xml:space="preserve">Porvenir </t>
  </si>
  <si>
    <t>Merluza del sur XII Región</t>
  </si>
  <si>
    <t>Calbuco A Pupelde ( Ex Aguas Azules)</t>
  </si>
  <si>
    <r>
      <t xml:space="preserve">Puerto Montt A (Pupelde): </t>
    </r>
    <r>
      <rPr>
        <sz val="10"/>
        <rFont val="@Arial Unicode MS"/>
        <family val="2"/>
      </rPr>
      <t>Anahuac, Isla Maillen, Chaicas, Caleta Gutiérrez, Yerbas Buenas, La Arena, Pichi-Pelluco, Isla Quellin, Isla Los Toros</t>
    </r>
  </si>
  <si>
    <r>
      <t>Calbuco C Itekmar (EX Isalas calbuco Itekmar) :</t>
    </r>
    <r>
      <rPr>
        <sz val="10"/>
        <rFont val="@Arial Unicode MS"/>
        <family val="2"/>
      </rPr>
      <t xml:space="preserve"> Calbuco,Isla Huar, Isla Queullín, Isla Tabón, La Vega, Perhue y San Agustín</t>
    </r>
  </si>
  <si>
    <t>ZONA</t>
  </si>
  <si>
    <t>AYER</t>
  </si>
  <si>
    <t>HOY</t>
  </si>
  <si>
    <t>PTO. MONTT PUPELDE</t>
  </si>
  <si>
    <t>PTO. MONTT  A  PUPELDE</t>
  </si>
  <si>
    <t>SUB ZONA PTO. MONTT FUNCHI</t>
  </si>
  <si>
    <t>PTO. MONTT  B  MARES</t>
  </si>
  <si>
    <t>AGUAS AZULES</t>
  </si>
  <si>
    <t>CALBUCO A  Pupelde</t>
  </si>
  <si>
    <t xml:space="preserve"> ISLAS CALBUCO MARES</t>
  </si>
  <si>
    <t>CALBUCO B  Mares</t>
  </si>
  <si>
    <t xml:space="preserve"> ISLAS CALBUCO ITEKMAR</t>
  </si>
  <si>
    <t>CALBUCO C  Itekmar</t>
  </si>
  <si>
    <t>HUALAIHUE</t>
  </si>
  <si>
    <t>CH DALCAHUE</t>
  </si>
  <si>
    <t>CHILOE A Pupelde</t>
  </si>
  <si>
    <t>CH   LOS LAGOS MARES</t>
  </si>
  <si>
    <t>CHILOE B Mares</t>
  </si>
  <si>
    <t>CH  LOS LAGOS ITEKMAR</t>
  </si>
  <si>
    <t>CHILOE C Itekmar</t>
  </si>
  <si>
    <t>PALENA (PALENA)</t>
  </si>
  <si>
    <t>PALENA Mares</t>
  </si>
  <si>
    <t>PATAGONIA  Mares</t>
  </si>
  <si>
    <t>PATAGONIA  Fund Chinquihue</t>
  </si>
  <si>
    <t>CUOTA RESIDUAL</t>
  </si>
  <si>
    <t>STI. Pesadores Artesanales Libertad del mar</t>
  </si>
  <si>
    <t>Ecomar S.A.</t>
  </si>
  <si>
    <t>STI.  Buzos Pescadores Art. Acui, Mataquito Norte II</t>
  </si>
  <si>
    <t>STI. Pescadores Art. Mar Brava de Duao (Norte II)</t>
  </si>
  <si>
    <r>
      <t>Cuota Global Anual  Macha -</t>
    </r>
    <r>
      <rPr>
        <b/>
        <i/>
        <sz val="10"/>
        <rFont val="Arial"/>
        <family val="2"/>
      </rPr>
      <t xml:space="preserve"> Mesodesma donacium</t>
    </r>
  </si>
  <si>
    <t>Asignada para la X región solamente</t>
  </si>
  <si>
    <t>Macha X región</t>
  </si>
  <si>
    <t>Macha (Cucao )</t>
  </si>
  <si>
    <t>STI. Caleta Portales (Centro)</t>
  </si>
  <si>
    <t>STI. Concón ( Centro)</t>
  </si>
  <si>
    <t>Bolson ( Centro)</t>
  </si>
  <si>
    <t>S.T.I. Pes. Art. Pelluhue R. 07.04.0026 (Sur)</t>
  </si>
  <si>
    <t>STI. Pesc. Art. Maguillines R. 07.05.0046 (Sur)</t>
  </si>
  <si>
    <t>STI. Curanipe Pro. Cauquenes R.07.04.0029 (Sur)</t>
  </si>
  <si>
    <t>STI. Loanco - Com-Chanco R.07.04.0022 (Sur)</t>
  </si>
  <si>
    <t>Cuota residual Sur</t>
  </si>
  <si>
    <t>STI. Pellines R. 07.05.0061 (Sur)</t>
  </si>
  <si>
    <t>STI. N°2 Curanipe - Com-Pelluhue R.07.04.0048 (Sur)</t>
  </si>
  <si>
    <t>STI. Arm y Pat. Cocholgue  Com. Tomé R.08.06.0106 (Norte)</t>
  </si>
  <si>
    <t>STI. Caleta  Cocholgue  R. 08.06.0023 (Norte)</t>
  </si>
  <si>
    <t>STI. Buzos y Algueros Cocholgue R. 08.03.0042 (Norte)</t>
  </si>
  <si>
    <t>STI. Caleta Coliumo R. 08.06.0027 (Norte)</t>
  </si>
  <si>
    <t>STI.  Del mar Caleta Dichato R. 08.06.0030 (Norte)</t>
  </si>
  <si>
    <t>STI. Los Bagres R.08-06-0024 (Norte)</t>
  </si>
  <si>
    <t>STI. Tomé y Quichuito R. 08.06.0043 (Norte)</t>
  </si>
  <si>
    <t>STI.  Coliumo - Purema 08.06.0049 (Norte)</t>
  </si>
  <si>
    <t xml:space="preserve">STI. Pesc. Art. Y Ra. Afin. De pa Pesc. Art. R.08.05.0380 (Norte) </t>
  </si>
  <si>
    <t>STI. Hualpen R.08.05.0502 (Norte)</t>
  </si>
  <si>
    <t>AG. ITALMAR AG. Rag. N° 392-08 (Norte)</t>
  </si>
  <si>
    <t>AG. Menor Coliumo Rag. N° 507-8 (Norte)</t>
  </si>
  <si>
    <t>AG. Caleta Infiernillo Rag. N° 98-8 (Norte)</t>
  </si>
  <si>
    <t>STI. Caleta Tumbes R.08.05.0495 (Norte)</t>
  </si>
  <si>
    <t>consumido</t>
  </si>
  <si>
    <t>Cuota Bolsón Norte II hasta el 07-02-2012</t>
  </si>
  <si>
    <t>Cuota Bolsón Norte II desde el 08-02-2012</t>
  </si>
  <si>
    <t>IX REGIÓN DE LA ARAUCANÍA</t>
  </si>
  <si>
    <t>Ene-Feb</t>
  </si>
  <si>
    <t>Cuota bolsón desde el 16-02-2012</t>
  </si>
  <si>
    <t>Consumido</t>
  </si>
  <si>
    <t>Centro hasta el 15 de febrero RES. 431 /12</t>
  </si>
  <si>
    <t>Ene - Feb</t>
  </si>
  <si>
    <t>Cuota residual Sur Hasta el 15-02-2012</t>
  </si>
  <si>
    <t>Sur residual hasta el 15-02-2012</t>
  </si>
  <si>
    <t>Sur residual desde el 16-02-2012</t>
  </si>
  <si>
    <t>No asociados ( Norte ) desde  el  16-02-2012</t>
  </si>
  <si>
    <t xml:space="preserve">No Asociados (Norte ) </t>
  </si>
  <si>
    <t>Subpesca aclarará situación de cuota Normal o Investigación.</t>
  </si>
  <si>
    <t>Cerrada</t>
  </si>
  <si>
    <t>Cuota bolsón Hasta (zona centro total el 15-02-2012)</t>
  </si>
  <si>
    <t>Cuota Traspaso a Industrial</t>
  </si>
  <si>
    <t>Original</t>
  </si>
  <si>
    <t>Resl. 190 del 14-02-2012</t>
  </si>
  <si>
    <t>XV a la XII regiones</t>
  </si>
  <si>
    <t>Jibia XV</t>
  </si>
  <si>
    <t>Jibia I</t>
  </si>
  <si>
    <t>Jibia II</t>
  </si>
  <si>
    <t>Jibia III</t>
  </si>
  <si>
    <t>Jibia IV</t>
  </si>
  <si>
    <t>Jibia V</t>
  </si>
  <si>
    <t>Jibia VI</t>
  </si>
  <si>
    <t>Jibia VII</t>
  </si>
  <si>
    <t>Jibia VIII</t>
  </si>
  <si>
    <t>Jibia IX</t>
  </si>
  <si>
    <t>Jibia XIV</t>
  </si>
  <si>
    <t>Jibia X</t>
  </si>
  <si>
    <t>Jibia XI</t>
  </si>
  <si>
    <t>Jibia XII</t>
  </si>
  <si>
    <t>Ene-Dic</t>
  </si>
  <si>
    <t>XV</t>
  </si>
  <si>
    <t>I</t>
  </si>
  <si>
    <t>XIV</t>
  </si>
  <si>
    <t>Jibia XV a XII Regiones 2012</t>
  </si>
  <si>
    <t>Jibia</t>
  </si>
  <si>
    <t>XV- XII regs.</t>
  </si>
  <si>
    <t>Ene-dic</t>
  </si>
  <si>
    <t>SE ABRE EN SINDICATOS.-</t>
  </si>
  <si>
    <t>Embarcaciones Tipo Bote sin historia real de desembarque</t>
  </si>
  <si>
    <t>A.G. Pesc. Art. VIII reg. AGREPESCA R.A.G. N° 396-8</t>
  </si>
  <si>
    <t>STI. Pesc. Art. AR: Pelg. Y Act. Caleta Coliumo Reg. 08.06.0113</t>
  </si>
  <si>
    <t>STI. Arm. Pes. Art. Y Ramas . Reg. 08.05.0512</t>
  </si>
  <si>
    <t>STI. Arm. ,Buzos Acui. Y ram . SIPEARBUCOR Reg. 08.07.0376</t>
  </si>
  <si>
    <t xml:space="preserve">STI. Pecs. Arm. Pelg. Pat. De Com. Talcahuano Reg. 08-05-0474 </t>
  </si>
  <si>
    <t>STI. Curanipe N° 1 Pro. Cauquenes R.07.04.0029 (Sur)</t>
  </si>
  <si>
    <t>STI.  Buzos Pesc. Art. Ac. Mataquito de La Pesca (Norte II)</t>
  </si>
  <si>
    <t>No asociados ( Norte ) desde  el  15-02-2012</t>
  </si>
  <si>
    <t>VIII región</t>
  </si>
  <si>
    <t>Embarcación</t>
  </si>
  <si>
    <t>cierre</t>
  </si>
  <si>
    <t>RPA</t>
  </si>
  <si>
    <t>Tons. Traspaso</t>
  </si>
  <si>
    <t>cierres</t>
  </si>
  <si>
    <t>16.03.2011</t>
  </si>
  <si>
    <t>A partir del 21-febrero 2012</t>
  </si>
  <si>
    <t>III  región</t>
  </si>
  <si>
    <t>Nómina de embac.</t>
  </si>
  <si>
    <t>jurel</t>
  </si>
  <si>
    <t>Todos los inscritos</t>
  </si>
  <si>
    <r>
      <t>Recurso Jibia (</t>
    </r>
    <r>
      <rPr>
        <b/>
        <i/>
        <sz val="8"/>
        <rFont val="Arial"/>
        <family val="2"/>
      </rPr>
      <t xml:space="preserve"> Dosidicus gigas </t>
    </r>
    <r>
      <rPr>
        <b/>
        <sz val="8"/>
        <rFont val="Arial"/>
        <family val="2"/>
      </rPr>
      <t>)</t>
    </r>
  </si>
  <si>
    <t>STI. Pescadores Art. Mar Brava de Duao Norte II</t>
  </si>
  <si>
    <t>MONICA BELEN</t>
  </si>
  <si>
    <t>ENZO NICOLAS</t>
  </si>
  <si>
    <t>Resl. Ex. N° 606/2012</t>
  </si>
  <si>
    <t xml:space="preserve">Algas pardas para la IV región </t>
  </si>
  <si>
    <t xml:space="preserve">Algas Pardas IV región </t>
  </si>
  <si>
    <t xml:space="preserve">Limarí IV </t>
  </si>
  <si>
    <t>Choapa IV</t>
  </si>
  <si>
    <t>Huiro negro</t>
  </si>
  <si>
    <t>Huiro palo</t>
  </si>
  <si>
    <t>Huiro macro</t>
  </si>
  <si>
    <t xml:space="preserve">Elqui IV </t>
  </si>
  <si>
    <t>Huiro  macro</t>
  </si>
  <si>
    <t>total</t>
  </si>
  <si>
    <t>Huiro Negro -  Elqui</t>
  </si>
  <si>
    <t>Huiro Palo  - Elqui</t>
  </si>
  <si>
    <t>Huiro Macro  - Elqui</t>
  </si>
  <si>
    <t>Huiro Negro  - Limarí</t>
  </si>
  <si>
    <t>Huiro Palo  - Limarí</t>
  </si>
  <si>
    <t>Huiro Macro - Limarí</t>
  </si>
  <si>
    <t>Huiro Negro  - Choapa</t>
  </si>
  <si>
    <t>Huiro Palo  - Choapa</t>
  </si>
  <si>
    <t>Huiro Macro  - Choapa</t>
  </si>
  <si>
    <t>Coop. Última Esperanza Gala</t>
  </si>
  <si>
    <t>Captura</t>
  </si>
  <si>
    <t>Traspaso</t>
  </si>
  <si>
    <t>Consumo</t>
  </si>
  <si>
    <t xml:space="preserve">Captura </t>
  </si>
  <si>
    <t xml:space="preserve">Organizaciónes Flota Sur </t>
  </si>
  <si>
    <t>Acumulada</t>
  </si>
  <si>
    <t>STI Buzos de  Aysén</t>
  </si>
  <si>
    <t>STI Esfuerzo del Mar</t>
  </si>
  <si>
    <t>STI Litoral Sur</t>
  </si>
  <si>
    <t>STI Herederos del Arte</t>
  </si>
  <si>
    <t xml:space="preserve">Organizaciónes Flota Norte </t>
  </si>
  <si>
    <t>STI El Pitico</t>
  </si>
  <si>
    <t>STI Buzos Cisnes</t>
  </si>
  <si>
    <t>TOTALES REGIONALES</t>
  </si>
  <si>
    <t>XI Región</t>
  </si>
  <si>
    <t>trapaso a Industrial</t>
  </si>
  <si>
    <t>IV región de Industrial a Artesanal</t>
  </si>
  <si>
    <t>Enero  cotubre</t>
  </si>
  <si>
    <t>Cuota</t>
  </si>
  <si>
    <t>Cuota residual  Esl menor o igual 8 Mtrs.</t>
  </si>
  <si>
    <t>Cuota residual eslora mayor a 8 Mtrs.</t>
  </si>
  <si>
    <t>Coop. Arm. Cer. De la IV reg.</t>
  </si>
  <si>
    <t>AG. Pesc. Art. Y Buz. Marisc. Coquimbo</t>
  </si>
  <si>
    <t>A.G. pesc. Art. Y Buzos Marisc. Ce Coquimbo IV Reg.</t>
  </si>
  <si>
    <t>Asignado</t>
  </si>
  <si>
    <t>Capturado</t>
  </si>
  <si>
    <t>SALDOS</t>
  </si>
  <si>
    <t>N° Resol Ex</t>
  </si>
  <si>
    <t>Fecha</t>
  </si>
  <si>
    <t>Mat</t>
  </si>
  <si>
    <t>Sardina Común</t>
  </si>
  <si>
    <t>Sardinac C</t>
  </si>
  <si>
    <t>BRENDA ESMERALDA</t>
  </si>
  <si>
    <t>DON JORGE</t>
  </si>
  <si>
    <t>MAR DE BERING</t>
  </si>
  <si>
    <t>SANTA KEILA</t>
  </si>
  <si>
    <t>HERLIBET</t>
  </si>
  <si>
    <t>BENJAMIN I</t>
  </si>
  <si>
    <t>PALMI II</t>
  </si>
  <si>
    <t>IGNACIO S</t>
  </si>
  <si>
    <t>Mar-Dic</t>
  </si>
  <si>
    <t>Enero a Julio</t>
  </si>
  <si>
    <t>Septiembre a Diciembre</t>
  </si>
  <si>
    <t>Puerto Montt (Chinquihue): Anahuac, Isla Maillen, Chaicas, Caleta Gutiérrez, Yerbas Buenas, La Arena, Pichi-Pelluco, Isla Quellin, Isla Los Toros</t>
  </si>
  <si>
    <t>1er periodo</t>
  </si>
  <si>
    <t>2do período</t>
  </si>
  <si>
    <t>1 er periodo</t>
  </si>
  <si>
    <t>2do periodo</t>
  </si>
  <si>
    <t>Traspaso Palena (Mares Chile) a industrial</t>
  </si>
  <si>
    <t>Cuota residual Mayor 8 metrros.</t>
  </si>
  <si>
    <t>DON CLAUDIO</t>
  </si>
  <si>
    <t xml:space="preserve">BUENA FE </t>
  </si>
  <si>
    <t>vada</t>
  </si>
  <si>
    <t>Enero  octubre</t>
  </si>
  <si>
    <t>Merluza del Sur</t>
  </si>
  <si>
    <t>Ene - Jul</t>
  </si>
  <si>
    <t xml:space="preserve">                                                            </t>
  </si>
  <si>
    <t>Total año</t>
  </si>
  <si>
    <t>AG. Pescadores de pescadores Art.  De caleta INFIERNILLO Rag. 98-8</t>
  </si>
  <si>
    <t>DON PEDRO I</t>
  </si>
  <si>
    <t>DOÑA GLADYS II</t>
  </si>
  <si>
    <t>DON BETO III</t>
  </si>
  <si>
    <t>MARLEN JORGE</t>
  </si>
  <si>
    <t>DON MATEO</t>
  </si>
  <si>
    <t>DON BASILIO</t>
  </si>
  <si>
    <t>TRASPASO DE ASIGNACION A EMBARCACION QUE INDICA</t>
  </si>
  <si>
    <t>DEBORA I</t>
  </si>
  <si>
    <t>Cierres</t>
  </si>
  <si>
    <t>ARPESCA  R.A.G. 429-8</t>
  </si>
  <si>
    <t>Cuota residual</t>
  </si>
  <si>
    <t>atención</t>
  </si>
  <si>
    <t>TRASPASOS</t>
  </si>
  <si>
    <t>TRAPASOS</t>
  </si>
  <si>
    <t>AG Demersal</t>
  </si>
  <si>
    <t xml:space="preserve">STI Elefantes </t>
  </si>
  <si>
    <t>STI Amparo de Pto Gaviota</t>
  </si>
  <si>
    <t>VII Región, deL Maule</t>
  </si>
  <si>
    <t>STI:.de Pescadores "Pelágicos del Maule" Constitución, R.S.U. N° 07050150</t>
  </si>
  <si>
    <t>STI. De Pesc. Pelagícos del Maule, Constitución RSU. N° 07050150</t>
  </si>
  <si>
    <t>S.I. de Pequeños Arm. Y Pesc. Art. De Cerco y Otras Act. Af. Coronel y Lota RSU.08.07.0373</t>
  </si>
  <si>
    <t>AARON</t>
  </si>
  <si>
    <t>DON JORGE LUIS M</t>
  </si>
  <si>
    <t>DON GUILLERMO I</t>
  </si>
  <si>
    <t xml:space="preserve">parciales </t>
  </si>
  <si>
    <t>traspasos</t>
  </si>
  <si>
    <t>S.T.I.Mares Australes N° 3 Pto. Aysen</t>
  </si>
  <si>
    <t>DON JOSE I</t>
  </si>
  <si>
    <t>2904</t>
  </si>
  <si>
    <t>LA JIBIA</t>
  </si>
  <si>
    <t xml:space="preserve"> Saldo %</t>
  </si>
  <si>
    <t>Traspasos</t>
  </si>
  <si>
    <t>ANGELA VALENTINA</t>
  </si>
  <si>
    <t>CONDOR IV</t>
  </si>
  <si>
    <t>DON ELISEO</t>
  </si>
  <si>
    <t>ELOISA II</t>
  </si>
  <si>
    <t>EMELINDA</t>
  </si>
  <si>
    <t>ISAAC</t>
  </si>
  <si>
    <t>MAGDALENA III</t>
  </si>
  <si>
    <t>RIO JORDAN V</t>
  </si>
  <si>
    <t>DON MARCIAL</t>
  </si>
  <si>
    <t>GAVIOTA</t>
  </si>
  <si>
    <t>DON ESTEBAN</t>
  </si>
  <si>
    <t>MATIAS</t>
  </si>
  <si>
    <t>FRANSISCO JAVIER</t>
  </si>
  <si>
    <t>LUCAS I</t>
  </si>
  <si>
    <t>DON JAIRO</t>
  </si>
  <si>
    <t>JOEL I</t>
  </si>
  <si>
    <t>LA NOVIA DEL MAR</t>
  </si>
  <si>
    <t>ANSELMO I</t>
  </si>
  <si>
    <t>DON LUIS ALBERTO</t>
  </si>
  <si>
    <t>DON MIGUEL</t>
  </si>
  <si>
    <t>DON MIGUEL II</t>
  </si>
  <si>
    <t>DONCELLA II</t>
  </si>
  <si>
    <t>CERRADA 19.04.12</t>
  </si>
  <si>
    <t>CRISTIAN GUILLERMO</t>
  </si>
  <si>
    <t>BARLOVENTO</t>
  </si>
  <si>
    <t>DON FEÑA</t>
  </si>
  <si>
    <t>RODRIGO I</t>
  </si>
  <si>
    <t>TOTALES</t>
  </si>
  <si>
    <t>1487</t>
  </si>
  <si>
    <t>IMPUTACION LMC</t>
  </si>
  <si>
    <t>Resol</t>
  </si>
  <si>
    <t>Rpa</t>
  </si>
  <si>
    <t>Nm_Nave</t>
  </si>
  <si>
    <t>Asignado Anchoveta</t>
  </si>
  <si>
    <t>Asignado Sardina C</t>
  </si>
  <si>
    <t>Capturado Sardina C</t>
  </si>
  <si>
    <t>Saldo Anchoveta</t>
  </si>
  <si>
    <t>Saldo Sardina C</t>
  </si>
  <si>
    <t>MAR SEGUNDO</t>
  </si>
  <si>
    <t>MAR PRIMERO</t>
  </si>
  <si>
    <t>SIXTO ABRAHAM I</t>
  </si>
  <si>
    <t>EBEN EZER III</t>
  </si>
  <si>
    <t>ANTUCO I</t>
  </si>
  <si>
    <t>MARTIN RENATO</t>
  </si>
  <si>
    <t>Limite</t>
  </si>
  <si>
    <t>CESION VIII A  VII REGIÓN</t>
  </si>
  <si>
    <t>MARGARITA DEL MAR</t>
  </si>
  <si>
    <t>Traspaso Industrial a Artesanal</t>
  </si>
  <si>
    <t>traspaso</t>
  </si>
  <si>
    <t>A G  de Productores Pelágicos Artesanales de las Caletas de Talcahuano y San Vicente de la VIII Región GEMAR A.G., Registro de Asociaciones Gremiales 464-8</t>
  </si>
  <si>
    <t>S.T.I. de la Pesca Artesanal, Armadores Artesanales Pelágicos, Pesc Art propiamente tales y actividades Conexas de Caleta San Vicente "Sindicato Tsunami", Registro Sindical Único 08.05.0428</t>
  </si>
  <si>
    <t>BILL</t>
  </si>
  <si>
    <t>CAPELLO</t>
  </si>
  <si>
    <t>CONCEPCION</t>
  </si>
  <si>
    <t>CONSTITUCION</t>
  </si>
  <si>
    <t>DOMENICA</t>
  </si>
  <si>
    <t>DON HERNAN M</t>
  </si>
  <si>
    <t>EL YEYE</t>
  </si>
  <si>
    <t>MACEDONIA I</t>
  </si>
  <si>
    <t>PUNTA MAULE</t>
  </si>
  <si>
    <t>RIO LOA I</t>
  </si>
  <si>
    <t>SILOE</t>
  </si>
  <si>
    <t>SIXTO ABRAHAM</t>
  </si>
  <si>
    <t>VERONICA ALEJANDRA</t>
  </si>
  <si>
    <t>YOLANDA S</t>
  </si>
  <si>
    <t>POR CERRAR</t>
  </si>
  <si>
    <t>total:</t>
  </si>
  <si>
    <t>XI dif. Cuota real</t>
  </si>
  <si>
    <t>RESUMEN CONSUMO CUOTA ERIZO PINV 2012</t>
  </si>
  <si>
    <t>CUOTA  EN TON.</t>
  </si>
  <si>
    <t> EXTRAÍDO EN TON.</t>
  </si>
  <si>
    <t>SALDO EN TON</t>
  </si>
  <si>
    <t>SALDO EN %</t>
  </si>
  <si>
    <t>CONTROL CUOTA ERIZO, X  y ZC</t>
  </si>
  <si>
    <t>CONTROL XI REGION EXTRAIDA POR BUZOS DE LA XI REGIÓN</t>
  </si>
  <si>
    <t xml:space="preserve"> Erizo X región   ( sur)</t>
  </si>
  <si>
    <t xml:space="preserve"> General, Pto. Montt, ancud , calbuco maullin (Norte)</t>
  </si>
  <si>
    <t>Z.C. .Buzos de lz X que extraen en la XI región.</t>
  </si>
  <si>
    <t>VII REGIÓN.</t>
  </si>
  <si>
    <t>EMBARCACION</t>
  </si>
  <si>
    <t>ANCHOVETA</t>
  </si>
  <si>
    <t>CONSTlTUCION</t>
  </si>
  <si>
    <t>DON BORNEY</t>
  </si>
  <si>
    <t>EBEN EZER II</t>
  </si>
  <si>
    <t>LlNARES</t>
  </si>
  <si>
    <t>IX REGIÓN</t>
  </si>
  <si>
    <t>TRASPASO IND-ART  XIV REGIÓN  RESL. 1462</t>
  </si>
  <si>
    <t>DESEMBARQUE</t>
  </si>
  <si>
    <t>SARDINA COMUN</t>
  </si>
  <si>
    <t>CIERRES</t>
  </si>
  <si>
    <t>TRASPASO IND-ART  VII REGIÓN  RESL. 1462</t>
  </si>
  <si>
    <t>Traspazo Anchoveta  XV - I industrial a artesanal Resol 1397/2012</t>
  </si>
  <si>
    <t>Cuota Nov-Dic</t>
  </si>
  <si>
    <t>55% ENERO-jul</t>
  </si>
  <si>
    <t>45% Sept-Dic</t>
  </si>
  <si>
    <t>Los desembarque están sumados en las planillas de Punta Arenas o de Pto. Natales.</t>
  </si>
  <si>
    <t>Resl. Ex. 1410/2012</t>
  </si>
  <si>
    <t>Resl. Ex. N° 1493/2012</t>
  </si>
  <si>
    <t>Embarcaciones Res. 698/2012 Cuota Anchoveta Y 1225/2012 AGREGA EMB.</t>
  </si>
  <si>
    <t>SIND: Aguirre - Nuevaventura</t>
  </si>
  <si>
    <t>STI Eternos Navegantes</t>
  </si>
  <si>
    <t>STI Francisco Andrade</t>
  </si>
  <si>
    <t>STI de Puerto Gaviota</t>
  </si>
  <si>
    <t>STI Moraleda de  Puerto Cisnes</t>
  </si>
  <si>
    <t>STI. Pescadores Art. Caleta San rafael, R.S.U. N° 10.01.0573</t>
  </si>
  <si>
    <t>septiembre</t>
  </si>
  <si>
    <t>Traspazo Sardina Común  XIV desde la VIII región resl. 1666/2012</t>
  </si>
  <si>
    <t>13/04/2012 y 21-06-2012</t>
  </si>
  <si>
    <t>Valparaíso Consultores Ltda.</t>
  </si>
  <si>
    <t>Saldo 2011</t>
  </si>
  <si>
    <t>Traspazo Anchoveta  XV - I industrial a artesanal Resol 1695/2012</t>
  </si>
  <si>
    <t>Resl. N° 1695/2012</t>
  </si>
  <si>
    <t>XV y I  regiones</t>
  </si>
  <si>
    <t>TRASPASO IND-ART  IX REGIÓN  RESL. 1672/2012</t>
  </si>
  <si>
    <t>RIO TOLTEN I</t>
  </si>
  <si>
    <t>RIO QUEULE I</t>
  </si>
  <si>
    <t>CUOTA ASIGNADA</t>
  </si>
  <si>
    <t>ORKA</t>
  </si>
  <si>
    <t>RIO VALDIVIA</t>
  </si>
  <si>
    <t>BENJAMIN</t>
  </si>
  <si>
    <t xml:space="preserve">NABOR I </t>
  </si>
  <si>
    <t>NICOLAS</t>
  </si>
  <si>
    <t>MARGOT MARIA IV</t>
  </si>
  <si>
    <t>DON ULMES</t>
  </si>
  <si>
    <t>SAMARITANO I</t>
  </si>
  <si>
    <t>FELIPE N</t>
  </si>
  <si>
    <t xml:space="preserve">YO CLAUDIO </t>
  </si>
  <si>
    <t>CARMENCHA</t>
  </si>
  <si>
    <t>TRASPASO IND-ART  XIV REGIÓN  RESL. 1673/2012</t>
  </si>
  <si>
    <t>Sept - Dic</t>
  </si>
  <si>
    <t>LINARES</t>
  </si>
  <si>
    <t>OK¡</t>
  </si>
  <si>
    <t>cumplida</t>
  </si>
  <si>
    <t>VICTOR GUILLERMO</t>
  </si>
  <si>
    <t>RIVEIRA</t>
  </si>
  <si>
    <t>DON JAIME</t>
  </si>
  <si>
    <t>LONQUIMAY</t>
  </si>
  <si>
    <t>LAGO RANCO</t>
  </si>
  <si>
    <t>EDGARDITO I</t>
  </si>
  <si>
    <t>DON NENE</t>
  </si>
  <si>
    <t>JOSUE</t>
  </si>
  <si>
    <t xml:space="preserve">MARIA ISABEL </t>
  </si>
  <si>
    <t>DON JULIAN</t>
  </si>
  <si>
    <t>MARCO POLO</t>
  </si>
  <si>
    <t>DON JUAN I</t>
  </si>
  <si>
    <t>LINCE</t>
  </si>
  <si>
    <t>CESION VIII A  XIV REGIÓN</t>
  </si>
  <si>
    <t>Cuota Ene-Jul</t>
  </si>
  <si>
    <t>Cuota Sep-Dic</t>
  </si>
  <si>
    <t>Flota Sur</t>
  </si>
  <si>
    <t>Flota Norte</t>
  </si>
  <si>
    <t>Ene-JuL</t>
  </si>
  <si>
    <t>Cuota residual Menor -  Menor 8 metros.</t>
  </si>
  <si>
    <t>todo inscrito esp.</t>
  </si>
  <si>
    <t>TRASPASO</t>
  </si>
  <si>
    <t>ATENCIÓN</t>
  </si>
  <si>
    <t>Traspasos III región</t>
  </si>
  <si>
    <t>Cuota traspaso Industrial a Artesanal III resl. 606/2012 Nómina</t>
  </si>
  <si>
    <t>Cuota traspaso Industrial a Artesanal III resl. 606/2012 T.Inscrtos</t>
  </si>
  <si>
    <t>Cuota traspaso Industrial a Artesanal III resl. 1410/2012 T.Inscrtos</t>
  </si>
  <si>
    <t>Cuota traspaso Industrial a Artesanal III resl. 1493/2012 T.Inscrtos</t>
  </si>
  <si>
    <t>Resl. Ex. N° 1226/2012</t>
  </si>
  <si>
    <t>Cuota traspaso Industrial a Artesanal III resl. 1226/2012 NÓMINA</t>
  </si>
  <si>
    <t>NO SE CERRO</t>
  </si>
  <si>
    <t>CESION ENTRE ORGANIZACIONES RAE DE SARDINA COMUN Y ANCHOVETA VIII REGION</t>
  </si>
  <si>
    <t>ENTRE VIII REGION</t>
  </si>
  <si>
    <t>GIANPIERO</t>
  </si>
  <si>
    <t>XIV Región</t>
  </si>
  <si>
    <t>JOSE LEONARDO</t>
  </si>
  <si>
    <t>Nómina Embarcacionmes   ( en total)</t>
  </si>
  <si>
    <t>XI región</t>
  </si>
  <si>
    <t>X región</t>
  </si>
  <si>
    <t>Sardina austral 2012</t>
  </si>
  <si>
    <t>Sardina austral</t>
  </si>
  <si>
    <t>KILOS</t>
  </si>
  <si>
    <t>CIERRE</t>
  </si>
  <si>
    <t>Ene - Dic</t>
  </si>
  <si>
    <t>Sardina Austral</t>
  </si>
  <si>
    <t>TRASPASO IND-ART  VII REGIÓN  RESL. 1489</t>
  </si>
  <si>
    <t>BUENA FE III</t>
  </si>
  <si>
    <t>DON HUMBERTO M</t>
  </si>
  <si>
    <t>DON PATRICIO I</t>
  </si>
  <si>
    <t>OON PEDRO M</t>
  </si>
  <si>
    <t>DON RUBEN</t>
  </si>
  <si>
    <t>LOS VILOS</t>
  </si>
  <si>
    <t>NAGASAKI</t>
  </si>
  <si>
    <t>PAULINA</t>
  </si>
  <si>
    <t>POSEIDON II</t>
  </si>
  <si>
    <t>TOME</t>
  </si>
  <si>
    <t>Armadores de Artesanales IV región (nómina)</t>
  </si>
  <si>
    <t>Nómina Embarcacionmes   ( 14 embarcaciones)</t>
  </si>
  <si>
    <t>MARIA JESUS</t>
  </si>
  <si>
    <t>1ER Per.</t>
  </si>
  <si>
    <t>TOTAL CAPTURADO</t>
  </si>
  <si>
    <t>Fauna acompañante</t>
  </si>
  <si>
    <t>BACALADILLO O MOTE</t>
  </si>
  <si>
    <t>MACHUELO O TRITRE</t>
  </si>
  <si>
    <t>PAMPANITO</t>
  </si>
  <si>
    <t>Cesión Sindicatos desde la V reg. A la VII Zona Norte 1</t>
  </si>
  <si>
    <t>Resl. 2075/2012</t>
  </si>
  <si>
    <t>MERLUZA COMUN</t>
  </si>
  <si>
    <t>-</t>
  </si>
  <si>
    <t>M/COMÚN</t>
  </si>
  <si>
    <t>TRASPASO SIND.  V REG.  A SIND.  De  VII  REG.  RESL. 2075/2012</t>
  </si>
  <si>
    <t>Sub-total</t>
  </si>
  <si>
    <t>Total inicial semestral extracción</t>
  </si>
  <si>
    <t>Se descuenta el sobre consumo de la norte 1  , 2do período.-</t>
  </si>
  <si>
    <t>AG AYSEN</t>
  </si>
  <si>
    <t>AG Sur Pesca</t>
  </si>
  <si>
    <t>STI Canal Costa</t>
  </si>
  <si>
    <t>STI Bahia Mar</t>
  </si>
  <si>
    <t>STI Estuario de Aysén</t>
  </si>
  <si>
    <t xml:space="preserve">STI MARES AUSTRALES Nº3 </t>
  </si>
  <si>
    <t>STI Los Chonos</t>
  </si>
  <si>
    <t>STI Playas Blancas</t>
  </si>
  <si>
    <t>No Asociados Ays-Chb</t>
  </si>
  <si>
    <t>STI Walter Montiel</t>
  </si>
  <si>
    <t>STI Sindeqpay</t>
  </si>
  <si>
    <t>STI Libertad del Mar</t>
  </si>
  <si>
    <t>STI Ultima Esperanza</t>
  </si>
  <si>
    <t>STI Río Aysén</t>
  </si>
  <si>
    <t>No Asociados Agu-And Aycon</t>
  </si>
  <si>
    <t>STI Mares del Sur</t>
  </si>
  <si>
    <t>STI Nuevaventura</t>
  </si>
  <si>
    <t>No Asociados Agu-And Valpo C</t>
  </si>
  <si>
    <t>STI Archipiélago del Sur</t>
  </si>
  <si>
    <t>STI Moraleda de Aguirre</t>
  </si>
  <si>
    <t>STI Nº 1 Islas Huichas</t>
  </si>
  <si>
    <t>STI N° 3 Islas Huichas</t>
  </si>
  <si>
    <t>STI Nuevo amanecer</t>
  </si>
  <si>
    <t>STI Caleta Andrade</t>
  </si>
  <si>
    <t>Cooperativa Copeagu</t>
  </si>
  <si>
    <t>STI Aguas Claras</t>
  </si>
  <si>
    <t>Codemaih</t>
  </si>
  <si>
    <t>Coopesur</t>
  </si>
  <si>
    <t>No  Asociados Gala Aycon</t>
  </si>
  <si>
    <t>STI Gala N° 1</t>
  </si>
  <si>
    <t>STI Nuevo Horizonte Puyuhuapi</t>
  </si>
  <si>
    <t>No Asociados Gala Valpo</t>
  </si>
  <si>
    <t>Cooperativa Ultima Esperanza</t>
  </si>
  <si>
    <t>STI Buzos Puyuhuapi</t>
  </si>
  <si>
    <t>STI Los Delfines</t>
  </si>
  <si>
    <t>STI Canal Puyuhuapi</t>
  </si>
  <si>
    <t>STI Esfuerzo del Moraleda</t>
  </si>
  <si>
    <t>STI Nº 1 Puerto Puyuhuapi</t>
  </si>
  <si>
    <t>STI Pto Raul Marín  Balmaceda</t>
  </si>
  <si>
    <t>AG  Isla Toto</t>
  </si>
  <si>
    <t>Coopefich</t>
  </si>
  <si>
    <t>STI Antonio Ronchi</t>
  </si>
  <si>
    <t>No Asociados Norte 2 R. Azócar</t>
  </si>
  <si>
    <t>Cooperativa Coopacis</t>
  </si>
  <si>
    <t>No Asociados cisnes Valpo</t>
  </si>
  <si>
    <t>AG De Puerto Cisnes</t>
  </si>
  <si>
    <t>STI La Unión</t>
  </si>
  <si>
    <t>ST  Moraleda de Pto. Gaviota</t>
  </si>
  <si>
    <t>STI Litoral Norte</t>
  </si>
  <si>
    <t>STI Nº 1 Puerto Cisnes</t>
  </si>
  <si>
    <t>resl 698/2012</t>
  </si>
  <si>
    <t>Descuento</t>
  </si>
  <si>
    <t>debe enviar planilla completa con desembarques para la Zona notr 2do. Período.</t>
  </si>
  <si>
    <t>Rels. 1395/2012 Jurel</t>
  </si>
  <si>
    <t>Jul-Ago</t>
  </si>
  <si>
    <t>Nov-Dic.</t>
  </si>
  <si>
    <t>Imputación Decreto Exento N° 669/2012</t>
  </si>
  <si>
    <t>Consumo VIII Región</t>
  </si>
  <si>
    <t>DON RENATO</t>
  </si>
  <si>
    <t>CAPITO I</t>
  </si>
  <si>
    <t xml:space="preserve">                                              </t>
  </si>
  <si>
    <t>SOCOROMA II</t>
  </si>
  <si>
    <t>CANDELARIA</t>
  </si>
  <si>
    <t>ANCHOVETA  RELS.   1970/2012</t>
  </si>
  <si>
    <t xml:space="preserve">Coop. Arm. Cerqueros. De la IV reg. </t>
  </si>
  <si>
    <t xml:space="preserve">DESEMBARQUES ANTES DEL DECRETO CUOTA X REG. </t>
  </si>
  <si>
    <t>MASTER</t>
  </si>
  <si>
    <t xml:space="preserve">PAULINA M </t>
  </si>
  <si>
    <t xml:space="preserve">JORGE HERMAN M </t>
  </si>
  <si>
    <t>RIO BIO BIO</t>
  </si>
  <si>
    <t>JUAN MARCELO</t>
  </si>
  <si>
    <t>DON  CHUNDO</t>
  </si>
  <si>
    <t>SEBASTIAN II</t>
  </si>
  <si>
    <t>MAR MEDITERRANEO</t>
  </si>
  <si>
    <t>MAR DE GALILEA</t>
  </si>
  <si>
    <t>LAUCA</t>
  </si>
  <si>
    <t>PEHUENCHE</t>
  </si>
  <si>
    <t>ACHERNAR</t>
  </si>
  <si>
    <t xml:space="preserve">ANTARES V </t>
  </si>
  <si>
    <t>DON BRUNO</t>
  </si>
  <si>
    <t>GLACIAR I</t>
  </si>
  <si>
    <t xml:space="preserve">HURACAN I </t>
  </si>
  <si>
    <t>LA VICTORIA</t>
  </si>
  <si>
    <t>FLORINDA INES</t>
  </si>
  <si>
    <t>MAS SEGUNDO</t>
  </si>
  <si>
    <t>DON GOYO</t>
  </si>
  <si>
    <t>veda XV a XI  regiones 15 de octubre 2012 a 15 de enro del 2013.</t>
  </si>
  <si>
    <t>Área Norte  I, VII Reg.</t>
  </si>
  <si>
    <t>Saldo total</t>
  </si>
  <si>
    <t>Macha (Pucaihuen )</t>
  </si>
  <si>
    <t>De. Ex.</t>
  </si>
  <si>
    <t>840/2012</t>
  </si>
  <si>
    <t>Dec. Ex.</t>
  </si>
  <si>
    <t>598/2012</t>
  </si>
  <si>
    <t>99/2012</t>
  </si>
  <si>
    <t>Resl. Ex. 9/2012  Nómina de Embarcaciones Esp. Autoriz.</t>
  </si>
  <si>
    <t>Cucao D.Ex 99/202 y 598/2012</t>
  </si>
  <si>
    <t>Pucaihuen D. Ex.  N° 840/2012</t>
  </si>
  <si>
    <t>Toneladas  asignados por especie D.Ex. 250/2012</t>
  </si>
  <si>
    <t>MARGARITA DEL MAR   ANCHOVETA        RESOL 1489/2012</t>
  </si>
  <si>
    <t>MARGARITA DEL MAR SARDINA COMUN RESL. 1489/2012</t>
  </si>
  <si>
    <t>XIV Región  "Fuera de area" D.EX. 447/2012, cuota. 38 tons.</t>
  </si>
  <si>
    <t>09/08/2012 y 30-08-2012</t>
  </si>
  <si>
    <t>Atención</t>
  </si>
  <si>
    <t>IV región de Industrial a Artesanal  693/2012  JUREL</t>
  </si>
  <si>
    <t>ANCHOVETA Y SARDINA COMUN  RES. 698/2012</t>
  </si>
  <si>
    <t>IV región de Industrial a Artesanal  1970/2012 ANCHOVETA</t>
  </si>
  <si>
    <t>IV región de Industrial a Artesanal  1395/2012  JUREL</t>
  </si>
  <si>
    <t>Cuota anual</t>
  </si>
  <si>
    <t>Traspasos Desde la VII A LA VIII REGIÓN</t>
  </si>
  <si>
    <t xml:space="preserve">Consumo % </t>
  </si>
  <si>
    <t>Acumulado</t>
  </si>
  <si>
    <t>Extracción app en octubre</t>
  </si>
  <si>
    <t xml:space="preserve">JOEL I </t>
  </si>
  <si>
    <t>no alcanzó a cerrar</t>
  </si>
  <si>
    <t>consumo</t>
  </si>
  <si>
    <t>Rayas X región de los Lagos</t>
  </si>
  <si>
    <t>Raya volantin</t>
  </si>
  <si>
    <t>Raya espinosa</t>
  </si>
  <si>
    <t>Rayas XI región de Aysen</t>
  </si>
  <si>
    <t>Rayas XII región de Magallanes</t>
  </si>
  <si>
    <t>Raya volantin- interior</t>
  </si>
  <si>
    <t>Raya espinosa - interior</t>
  </si>
  <si>
    <t>Raya volantin - exterior</t>
  </si>
  <si>
    <t>Raya espinosa - exterior</t>
  </si>
  <si>
    <t>Rayas X región</t>
  </si>
  <si>
    <t>Aguas Interiores</t>
  </si>
  <si>
    <t>Aguas exteriores</t>
  </si>
  <si>
    <t>Rayas XI región</t>
  </si>
  <si>
    <t>Rayas XII región</t>
  </si>
  <si>
    <t>Cierre</t>
  </si>
  <si>
    <t xml:space="preserve">TRASPASO IND-ART  XIV REGIÓN  RESL. 2537/2012 desde la VIII región </t>
  </si>
  <si>
    <t>Acuario III RPA 954796</t>
  </si>
  <si>
    <t>CHUMINGO</t>
  </si>
  <si>
    <t>VERÓNICA ALEJANDRA</t>
  </si>
  <si>
    <t>JOSÉ LEONARDO</t>
  </si>
  <si>
    <t>JULIANA X REGIÓN</t>
  </si>
  <si>
    <t>DECRETOS nos. 35 Y 597 DEL 2012</t>
  </si>
  <si>
    <t>PRIMER PERÍODO</t>
  </si>
  <si>
    <t>SEGUNDO PERÍODO</t>
  </si>
  <si>
    <t>CUOTA</t>
  </si>
  <si>
    <t>CUOTA EFECTIVA</t>
  </si>
  <si>
    <t>ESTADO DE LA CUOTA</t>
  </si>
  <si>
    <t xml:space="preserve">Veda </t>
  </si>
  <si>
    <t>hasta fin de año dura app.</t>
  </si>
  <si>
    <t>para rampas que van a arica</t>
  </si>
  <si>
    <t>no hay pescado, es cíclico</t>
  </si>
  <si>
    <t>Congrio Dorado fauna Acompañante</t>
  </si>
  <si>
    <t>D. Ex. 1251/2012  en toneladas</t>
  </si>
  <si>
    <t>Cirrre</t>
  </si>
  <si>
    <t>Rayas IV región</t>
  </si>
  <si>
    <t>Rayas V región</t>
  </si>
  <si>
    <t>Rayas VII región</t>
  </si>
  <si>
    <t>05 de octubre  al 30 de noviembre</t>
  </si>
  <si>
    <t xml:space="preserve">Raya espinosa </t>
  </si>
  <si>
    <t xml:space="preserve">Raya volantin </t>
  </si>
  <si>
    <t>Rayas IV región de Coquimbo</t>
  </si>
  <si>
    <t>Rayas V región de Valparaíso</t>
  </si>
  <si>
    <t>Rayas VI región de B.O´Higgins</t>
  </si>
  <si>
    <t>Rayas VI de B. O´Higgins</t>
  </si>
  <si>
    <t>Rayas VII región del Maule</t>
  </si>
  <si>
    <t>III  región  lmc.</t>
  </si>
  <si>
    <t>C. efectiva</t>
  </si>
  <si>
    <t>cerrado</t>
  </si>
  <si>
    <t>.</t>
  </si>
  <si>
    <t>Efeciva</t>
  </si>
  <si>
    <t>EFECTIVA</t>
  </si>
  <si>
    <t>Cuota traspaso Industrial a Artesanal III resl. 1799/2012 NÓMINA</t>
  </si>
  <si>
    <t>DON ENRI</t>
  </si>
  <si>
    <t>PAOLA I</t>
  </si>
  <si>
    <t>DON LUCHO</t>
  </si>
  <si>
    <t>DOÑA FLORINDA</t>
  </si>
  <si>
    <t>DANIEL</t>
  </si>
  <si>
    <t>DOÑA MARGARITA</t>
  </si>
  <si>
    <t>Nómina de embac. 1ER.   PERÍODO ENE-OCT.</t>
  </si>
  <si>
    <t>Nómina de embac. 2DO.  PERÍODO NOV-DIC.</t>
  </si>
  <si>
    <t>Resl. Ex. N° 1799/2012</t>
  </si>
  <si>
    <t>Nómina de embac. 1ER.   PERÍODO ENE-OCT</t>
  </si>
  <si>
    <t>Nómina de embac. 2DO.  PERÍODO NOV-DIC</t>
  </si>
  <si>
    <t>Feb-Jun</t>
  </si>
  <si>
    <t xml:space="preserve">desde el año 2002 que no hay  sardina comun en la IV reg </t>
  </si>
  <si>
    <t>Cooperativa LTDA. GEVIMAR Lota,  Reg. Rol. 4465</t>
  </si>
  <si>
    <t>Don Robert</t>
  </si>
  <si>
    <t>Don Eliseo</t>
  </si>
  <si>
    <t>Angela Valentina</t>
  </si>
  <si>
    <t>Isaac</t>
  </si>
  <si>
    <t>Ricardo I</t>
  </si>
  <si>
    <t>Tio Chito</t>
  </si>
  <si>
    <t>Moises</t>
  </si>
  <si>
    <t>Albita Melania</t>
  </si>
  <si>
    <t>Maria Bristela</t>
  </si>
  <si>
    <t>Don Angel</t>
  </si>
  <si>
    <t>Rio Jordan V</t>
  </si>
  <si>
    <t>Don Marcial</t>
  </si>
  <si>
    <t>Francisco Javier</t>
  </si>
  <si>
    <t>Don Jairo</t>
  </si>
  <si>
    <t>La Novia del Mar</t>
  </si>
  <si>
    <t>Don Luis Alberto</t>
  </si>
  <si>
    <t>Don Miguel</t>
  </si>
  <si>
    <t>Doncella II</t>
  </si>
  <si>
    <t>Matias</t>
  </si>
  <si>
    <t>VII reg.</t>
  </si>
  <si>
    <t>CERRADA</t>
  </si>
  <si>
    <t>Rels. 2838/2012 ANCHOVETA</t>
  </si>
  <si>
    <t>IV región de Industrial a Artesanal  2838/2012 ANCHOVETA</t>
  </si>
  <si>
    <t>1er per.</t>
  </si>
  <si>
    <t>2do per.</t>
  </si>
  <si>
    <t>dif.</t>
  </si>
  <si>
    <t>1er per</t>
  </si>
  <si>
    <t>23.05-2012</t>
  </si>
  <si>
    <t>1ER PERÍODO</t>
  </si>
  <si>
    <t>2DO PERÍODO</t>
  </si>
  <si>
    <t>3ER PERÍODO</t>
  </si>
  <si>
    <t>Fauna Acompañante</t>
  </si>
  <si>
    <t>COPENAY</t>
  </si>
  <si>
    <t>COPEPAY</t>
  </si>
  <si>
    <t>SIND. Aysen - Esfuerzo del Mar</t>
  </si>
  <si>
    <t xml:space="preserve">  </t>
  </si>
  <si>
    <t>Resolución Exenta N° 15 (23- octubre -12) Rpa 4524  PATRICIA III</t>
  </si>
  <si>
    <t>posible cierre</t>
  </si>
  <si>
    <t>DON SAMUEL II</t>
  </si>
  <si>
    <t>ISAAC M</t>
  </si>
  <si>
    <t>01/10/2012  , 05-11-2012</t>
  </si>
  <si>
    <t>CAMILA ANTONELLA</t>
  </si>
  <si>
    <t>Sustitución de la  de Santa keila</t>
  </si>
  <si>
    <t>GAVILAN III</t>
  </si>
  <si>
    <t>DON ANSELMO II</t>
  </si>
  <si>
    <t>RODRIGO</t>
  </si>
  <si>
    <t>DON SIXTO</t>
  </si>
  <si>
    <t>GALEON II</t>
  </si>
  <si>
    <t>ESTRELLA DE DAVID</t>
  </si>
  <si>
    <t>RUBY FRANCISCA</t>
  </si>
  <si>
    <t>2136 modf. 2690</t>
  </si>
  <si>
    <t>A G  de Pescadores y Armadores Artesanales Pelágicos de la Región del Bío Bío, PESCA MAR A.G., Registro de Asociaciones Gremiales 450-8</t>
  </si>
  <si>
    <t>trespaso</t>
  </si>
  <si>
    <t>TRASPASO IND-ART  XIV REGIÓN  RESL. 2878/2012</t>
  </si>
  <si>
    <t>Avutarda</t>
  </si>
  <si>
    <t>Esperanza IV</t>
  </si>
  <si>
    <t>TRASPASO IND-ART  XIV REGIÓN  RESL. 2881/2012</t>
  </si>
  <si>
    <t>AGUILA REAL</t>
  </si>
  <si>
    <t>EBENEZER II</t>
  </si>
  <si>
    <t>CLAUDIO I</t>
  </si>
  <si>
    <t>PUNTA BRAVA</t>
  </si>
  <si>
    <t>Traspazo Anchoveta  XV - I industrial a artesanal Resol 2883/2012</t>
  </si>
  <si>
    <t>Grupo de embarcaciones</t>
  </si>
  <si>
    <t>Resl. N° 2883/2012</t>
  </si>
  <si>
    <t>Nota:  Mod. Decreto N° 250</t>
  </si>
  <si>
    <t>Macrocystis spp. : se puede extraer varada solamente, pero no se imputa a la cuota</t>
  </si>
  <si>
    <t>(Huiro macro)</t>
  </si>
  <si>
    <t>Se permitira hasta un 10% de alga varad que va a la cuota.</t>
  </si>
  <si>
    <t>Solo período Septiembre - Diciembre</t>
  </si>
  <si>
    <t xml:space="preserve">Lessonia nigrescens (Huiro negro) y Lessonia trabeculata ( Huiro palo) </t>
  </si>
  <si>
    <t>Decreto N°. 1030/2012 autoriza extraccipón de algas.</t>
  </si>
  <si>
    <t>al 07-11-2012</t>
  </si>
  <si>
    <t>+</t>
  </si>
  <si>
    <t xml:space="preserve">DON JOAQUIN </t>
  </si>
  <si>
    <t xml:space="preserve">SAMARITANO </t>
  </si>
  <si>
    <t xml:space="preserve">Amparito I </t>
  </si>
  <si>
    <t>Glopara I</t>
  </si>
  <si>
    <t>TRASPASO IND-ART  VIII a la XIV REGIÓN  RESL. 2925/2012</t>
  </si>
  <si>
    <t>ACUARIO III</t>
  </si>
  <si>
    <t>atencion</t>
  </si>
  <si>
    <t>cuota</t>
  </si>
  <si>
    <t>saldo</t>
  </si>
  <si>
    <t>cerrada</t>
  </si>
  <si>
    <t>RICARDO I  es conpatida con la VIII                  RESOL 2794</t>
  </si>
  <si>
    <t>resl. 2794 pesca en la VIII</t>
  </si>
  <si>
    <t>TRASPASO IND-ART  V a la VII REGIÓN  RESL. 2794/2012</t>
  </si>
  <si>
    <t>10% varado</t>
  </si>
  <si>
    <t>Des. varado (t)</t>
  </si>
  <si>
    <t>Total adicional de varado asignado</t>
  </si>
  <si>
    <t>sin tope</t>
  </si>
  <si>
    <t>TRASPASO IND-ART  IV REGIÓN  RESL. 2961/2012 LANGOSTINO COLORADO</t>
  </si>
  <si>
    <t>L. COLORADO</t>
  </si>
  <si>
    <t>CUNSUMO</t>
  </si>
  <si>
    <t>BONI MAURI</t>
  </si>
  <si>
    <t>CHAFIC I</t>
  </si>
  <si>
    <t>PUNTA TALCA</t>
  </si>
  <si>
    <t>TRAUWUN I</t>
  </si>
  <si>
    <t>TRASPASO IND-ART  IV REGIÓN  RESL. 2960/2012 LANGOSTINO COLORADO</t>
  </si>
  <si>
    <t>julio</t>
  </si>
  <si>
    <t>Copenay</t>
  </si>
  <si>
    <t>Copepay</t>
  </si>
  <si>
    <t>RAYA VOLANTIN - D.EX. N° 100 del 25.01.2012 y 1067 31.10.2012</t>
  </si>
  <si>
    <t>Veda Biológica R. Volantin y R.espinoza desde 25.01.12 al 30.11.12</t>
  </si>
  <si>
    <t>Sólo Raya V. como fauna acompañante del 15% del Congrio Dorado. Total 8,5 tons</t>
  </si>
  <si>
    <t>Investigación</t>
  </si>
  <si>
    <t xml:space="preserve">Cuota Asignada </t>
  </si>
  <si>
    <r>
      <t xml:space="preserve">Desembarcado  </t>
    </r>
    <r>
      <rPr>
        <sz val="11"/>
        <rFont val="Arial Narrow"/>
        <family val="2"/>
      </rPr>
      <t>(a la fecha)</t>
    </r>
  </si>
  <si>
    <r>
      <rPr>
        <sz val="11"/>
        <rFont val="Arial Narrow"/>
        <family val="2"/>
      </rPr>
      <t xml:space="preserve">Raya Volantin </t>
    </r>
    <r>
      <rPr>
        <sz val="10"/>
        <rFont val="Arial Narrow"/>
        <family val="2"/>
      </rPr>
      <t>(veda 16.ene al 30.nov)</t>
    </r>
  </si>
  <si>
    <r>
      <rPr>
        <sz val="11"/>
        <rFont val="Arial Narrow"/>
        <family val="2"/>
      </rPr>
      <t xml:space="preserve">Raya Espinoza </t>
    </r>
    <r>
      <rPr>
        <sz val="10"/>
        <rFont val="Arial Narrow"/>
        <family val="2"/>
      </rPr>
      <t>(veda 01.ene al 31.dic)</t>
    </r>
  </si>
  <si>
    <t>ROLANDO</t>
  </si>
  <si>
    <t>YO CLAUDIO</t>
  </si>
  <si>
    <t>SAMARITANO.</t>
  </si>
  <si>
    <t>DON JOAQUIN</t>
  </si>
  <si>
    <t>TRASPASO IND-ART  XIV REGIÓN  RESL. 2980/2012  SARDINA COMUN</t>
  </si>
  <si>
    <t>N</t>
  </si>
  <si>
    <t>Nómina de embarcaciones</t>
  </si>
  <si>
    <t>TRASPASO IND-ART  VII REGIÓN  RESL. 3045   MERLUZA COMUN</t>
  </si>
  <si>
    <t>MERLUZA</t>
  </si>
  <si>
    <t>69 EMB.</t>
  </si>
  <si>
    <t>CHFIC I</t>
  </si>
  <si>
    <t>IV región de Industrial a Artesanal  3054/2022  LANGOSTINO COLORADO IND-ART</t>
  </si>
  <si>
    <t>NAVE</t>
  </si>
  <si>
    <t>Resl. N° 3068/2012</t>
  </si>
  <si>
    <t>ATENCIÓN.</t>
  </si>
  <si>
    <t>TRASPASO IND-ART  IX REGIÓN  RESL. 3038/2012</t>
  </si>
  <si>
    <t>TRASPASO IND-ART  IV REGIÓN  RESL. 3057/2012 CAMARON NAILON</t>
  </si>
  <si>
    <t>IV región de Industrial a Artesanal  3058/2012 ANCHOVETA</t>
  </si>
  <si>
    <t>CESION VIII A  IX REGIÓN</t>
  </si>
  <si>
    <t>AL 27-11-2012</t>
  </si>
  <si>
    <t>Resl. N° 1397/2012</t>
  </si>
  <si>
    <t>Traspazo Anchoveta  XV - I industrial a artesanal Resol 3068/2012</t>
  </si>
  <si>
    <t>|</t>
  </si>
  <si>
    <t>X Y XIV REGIÓN  DE LOS RIOS Y DE LOS LAGOS</t>
  </si>
  <si>
    <t>SOLO PARA REFERENCIA</t>
  </si>
  <si>
    <t>atenmción</t>
  </si>
  <si>
    <t>31/10/2012 y 29-11-2012</t>
  </si>
  <si>
    <t xml:space="preserve">consumo total </t>
  </si>
  <si>
    <t>Año</t>
  </si>
  <si>
    <t>2o periodo</t>
  </si>
  <si>
    <t>2° periodo</t>
  </si>
  <si>
    <t>total anual</t>
  </si>
  <si>
    <t>anual</t>
  </si>
  <si>
    <t>dif. (2° periodo)</t>
  </si>
  <si>
    <t>Capturado Anchoveta</t>
  </si>
  <si>
    <t>Res 3056 deja sin efecto a 2960</t>
  </si>
  <si>
    <t xml:space="preserve">CALBUCO B  </t>
  </si>
  <si>
    <t>como viene desde la X</t>
  </si>
  <si>
    <t>valores</t>
  </si>
  <si>
    <t>traspuesto</t>
  </si>
  <si>
    <t>?</t>
  </si>
  <si>
    <t>Períodos V a X regiones Y TONELADAS ANCHOVETA</t>
  </si>
  <si>
    <t>MARGARITA DEL MAR ANCHOVETA RESOL 1462/2012</t>
  </si>
  <si>
    <t>MARGARITA DEL MAR SARDINA COMUN RES 1462/2012</t>
  </si>
  <si>
    <t>DELTA</t>
  </si>
  <si>
    <t>03 12 2012</t>
  </si>
  <si>
    <t>SIND: Aysen - B.M. Pesca.Artes (STI Buzos de Aysen)</t>
  </si>
  <si>
    <t>cierre 04 12 2012</t>
  </si>
  <si>
    <t>ANTARES V</t>
  </si>
  <si>
    <t>HURACAN I</t>
  </si>
  <si>
    <t>Resolución Exenta N° 23 (22- Noviembre -12)             Rpa 4524 PATRICIA III (5 T)y Rpa 959608 PERLA NEGRA 3 (5 T)</t>
  </si>
  <si>
    <t>correlativo</t>
  </si>
  <si>
    <t>capturado</t>
  </si>
  <si>
    <r>
      <rPr>
        <b/>
        <sz val="11"/>
        <rFont val="Arial"/>
        <family val="2"/>
      </rPr>
      <t xml:space="preserve">JUREL </t>
    </r>
    <r>
      <rPr>
        <b/>
        <sz val="8"/>
        <rFont val="Arial"/>
        <family val="2"/>
      </rPr>
      <t>TRASPADO DE INDUSTRIAL  RESL. 693/2012</t>
    </r>
  </si>
  <si>
    <t>Rels. 3058/2012 ANCHOVETA</t>
  </si>
  <si>
    <t>Sardina</t>
  </si>
  <si>
    <t>delta</t>
  </si>
  <si>
    <t>oct dic informado</t>
  </si>
  <si>
    <t>nuestro</t>
  </si>
  <si>
    <t>sin efecto R. Ex 24</t>
  </si>
  <si>
    <t>07 12 2012</t>
  </si>
  <si>
    <t>ok</t>
  </si>
  <si>
    <t>M COMUN</t>
  </si>
  <si>
    <t>Cesión Sindicatos desde la IV reg. A la V Zona Norte</t>
  </si>
  <si>
    <t>Resl. 3184/ 06 12 2012</t>
  </si>
  <si>
    <t>10 12 2012</t>
  </si>
  <si>
    <t>VIII Región, del Bio Bio D.EX. 1251</t>
  </si>
  <si>
    <t>cerrada al 04 12 2012</t>
  </si>
  <si>
    <t>cuota al 11 12 2012</t>
  </si>
  <si>
    <t>desde la region</t>
  </si>
  <si>
    <t>Asc. Arm. Art de la Décima Región., R.A.G.156-10 ARGAMAR</t>
  </si>
  <si>
    <t>Sind. Pesc. Art. Caleta SAN RAFAEL, R.S.U.10.01.0573</t>
  </si>
  <si>
    <t>Sind.Comuna de QUELLON R.S.U.10.16.0010</t>
  </si>
  <si>
    <t>Sind. Ind. CORCOVADO R.S.U.10.16.400</t>
  </si>
  <si>
    <t>ASARCECHI</t>
  </si>
  <si>
    <t>AGARMAR</t>
  </si>
  <si>
    <t>AQUEPESCA A.G</t>
  </si>
  <si>
    <t>SIPESRAYEN</t>
  </si>
  <si>
    <t>SATICH</t>
  </si>
  <si>
    <t>SAN RAFAEL</t>
  </si>
  <si>
    <t>SIND. QUELLÓN</t>
  </si>
  <si>
    <t>SIND. CORCOVADO</t>
  </si>
  <si>
    <t>SIND. PERCERCAL</t>
  </si>
  <si>
    <t>NO AFILIADOS</t>
  </si>
  <si>
    <t>Sind. Arm. y Trip. de la Isla de Chiloé, R.S.U.10.04.0214 SATICH</t>
  </si>
  <si>
    <t>debe quedar en 0</t>
  </si>
  <si>
    <t>Sind. Pesc. Art. Y Arm. Cerqueros de Valdivia. R.S.U. 10.02.0409 SIPACERVAL</t>
  </si>
  <si>
    <t>LOS REPORTA LA XIV</t>
  </si>
  <si>
    <t>STI. Pecs. Arm. Pelg. Pat. De Com. Talcahuano Reg. 08-05-0474 ASPAS</t>
  </si>
  <si>
    <t>NATALY</t>
  </si>
  <si>
    <t>ANTARES III</t>
  </si>
  <si>
    <t>CESIÓN ART-ART  X a la IX REGIÓN  RESL. 3214/ 11 12 2012</t>
  </si>
  <si>
    <t>sardina total</t>
  </si>
  <si>
    <t>Saldo varado (t)</t>
  </si>
  <si>
    <t>116.94TON DE DESEMBARQUE DE DIA 25/11, SE IMPUTA A FRACCION ARTESANAL POR SOBREPASE DE CUOTA DE TRASPASO RES. EX. Nº 2883/2012.</t>
  </si>
  <si>
    <t>564.18 TON DE DESEMBARQUE DE DIA 27/11, SE IMPUTA A FRACCION ARTESANAL POR SOBREPASE DE CUOTA DE TRASPASO RES. EX. Nº 2883/2012.</t>
  </si>
  <si>
    <t>855.15 TON DE DESEMBARQUE DE DIA 28/11, SE IMPUTA A FRACCION ARTESANAL POR SOBREPASE DE CUOTA DE TRASPASO RES. EX. Nº 2883/2012.</t>
  </si>
  <si>
    <t>341.434 TON DE DESEMBARQUE DE DIA 06/12, SE IMPUTA A FRACCION ARTESANAL</t>
  </si>
  <si>
    <t>168.97 TON DE DESEMBARQUE DE DIA 07/12, SE IMPUTA A FRACCION ARTESANAL</t>
  </si>
  <si>
    <t>398.215 TON DE DESEMBARQUE DE DIA 10/12, SE IMPUTA A FRACCION ARTESANAL</t>
  </si>
  <si>
    <t>Traspazo Sardina Común  XIV desde la VIII región resl. 2537</t>
  </si>
  <si>
    <t xml:space="preserve">              </t>
  </si>
  <si>
    <t>TRASPASO IND-ART  VII REGIÓN  RESL. 3307/2012   MERLUZA COMUN</t>
  </si>
  <si>
    <t>SAN DAMIAN II</t>
  </si>
  <si>
    <t>ESTER JESUS I</t>
  </si>
  <si>
    <t>EL PETREL</t>
  </si>
  <si>
    <t>SANTA TERESA II</t>
  </si>
  <si>
    <t>EL MARINO III</t>
  </si>
  <si>
    <t>DON PATO I</t>
  </si>
  <si>
    <t>SAN JOAQUIN</t>
  </si>
  <si>
    <t>MIOSES II</t>
  </si>
  <si>
    <t>PADRE HURTADO II</t>
  </si>
  <si>
    <t>EL BANJAMIN</t>
  </si>
  <si>
    <t>AL CAMALEON</t>
  </si>
  <si>
    <t>EL VIKINGO O</t>
  </si>
  <si>
    <t>TANIA ALEJANDRA</t>
  </si>
  <si>
    <t>LA REINA DEL SUR</t>
  </si>
  <si>
    <t>TRASPASO IND-ART  VII REGIÓN  RESL. 3308/2012   MERLUZA COMUN</t>
  </si>
  <si>
    <t>CONGRIO DORADO</t>
  </si>
  <si>
    <t>DON ARIEL</t>
  </si>
  <si>
    <t xml:space="preserve">MARIA JOSE I </t>
  </si>
  <si>
    <t>Nómina Embarcacionmes   BOLSON</t>
  </si>
  <si>
    <t>IV región de Industrial a Artesanal  3310/2012  JUREL</t>
  </si>
  <si>
    <t>EMB. ENTRE 8.1 A 12 METRSO</t>
  </si>
  <si>
    <t>Nómina Embarcacionmes   31 EN OTAL CERCOPESCA</t>
  </si>
  <si>
    <t>CESIÓN   XII  REGIÓN  RESL. 3309/ 14 12 2012</t>
  </si>
  <si>
    <t>STI. Pecs. Arm. Pelg. Pat. De Com. Talcahuano Reg. 08-05-0474  Aspas</t>
  </si>
  <si>
    <t>EL ACUARIO I</t>
  </si>
  <si>
    <r>
      <t>Cuota residual (Norte II)</t>
    </r>
    <r>
      <rPr>
        <b/>
        <sz val="8"/>
        <color indexed="10"/>
        <rFont val="@Arial Unicode MS"/>
      </rPr>
      <t>Hasta el 07-02-2012</t>
    </r>
  </si>
  <si>
    <r>
      <t>Cuota residual (Norte II)</t>
    </r>
    <r>
      <rPr>
        <b/>
        <sz val="8"/>
        <color indexed="10"/>
        <rFont val="@Arial Unicode MS"/>
      </rPr>
      <t>Desde el 08-02-2012</t>
    </r>
  </si>
  <si>
    <t>Traspazo Anchoveta  XV - I industrial a artesanal Resol 3385/2012</t>
  </si>
  <si>
    <t>Resl. N° 3385/2012</t>
  </si>
  <si>
    <t>no estaba incorporado.</t>
  </si>
  <si>
    <t>11/10/2012  (habra otro cierre)</t>
  </si>
  <si>
    <t>DON RAUL M</t>
  </si>
  <si>
    <t>DOÑA GABRIELA II</t>
  </si>
  <si>
    <t>VENTISQUERO</t>
  </si>
  <si>
    <t>317.85 AL 21-12-2012</t>
  </si>
  <si>
    <t>DESM REAL</t>
  </si>
  <si>
    <t>26-12-2012-</t>
  </si>
  <si>
    <t>24/10/2012 y 27-12-2012</t>
  </si>
  <si>
    <t>Sardina Asutral Fauna acompañante X región, resl. 1322/2012</t>
  </si>
  <si>
    <t>17/07/2012 , 01-09-2012 y 31-10-2012 Y 18-12-2012</t>
  </si>
  <si>
    <t>CESIÓN IND-ART  IV a la V REGIÓN  RESL. 3184 y 3536/ 06 12 2012</t>
  </si>
  <si>
    <t>2794/3539-2012</t>
  </si>
  <si>
    <t>Revisado al 07-01-2013</t>
  </si>
  <si>
    <t>ok¡</t>
  </si>
  <si>
    <t>Al 24 ENERO  de 2013</t>
  </si>
  <si>
    <t>Al 24 ENERO  de  2013</t>
  </si>
  <si>
    <t>Al 24 ENERO  2013</t>
  </si>
  <si>
    <t xml:space="preserve">   </t>
  </si>
  <si>
    <t xml:space="preserve">ERIZO  </t>
  </si>
  <si>
    <t>total consumo informado</t>
  </si>
  <si>
    <t>Datos Access</t>
  </si>
  <si>
    <t>Desmbarque XV-I incluye cesiones</t>
  </si>
  <si>
    <t>Desmbarque II incluye cesiones</t>
  </si>
  <si>
    <t xml:space="preserve">TOATL </t>
  </si>
  <si>
    <t xml:space="preserve">REAL CAPTURAS </t>
  </si>
  <si>
    <t>REAL CAPTURAS SACADO AL AÑO 2019</t>
  </si>
  <si>
    <t>REAC CAPTURA</t>
  </si>
</sst>
</file>

<file path=xl/styles.xml><?xml version="1.0" encoding="utf-8"?>
<styleSheet xmlns="http://schemas.openxmlformats.org/spreadsheetml/2006/main">
  <numFmts count="28">
    <numFmt numFmtId="44" formatCode="_-&quot;$&quot;\ * #,##0.00_-;\-&quot;$&quot;\ * #,##0.00_-;_-&quot;$&quot;\ * &quot;-&quot;??_-;_-@_-"/>
    <numFmt numFmtId="43" formatCode="_-* #,##0.00_-;\-* #,##0.00_-;_-* &quot;-&quot;??_-;_-@_-"/>
    <numFmt numFmtId="164" formatCode="0.00_ ;[Red]\-0.00\ "/>
    <numFmt numFmtId="165" formatCode="#,##0.00_ ;[Red]\-#,##0.00\ "/>
    <numFmt numFmtId="166" formatCode="0.0%"/>
    <numFmt numFmtId="167" formatCode="#,##0.0"/>
    <numFmt numFmtId="168" formatCode="#,##0.0_ ;[Red]\-#,##0.0\ "/>
    <numFmt numFmtId="169" formatCode="#,##0.000"/>
    <numFmt numFmtId="170" formatCode="#,##0_ ;[Red]\-#,##0\ "/>
    <numFmt numFmtId="171" formatCode="#,##0.000_ ;[Red]\-#,##0.000\ "/>
    <numFmt numFmtId="172" formatCode="0_ ;[Red]\-0\ "/>
    <numFmt numFmtId="173" formatCode="0.000_ ;[Red]\-0.000\ "/>
    <numFmt numFmtId="174" formatCode="0.000"/>
    <numFmt numFmtId="175" formatCode="0.0000"/>
    <numFmt numFmtId="176" formatCode="#,##0.0000"/>
    <numFmt numFmtId="177" formatCode="0.000%"/>
    <numFmt numFmtId="178" formatCode="0.0"/>
    <numFmt numFmtId="179" formatCode="dd\-mm\-yy"/>
    <numFmt numFmtId="180" formatCode="dd\-mm\-yy;@"/>
    <numFmt numFmtId="181" formatCode="dd\-mm\-yyyy;@"/>
    <numFmt numFmtId="182" formatCode="#,##0.000_ ;\-#,##0.000\ "/>
    <numFmt numFmtId="183" formatCode="#,##0.000000000"/>
    <numFmt numFmtId="184" formatCode="#,##0.00_ ;\-#,##0.00\ "/>
    <numFmt numFmtId="185" formatCode="[$-340A]d&quot; de &quot;mmmm&quot; de &quot;yyyy;@"/>
    <numFmt numFmtId="186" formatCode="#,##0.0_ ;\-#,##0.0\ "/>
    <numFmt numFmtId="187" formatCode="0.00_ ;\-0.00\ "/>
    <numFmt numFmtId="188" formatCode="0.000;[Red]0.000"/>
    <numFmt numFmtId="189" formatCode="#,##0.0000_ ;\-#,##0.0000\ "/>
  </numFmts>
  <fonts count="201">
    <font>
      <sz val="10"/>
      <name val="Arial"/>
    </font>
    <font>
      <sz val="11"/>
      <color theme="1"/>
      <name val="Calibri"/>
      <family val="2"/>
      <scheme val="minor"/>
    </font>
    <font>
      <sz val="10"/>
      <name val="Arial"/>
      <family val="2"/>
    </font>
    <font>
      <b/>
      <i/>
      <sz val="10"/>
      <name val="@Arial Unicode MS"/>
      <family val="2"/>
    </font>
    <font>
      <b/>
      <sz val="10"/>
      <name val="@Arial Unicode MS"/>
      <family val="2"/>
    </font>
    <font>
      <sz val="10"/>
      <name val="@Arial Unicode MS"/>
      <family val="2"/>
    </font>
    <font>
      <sz val="10"/>
      <color indexed="10"/>
      <name val="@Arial Unicode MS"/>
      <family val="2"/>
    </font>
    <font>
      <sz val="8"/>
      <name val="@Arial Unicode MS"/>
      <family val="2"/>
    </font>
    <font>
      <sz val="10"/>
      <color indexed="8"/>
      <name val="@Arial Unicode MS"/>
      <family val="2"/>
    </font>
    <font>
      <i/>
      <sz val="10"/>
      <color indexed="10"/>
      <name val="@Arial Unicode MS"/>
      <family val="2"/>
    </font>
    <font>
      <b/>
      <sz val="10"/>
      <color indexed="10"/>
      <name val="@Arial Unicode MS"/>
      <family val="2"/>
    </font>
    <font>
      <b/>
      <sz val="8"/>
      <name val="@Arial Unicode MS"/>
      <family val="2"/>
    </font>
    <font>
      <b/>
      <sz val="10"/>
      <color indexed="10"/>
      <name val="Arial"/>
      <family val="2"/>
    </font>
    <font>
      <b/>
      <sz val="10"/>
      <name val="Arial"/>
      <family val="2"/>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sz val="10"/>
      <name val="Arial"/>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sz val="10"/>
      <name val="Arial"/>
      <family val="2"/>
    </font>
    <font>
      <b/>
      <sz val="10"/>
      <color indexed="10"/>
      <name val="@Arial Unicode MS"/>
      <family val="2"/>
    </font>
    <font>
      <b/>
      <sz val="10"/>
      <color indexed="9"/>
      <name val="@Arial Unicode MS"/>
      <family val="2"/>
    </font>
    <font>
      <sz val="10"/>
      <color indexed="10"/>
      <name val="Arial"/>
      <family val="2"/>
    </font>
    <font>
      <sz val="8"/>
      <name val="Arial"/>
      <family val="2"/>
    </font>
    <font>
      <b/>
      <sz val="8"/>
      <color indexed="18"/>
      <name val="Arial"/>
      <family val="2"/>
    </font>
    <font>
      <b/>
      <sz val="8"/>
      <name val="Arial"/>
      <family val="2"/>
    </font>
    <font>
      <b/>
      <sz val="8"/>
      <color indexed="10"/>
      <name val="Arial"/>
      <family val="2"/>
    </font>
    <font>
      <sz val="8"/>
      <color indexed="10"/>
      <name val="@Arial Unicode MS"/>
      <family val="2"/>
    </font>
    <font>
      <sz val="8"/>
      <color indexed="8"/>
      <name val="@Arial Unicode MS"/>
      <family val="2"/>
    </font>
    <font>
      <b/>
      <sz val="12"/>
      <color indexed="10"/>
      <name val="Arial"/>
      <family val="2"/>
    </font>
    <font>
      <b/>
      <sz val="10"/>
      <name val="Tahoma"/>
      <family val="2"/>
    </font>
    <font>
      <sz val="12"/>
      <name val="Times New Roman"/>
      <family val="1"/>
    </font>
    <font>
      <sz val="10"/>
      <name val="Arial"/>
      <family val="2"/>
    </font>
    <font>
      <sz val="11"/>
      <name val="@Arial Unicode MS"/>
      <family val="2"/>
    </font>
    <font>
      <b/>
      <sz val="8"/>
      <color indexed="10"/>
      <name val="@Arial Unicode MS"/>
      <family val="2"/>
    </font>
    <font>
      <b/>
      <sz val="10"/>
      <name val="@Arial Unicode MS"/>
    </font>
    <font>
      <sz val="8"/>
      <name val="@Arial Unicode MS"/>
    </font>
    <font>
      <sz val="10"/>
      <color indexed="8"/>
      <name val="Arial"/>
      <family val="2"/>
    </font>
    <font>
      <sz val="8"/>
      <color indexed="81"/>
      <name val="Tahoma"/>
      <family val="2"/>
    </font>
    <font>
      <b/>
      <sz val="8"/>
      <color indexed="81"/>
      <name val="Tahoma"/>
      <family val="2"/>
    </font>
    <font>
      <sz val="10"/>
      <color indexed="12"/>
      <name val="@Arial Unicode MS"/>
      <family val="2"/>
    </font>
    <font>
      <b/>
      <i/>
      <sz val="10"/>
      <name val="Arial"/>
      <family val="2"/>
    </font>
    <font>
      <sz val="10"/>
      <name val="Arial Unicode MS"/>
      <family val="2"/>
    </font>
    <font>
      <sz val="8"/>
      <color indexed="18"/>
      <name val="Arial"/>
      <family val="2"/>
    </font>
    <font>
      <sz val="10"/>
      <name val="@Arial Unicode MS"/>
    </font>
    <font>
      <b/>
      <sz val="10"/>
      <color indexed="10"/>
      <name val="@Arial Unicode MS"/>
    </font>
    <font>
      <b/>
      <sz val="10"/>
      <name val="Arial Unicode MS"/>
      <family val="2"/>
    </font>
    <font>
      <b/>
      <sz val="8"/>
      <name val="@Arial Unicode MS"/>
    </font>
    <font>
      <sz val="9"/>
      <name val="Tahoma"/>
      <family val="2"/>
    </font>
    <font>
      <sz val="10"/>
      <name val="Tahoma"/>
      <family val="2"/>
    </font>
    <font>
      <b/>
      <i/>
      <sz val="8"/>
      <name val="Arial"/>
      <family val="2"/>
    </font>
    <font>
      <b/>
      <sz val="9"/>
      <name val="@Arial Unicode MS"/>
      <family val="2"/>
    </font>
    <font>
      <b/>
      <sz val="11"/>
      <name val="Arial"/>
      <family val="2"/>
    </font>
    <font>
      <sz val="9"/>
      <name val="Arial"/>
      <family val="2"/>
    </font>
    <font>
      <sz val="9"/>
      <name val="@Arial Unicode MS"/>
      <family val="2"/>
    </font>
    <font>
      <b/>
      <sz val="9"/>
      <color indexed="10"/>
      <name val="@Arial Unicode MS"/>
      <family val="2"/>
    </font>
    <font>
      <sz val="8"/>
      <name val="Tahoma"/>
      <family val="2"/>
    </font>
    <font>
      <sz val="10"/>
      <name val="Arial"/>
      <family val="2"/>
    </font>
    <font>
      <sz val="9"/>
      <color indexed="18"/>
      <name val="Arial"/>
      <family val="2"/>
    </font>
    <font>
      <b/>
      <sz val="9"/>
      <name val="Arial"/>
      <family val="2"/>
    </font>
    <font>
      <sz val="8"/>
      <name val="Arial Narrow"/>
      <family val="2"/>
    </font>
    <font>
      <sz val="11"/>
      <name val="Calibri"/>
      <family val="2"/>
    </font>
    <font>
      <sz val="10"/>
      <name val="Arial"/>
      <family val="2"/>
    </font>
    <font>
      <sz val="10"/>
      <color indexed="18"/>
      <name val="Arial"/>
      <family val="2"/>
    </font>
    <font>
      <sz val="12"/>
      <name val="Arial"/>
      <family val="2"/>
    </font>
    <font>
      <sz val="10"/>
      <name val="Calibri"/>
      <family val="2"/>
    </font>
    <font>
      <sz val="10"/>
      <name val="Arial"/>
      <family val="2"/>
    </font>
    <font>
      <sz val="8"/>
      <name val="Courier New"/>
      <family val="3"/>
    </font>
    <font>
      <sz val="8"/>
      <name val="Times New Roman"/>
      <family val="1"/>
    </font>
    <font>
      <b/>
      <sz val="8"/>
      <name val="Arial Narrow"/>
      <family val="2"/>
    </font>
    <font>
      <b/>
      <sz val="8"/>
      <name val="Times New Roman"/>
      <family val="1"/>
    </font>
    <font>
      <sz val="8"/>
      <color indexed="8"/>
      <name val="Calibri"/>
      <family val="2"/>
    </font>
    <font>
      <b/>
      <sz val="8"/>
      <color indexed="8"/>
      <name val="Calibri"/>
      <family val="2"/>
    </font>
    <font>
      <b/>
      <sz val="10"/>
      <color indexed="8"/>
      <name val="Calibri"/>
      <family val="2"/>
    </font>
    <font>
      <sz val="8"/>
      <color indexed="8"/>
      <name val="Arial"/>
      <family val="2"/>
    </font>
    <font>
      <sz val="10"/>
      <color indexed="8"/>
      <name val="Arial"/>
      <family val="2"/>
    </font>
    <font>
      <sz val="8"/>
      <color indexed="12"/>
      <name val="@Arial Unicode MS"/>
      <family val="2"/>
    </font>
    <font>
      <sz val="10"/>
      <color indexed="18"/>
      <name val="Arial Unicode MS"/>
      <family val="2"/>
    </font>
    <font>
      <sz val="8"/>
      <color indexed="8"/>
      <name val="Arial Unicode MS"/>
      <family val="2"/>
    </font>
    <font>
      <sz val="10"/>
      <name val="Arial"/>
      <family val="2"/>
    </font>
    <font>
      <sz val="6"/>
      <name val="Arial"/>
      <family val="2"/>
    </font>
    <font>
      <b/>
      <i/>
      <sz val="8"/>
      <name val="@Arial Unicode MS"/>
      <family val="2"/>
    </font>
    <font>
      <b/>
      <sz val="8"/>
      <name val="Tahoma"/>
      <family val="2"/>
    </font>
    <font>
      <b/>
      <sz val="8"/>
      <color indexed="8"/>
      <name val="@Arial Unicode MS"/>
    </font>
    <font>
      <sz val="10"/>
      <color indexed="8"/>
      <name val="@Arial Unicode MS"/>
      <family val="2"/>
    </font>
    <font>
      <sz val="10"/>
      <color indexed="10"/>
      <name val="@Arial Unicode MS"/>
      <family val="2"/>
    </font>
    <font>
      <sz val="8"/>
      <color indexed="10"/>
      <name val="@Arial Unicode MS"/>
      <family val="2"/>
    </font>
    <font>
      <sz val="8"/>
      <color indexed="8"/>
      <name val="@Arial Unicode MS"/>
      <family val="2"/>
    </font>
    <font>
      <b/>
      <sz val="8"/>
      <color indexed="30"/>
      <name val="Arial"/>
      <family val="2"/>
    </font>
    <font>
      <b/>
      <sz val="8"/>
      <color indexed="17"/>
      <name val="Arial"/>
      <family val="2"/>
    </font>
    <font>
      <sz val="10"/>
      <color indexed="8"/>
      <name val="Arial"/>
      <family val="2"/>
    </font>
    <font>
      <sz val="10"/>
      <color indexed="10"/>
      <name val="Arial"/>
      <family val="2"/>
    </font>
    <font>
      <b/>
      <sz val="10"/>
      <color indexed="10"/>
      <name val="@Arial Unicode MS"/>
    </font>
    <font>
      <b/>
      <sz val="10"/>
      <color indexed="10"/>
      <name val="Arial"/>
      <family val="2"/>
    </font>
    <font>
      <b/>
      <sz val="10"/>
      <color indexed="8"/>
      <name val="@Arial Unicode MS"/>
    </font>
    <font>
      <b/>
      <sz val="10"/>
      <color indexed="10"/>
      <name val="@Arial Unicode MS"/>
      <family val="2"/>
    </font>
    <font>
      <b/>
      <sz val="8"/>
      <color indexed="10"/>
      <name val="@Arial Unicode MS"/>
    </font>
    <font>
      <b/>
      <sz val="8"/>
      <color indexed="60"/>
      <name val="@Arial Unicode MS"/>
    </font>
    <font>
      <b/>
      <sz val="9"/>
      <color indexed="10"/>
      <name val="Arial"/>
      <family val="2"/>
    </font>
    <font>
      <b/>
      <sz val="8"/>
      <color indexed="8"/>
      <name val="Arial"/>
      <family val="2"/>
    </font>
    <font>
      <sz val="8"/>
      <color indexed="8"/>
      <name val="Arial"/>
      <family val="2"/>
    </font>
    <font>
      <b/>
      <sz val="8"/>
      <color indexed="8"/>
      <name val="Calibri"/>
      <family val="2"/>
    </font>
    <font>
      <sz val="8"/>
      <color indexed="8"/>
      <name val="Calibri"/>
      <family val="2"/>
    </font>
    <font>
      <b/>
      <sz val="8"/>
      <name val="Calibri"/>
      <family val="2"/>
    </font>
    <font>
      <b/>
      <sz val="12"/>
      <color indexed="10"/>
      <name val="Arial"/>
      <family val="2"/>
    </font>
    <font>
      <sz val="8"/>
      <color indexed="8"/>
      <name val="Calibri"/>
      <family val="2"/>
    </font>
    <font>
      <b/>
      <i/>
      <u/>
      <sz val="8"/>
      <color indexed="8"/>
      <name val="Calibri"/>
      <family val="2"/>
    </font>
    <font>
      <b/>
      <sz val="8"/>
      <color indexed="10"/>
      <name val="Arial"/>
      <family val="2"/>
    </font>
    <font>
      <sz val="10"/>
      <color indexed="9"/>
      <name val="@Arial Unicode MS"/>
      <family val="2"/>
    </font>
    <font>
      <b/>
      <sz val="8"/>
      <color indexed="8"/>
      <name val="Calibri"/>
      <family val="2"/>
    </font>
    <font>
      <b/>
      <sz val="8"/>
      <color indexed="10"/>
      <name val="Calibri"/>
      <family val="2"/>
    </font>
    <font>
      <b/>
      <sz val="8"/>
      <color indexed="52"/>
      <name val="Calibri"/>
      <family val="2"/>
    </font>
    <font>
      <sz val="8"/>
      <color indexed="10"/>
      <name val="Calibri"/>
      <family val="2"/>
    </font>
    <font>
      <sz val="8"/>
      <color indexed="8"/>
      <name val="gobCL"/>
      <family val="3"/>
    </font>
    <font>
      <b/>
      <sz val="10"/>
      <name val="Calibri"/>
      <family val="2"/>
    </font>
    <font>
      <sz val="10"/>
      <color indexed="63"/>
      <name val="Arial"/>
      <family val="2"/>
    </font>
    <font>
      <sz val="10"/>
      <color indexed="63"/>
      <name val="@Arial Unicode MS"/>
      <family val="2"/>
    </font>
    <font>
      <sz val="10"/>
      <color indexed="8"/>
      <name val="Calibri"/>
      <family val="2"/>
    </font>
    <font>
      <b/>
      <sz val="9"/>
      <color indexed="62"/>
      <name val="Arial"/>
      <family val="2"/>
    </font>
    <font>
      <sz val="10"/>
      <color indexed="8"/>
      <name val="Calibri"/>
      <family val="2"/>
    </font>
    <font>
      <b/>
      <sz val="10"/>
      <color indexed="8"/>
      <name val="Calibri"/>
      <family val="2"/>
    </font>
    <font>
      <b/>
      <sz val="10"/>
      <color indexed="8"/>
      <name val="Arial"/>
      <family val="2"/>
    </font>
    <font>
      <sz val="8"/>
      <color indexed="10"/>
      <name val="Arial"/>
      <family val="2"/>
    </font>
    <font>
      <sz val="8"/>
      <name val="Calibri"/>
      <family val="2"/>
    </font>
    <font>
      <sz val="10"/>
      <color indexed="8"/>
      <name val="@Arial Unicode MS"/>
    </font>
    <font>
      <sz val="11"/>
      <name val="Calibri"/>
      <family val="2"/>
    </font>
    <font>
      <b/>
      <sz val="8"/>
      <color indexed="53"/>
      <name val="Arial"/>
      <family val="2"/>
    </font>
    <font>
      <b/>
      <sz val="8"/>
      <color indexed="30"/>
      <name val="Arial"/>
      <family val="2"/>
    </font>
    <font>
      <b/>
      <sz val="10"/>
      <color indexed="10"/>
      <name val="Calibri"/>
      <family val="2"/>
    </font>
    <font>
      <sz val="9"/>
      <color indexed="62"/>
      <name val="Arial"/>
      <family val="2"/>
    </font>
    <font>
      <b/>
      <sz val="11"/>
      <color indexed="8"/>
      <name val="Calibri"/>
      <family val="2"/>
    </font>
    <font>
      <sz val="10"/>
      <color indexed="10"/>
      <name val="@Arial Unicode MS"/>
    </font>
    <font>
      <b/>
      <sz val="11"/>
      <color indexed="10"/>
      <name val="Calibri"/>
      <family val="2"/>
    </font>
    <font>
      <b/>
      <sz val="10"/>
      <color indexed="8"/>
      <name val="Calibri"/>
      <family val="2"/>
    </font>
    <font>
      <b/>
      <sz val="10"/>
      <color indexed="10"/>
      <name val="Arial"/>
      <family val="2"/>
    </font>
    <font>
      <b/>
      <sz val="10"/>
      <color indexed="10"/>
      <name val="@Arial Unicode MS"/>
    </font>
    <font>
      <b/>
      <sz val="9"/>
      <color indexed="10"/>
      <name val="Arial"/>
      <family val="2"/>
    </font>
    <font>
      <b/>
      <sz val="8"/>
      <color indexed="10"/>
      <name val="Arial"/>
      <family val="2"/>
    </font>
    <font>
      <sz val="10"/>
      <name val="Arial"/>
      <family val="2"/>
    </font>
    <font>
      <b/>
      <sz val="10"/>
      <color indexed="10"/>
      <name val="@Arial Unicode MS"/>
    </font>
    <font>
      <sz val="9"/>
      <name val="Arial Narrow"/>
      <family val="2"/>
    </font>
    <font>
      <sz val="11"/>
      <color theme="1"/>
      <name val="Calibri"/>
      <family val="2"/>
      <scheme val="minor"/>
    </font>
    <font>
      <b/>
      <i/>
      <u/>
      <sz val="12"/>
      <name val="Arial Narrow"/>
      <family val="2"/>
    </font>
    <font>
      <b/>
      <u/>
      <sz val="12"/>
      <name val="Arial Narrow"/>
      <family val="2"/>
    </font>
    <font>
      <sz val="12"/>
      <name val="Arial Narrow"/>
      <family val="2"/>
    </font>
    <font>
      <b/>
      <sz val="11"/>
      <name val="Arial Narrow"/>
      <family val="2"/>
    </font>
    <font>
      <sz val="11"/>
      <name val="Arial Narrow"/>
      <family val="2"/>
    </font>
    <font>
      <sz val="10"/>
      <name val="Arial Narrow"/>
      <family val="2"/>
    </font>
    <font>
      <b/>
      <sz val="13"/>
      <name val="Arial Narrow"/>
      <family val="2"/>
    </font>
    <font>
      <b/>
      <sz val="10"/>
      <color rgb="FFFF0000"/>
      <name val="Arial"/>
      <family val="2"/>
    </font>
    <font>
      <sz val="8"/>
      <color rgb="FFFF0000"/>
      <name val="Calibri"/>
      <family val="2"/>
    </font>
    <font>
      <sz val="8"/>
      <color indexed="8"/>
      <name val="Calibri"/>
      <family val="2"/>
      <scheme val="minor"/>
    </font>
    <font>
      <b/>
      <sz val="10"/>
      <color rgb="FF000000"/>
      <name val="Calibri"/>
      <family val="2"/>
    </font>
    <font>
      <sz val="8"/>
      <color rgb="FFFF0000"/>
      <name val="Arial"/>
      <family val="2"/>
    </font>
    <font>
      <b/>
      <sz val="9"/>
      <color rgb="FFFF0000"/>
      <name val="Arial"/>
      <family val="2"/>
    </font>
    <font>
      <sz val="8"/>
      <color rgb="FFFF0000"/>
      <name val="@Arial Unicode MS"/>
      <family val="2"/>
    </font>
    <font>
      <b/>
      <sz val="8"/>
      <color rgb="FFFF0000"/>
      <name val="Arial"/>
      <family val="2"/>
    </font>
    <font>
      <sz val="10"/>
      <color theme="1"/>
      <name val="@Arial Unicode MS"/>
    </font>
    <font>
      <sz val="9"/>
      <color rgb="FFFF0000"/>
      <name val="Arial"/>
      <family val="2"/>
    </font>
    <font>
      <b/>
      <sz val="12"/>
      <name val="Arial"/>
      <family val="2"/>
    </font>
    <font>
      <sz val="8"/>
      <name val="gobCL"/>
    </font>
    <font>
      <sz val="10"/>
      <color rgb="FFFF0000"/>
      <name val="Arial"/>
      <family val="2"/>
    </font>
    <font>
      <sz val="8"/>
      <color theme="1"/>
      <name val="@Arial Unicode MS"/>
      <family val="2"/>
    </font>
    <font>
      <b/>
      <sz val="8"/>
      <color rgb="FFFF0000"/>
      <name val="@Arial Unicode MS"/>
    </font>
    <font>
      <sz val="11"/>
      <color indexed="8"/>
      <name val="Calibri"/>
      <family val="2"/>
      <scheme val="minor"/>
    </font>
    <font>
      <sz val="10"/>
      <color rgb="FFFF0000"/>
      <name val="@Arial Unicode MS"/>
      <family val="2"/>
    </font>
    <font>
      <sz val="11"/>
      <color rgb="FFFF0000"/>
      <name val="Calibri"/>
      <family val="2"/>
      <scheme val="minor"/>
    </font>
    <font>
      <b/>
      <sz val="10"/>
      <color indexed="81"/>
      <name val="Tahoma"/>
      <family val="2"/>
    </font>
    <font>
      <sz val="10"/>
      <color indexed="81"/>
      <name val="Tahoma"/>
      <family val="2"/>
    </font>
    <font>
      <b/>
      <sz val="12"/>
      <color indexed="81"/>
      <name val="Tahoma"/>
      <family val="2"/>
    </font>
    <font>
      <sz val="12"/>
      <color indexed="81"/>
      <name val="Tahoma"/>
      <family val="2"/>
    </font>
    <font>
      <b/>
      <sz val="10"/>
      <color rgb="FFFF0000"/>
      <name val="@Arial Unicode MS"/>
    </font>
    <font>
      <b/>
      <sz val="16"/>
      <color indexed="8"/>
      <name val="Calibri"/>
      <family val="2"/>
    </font>
    <font>
      <b/>
      <sz val="7"/>
      <name val="gobCL"/>
      <family val="3"/>
    </font>
    <font>
      <sz val="7"/>
      <name val="gobCL"/>
      <family val="3"/>
    </font>
    <font>
      <b/>
      <sz val="8"/>
      <color rgb="FFFF0000"/>
      <name val="gobCL"/>
    </font>
    <font>
      <sz val="8"/>
      <color theme="1"/>
      <name val="Arial"/>
      <family val="2"/>
    </font>
    <font>
      <sz val="8"/>
      <name val="Arial Unicode MS"/>
      <family val="2"/>
    </font>
    <font>
      <sz val="8"/>
      <color indexed="62"/>
      <name val="Arial"/>
      <family val="2"/>
    </font>
    <font>
      <sz val="8"/>
      <color indexed="8"/>
      <name val="@Arial Unicode MS"/>
    </font>
    <font>
      <sz val="8"/>
      <color indexed="10"/>
      <name val="@Arial Unicode MS"/>
    </font>
    <font>
      <sz val="8"/>
      <color rgb="FFFF0000"/>
      <name val="@Arial Unicode MS"/>
    </font>
    <font>
      <b/>
      <sz val="7"/>
      <color indexed="10"/>
      <name val="@Arial Unicode MS"/>
      <family val="2"/>
    </font>
    <font>
      <b/>
      <sz val="8"/>
      <color rgb="FFFF0000"/>
      <name val="Calibri"/>
      <family val="2"/>
    </font>
    <font>
      <sz val="10"/>
      <color rgb="FFFF0000"/>
      <name val="@Arial Unicode MS"/>
    </font>
    <font>
      <b/>
      <sz val="10"/>
      <color rgb="FFFF0000"/>
      <name val="@Arial Unicode MS"/>
      <family val="2"/>
    </font>
    <font>
      <sz val="9"/>
      <color indexed="81"/>
      <name val="Tahoma"/>
      <family val="2"/>
    </font>
    <font>
      <b/>
      <sz val="9"/>
      <color indexed="81"/>
      <name val="Tahoma"/>
      <family val="2"/>
    </font>
  </fonts>
  <fills count="6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49"/>
        <bgColor indexed="64"/>
      </patternFill>
    </fill>
    <fill>
      <patternFill patternType="solid">
        <fgColor indexed="13"/>
        <bgColor indexed="64"/>
      </patternFill>
    </fill>
    <fill>
      <patternFill patternType="solid">
        <fgColor indexed="42"/>
        <bgColor indexed="64"/>
      </patternFill>
    </fill>
    <fill>
      <patternFill patternType="solid">
        <fgColor indexed="18"/>
        <bgColor indexed="64"/>
      </patternFill>
    </fill>
    <fill>
      <patternFill patternType="solid">
        <fgColor indexed="34"/>
        <bgColor indexed="64"/>
      </patternFill>
    </fill>
    <fill>
      <patternFill patternType="solid">
        <fgColor indexed="47"/>
        <bgColor indexed="64"/>
      </patternFill>
    </fill>
    <fill>
      <patternFill patternType="solid">
        <fgColor indexed="43"/>
        <bgColor indexed="64"/>
      </patternFill>
    </fill>
    <fill>
      <patternFill patternType="solid">
        <fgColor indexed="44"/>
        <bgColor indexed="64"/>
      </patternFill>
    </fill>
    <fill>
      <patternFill patternType="solid">
        <fgColor indexed="45"/>
        <bgColor indexed="64"/>
      </patternFill>
    </fill>
    <fill>
      <patternFill patternType="solid">
        <fgColor indexed="26"/>
        <bgColor indexed="64"/>
      </patternFill>
    </fill>
    <fill>
      <patternFill patternType="solid">
        <fgColor indexed="29"/>
        <bgColor indexed="64"/>
      </patternFill>
    </fill>
    <fill>
      <patternFill patternType="solid">
        <fgColor indexed="22"/>
        <bgColor indexed="64"/>
      </patternFill>
    </fill>
    <fill>
      <patternFill patternType="solid">
        <fgColor indexed="13"/>
        <bgColor indexed="26"/>
      </patternFill>
    </fill>
    <fill>
      <patternFill patternType="solid">
        <fgColor indexed="51"/>
        <bgColor indexed="64"/>
      </patternFill>
    </fill>
    <fill>
      <patternFill patternType="solid">
        <fgColor indexed="9"/>
        <bgColor indexed="26"/>
      </patternFill>
    </fill>
    <fill>
      <patternFill patternType="solid">
        <fgColor indexed="40"/>
        <bgColor indexed="64"/>
      </patternFill>
    </fill>
    <fill>
      <patternFill patternType="solid">
        <fgColor indexed="9"/>
        <bgColor indexed="31"/>
      </patternFill>
    </fill>
    <fill>
      <patternFill patternType="solid">
        <fgColor indexed="23"/>
        <bgColor indexed="64"/>
      </patternFill>
    </fill>
    <fill>
      <patternFill patternType="solid">
        <fgColor indexed="55"/>
        <bgColor indexed="64"/>
      </patternFill>
    </fill>
    <fill>
      <patternFill patternType="solid">
        <fgColor indexed="57"/>
        <bgColor indexed="64"/>
      </patternFill>
    </fill>
    <fill>
      <patternFill patternType="solid">
        <fgColor indexed="41"/>
        <bgColor indexed="64"/>
      </patternFill>
    </fill>
    <fill>
      <patternFill patternType="solid">
        <fgColor rgb="FFFFFF00"/>
        <bgColor indexed="64"/>
      </patternFill>
    </fill>
    <fill>
      <patternFill patternType="solid">
        <fgColor theme="5" tint="0.39997558519241921"/>
        <bgColor indexed="64"/>
      </patternFill>
    </fill>
    <fill>
      <patternFill patternType="solid">
        <fgColor theme="0"/>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0"/>
        <bgColor theme="0"/>
      </patternFill>
    </fill>
    <fill>
      <patternFill patternType="solid">
        <fgColor rgb="FFFFC000"/>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0"/>
        <bgColor indexed="26"/>
      </patternFill>
    </fill>
    <fill>
      <patternFill patternType="solid">
        <fgColor rgb="FF00B0F0"/>
        <bgColor indexed="64"/>
      </patternFill>
    </fill>
    <fill>
      <patternFill patternType="solid">
        <fgColor theme="6" tint="0.39997558519241921"/>
        <bgColor indexed="64"/>
      </patternFill>
    </fill>
    <fill>
      <patternFill patternType="solid">
        <fgColor rgb="FF4BC7BB"/>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92D050"/>
        <bgColor indexed="64"/>
      </patternFill>
    </fill>
    <fill>
      <patternFill patternType="solid">
        <fgColor theme="7" tint="0.79998168889431442"/>
        <bgColor indexed="64"/>
      </patternFill>
    </fill>
  </fills>
  <borders count="30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style="hair">
        <color indexed="64"/>
      </left>
      <right style="thin">
        <color indexed="64"/>
      </right>
      <top/>
      <bottom style="hair">
        <color indexed="64"/>
      </bottom>
      <diagonal/>
    </border>
    <border>
      <left/>
      <right/>
      <top style="thin">
        <color indexed="64"/>
      </top>
      <bottom/>
      <diagonal/>
    </border>
    <border>
      <left style="thin">
        <color indexed="64"/>
      </left>
      <right style="thin">
        <color indexed="64"/>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55"/>
      </left>
      <right style="thin">
        <color indexed="55"/>
      </right>
      <top style="hair">
        <color indexed="55"/>
      </top>
      <bottom style="hair">
        <color indexed="55"/>
      </bottom>
      <diagonal/>
    </border>
    <border>
      <left style="thin">
        <color indexed="55"/>
      </left>
      <right style="thin">
        <color indexed="55"/>
      </right>
      <top/>
      <bottom style="hair">
        <color indexed="55"/>
      </bottom>
      <diagonal/>
    </border>
    <border>
      <left style="thin">
        <color indexed="55"/>
      </left>
      <right style="thin">
        <color indexed="55"/>
      </right>
      <top style="hair">
        <color indexed="55"/>
      </top>
      <bottom/>
      <diagonal/>
    </border>
    <border>
      <left style="thin">
        <color indexed="55"/>
      </left>
      <right style="thin">
        <color indexed="55"/>
      </right>
      <top style="thin">
        <color indexed="22"/>
      </top>
      <bottom style="hair">
        <color indexed="55"/>
      </bottom>
      <diagonal/>
    </border>
    <border>
      <left style="thin">
        <color indexed="55"/>
      </left>
      <right style="thin">
        <color indexed="55"/>
      </right>
      <top style="hair">
        <color indexed="55"/>
      </top>
      <bottom style="thin">
        <color indexed="22"/>
      </bottom>
      <diagonal/>
    </border>
    <border>
      <left style="thin">
        <color indexed="55"/>
      </left>
      <right style="thin">
        <color indexed="55"/>
      </right>
      <top style="thin">
        <color indexed="22"/>
      </top>
      <bottom/>
      <diagonal/>
    </border>
    <border>
      <left style="thin">
        <color indexed="55"/>
      </left>
      <right style="thin">
        <color indexed="55"/>
      </right>
      <top style="medium">
        <color indexed="22"/>
      </top>
      <bottom style="hair">
        <color indexed="55"/>
      </bottom>
      <diagonal/>
    </border>
    <border>
      <left style="thin">
        <color indexed="55"/>
      </left>
      <right style="medium">
        <color indexed="22"/>
      </right>
      <top style="medium">
        <color indexed="22"/>
      </top>
      <bottom style="hair">
        <color indexed="55"/>
      </bottom>
      <diagonal/>
    </border>
    <border>
      <left style="thin">
        <color indexed="55"/>
      </left>
      <right style="medium">
        <color indexed="22"/>
      </right>
      <top style="hair">
        <color indexed="55"/>
      </top>
      <bottom style="hair">
        <color indexed="55"/>
      </bottom>
      <diagonal/>
    </border>
    <border>
      <left style="thin">
        <color indexed="55"/>
      </left>
      <right style="medium">
        <color indexed="22"/>
      </right>
      <top style="hair">
        <color indexed="55"/>
      </top>
      <bottom/>
      <diagonal/>
    </border>
    <border>
      <left style="thin">
        <color indexed="55"/>
      </left>
      <right style="medium">
        <color indexed="22"/>
      </right>
      <top style="thin">
        <color indexed="22"/>
      </top>
      <bottom style="hair">
        <color indexed="55"/>
      </bottom>
      <diagonal/>
    </border>
    <border>
      <left style="thin">
        <color indexed="55"/>
      </left>
      <right style="medium">
        <color indexed="22"/>
      </right>
      <top style="hair">
        <color indexed="55"/>
      </top>
      <bottom style="thin">
        <color indexed="22"/>
      </bottom>
      <diagonal/>
    </border>
    <border>
      <left style="thin">
        <color indexed="55"/>
      </left>
      <right style="medium">
        <color indexed="22"/>
      </right>
      <top/>
      <bottom style="hair">
        <color indexed="55"/>
      </bottom>
      <diagonal/>
    </border>
    <border>
      <left style="thin">
        <color indexed="55"/>
      </left>
      <right style="medium">
        <color indexed="22"/>
      </right>
      <top style="thin">
        <color indexed="22"/>
      </top>
      <bottom/>
      <diagonal/>
    </border>
    <border>
      <left style="medium">
        <color indexed="22"/>
      </left>
      <right style="thin">
        <color indexed="55"/>
      </right>
      <top style="hair">
        <color indexed="55"/>
      </top>
      <bottom style="medium">
        <color indexed="22"/>
      </bottom>
      <diagonal/>
    </border>
    <border>
      <left style="thin">
        <color indexed="55"/>
      </left>
      <right style="thin">
        <color indexed="55"/>
      </right>
      <top style="hair">
        <color indexed="55"/>
      </top>
      <bottom style="medium">
        <color indexed="22"/>
      </bottom>
      <diagonal/>
    </border>
    <border>
      <left style="thin">
        <color indexed="55"/>
      </left>
      <right style="medium">
        <color indexed="22"/>
      </right>
      <top style="hair">
        <color indexed="55"/>
      </top>
      <bottom style="medium">
        <color indexed="22"/>
      </bottom>
      <diagonal/>
    </border>
    <border>
      <left style="hair">
        <color indexed="64"/>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right style="hair">
        <color indexed="64"/>
      </right>
      <top style="hair">
        <color indexed="64"/>
      </top>
      <bottom style="thin">
        <color indexed="64"/>
      </bottom>
      <diagonal/>
    </border>
    <border>
      <left style="medium">
        <color indexed="22"/>
      </left>
      <right style="thin">
        <color indexed="55"/>
      </right>
      <top style="thin">
        <color indexed="22"/>
      </top>
      <bottom/>
      <diagonal/>
    </border>
    <border>
      <left style="medium">
        <color indexed="64"/>
      </left>
      <right/>
      <top style="medium">
        <color indexed="64"/>
      </top>
      <bottom style="medium">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right style="thin">
        <color indexed="64"/>
      </right>
      <top style="hair">
        <color indexed="64"/>
      </top>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style="thin">
        <color indexed="55"/>
      </left>
      <right style="thin">
        <color indexed="55"/>
      </right>
      <top/>
      <bottom/>
      <diagonal/>
    </border>
    <border>
      <left style="thin">
        <color indexed="55"/>
      </left>
      <right style="medium">
        <color indexed="22"/>
      </right>
      <top/>
      <bottom/>
      <diagonal/>
    </border>
    <border>
      <left/>
      <right style="thin">
        <color indexed="55"/>
      </right>
      <top style="medium">
        <color indexed="22"/>
      </top>
      <bottom style="hair">
        <color indexed="55"/>
      </bottom>
      <diagonal/>
    </border>
    <border>
      <left/>
      <right style="thin">
        <color indexed="55"/>
      </right>
      <top style="hair">
        <color indexed="55"/>
      </top>
      <bottom style="hair">
        <color indexed="55"/>
      </bottom>
      <diagonal/>
    </border>
    <border>
      <left/>
      <right style="thin">
        <color indexed="55"/>
      </right>
      <top style="hair">
        <color indexed="55"/>
      </top>
      <bottom/>
      <diagonal/>
    </border>
    <border>
      <left/>
      <right style="thin">
        <color indexed="55"/>
      </right>
      <top style="hair">
        <color indexed="64"/>
      </top>
      <bottom style="hair">
        <color indexed="64"/>
      </bottom>
      <diagonal/>
    </border>
    <border>
      <left/>
      <right style="medium">
        <color indexed="22"/>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bottom/>
      <diagonal/>
    </border>
    <border>
      <left style="medium">
        <color indexed="64"/>
      </left>
      <right/>
      <top/>
      <bottom/>
      <diagonal/>
    </border>
    <border>
      <left style="thin">
        <color indexed="64"/>
      </left>
      <right style="medium">
        <color indexed="64"/>
      </right>
      <top/>
      <bottom/>
      <diagonal/>
    </border>
    <border>
      <left/>
      <right style="hair">
        <color indexed="64"/>
      </right>
      <top style="thin">
        <color indexed="64"/>
      </top>
      <bottom style="hair">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hair">
        <color indexed="64"/>
      </left>
      <right/>
      <top style="hair">
        <color indexed="64"/>
      </top>
      <bottom style="thin">
        <color indexed="64"/>
      </bottom>
      <diagonal/>
    </border>
    <border>
      <left style="hair">
        <color indexed="64"/>
      </left>
      <right/>
      <top style="hair">
        <color indexed="64"/>
      </top>
      <bottom style="hair">
        <color indexed="64"/>
      </bottom>
      <diagonal/>
    </border>
    <border>
      <left style="hair">
        <color indexed="64"/>
      </left>
      <right style="thin">
        <color indexed="64"/>
      </right>
      <top style="hair">
        <color indexed="64"/>
      </top>
      <bottom/>
      <diagonal/>
    </border>
    <border>
      <left style="hair">
        <color indexed="64"/>
      </left>
      <right style="hair">
        <color indexed="64"/>
      </right>
      <top/>
      <bottom style="thin">
        <color indexed="64"/>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top style="hair">
        <color indexed="64"/>
      </top>
      <bottom/>
      <diagonal/>
    </border>
    <border>
      <left/>
      <right/>
      <top style="thin">
        <color indexed="64"/>
      </top>
      <bottom style="hair">
        <color indexed="64"/>
      </bottom>
      <diagonal/>
    </border>
    <border>
      <left/>
      <right/>
      <top style="hair">
        <color indexed="64"/>
      </top>
      <bottom/>
      <diagonal/>
    </border>
    <border>
      <left style="hair">
        <color indexed="64"/>
      </left>
      <right style="hair">
        <color indexed="64"/>
      </right>
      <top style="thin">
        <color indexed="64"/>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top style="thin">
        <color indexed="64"/>
      </top>
      <bottom style="medium">
        <color indexed="64"/>
      </bottom>
      <diagonal/>
    </border>
    <border>
      <left/>
      <right style="hair">
        <color indexed="64"/>
      </right>
      <top style="hair">
        <color indexed="64"/>
      </top>
      <bottom style="hair">
        <color indexed="64"/>
      </bottom>
      <diagonal/>
    </border>
    <border>
      <left/>
      <right style="thin">
        <color indexed="64"/>
      </right>
      <top style="medium">
        <color indexed="64"/>
      </top>
      <bottom style="thin">
        <color indexed="64"/>
      </bottom>
      <diagonal/>
    </border>
    <border>
      <left/>
      <right style="thin">
        <color indexed="8"/>
      </right>
      <top style="thin">
        <color indexed="8"/>
      </top>
      <bottom style="thin">
        <color indexed="8"/>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8"/>
      </right>
      <top/>
      <bottom style="thin">
        <color indexed="8"/>
      </bottom>
      <diagonal/>
    </border>
    <border>
      <left/>
      <right style="thin">
        <color indexed="64"/>
      </right>
      <top style="medium">
        <color indexed="64"/>
      </top>
      <bottom/>
      <diagonal/>
    </border>
    <border>
      <left style="medium">
        <color indexed="64"/>
      </left>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hair">
        <color indexed="64"/>
      </top>
      <bottom style="hair">
        <color indexed="64"/>
      </bottom>
      <diagonal/>
    </border>
    <border>
      <left style="thin">
        <color indexed="8"/>
      </left>
      <right/>
      <top style="thin">
        <color indexed="8"/>
      </top>
      <bottom style="thin">
        <color indexed="8"/>
      </bottom>
      <diagonal/>
    </border>
    <border>
      <left style="thin">
        <color indexed="8"/>
      </left>
      <right style="thin">
        <color indexed="8"/>
      </right>
      <top style="medium">
        <color indexed="64"/>
      </top>
      <bottom style="thin">
        <color indexed="8"/>
      </bottom>
      <diagonal/>
    </border>
    <border>
      <left style="thin">
        <color indexed="8"/>
      </left>
      <right style="thin">
        <color indexed="8"/>
      </right>
      <top/>
      <bottom/>
      <diagonal/>
    </border>
    <border>
      <left/>
      <right/>
      <top style="medium">
        <color indexed="64"/>
      </top>
      <bottom/>
      <diagonal/>
    </border>
    <border>
      <left style="thin">
        <color indexed="8"/>
      </left>
      <right style="thin">
        <color indexed="8"/>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8"/>
      </right>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top/>
      <bottom style="medium">
        <color indexed="64"/>
      </bottom>
      <diagonal/>
    </border>
    <border>
      <left style="medium">
        <color indexed="8"/>
      </left>
      <right style="medium">
        <color indexed="8"/>
      </right>
      <top/>
      <bottom style="medium">
        <color indexed="8"/>
      </bottom>
      <diagonal/>
    </border>
    <border>
      <left style="medium">
        <color indexed="8"/>
      </left>
      <right/>
      <top/>
      <bottom style="medium">
        <color indexed="8"/>
      </bottom>
      <diagonal/>
    </border>
    <border>
      <left style="medium">
        <color indexed="64"/>
      </left>
      <right/>
      <top/>
      <bottom style="thin">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style="hair">
        <color indexed="64"/>
      </right>
      <top/>
      <bottom style="thin">
        <color indexed="64"/>
      </bottom>
      <diagonal/>
    </border>
    <border>
      <left style="hair">
        <color indexed="64"/>
      </left>
      <right style="hair">
        <color indexed="64"/>
      </right>
      <top style="hair">
        <color indexed="64"/>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top style="medium">
        <color indexed="64"/>
      </top>
      <bottom/>
      <diagonal/>
    </border>
    <border>
      <left style="medium">
        <color indexed="8"/>
      </left>
      <right/>
      <top style="medium">
        <color indexed="64"/>
      </top>
      <bottom/>
      <diagonal/>
    </border>
    <border>
      <left style="medium">
        <color indexed="64"/>
      </left>
      <right style="medium">
        <color indexed="8"/>
      </right>
      <top style="medium">
        <color indexed="64"/>
      </top>
      <bottom/>
      <diagonal/>
    </border>
    <border>
      <left style="thin">
        <color indexed="64"/>
      </left>
      <right/>
      <top/>
      <bottom style="medium">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8"/>
      </right>
      <top style="medium">
        <color indexed="64"/>
      </top>
      <bottom style="medium">
        <color indexed="64"/>
      </bottom>
      <diagonal/>
    </border>
    <border>
      <left style="medium">
        <color indexed="8"/>
      </left>
      <right style="medium">
        <color indexed="8"/>
      </right>
      <top/>
      <bottom style="medium">
        <color indexed="64"/>
      </bottom>
      <diagonal/>
    </border>
    <border>
      <left style="medium">
        <color indexed="8"/>
      </left>
      <right/>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medium">
        <color indexed="64"/>
      </right>
      <top style="thin">
        <color indexed="64"/>
      </top>
      <bottom/>
      <diagonal/>
    </border>
    <border>
      <left style="medium">
        <color indexed="64"/>
      </left>
      <right style="thin">
        <color indexed="8"/>
      </right>
      <top style="medium">
        <color indexed="64"/>
      </top>
      <bottom/>
      <diagonal/>
    </border>
    <border>
      <left style="thin">
        <color indexed="8"/>
      </left>
      <right style="medium">
        <color indexed="64"/>
      </right>
      <top style="medium">
        <color indexed="64"/>
      </top>
      <bottom/>
      <diagonal/>
    </border>
    <border>
      <left/>
      <right style="thin">
        <color indexed="8"/>
      </right>
      <top style="medium">
        <color indexed="64"/>
      </top>
      <bottom/>
      <diagonal/>
    </border>
    <border>
      <left style="thin">
        <color indexed="8"/>
      </left>
      <right/>
      <top style="medium">
        <color indexed="64"/>
      </top>
      <bottom/>
      <diagonal/>
    </border>
    <border>
      <left style="medium">
        <color indexed="64"/>
      </left>
      <right/>
      <top style="medium">
        <color indexed="64"/>
      </top>
      <bottom style="thin">
        <color indexed="22"/>
      </bottom>
      <diagonal/>
    </border>
    <border>
      <left style="medium">
        <color indexed="64"/>
      </left>
      <right style="thin">
        <color indexed="22"/>
      </right>
      <top style="medium">
        <color indexed="64"/>
      </top>
      <bottom style="thin">
        <color indexed="22"/>
      </bottom>
      <diagonal/>
    </border>
    <border>
      <left style="thin">
        <color indexed="22"/>
      </left>
      <right style="thin">
        <color indexed="22"/>
      </right>
      <top style="medium">
        <color indexed="64"/>
      </top>
      <bottom style="thin">
        <color indexed="22"/>
      </bottom>
      <diagonal/>
    </border>
    <border>
      <left style="thin">
        <color indexed="22"/>
      </left>
      <right style="medium">
        <color indexed="64"/>
      </right>
      <top style="medium">
        <color indexed="64"/>
      </top>
      <bottom style="thin">
        <color indexed="22"/>
      </bottom>
      <diagonal/>
    </border>
    <border>
      <left/>
      <right style="thin">
        <color indexed="22"/>
      </right>
      <top style="medium">
        <color indexed="64"/>
      </top>
      <bottom style="thin">
        <color indexed="22"/>
      </bottom>
      <diagonal/>
    </border>
    <border>
      <left style="thin">
        <color indexed="22"/>
      </left>
      <right/>
      <top style="medium">
        <color indexed="64"/>
      </top>
      <bottom style="thin">
        <color indexed="22"/>
      </bottom>
      <diagonal/>
    </border>
    <border>
      <left style="medium">
        <color indexed="64"/>
      </left>
      <right/>
      <top style="thin">
        <color indexed="22"/>
      </top>
      <bottom style="thin">
        <color indexed="22"/>
      </bottom>
      <diagonal/>
    </border>
    <border>
      <left style="medium">
        <color indexed="64"/>
      </left>
      <right style="thin">
        <color indexed="22"/>
      </right>
      <top style="thin">
        <color indexed="22"/>
      </top>
      <bottom style="thin">
        <color indexed="22"/>
      </bottom>
      <diagonal/>
    </border>
    <border>
      <left style="thin">
        <color indexed="22"/>
      </left>
      <right style="medium">
        <color indexed="64"/>
      </right>
      <top style="thin">
        <color indexed="22"/>
      </top>
      <bottom style="thin">
        <color indexed="22"/>
      </bottom>
      <diagonal/>
    </border>
    <border>
      <left/>
      <right style="thin">
        <color indexed="22"/>
      </right>
      <top style="thin">
        <color indexed="22"/>
      </top>
      <bottom style="thin">
        <color indexed="22"/>
      </bottom>
      <diagonal/>
    </border>
    <border>
      <left style="thin">
        <color indexed="22"/>
      </left>
      <right/>
      <top style="thin">
        <color indexed="22"/>
      </top>
      <bottom style="thin">
        <color indexed="22"/>
      </bottom>
      <diagonal/>
    </border>
    <border>
      <left style="medium">
        <color indexed="64"/>
      </left>
      <right/>
      <top style="thin">
        <color indexed="22"/>
      </top>
      <bottom style="medium">
        <color indexed="64"/>
      </bottom>
      <diagonal/>
    </border>
    <border>
      <left style="medium">
        <color indexed="64"/>
      </left>
      <right style="thin">
        <color indexed="22"/>
      </right>
      <top style="thin">
        <color indexed="22"/>
      </top>
      <bottom style="medium">
        <color indexed="64"/>
      </bottom>
      <diagonal/>
    </border>
    <border>
      <left style="thin">
        <color indexed="22"/>
      </left>
      <right style="thin">
        <color indexed="22"/>
      </right>
      <top style="thin">
        <color indexed="22"/>
      </top>
      <bottom style="medium">
        <color indexed="64"/>
      </bottom>
      <diagonal/>
    </border>
    <border>
      <left style="thin">
        <color indexed="22"/>
      </left>
      <right style="medium">
        <color indexed="64"/>
      </right>
      <top style="thin">
        <color indexed="22"/>
      </top>
      <bottom style="medium">
        <color indexed="64"/>
      </bottom>
      <diagonal/>
    </border>
    <border>
      <left/>
      <right style="thin">
        <color indexed="22"/>
      </right>
      <top style="thin">
        <color indexed="22"/>
      </top>
      <bottom style="medium">
        <color indexed="64"/>
      </bottom>
      <diagonal/>
    </border>
    <border>
      <left style="thin">
        <color indexed="22"/>
      </left>
      <right/>
      <top style="thin">
        <color indexed="22"/>
      </top>
      <bottom style="medium">
        <color indexed="64"/>
      </bottom>
      <diagonal/>
    </border>
    <border>
      <left style="medium">
        <color indexed="64"/>
      </left>
      <right/>
      <top/>
      <bottom style="thin">
        <color indexed="22"/>
      </bottom>
      <diagonal/>
    </border>
    <border>
      <left style="medium">
        <color indexed="64"/>
      </left>
      <right style="thin">
        <color indexed="22"/>
      </right>
      <top/>
      <bottom style="thin">
        <color indexed="22"/>
      </bottom>
      <diagonal/>
    </border>
    <border>
      <left style="thin">
        <color indexed="22"/>
      </left>
      <right style="thin">
        <color indexed="22"/>
      </right>
      <top/>
      <bottom style="thin">
        <color indexed="22"/>
      </bottom>
      <diagonal/>
    </border>
    <border>
      <left style="thin">
        <color indexed="22"/>
      </left>
      <right style="medium">
        <color indexed="64"/>
      </right>
      <top/>
      <bottom style="thin">
        <color indexed="22"/>
      </bottom>
      <diagonal/>
    </border>
    <border>
      <left/>
      <right style="thin">
        <color indexed="22"/>
      </right>
      <top/>
      <bottom style="thin">
        <color indexed="22"/>
      </bottom>
      <diagonal/>
    </border>
    <border>
      <left style="thin">
        <color indexed="22"/>
      </left>
      <right/>
      <top/>
      <bottom style="thin">
        <color indexed="22"/>
      </bottom>
      <diagonal/>
    </border>
    <border>
      <left style="medium">
        <color indexed="64"/>
      </left>
      <right/>
      <top style="thin">
        <color indexed="22"/>
      </top>
      <bottom/>
      <diagonal/>
    </border>
    <border>
      <left style="medium">
        <color indexed="64"/>
      </left>
      <right style="thin">
        <color indexed="22"/>
      </right>
      <top style="thin">
        <color indexed="22"/>
      </top>
      <bottom/>
      <diagonal/>
    </border>
    <border>
      <left style="thin">
        <color indexed="22"/>
      </left>
      <right style="thin">
        <color indexed="22"/>
      </right>
      <top style="thin">
        <color indexed="22"/>
      </top>
      <bottom/>
      <diagonal/>
    </border>
    <border>
      <left style="thin">
        <color indexed="22"/>
      </left>
      <right style="medium">
        <color indexed="64"/>
      </right>
      <top style="thin">
        <color indexed="22"/>
      </top>
      <bottom/>
      <diagonal/>
    </border>
    <border>
      <left/>
      <right style="thin">
        <color indexed="22"/>
      </right>
      <top style="thin">
        <color indexed="22"/>
      </top>
      <bottom/>
      <diagonal/>
    </border>
    <border>
      <left style="thin">
        <color indexed="22"/>
      </left>
      <right/>
      <top style="thin">
        <color indexed="22"/>
      </top>
      <bottom/>
      <diagonal/>
    </border>
    <border>
      <left/>
      <right style="thin">
        <color indexed="64"/>
      </right>
      <top style="medium">
        <color indexed="64"/>
      </top>
      <bottom style="medium">
        <color indexed="64"/>
      </bottom>
      <diagonal/>
    </border>
    <border>
      <left style="hair">
        <color indexed="8"/>
      </left>
      <right/>
      <top style="hair">
        <color indexed="8"/>
      </top>
      <bottom style="hair">
        <color indexed="8"/>
      </bottom>
      <diagonal/>
    </border>
    <border>
      <left style="hair">
        <color indexed="8"/>
      </left>
      <right style="hair">
        <color indexed="8"/>
      </right>
      <top style="hair">
        <color indexed="8"/>
      </top>
      <bottom style="hair">
        <color indexed="8"/>
      </bottom>
      <diagonal/>
    </border>
    <border>
      <left style="thin">
        <color indexed="64"/>
      </left>
      <right/>
      <top style="hair">
        <color indexed="64"/>
      </top>
      <bottom style="hair">
        <color indexed="64"/>
      </bottom>
      <diagonal/>
    </border>
    <border>
      <left style="medium">
        <color indexed="64"/>
      </left>
      <right style="medium">
        <color indexed="64"/>
      </right>
      <top/>
      <bottom/>
      <diagonal/>
    </border>
    <border>
      <left/>
      <right/>
      <top/>
      <bottom style="medium">
        <color indexed="22"/>
      </bottom>
      <diagonal/>
    </border>
    <border>
      <left/>
      <right style="medium">
        <color indexed="22"/>
      </right>
      <top/>
      <bottom/>
      <diagonal/>
    </border>
    <border>
      <left/>
      <right style="medium">
        <color indexed="22"/>
      </right>
      <top/>
      <bottom style="medium">
        <color indexed="22"/>
      </bottom>
      <diagonal/>
    </border>
    <border>
      <left style="thin">
        <color indexed="23"/>
      </left>
      <right style="thin">
        <color indexed="23"/>
      </right>
      <top/>
      <bottom/>
      <diagonal/>
    </border>
    <border>
      <left style="thin">
        <color indexed="23"/>
      </left>
      <right/>
      <top/>
      <bottom/>
      <diagonal/>
    </border>
    <border>
      <left style="thin">
        <color indexed="23"/>
      </left>
      <right style="thin">
        <color indexed="23"/>
      </right>
      <top/>
      <bottom style="medium">
        <color indexed="22"/>
      </bottom>
      <diagonal/>
    </border>
    <border>
      <left style="thin">
        <color indexed="23"/>
      </left>
      <right/>
      <top/>
      <bottom style="medium">
        <color indexed="22"/>
      </bottom>
      <diagonal/>
    </border>
    <border>
      <left/>
      <right style="thin">
        <color indexed="23"/>
      </right>
      <top/>
      <bottom style="medium">
        <color indexed="22"/>
      </bottom>
      <diagonal/>
    </border>
    <border>
      <left/>
      <right style="thin">
        <color indexed="23"/>
      </right>
      <top/>
      <bottom/>
      <diagonal/>
    </border>
    <border>
      <left style="hair">
        <color indexed="64"/>
      </left>
      <right style="thin">
        <color indexed="64"/>
      </right>
      <top/>
      <bottom style="thin">
        <color indexed="64"/>
      </bottom>
      <diagonal/>
    </border>
    <border>
      <left/>
      <right style="thin">
        <color indexed="64"/>
      </right>
      <top/>
      <bottom style="hair">
        <color indexed="64"/>
      </bottom>
      <diagonal/>
    </border>
    <border>
      <left style="medium">
        <color indexed="8"/>
      </left>
      <right style="medium">
        <color indexed="8"/>
      </right>
      <top style="medium">
        <color indexed="8"/>
      </top>
      <bottom style="medium">
        <color indexed="8"/>
      </bottom>
      <diagonal/>
    </border>
    <border>
      <left style="medium">
        <color indexed="64"/>
      </left>
      <right style="medium">
        <color indexed="64"/>
      </right>
      <top style="thin">
        <color indexed="64"/>
      </top>
      <bottom/>
      <diagonal/>
    </border>
    <border>
      <left style="hair">
        <color indexed="64"/>
      </left>
      <right style="hair">
        <color indexed="64"/>
      </right>
      <top/>
      <bottom/>
      <diagonal/>
    </border>
    <border>
      <left style="medium">
        <color indexed="64"/>
      </left>
      <right style="thin">
        <color indexed="64"/>
      </right>
      <top/>
      <bottom/>
      <diagonal/>
    </border>
    <border>
      <left style="thin">
        <color indexed="22"/>
      </left>
      <right style="medium">
        <color indexed="64"/>
      </right>
      <top/>
      <bottom/>
      <diagonal/>
    </border>
    <border>
      <left style="thin">
        <color indexed="22"/>
      </left>
      <right style="medium">
        <color indexed="64"/>
      </right>
      <top style="medium">
        <color indexed="64"/>
      </top>
      <bottom/>
      <diagonal/>
    </border>
    <border>
      <left/>
      <right style="thin">
        <color indexed="22"/>
      </right>
      <top style="medium">
        <color indexed="64"/>
      </top>
      <bottom/>
      <diagonal/>
    </border>
    <border>
      <left style="medium">
        <color indexed="64"/>
      </left>
      <right style="thin">
        <color indexed="22"/>
      </right>
      <top style="medium">
        <color indexed="64"/>
      </top>
      <bottom/>
      <diagonal/>
    </border>
    <border>
      <left style="thin">
        <color indexed="22"/>
      </left>
      <right style="thin">
        <color indexed="22"/>
      </right>
      <top style="medium">
        <color indexed="64"/>
      </top>
      <bottom/>
      <diagonal/>
    </border>
    <border>
      <left style="thin">
        <color indexed="8"/>
      </left>
      <right/>
      <top/>
      <bottom style="thin">
        <color indexed="8"/>
      </bottom>
      <diagonal/>
    </border>
    <border>
      <left style="thin">
        <color indexed="64"/>
      </left>
      <right/>
      <top style="thin">
        <color indexed="64"/>
      </top>
      <bottom style="hair">
        <color indexed="64"/>
      </bottom>
      <diagonal/>
    </border>
    <border>
      <left style="thin">
        <color indexed="64"/>
      </left>
      <right/>
      <top style="hair">
        <color indexed="64"/>
      </top>
      <bottom style="thin">
        <color indexed="64"/>
      </bottom>
      <diagonal/>
    </border>
    <border>
      <left style="double">
        <color indexed="8"/>
      </left>
      <right style="double">
        <color indexed="8"/>
      </right>
      <top style="double">
        <color indexed="8"/>
      </top>
      <bottom style="double">
        <color indexed="8"/>
      </bottom>
      <diagonal/>
    </border>
    <border>
      <left/>
      <right style="double">
        <color indexed="8"/>
      </right>
      <top style="double">
        <color indexed="8"/>
      </top>
      <bottom/>
      <diagonal/>
    </border>
    <border>
      <left style="double">
        <color indexed="8"/>
      </left>
      <right/>
      <top/>
      <bottom style="double">
        <color indexed="8"/>
      </bottom>
      <diagonal/>
    </border>
    <border>
      <left style="medium">
        <color indexed="64"/>
      </left>
      <right style="double">
        <color indexed="8"/>
      </right>
      <top/>
      <bottom style="medium">
        <color indexed="64"/>
      </bottom>
      <diagonal/>
    </border>
    <border>
      <left style="thin">
        <color indexed="8"/>
      </left>
      <right style="thin">
        <color indexed="8"/>
      </right>
      <top style="thin">
        <color indexed="8"/>
      </top>
      <bottom style="medium">
        <color indexed="64"/>
      </bottom>
      <diagonal/>
    </border>
    <border>
      <left/>
      <right style="double">
        <color indexed="8"/>
      </right>
      <top/>
      <bottom style="medium">
        <color indexed="64"/>
      </bottom>
      <diagonal/>
    </border>
    <border>
      <left style="medium">
        <color indexed="64"/>
      </left>
      <right style="thin">
        <color indexed="22"/>
      </right>
      <top style="medium">
        <color indexed="64"/>
      </top>
      <bottom style="medium">
        <color indexed="64"/>
      </bottom>
      <diagonal/>
    </border>
    <border>
      <left style="thin">
        <color indexed="22"/>
      </left>
      <right style="medium">
        <color indexed="64"/>
      </right>
      <top style="medium">
        <color indexed="64"/>
      </top>
      <bottom style="medium">
        <color indexed="64"/>
      </bottom>
      <diagonal/>
    </border>
    <border>
      <left style="thin">
        <color indexed="22"/>
      </left>
      <right/>
      <top style="medium">
        <color indexed="64"/>
      </top>
      <bottom/>
      <diagonal/>
    </border>
    <border>
      <left/>
      <right style="thin">
        <color indexed="22"/>
      </right>
      <top/>
      <bottom/>
      <diagonal/>
    </border>
    <border>
      <left style="thin">
        <color indexed="22"/>
      </left>
      <right/>
      <top/>
      <bottom/>
      <diagonal/>
    </border>
    <border>
      <left/>
      <right style="thin">
        <color indexed="22"/>
      </right>
      <top/>
      <bottom style="medium">
        <color indexed="64"/>
      </bottom>
      <diagonal/>
    </border>
    <border>
      <left style="thin">
        <color indexed="22"/>
      </left>
      <right/>
      <top/>
      <bottom style="medium">
        <color indexed="64"/>
      </bottom>
      <diagonal/>
    </border>
    <border>
      <left/>
      <right/>
      <top/>
      <bottom style="double">
        <color indexed="8"/>
      </bottom>
      <diagonal/>
    </border>
    <border>
      <left style="medium">
        <color indexed="64"/>
      </left>
      <right/>
      <top/>
      <bottom style="double">
        <color indexed="8"/>
      </bottom>
      <diagonal/>
    </border>
    <border>
      <left/>
      <right style="thin">
        <color indexed="8"/>
      </right>
      <top style="thin">
        <color indexed="8"/>
      </top>
      <bottom/>
      <diagonal/>
    </border>
    <border>
      <left style="thin">
        <color indexed="8"/>
      </left>
      <right/>
      <top style="thin">
        <color indexed="8"/>
      </top>
      <bottom/>
      <diagonal/>
    </border>
    <border>
      <left/>
      <right style="thin">
        <color indexed="8"/>
      </right>
      <top/>
      <bottom/>
      <diagonal/>
    </border>
    <border>
      <left style="double">
        <color indexed="8"/>
      </left>
      <right style="double">
        <color indexed="8"/>
      </right>
      <top style="double">
        <color indexed="8"/>
      </top>
      <bottom/>
      <diagonal/>
    </border>
    <border>
      <left style="medium">
        <color indexed="64"/>
      </left>
      <right style="thin">
        <color indexed="22"/>
      </right>
      <top/>
      <bottom/>
      <diagonal/>
    </border>
    <border>
      <left style="medium">
        <color indexed="64"/>
      </left>
      <right style="thin">
        <color indexed="22"/>
      </right>
      <top/>
      <bottom style="medium">
        <color indexed="64"/>
      </bottom>
      <diagonal/>
    </border>
    <border>
      <left style="thin">
        <color indexed="22"/>
      </left>
      <right style="medium">
        <color indexed="64"/>
      </right>
      <top/>
      <bottom style="medium">
        <color indexed="64"/>
      </bottom>
      <diagonal/>
    </border>
    <border>
      <left/>
      <right style="thin">
        <color indexed="64"/>
      </right>
      <top/>
      <bottom/>
      <diagonal/>
    </border>
    <border>
      <left style="thin">
        <color indexed="8"/>
      </left>
      <right style="medium">
        <color indexed="64"/>
      </right>
      <top style="thin">
        <color indexed="8"/>
      </top>
      <bottom style="thin">
        <color indexed="8"/>
      </bottom>
      <diagonal/>
    </border>
    <border>
      <left style="medium">
        <color indexed="64"/>
      </left>
      <right style="medium">
        <color indexed="8"/>
      </right>
      <top/>
      <bottom style="medium">
        <color indexed="64"/>
      </bottom>
      <diagonal/>
    </border>
    <border>
      <left style="hair">
        <color indexed="64"/>
      </left>
      <right/>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medium">
        <color indexed="22"/>
      </left>
      <right style="thin">
        <color indexed="55"/>
      </right>
      <top style="thin">
        <color indexed="22"/>
      </top>
      <bottom style="hair">
        <color indexed="55"/>
      </bottom>
      <diagonal/>
    </border>
    <border>
      <left style="medium">
        <color indexed="22"/>
      </left>
      <right style="thin">
        <color indexed="55"/>
      </right>
      <top style="hair">
        <color indexed="55"/>
      </top>
      <bottom/>
      <diagonal/>
    </border>
    <border>
      <left style="medium">
        <color indexed="22"/>
      </left>
      <right style="thin">
        <color indexed="55"/>
      </right>
      <top style="hair">
        <color indexed="55"/>
      </top>
      <bottom style="hair">
        <color indexed="55"/>
      </bottom>
      <diagonal/>
    </border>
    <border>
      <left style="medium">
        <color indexed="22"/>
      </left>
      <right style="thin">
        <color indexed="55"/>
      </right>
      <top style="medium">
        <color indexed="22"/>
      </top>
      <bottom/>
      <diagonal/>
    </border>
    <border>
      <left style="thin">
        <color indexed="55"/>
      </left>
      <right style="thin">
        <color indexed="55"/>
      </right>
      <top style="medium">
        <color indexed="22"/>
      </top>
      <bottom/>
      <diagonal/>
    </border>
    <border>
      <left style="thin">
        <color indexed="55"/>
      </left>
      <right style="medium">
        <color indexed="22"/>
      </right>
      <top style="medium">
        <color indexed="22"/>
      </top>
      <bottom/>
      <diagonal/>
    </border>
    <border>
      <left style="medium">
        <color indexed="22"/>
      </left>
      <right style="thin">
        <color indexed="55"/>
      </right>
      <top style="hair">
        <color indexed="55"/>
      </top>
      <bottom style="thin">
        <color indexed="22"/>
      </bottom>
      <diagonal/>
    </border>
    <border>
      <left style="medium">
        <color indexed="22"/>
      </left>
      <right style="thin">
        <color indexed="55"/>
      </right>
      <top/>
      <bottom style="hair">
        <color indexed="55"/>
      </bottom>
      <diagonal/>
    </border>
    <border>
      <left style="medium">
        <color indexed="22"/>
      </left>
      <right style="medium">
        <color indexed="22"/>
      </right>
      <top style="medium">
        <color indexed="22"/>
      </top>
      <bottom style="hair">
        <color indexed="55"/>
      </bottom>
      <diagonal/>
    </border>
    <border>
      <left style="medium">
        <color indexed="22"/>
      </left>
      <right style="medium">
        <color indexed="22"/>
      </right>
      <top style="hair">
        <color indexed="55"/>
      </top>
      <bottom style="hair">
        <color indexed="55"/>
      </bottom>
      <diagonal/>
    </border>
    <border>
      <left style="medium">
        <color indexed="22"/>
      </left>
      <right style="medium">
        <color indexed="22"/>
      </right>
      <top style="hair">
        <color indexed="55"/>
      </top>
      <bottom/>
      <diagonal/>
    </border>
    <border>
      <left/>
      <right style="thin">
        <color indexed="23"/>
      </right>
      <top style="medium">
        <color indexed="22"/>
      </top>
      <bottom/>
      <diagonal/>
    </border>
    <border>
      <left style="thin">
        <color indexed="64"/>
      </left>
      <right style="hair">
        <color indexed="64"/>
      </right>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thin">
        <color indexed="64"/>
      </left>
      <right style="hair">
        <color indexed="64"/>
      </right>
      <top style="hair">
        <color indexed="64"/>
      </top>
      <bottom/>
      <diagonal/>
    </border>
    <border>
      <left style="thin">
        <color indexed="64"/>
      </left>
      <right style="hair">
        <color indexed="64"/>
      </right>
      <top style="thin">
        <color indexed="64"/>
      </top>
      <bottom/>
      <diagonal/>
    </border>
    <border>
      <left style="thin">
        <color indexed="64"/>
      </left>
      <right style="hair">
        <color indexed="64"/>
      </right>
      <top/>
      <bottom/>
      <diagonal/>
    </border>
    <border>
      <left style="thin">
        <color indexed="64"/>
      </left>
      <right style="hair">
        <color indexed="64"/>
      </right>
      <top/>
      <bottom style="thin">
        <color indexed="64"/>
      </bottom>
      <diagonal/>
    </border>
    <border>
      <left/>
      <right style="hair">
        <color indexed="64"/>
      </right>
      <top style="thin">
        <color indexed="64"/>
      </top>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medium">
        <color indexed="64"/>
      </bottom>
      <diagonal/>
    </border>
    <border>
      <left style="hair">
        <color indexed="64"/>
      </left>
      <right style="thin">
        <color indexed="64"/>
      </right>
      <top/>
      <bottom/>
      <diagonal/>
    </border>
    <border>
      <left style="double">
        <color indexed="8"/>
      </left>
      <right/>
      <top style="double">
        <color indexed="8"/>
      </top>
      <bottom style="double">
        <color indexed="8"/>
      </bottom>
      <diagonal/>
    </border>
    <border>
      <left/>
      <right/>
      <top style="double">
        <color indexed="8"/>
      </top>
      <bottom style="double">
        <color indexed="8"/>
      </bottom>
      <diagonal/>
    </border>
    <border>
      <left/>
      <right style="medium">
        <color indexed="8"/>
      </right>
      <top style="double">
        <color indexed="8"/>
      </top>
      <bottom style="double">
        <color indexed="8"/>
      </bottom>
      <diagonal/>
    </border>
    <border>
      <left style="double">
        <color indexed="8"/>
      </left>
      <right/>
      <top style="double">
        <color indexed="8"/>
      </top>
      <bottom/>
      <diagonal/>
    </border>
    <border>
      <left style="double">
        <color indexed="8"/>
      </left>
      <right/>
      <top/>
      <bottom/>
      <diagonal/>
    </border>
    <border>
      <left style="medium">
        <color indexed="64"/>
      </left>
      <right/>
      <top style="thin">
        <color indexed="64"/>
      </top>
      <bottom/>
      <diagonal/>
    </border>
    <border>
      <left style="hair">
        <color indexed="64"/>
      </left>
      <right style="medium">
        <color indexed="64"/>
      </right>
      <top style="medium">
        <color indexed="64"/>
      </top>
      <bottom style="hair">
        <color indexed="64"/>
      </bottom>
      <diagonal/>
    </border>
    <border>
      <left/>
      <right style="thin">
        <color indexed="64"/>
      </right>
      <top/>
      <bottom style="medium">
        <color indexed="64"/>
      </bottom>
      <diagonal/>
    </border>
    <border>
      <left style="hair">
        <color indexed="64"/>
      </left>
      <right style="medium">
        <color indexed="64"/>
      </right>
      <top style="hair">
        <color indexed="64"/>
      </top>
      <bottom style="medium">
        <color indexed="64"/>
      </bottom>
      <diagonal/>
    </border>
    <border>
      <left style="thin">
        <color indexed="22"/>
      </left>
      <right style="thin">
        <color indexed="22"/>
      </right>
      <top style="medium">
        <color indexed="64"/>
      </top>
      <bottom style="medium">
        <color indexed="64"/>
      </bottom>
      <diagonal/>
    </border>
    <border>
      <left style="thin">
        <color indexed="22"/>
      </left>
      <right style="thin">
        <color indexed="22"/>
      </right>
      <top/>
      <bottom/>
      <diagonal/>
    </border>
    <border>
      <left style="thin">
        <color indexed="22"/>
      </left>
      <right style="thin">
        <color indexed="22"/>
      </right>
      <top/>
      <bottom style="medium">
        <color indexed="64"/>
      </bottom>
      <diagonal/>
    </border>
    <border>
      <left style="medium">
        <color indexed="64"/>
      </left>
      <right style="hair">
        <color indexed="8"/>
      </right>
      <top style="hair">
        <color indexed="8"/>
      </top>
      <bottom style="hair">
        <color indexed="8"/>
      </bottom>
      <diagonal/>
    </border>
    <border>
      <left style="medium">
        <color indexed="8"/>
      </left>
      <right style="medium">
        <color indexed="64"/>
      </right>
      <top/>
      <bottom style="medium">
        <color indexed="64"/>
      </bottom>
      <diagonal/>
    </border>
    <border>
      <left style="thin">
        <color indexed="22"/>
      </left>
      <right style="medium">
        <color indexed="64"/>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right style="thin">
        <color indexed="22"/>
      </right>
      <top style="thin">
        <color indexed="22"/>
      </top>
      <bottom style="thin">
        <color indexed="64"/>
      </bottom>
      <diagonal/>
    </border>
  </borders>
  <cellStyleXfs count="257">
    <xf numFmtId="0" fontId="0" fillId="0" borderId="0"/>
    <xf numFmtId="0" fontId="14" fillId="2" borderId="0" applyNumberFormat="0" applyBorder="0" applyAlignment="0" applyProtection="0"/>
    <xf numFmtId="0" fontId="14" fillId="2" borderId="0" applyNumberFormat="0" applyBorder="0" applyAlignment="0" applyProtection="0"/>
    <xf numFmtId="0" fontId="14" fillId="2" borderId="0" applyNumberFormat="0" applyBorder="0" applyAlignment="0" applyProtection="0"/>
    <xf numFmtId="0" fontId="14" fillId="2" borderId="0" applyNumberFormat="0" applyBorder="0" applyAlignment="0" applyProtection="0"/>
    <xf numFmtId="0" fontId="14" fillId="2"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7" fillId="16" borderId="1" applyNumberFormat="0" applyAlignment="0" applyProtection="0"/>
    <xf numFmtId="0" fontId="17" fillId="16" borderId="1" applyNumberFormat="0" applyAlignment="0" applyProtection="0"/>
    <xf numFmtId="0" fontId="17" fillId="16" borderId="1" applyNumberFormat="0" applyAlignment="0" applyProtection="0"/>
    <xf numFmtId="0" fontId="17" fillId="16" borderId="1" applyNumberFormat="0" applyAlignment="0" applyProtection="0"/>
    <xf numFmtId="0" fontId="17" fillId="16" borderId="1" applyNumberFormat="0" applyAlignment="0" applyProtection="0"/>
    <xf numFmtId="0" fontId="18" fillId="17" borderId="2" applyNumberFormat="0" applyAlignment="0" applyProtection="0"/>
    <xf numFmtId="0" fontId="18" fillId="17" borderId="2" applyNumberFormat="0" applyAlignment="0" applyProtection="0"/>
    <xf numFmtId="0" fontId="18" fillId="17" borderId="2" applyNumberFormat="0" applyAlignment="0" applyProtection="0"/>
    <xf numFmtId="0" fontId="18" fillId="17" borderId="2" applyNumberFormat="0" applyAlignment="0" applyProtection="0"/>
    <xf numFmtId="0" fontId="18" fillId="17" borderId="2" applyNumberFormat="0" applyAlignment="0" applyProtection="0"/>
    <xf numFmtId="0" fontId="19" fillId="0" borderId="3" applyNumberFormat="0" applyFill="0" applyAlignment="0" applyProtection="0"/>
    <xf numFmtId="0" fontId="19" fillId="0" borderId="3" applyNumberFormat="0" applyFill="0" applyAlignment="0" applyProtection="0"/>
    <xf numFmtId="0" fontId="19" fillId="0" borderId="3" applyNumberFormat="0" applyFill="0" applyAlignment="0" applyProtection="0"/>
    <xf numFmtId="0" fontId="19" fillId="0" borderId="3" applyNumberFormat="0" applyFill="0" applyAlignment="0" applyProtection="0"/>
    <xf numFmtId="0" fontId="19" fillId="0" borderId="3" applyNumberFormat="0" applyFill="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20" borderId="0" applyNumberFormat="0" applyBorder="0" applyAlignment="0" applyProtection="0"/>
    <xf numFmtId="0" fontId="15" fillId="20" borderId="0" applyNumberFormat="0" applyBorder="0" applyAlignment="0" applyProtection="0"/>
    <xf numFmtId="0" fontId="15" fillId="20" borderId="0" applyNumberFormat="0" applyBorder="0" applyAlignment="0" applyProtection="0"/>
    <xf numFmtId="0" fontId="15" fillId="20" borderId="0" applyNumberFormat="0" applyBorder="0" applyAlignment="0" applyProtection="0"/>
    <xf numFmtId="0" fontId="15" fillId="20"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21" borderId="0" applyNumberFormat="0" applyBorder="0" applyAlignment="0" applyProtection="0"/>
    <xf numFmtId="0" fontId="15" fillId="21" borderId="0" applyNumberFormat="0" applyBorder="0" applyAlignment="0" applyProtection="0"/>
    <xf numFmtId="0" fontId="15" fillId="21" borderId="0" applyNumberFormat="0" applyBorder="0" applyAlignment="0" applyProtection="0"/>
    <xf numFmtId="0" fontId="15" fillId="21" borderId="0" applyNumberFormat="0" applyBorder="0" applyAlignment="0" applyProtection="0"/>
    <xf numFmtId="0" fontId="15" fillId="21" borderId="0" applyNumberFormat="0" applyBorder="0" applyAlignment="0" applyProtection="0"/>
    <xf numFmtId="0" fontId="21" fillId="7" borderId="1" applyNumberFormat="0" applyAlignment="0" applyProtection="0"/>
    <xf numFmtId="0" fontId="21" fillId="7" borderId="1" applyNumberFormat="0" applyAlignment="0" applyProtection="0"/>
    <xf numFmtId="0" fontId="21" fillId="7" borderId="1" applyNumberFormat="0" applyAlignment="0" applyProtection="0"/>
    <xf numFmtId="0" fontId="21" fillId="7" borderId="1" applyNumberFormat="0" applyAlignment="0" applyProtection="0"/>
    <xf numFmtId="0" fontId="21" fillId="7" borderId="1" applyNumberFormat="0" applyAlignment="0" applyProtection="0"/>
    <xf numFmtId="0" fontId="14" fillId="0" borderId="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43" fontId="2" fillId="0" borderId="0" applyFont="0" applyFill="0" applyBorder="0" applyAlignment="0" applyProtection="0"/>
    <xf numFmtId="43" fontId="92"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4" fontId="2" fillId="0" borderId="0" applyFont="0" applyFill="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 fillId="0" borderId="0"/>
    <xf numFmtId="0" fontId="24" fillId="0" borderId="0"/>
    <xf numFmtId="0" fontId="151" fillId="0" borderId="0"/>
    <xf numFmtId="0" fontId="2" fillId="0" borderId="0"/>
    <xf numFmtId="0" fontId="24" fillId="0" borderId="0"/>
    <xf numFmtId="0" fontId="151" fillId="0" borderId="0"/>
    <xf numFmtId="0" fontId="24" fillId="0" borderId="0"/>
    <xf numFmtId="0" fontId="70" fillId="0" borderId="0"/>
    <xf numFmtId="0" fontId="24" fillId="0" borderId="0"/>
    <xf numFmtId="0" fontId="24" fillId="0" borderId="0"/>
    <xf numFmtId="0" fontId="24" fillId="0" borderId="0"/>
    <xf numFmtId="0" fontId="24" fillId="0" borderId="0"/>
    <xf numFmtId="0" fontId="79" fillId="0" borderId="0"/>
    <xf numFmtId="0" fontId="24" fillId="0" borderId="0"/>
    <xf numFmtId="0" fontId="24" fillId="0" borderId="0"/>
    <xf numFmtId="0" fontId="75" fillId="0" borderId="0"/>
    <xf numFmtId="0" fontId="24" fillId="0" borderId="0"/>
    <xf numFmtId="0" fontId="24" fillId="0" borderId="0"/>
    <xf numFmtId="0" fontId="24" fillId="0" borderId="0"/>
    <xf numFmtId="0" fontId="151" fillId="0" borderId="0"/>
    <xf numFmtId="0" fontId="154" fillId="0" borderId="0"/>
    <xf numFmtId="0" fontId="154" fillId="0" borderId="0"/>
    <xf numFmtId="0" fontId="154" fillId="0" borderId="0"/>
    <xf numFmtId="0" fontId="154" fillId="0" borderId="0"/>
    <xf numFmtId="0" fontId="154" fillId="0" borderId="0"/>
    <xf numFmtId="0" fontId="154" fillId="0" borderId="0"/>
    <xf numFmtId="0" fontId="154" fillId="0" borderId="0"/>
    <xf numFmtId="0" fontId="154" fillId="0" borderId="0"/>
    <xf numFmtId="0" fontId="50" fillId="0" borderId="0"/>
    <xf numFmtId="0" fontId="24" fillId="0" borderId="0"/>
    <xf numFmtId="0" fontId="50" fillId="0" borderId="0"/>
    <xf numFmtId="0" fontId="88" fillId="0" borderId="0"/>
    <xf numFmtId="0" fontId="24" fillId="0" borderId="0"/>
    <xf numFmtId="0" fontId="24" fillId="23" borderId="4" applyNumberFormat="0" applyFont="0" applyAlignment="0" applyProtection="0"/>
    <xf numFmtId="0" fontId="24" fillId="23" borderId="4" applyNumberFormat="0" applyFont="0" applyAlignment="0" applyProtection="0"/>
    <xf numFmtId="0" fontId="24" fillId="23" borderId="4" applyNumberFormat="0" applyFont="0" applyAlignment="0" applyProtection="0"/>
    <xf numFmtId="0" fontId="24" fillId="23" borderId="4" applyNumberFormat="0" applyFont="0" applyAlignment="0" applyProtection="0"/>
    <xf numFmtId="0" fontId="24" fillId="23" borderId="4" applyNumberFormat="0" applyFont="0" applyAlignment="0" applyProtection="0"/>
    <xf numFmtId="9" fontId="2"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 fillId="0" borderId="0" applyFont="0" applyFill="0" applyBorder="0" applyAlignment="0" applyProtection="0"/>
    <xf numFmtId="9" fontId="24" fillId="0" borderId="0" applyFont="0" applyFill="0" applyBorder="0" applyAlignment="0" applyProtection="0"/>
    <xf numFmtId="9" fontId="151" fillId="0" borderId="0" applyFont="0" applyFill="0" applyBorder="0" applyAlignment="0" applyProtection="0"/>
    <xf numFmtId="0" fontId="25" fillId="16" borderId="5" applyNumberFormat="0" applyAlignment="0" applyProtection="0"/>
    <xf numFmtId="0" fontId="25" fillId="16" borderId="5" applyNumberFormat="0" applyAlignment="0" applyProtection="0"/>
    <xf numFmtId="0" fontId="25" fillId="16" borderId="5" applyNumberFormat="0" applyAlignment="0" applyProtection="0"/>
    <xf numFmtId="0" fontId="25" fillId="16" borderId="5" applyNumberFormat="0" applyAlignment="0" applyProtection="0"/>
    <xf numFmtId="0" fontId="25" fillId="16" borderId="5" applyNumberFormat="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30" fillId="0" borderId="7" applyNumberFormat="0" applyFill="0" applyAlignment="0" applyProtection="0"/>
    <xf numFmtId="0" fontId="30" fillId="0" borderId="7" applyNumberFormat="0" applyFill="0" applyAlignment="0" applyProtection="0"/>
    <xf numFmtId="0" fontId="30" fillId="0" borderId="7" applyNumberFormat="0" applyFill="0" applyAlignment="0" applyProtection="0"/>
    <xf numFmtId="0" fontId="30" fillId="0" borderId="7" applyNumberFormat="0" applyFill="0" applyAlignment="0" applyProtection="0"/>
    <xf numFmtId="0" fontId="30" fillId="0" borderId="7"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2" fillId="0" borderId="0"/>
  </cellStyleXfs>
  <cellXfs count="4346">
    <xf numFmtId="0" fontId="0" fillId="0" borderId="0" xfId="0"/>
    <xf numFmtId="0" fontId="5" fillId="0" borderId="0" xfId="0" applyFont="1"/>
    <xf numFmtId="164" fontId="4" fillId="0" borderId="0" xfId="0" applyNumberFormat="1" applyFont="1" applyAlignment="1">
      <alignment horizontal="center"/>
    </xf>
    <xf numFmtId="165" fontId="5" fillId="0" borderId="0" xfId="0" applyNumberFormat="1" applyFont="1"/>
    <xf numFmtId="165" fontId="4" fillId="0" borderId="0" xfId="0" applyNumberFormat="1" applyFont="1" applyAlignment="1">
      <alignment horizontal="center"/>
    </xf>
    <xf numFmtId="0" fontId="5" fillId="0" borderId="10" xfId="0" applyFont="1" applyFill="1" applyBorder="1" applyAlignment="1">
      <alignment horizontal="center"/>
    </xf>
    <xf numFmtId="0" fontId="5" fillId="0" borderId="11" xfId="0" applyFont="1" applyFill="1" applyBorder="1" applyAlignment="1">
      <alignment horizontal="center"/>
    </xf>
    <xf numFmtId="0" fontId="5" fillId="0" borderId="12" xfId="0" applyFont="1" applyFill="1" applyBorder="1" applyAlignment="1">
      <alignment horizontal="center"/>
    </xf>
    <xf numFmtId="0" fontId="5" fillId="0" borderId="13" xfId="0" applyFont="1" applyBorder="1" applyAlignment="1">
      <alignment horizontal="center"/>
    </xf>
    <xf numFmtId="2" fontId="4" fillId="0" borderId="0" xfId="0" applyNumberFormat="1" applyFont="1"/>
    <xf numFmtId="2" fontId="5" fillId="0" borderId="0" xfId="0" applyNumberFormat="1" applyFont="1" applyFill="1" applyAlignment="1">
      <alignment horizontal="center"/>
    </xf>
    <xf numFmtId="0" fontId="5" fillId="0" borderId="0" xfId="0" applyFont="1" applyFill="1" applyAlignment="1">
      <alignment horizontal="center"/>
    </xf>
    <xf numFmtId="167" fontId="5" fillId="0" borderId="0" xfId="0" applyNumberFormat="1" applyFont="1" applyFill="1" applyAlignment="1">
      <alignment horizontal="center"/>
    </xf>
    <xf numFmtId="2" fontId="4" fillId="0" borderId="0" xfId="0" applyNumberFormat="1" applyFont="1" applyFill="1" applyAlignment="1">
      <alignment horizontal="center"/>
    </xf>
    <xf numFmtId="0" fontId="5" fillId="0" borderId="0" xfId="0" applyFont="1" applyFill="1"/>
    <xf numFmtId="0" fontId="5" fillId="0" borderId="0" xfId="0" applyFont="1" applyBorder="1"/>
    <xf numFmtId="2" fontId="5" fillId="0" borderId="0" xfId="0" applyNumberFormat="1" applyFont="1" applyBorder="1"/>
    <xf numFmtId="3" fontId="5" fillId="0" borderId="10" xfId="0" applyNumberFormat="1" applyFont="1" applyFill="1" applyBorder="1" applyAlignment="1">
      <alignment horizontal="center" vertical="center"/>
    </xf>
    <xf numFmtId="167" fontId="5" fillId="0" borderId="10" xfId="0" applyNumberFormat="1" applyFont="1" applyFill="1" applyBorder="1" applyAlignment="1">
      <alignment horizontal="center" vertical="center"/>
    </xf>
    <xf numFmtId="168" fontId="5" fillId="0" borderId="10" xfId="0" applyNumberFormat="1" applyFont="1" applyFill="1" applyBorder="1" applyAlignment="1">
      <alignment horizontal="center" vertical="center"/>
    </xf>
    <xf numFmtId="166" fontId="5" fillId="0" borderId="10" xfId="205" applyNumberFormat="1" applyFont="1" applyFill="1" applyBorder="1" applyAlignment="1">
      <alignment horizontal="center" vertical="center"/>
    </xf>
    <xf numFmtId="3" fontId="5" fillId="0" borderId="12" xfId="0" applyNumberFormat="1" applyFont="1" applyFill="1" applyBorder="1" applyAlignment="1">
      <alignment horizontal="center" vertical="center"/>
    </xf>
    <xf numFmtId="3" fontId="5" fillId="0" borderId="12" xfId="205" applyNumberFormat="1" applyFont="1" applyFill="1" applyBorder="1" applyAlignment="1">
      <alignment horizontal="center" vertical="center"/>
    </xf>
    <xf numFmtId="167" fontId="5" fillId="0" borderId="12" xfId="0" applyNumberFormat="1" applyFont="1" applyFill="1" applyBorder="1" applyAlignment="1">
      <alignment horizontal="center" vertical="center"/>
    </xf>
    <xf numFmtId="4" fontId="5" fillId="0" borderId="12" xfId="0" applyNumberFormat="1" applyFont="1" applyFill="1" applyBorder="1" applyAlignment="1">
      <alignment horizontal="center" vertical="center"/>
    </xf>
    <xf numFmtId="168" fontId="5" fillId="0" borderId="12" xfId="0" applyNumberFormat="1" applyFont="1" applyFill="1" applyBorder="1" applyAlignment="1">
      <alignment horizontal="center" vertical="center"/>
    </xf>
    <xf numFmtId="166" fontId="5" fillId="0" borderId="12" xfId="205" applyNumberFormat="1" applyFont="1" applyFill="1" applyBorder="1" applyAlignment="1">
      <alignment horizontal="center" vertical="center"/>
    </xf>
    <xf numFmtId="3" fontId="5" fillId="0" borderId="10" xfId="205" applyNumberFormat="1" applyFont="1" applyFill="1" applyBorder="1" applyAlignment="1">
      <alignment horizontal="center" vertical="center"/>
    </xf>
    <xf numFmtId="3" fontId="5" fillId="0" borderId="14" xfId="0" applyNumberFormat="1" applyFont="1" applyFill="1" applyBorder="1" applyAlignment="1">
      <alignment horizontal="center" vertical="center"/>
    </xf>
    <xf numFmtId="3" fontId="5" fillId="0" borderId="14" xfId="205" applyNumberFormat="1" applyFont="1" applyFill="1" applyBorder="1" applyAlignment="1">
      <alignment horizontal="center" vertical="center"/>
    </xf>
    <xf numFmtId="167" fontId="5" fillId="0" borderId="14" xfId="0" applyNumberFormat="1" applyFont="1" applyFill="1" applyBorder="1" applyAlignment="1">
      <alignment horizontal="center" vertical="center"/>
    </xf>
    <xf numFmtId="168" fontId="5" fillId="0" borderId="14" xfId="0" applyNumberFormat="1" applyFont="1" applyFill="1" applyBorder="1" applyAlignment="1">
      <alignment horizontal="center" vertical="center"/>
    </xf>
    <xf numFmtId="166" fontId="5" fillId="0" borderId="14" xfId="205" applyNumberFormat="1" applyFont="1" applyFill="1" applyBorder="1" applyAlignment="1">
      <alignment horizontal="center" vertical="center"/>
    </xf>
    <xf numFmtId="3" fontId="5" fillId="0" borderId="11" xfId="0" applyNumberFormat="1" applyFont="1" applyFill="1" applyBorder="1" applyAlignment="1">
      <alignment horizontal="center" vertical="center"/>
    </xf>
    <xf numFmtId="167" fontId="5" fillId="0" borderId="11" xfId="0" applyNumberFormat="1" applyFont="1" applyFill="1" applyBorder="1" applyAlignment="1">
      <alignment horizontal="center" vertical="center"/>
    </xf>
    <xf numFmtId="4" fontId="5" fillId="0" borderId="11" xfId="0" applyNumberFormat="1" applyFont="1" applyFill="1" applyBorder="1" applyAlignment="1">
      <alignment horizontal="center" vertical="center"/>
    </xf>
    <xf numFmtId="168" fontId="5" fillId="0" borderId="11" xfId="0" applyNumberFormat="1" applyFont="1" applyFill="1" applyBorder="1" applyAlignment="1">
      <alignment horizontal="center" vertical="center"/>
    </xf>
    <xf numFmtId="166" fontId="5" fillId="0" borderId="11" xfId="205" applyNumberFormat="1" applyFont="1" applyFill="1" applyBorder="1" applyAlignment="1">
      <alignment horizontal="center" vertical="center"/>
    </xf>
    <xf numFmtId="3" fontId="5" fillId="0" borderId="11" xfId="205" applyNumberFormat="1" applyFont="1" applyFill="1" applyBorder="1" applyAlignment="1">
      <alignment horizontal="center" vertical="center"/>
    </xf>
    <xf numFmtId="167" fontId="8" fillId="0" borderId="10" xfId="0" applyNumberFormat="1" applyFont="1" applyFill="1" applyBorder="1" applyAlignment="1">
      <alignment horizontal="center" vertical="center"/>
    </xf>
    <xf numFmtId="167" fontId="8" fillId="0" borderId="11"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3" fontId="5" fillId="0" borderId="15" xfId="0" applyNumberFormat="1" applyFont="1" applyFill="1" applyBorder="1" applyAlignment="1">
      <alignment horizontal="center" vertical="center"/>
    </xf>
    <xf numFmtId="167" fontId="5" fillId="0" borderId="15" xfId="0" applyNumberFormat="1" applyFont="1" applyFill="1" applyBorder="1" applyAlignment="1">
      <alignment horizontal="center" vertical="center"/>
    </xf>
    <xf numFmtId="168" fontId="5" fillId="0" borderId="15" xfId="0" applyNumberFormat="1" applyFont="1" applyFill="1" applyBorder="1" applyAlignment="1">
      <alignment horizontal="center" vertical="center"/>
    </xf>
    <xf numFmtId="166" fontId="5" fillId="0" borderId="15" xfId="205" applyNumberFormat="1" applyFont="1" applyFill="1" applyBorder="1" applyAlignment="1">
      <alignment horizontal="center" vertical="center"/>
    </xf>
    <xf numFmtId="169" fontId="5" fillId="0" borderId="10" xfId="0" applyNumberFormat="1" applyFont="1" applyFill="1" applyBorder="1" applyAlignment="1">
      <alignment horizontal="center" vertical="center"/>
    </xf>
    <xf numFmtId="169" fontId="5" fillId="0" borderId="11" xfId="0" applyNumberFormat="1" applyFont="1" applyFill="1" applyBorder="1" applyAlignment="1">
      <alignment horizontal="center" vertical="center"/>
    </xf>
    <xf numFmtId="169" fontId="5" fillId="0" borderId="12" xfId="0" applyNumberFormat="1" applyFont="1" applyFill="1" applyBorder="1" applyAlignment="1">
      <alignment horizontal="center" vertical="center"/>
    </xf>
    <xf numFmtId="0" fontId="5" fillId="0" borderId="0" xfId="0" applyFont="1" applyAlignment="1">
      <alignment horizontal="center"/>
    </xf>
    <xf numFmtId="3" fontId="5" fillId="0" borderId="0" xfId="0" applyNumberFormat="1" applyFont="1" applyFill="1" applyAlignment="1">
      <alignment horizontal="center" vertical="center"/>
    </xf>
    <xf numFmtId="0" fontId="5" fillId="0" borderId="13" xfId="0" applyFont="1" applyFill="1" applyBorder="1" applyAlignment="1">
      <alignment wrapText="1"/>
    </xf>
    <xf numFmtId="3" fontId="5" fillId="0" borderId="13" xfId="0" applyNumberFormat="1" applyFont="1" applyFill="1" applyBorder="1" applyAlignment="1">
      <alignment horizontal="center" vertical="center"/>
    </xf>
    <xf numFmtId="2" fontId="5" fillId="0" borderId="13" xfId="0" applyNumberFormat="1" applyFont="1" applyFill="1" applyBorder="1" applyAlignment="1">
      <alignment horizontal="center"/>
    </xf>
    <xf numFmtId="164" fontId="5" fillId="0" borderId="13" xfId="0" applyNumberFormat="1" applyFont="1" applyFill="1" applyBorder="1" applyAlignment="1">
      <alignment horizontal="center"/>
    </xf>
    <xf numFmtId="16" fontId="5" fillId="0" borderId="13" xfId="0" applyNumberFormat="1" applyFont="1" applyFill="1" applyBorder="1" applyAlignment="1">
      <alignment horizontal="center"/>
    </xf>
    <xf numFmtId="2" fontId="5" fillId="0" borderId="13" xfId="0" applyNumberFormat="1" applyFont="1" applyFill="1" applyBorder="1" applyAlignment="1">
      <alignment horizontal="center" vertical="center"/>
    </xf>
    <xf numFmtId="16" fontId="5" fillId="0" borderId="13" xfId="0" applyNumberFormat="1" applyFont="1" applyBorder="1" applyAlignment="1"/>
    <xf numFmtId="0" fontId="4" fillId="0" borderId="13" xfId="0" applyFont="1" applyFill="1" applyBorder="1" applyAlignment="1">
      <alignment horizontal="center"/>
    </xf>
    <xf numFmtId="3" fontId="4" fillId="0" borderId="13" xfId="0" applyNumberFormat="1" applyFont="1" applyFill="1" applyBorder="1" applyAlignment="1">
      <alignment horizontal="center" vertical="center"/>
    </xf>
    <xf numFmtId="4" fontId="4" fillId="0" borderId="13" xfId="0" applyNumberFormat="1" applyFont="1" applyFill="1" applyBorder="1" applyAlignment="1">
      <alignment horizontal="center"/>
    </xf>
    <xf numFmtId="164" fontId="4" fillId="0" borderId="13" xfId="0" applyNumberFormat="1" applyFont="1" applyFill="1" applyBorder="1" applyAlignment="1">
      <alignment horizontal="center"/>
    </xf>
    <xf numFmtId="0" fontId="5" fillId="0" borderId="0" xfId="0" applyFont="1" applyFill="1" applyAlignment="1">
      <alignment horizontal="right"/>
    </xf>
    <xf numFmtId="3" fontId="5" fillId="0" borderId="0" xfId="0" applyNumberFormat="1" applyFont="1" applyFill="1" applyBorder="1" applyAlignment="1">
      <alignment horizontal="center" vertical="center"/>
    </xf>
    <xf numFmtId="4" fontId="5" fillId="0" borderId="0" xfId="0" applyNumberFormat="1" applyFont="1" applyFill="1" applyBorder="1" applyAlignment="1">
      <alignment horizontal="center"/>
    </xf>
    <xf numFmtId="0" fontId="4" fillId="0" borderId="13" xfId="0" applyFont="1" applyFill="1" applyBorder="1" applyAlignment="1">
      <alignment horizontal="center" wrapText="1"/>
    </xf>
    <xf numFmtId="0" fontId="5" fillId="0" borderId="0" xfId="0" applyFont="1" applyFill="1" applyBorder="1" applyAlignment="1">
      <alignment horizontal="center"/>
    </xf>
    <xf numFmtId="0" fontId="5" fillId="0" borderId="0" xfId="0" applyFont="1" applyFill="1" applyBorder="1" applyAlignment="1">
      <alignment horizontal="center" wrapText="1"/>
    </xf>
    <xf numFmtId="0" fontId="5" fillId="0" borderId="16" xfId="0" applyFont="1" applyFill="1" applyBorder="1" applyAlignment="1">
      <alignment horizontal="center"/>
    </xf>
    <xf numFmtId="0" fontId="5" fillId="0" borderId="17" xfId="0" applyFont="1" applyFill="1" applyBorder="1" applyAlignment="1">
      <alignment horizontal="left"/>
    </xf>
    <xf numFmtId="4" fontId="5" fillId="0" borderId="13" xfId="0" applyNumberFormat="1" applyFont="1" applyFill="1" applyBorder="1" applyAlignment="1">
      <alignment horizontal="center"/>
    </xf>
    <xf numFmtId="165" fontId="5" fillId="0" borderId="13" xfId="0" applyNumberFormat="1" applyFont="1" applyFill="1" applyBorder="1" applyAlignment="1">
      <alignment horizontal="center"/>
    </xf>
    <xf numFmtId="9" fontId="5" fillId="0" borderId="13" xfId="205" applyFont="1" applyFill="1" applyBorder="1" applyAlignment="1">
      <alignment horizontal="center"/>
    </xf>
    <xf numFmtId="0" fontId="5" fillId="0" borderId="13" xfId="0" applyFont="1" applyFill="1" applyBorder="1" applyAlignment="1">
      <alignment horizontal="center"/>
    </xf>
    <xf numFmtId="0" fontId="5" fillId="0" borderId="13" xfId="0" applyFont="1" applyFill="1" applyBorder="1" applyAlignment="1">
      <alignment horizontal="left"/>
    </xf>
    <xf numFmtId="4" fontId="5" fillId="0" borderId="13" xfId="0" applyNumberFormat="1" applyFont="1" applyFill="1" applyBorder="1" applyAlignment="1">
      <alignment horizontal="center" vertical="center"/>
    </xf>
    <xf numFmtId="169" fontId="5" fillId="0" borderId="13" xfId="0" applyNumberFormat="1" applyFont="1" applyFill="1" applyBorder="1" applyAlignment="1">
      <alignment horizontal="center" vertical="center"/>
    </xf>
    <xf numFmtId="9" fontId="5" fillId="0" borderId="0" xfId="205" applyFont="1" applyFill="1" applyBorder="1" applyAlignment="1">
      <alignment horizontal="center"/>
    </xf>
    <xf numFmtId="3" fontId="4" fillId="0" borderId="13" xfId="0" applyNumberFormat="1" applyFont="1" applyFill="1" applyBorder="1" applyAlignment="1">
      <alignment horizontal="center"/>
    </xf>
    <xf numFmtId="165" fontId="4" fillId="0" borderId="13" xfId="0" applyNumberFormat="1" applyFont="1" applyFill="1" applyBorder="1" applyAlignment="1">
      <alignment horizontal="center"/>
    </xf>
    <xf numFmtId="4" fontId="9" fillId="0" borderId="0" xfId="0" applyNumberFormat="1" applyFont="1" applyFill="1" applyBorder="1" applyAlignment="1">
      <alignment horizontal="center"/>
    </xf>
    <xf numFmtId="4" fontId="5" fillId="0" borderId="0" xfId="0" applyNumberFormat="1" applyFont="1" applyFill="1" applyAlignment="1">
      <alignment horizontal="center"/>
    </xf>
    <xf numFmtId="3" fontId="5" fillId="0" borderId="13" xfId="0" applyNumberFormat="1" applyFont="1" applyFill="1" applyBorder="1" applyAlignment="1">
      <alignment horizontal="center"/>
    </xf>
    <xf numFmtId="169" fontId="5" fillId="0" borderId="13" xfId="0" applyNumberFormat="1" applyFont="1" applyFill="1" applyBorder="1" applyAlignment="1">
      <alignment horizontal="center"/>
    </xf>
    <xf numFmtId="0" fontId="4" fillId="0" borderId="13" xfId="0" applyFont="1" applyFill="1" applyBorder="1" applyAlignment="1">
      <alignment horizontal="center" vertical="center" wrapText="1"/>
    </xf>
    <xf numFmtId="4" fontId="4" fillId="0" borderId="13" xfId="0" applyNumberFormat="1" applyFont="1" applyFill="1" applyBorder="1" applyAlignment="1">
      <alignment horizontal="center" vertical="center"/>
    </xf>
    <xf numFmtId="4" fontId="5" fillId="0" borderId="0" xfId="0" applyNumberFormat="1" applyFont="1" applyFill="1" applyBorder="1" applyAlignment="1">
      <alignment horizontal="center" vertical="center"/>
    </xf>
    <xf numFmtId="0" fontId="5" fillId="0" borderId="13" xfId="0" applyFont="1" applyFill="1" applyBorder="1"/>
    <xf numFmtId="0" fontId="5" fillId="0" borderId="13" xfId="0" applyFont="1" applyBorder="1"/>
    <xf numFmtId="164" fontId="5" fillId="0" borderId="13" xfId="0" applyNumberFormat="1" applyFont="1" applyFill="1" applyBorder="1" applyAlignment="1">
      <alignment horizontal="center" vertical="center"/>
    </xf>
    <xf numFmtId="9" fontId="5" fillId="0" borderId="13" xfId="205" applyFont="1" applyFill="1" applyBorder="1" applyAlignment="1">
      <alignment horizontal="center" vertical="center"/>
    </xf>
    <xf numFmtId="16" fontId="5" fillId="0" borderId="13" xfId="0" applyNumberFormat="1" applyFont="1" applyBorder="1" applyAlignment="1">
      <alignment horizontal="center"/>
    </xf>
    <xf numFmtId="172" fontId="4" fillId="0" borderId="13" xfId="0" applyNumberFormat="1" applyFont="1" applyFill="1" applyBorder="1" applyAlignment="1">
      <alignment horizontal="center"/>
    </xf>
    <xf numFmtId="3" fontId="6" fillId="0" borderId="0" xfId="0" applyNumberFormat="1" applyFont="1" applyFill="1" applyBorder="1" applyAlignment="1">
      <alignment horizontal="center" vertical="center"/>
    </xf>
    <xf numFmtId="4" fontId="6" fillId="0" borderId="0" xfId="0" applyNumberFormat="1" applyFont="1" applyFill="1" applyBorder="1" applyAlignment="1">
      <alignment horizontal="center"/>
    </xf>
    <xf numFmtId="9" fontId="6" fillId="0" borderId="0" xfId="205" applyFont="1" applyFill="1" applyBorder="1" applyAlignment="1">
      <alignment horizontal="center"/>
    </xf>
    <xf numFmtId="0" fontId="4" fillId="0" borderId="0" xfId="0" applyFont="1" applyFill="1" applyAlignment="1">
      <alignment horizontal="center"/>
    </xf>
    <xf numFmtId="2" fontId="5" fillId="0" borderId="18" xfId="0" applyNumberFormat="1" applyFont="1" applyFill="1" applyBorder="1" applyAlignment="1">
      <alignment horizontal="center"/>
    </xf>
    <xf numFmtId="2" fontId="5" fillId="0" borderId="0" xfId="0" applyNumberFormat="1" applyFont="1" applyFill="1"/>
    <xf numFmtId="2" fontId="5" fillId="0" borderId="13" xfId="0" applyNumberFormat="1" applyFont="1" applyFill="1" applyBorder="1" applyAlignment="1">
      <alignment horizontal="right"/>
    </xf>
    <xf numFmtId="2" fontId="5" fillId="0" borderId="13" xfId="0" applyNumberFormat="1" applyFont="1" applyBorder="1"/>
    <xf numFmtId="174" fontId="5" fillId="0" borderId="13" xfId="0" applyNumberFormat="1" applyFont="1" applyBorder="1"/>
    <xf numFmtId="174" fontId="5" fillId="0" borderId="13" xfId="0" applyNumberFormat="1" applyFont="1" applyFill="1" applyBorder="1" applyAlignment="1">
      <alignment horizontal="right"/>
    </xf>
    <xf numFmtId="2" fontId="5" fillId="0" borderId="13" xfId="0" applyNumberFormat="1" applyFont="1" applyBorder="1" applyAlignment="1">
      <alignment horizontal="center"/>
    </xf>
    <xf numFmtId="0" fontId="4" fillId="0" borderId="0" xfId="0" applyFont="1" applyFill="1" applyBorder="1" applyAlignment="1">
      <alignment horizontal="center"/>
    </xf>
    <xf numFmtId="2" fontId="5" fillId="0" borderId="0" xfId="0" applyNumberFormat="1" applyFont="1" applyBorder="1" applyAlignment="1">
      <alignment horizontal="center"/>
    </xf>
    <xf numFmtId="2" fontId="5" fillId="0" borderId="0" xfId="0" applyNumberFormat="1" applyFont="1" applyFill="1" applyBorder="1"/>
    <xf numFmtId="2" fontId="5" fillId="0" borderId="13" xfId="0" applyNumberFormat="1" applyFont="1" applyFill="1" applyBorder="1"/>
    <xf numFmtId="2" fontId="5" fillId="0" borderId="19" xfId="0" applyNumberFormat="1" applyFont="1" applyBorder="1"/>
    <xf numFmtId="2" fontId="5" fillId="0" borderId="19" xfId="0" applyNumberFormat="1" applyFont="1" applyFill="1" applyBorder="1"/>
    <xf numFmtId="2" fontId="5" fillId="0" borderId="20" xfId="0" applyNumberFormat="1" applyFont="1" applyFill="1" applyBorder="1"/>
    <xf numFmtId="2" fontId="5" fillId="0" borderId="13" xfId="0" applyNumberFormat="1" applyFont="1" applyBorder="1" applyAlignment="1"/>
    <xf numFmtId="2" fontId="5" fillId="0" borderId="0" xfId="0" applyNumberFormat="1" applyFont="1" applyFill="1" applyBorder="1" applyAlignment="1">
      <alignment horizontal="center"/>
    </xf>
    <xf numFmtId="0" fontId="5" fillId="24" borderId="0" xfId="0" applyFont="1" applyFill="1" applyAlignment="1">
      <alignment horizontal="center"/>
    </xf>
    <xf numFmtId="0" fontId="5" fillId="24" borderId="0" xfId="0" applyFont="1" applyFill="1"/>
    <xf numFmtId="0" fontId="3" fillId="0" borderId="0" xfId="0" applyFont="1" applyFill="1" applyBorder="1" applyAlignment="1">
      <alignment horizontal="center"/>
    </xf>
    <xf numFmtId="2" fontId="5" fillId="0" borderId="13" xfId="0" applyNumberFormat="1" applyFont="1" applyBorder="1" applyAlignment="1">
      <alignment horizontal="right"/>
    </xf>
    <xf numFmtId="2" fontId="4" fillId="0" borderId="0" xfId="0" applyNumberFormat="1" applyFont="1" applyFill="1" applyBorder="1" applyAlignment="1">
      <alignment horizontal="center"/>
    </xf>
    <xf numFmtId="0" fontId="5" fillId="0" borderId="18" xfId="0" applyFont="1" applyFill="1" applyBorder="1" applyAlignment="1">
      <alignment horizontal="center"/>
    </xf>
    <xf numFmtId="0" fontId="5" fillId="0" borderId="21" xfId="0" applyFont="1" applyBorder="1" applyAlignment="1">
      <alignment horizontal="center"/>
    </xf>
    <xf numFmtId="2" fontId="4" fillId="0" borderId="13" xfId="0" applyNumberFormat="1" applyFont="1" applyBorder="1" applyAlignment="1">
      <alignment horizontal="center"/>
    </xf>
    <xf numFmtId="0" fontId="4" fillId="0" borderId="22" xfId="0" applyFont="1" applyFill="1" applyBorder="1" applyAlignment="1">
      <alignment horizontal="center"/>
    </xf>
    <xf numFmtId="0" fontId="4" fillId="0" borderId="23" xfId="0" applyFont="1" applyFill="1" applyBorder="1" applyAlignment="1">
      <alignment horizontal="center"/>
    </xf>
    <xf numFmtId="169" fontId="5" fillId="0" borderId="10" xfId="0" applyNumberFormat="1" applyFont="1" applyFill="1" applyBorder="1" applyAlignment="1">
      <alignment horizontal="center"/>
    </xf>
    <xf numFmtId="169" fontId="5" fillId="0" borderId="24" xfId="0" applyNumberFormat="1" applyFont="1" applyFill="1" applyBorder="1" applyAlignment="1">
      <alignment horizontal="center"/>
    </xf>
    <xf numFmtId="169" fontId="5" fillId="0" borderId="11" xfId="0" applyNumberFormat="1" applyFont="1" applyFill="1" applyBorder="1" applyAlignment="1">
      <alignment horizontal="center"/>
    </xf>
    <xf numFmtId="169" fontId="5" fillId="0" borderId="25" xfId="0" applyNumberFormat="1" applyFont="1" applyFill="1" applyBorder="1" applyAlignment="1">
      <alignment horizontal="center"/>
    </xf>
    <xf numFmtId="169" fontId="5" fillId="0" borderId="12" xfId="0" applyNumberFormat="1" applyFont="1" applyFill="1" applyBorder="1" applyAlignment="1">
      <alignment horizontal="center"/>
    </xf>
    <xf numFmtId="169" fontId="5" fillId="0" borderId="26" xfId="0" applyNumberFormat="1" applyFont="1" applyFill="1" applyBorder="1" applyAlignment="1">
      <alignment horizontal="center"/>
    </xf>
    <xf numFmtId="0" fontId="5" fillId="0" borderId="0" xfId="0" applyFont="1" applyFill="1" applyBorder="1"/>
    <xf numFmtId="2" fontId="5" fillId="0" borderId="10" xfId="0" applyNumberFormat="1" applyFont="1" applyFill="1" applyBorder="1" applyAlignment="1">
      <alignment horizontal="center" vertical="center"/>
    </xf>
    <xf numFmtId="2" fontId="5" fillId="0" borderId="11" xfId="0" applyNumberFormat="1" applyFont="1" applyFill="1" applyBorder="1" applyAlignment="1">
      <alignment horizontal="center" vertical="center"/>
    </xf>
    <xf numFmtId="2" fontId="5" fillId="0" borderId="12" xfId="0" applyNumberFormat="1" applyFont="1" applyFill="1" applyBorder="1"/>
    <xf numFmtId="2" fontId="5" fillId="0" borderId="12" xfId="0" applyNumberFormat="1" applyFont="1" applyFill="1" applyBorder="1" applyAlignment="1">
      <alignment horizontal="center" vertical="center"/>
    </xf>
    <xf numFmtId="0" fontId="5" fillId="0" borderId="15" xfId="0" applyFont="1" applyFill="1" applyBorder="1" applyAlignment="1">
      <alignment horizontal="center"/>
    </xf>
    <xf numFmtId="4" fontId="5" fillId="0" borderId="0" xfId="0" applyNumberFormat="1" applyFont="1" applyBorder="1"/>
    <xf numFmtId="169" fontId="5" fillId="0" borderId="12" xfId="0" applyNumberFormat="1" applyFont="1" applyBorder="1" applyAlignment="1">
      <alignment horizontal="center"/>
    </xf>
    <xf numFmtId="169" fontId="5" fillId="0" borderId="26" xfId="0" applyNumberFormat="1" applyFont="1" applyBorder="1" applyAlignment="1">
      <alignment horizontal="center"/>
    </xf>
    <xf numFmtId="14" fontId="5" fillId="0" borderId="0" xfId="0" applyNumberFormat="1" applyFont="1"/>
    <xf numFmtId="3" fontId="7" fillId="0" borderId="0" xfId="0" applyNumberFormat="1" applyFont="1" applyFill="1" applyAlignment="1">
      <alignment horizontal="center" vertical="center"/>
    </xf>
    <xf numFmtId="169" fontId="7" fillId="0" borderId="0" xfId="0" applyNumberFormat="1" applyFont="1" applyFill="1" applyAlignment="1">
      <alignment horizontal="center" vertical="center"/>
    </xf>
    <xf numFmtId="169" fontId="7" fillId="0" borderId="0" xfId="0" applyNumberFormat="1" applyFont="1" applyFill="1" applyAlignment="1">
      <alignment horizontal="center"/>
    </xf>
    <xf numFmtId="0" fontId="7" fillId="0" borderId="0" xfId="0" applyFont="1" applyFill="1"/>
    <xf numFmtId="0" fontId="11" fillId="0" borderId="0" xfId="0" applyFont="1" applyFill="1" applyAlignment="1">
      <alignment horizontal="center" vertical="center" wrapText="1"/>
    </xf>
    <xf numFmtId="2" fontId="11" fillId="0" borderId="0" xfId="0" applyNumberFormat="1" applyFont="1" applyFill="1" applyAlignment="1">
      <alignment horizontal="center"/>
    </xf>
    <xf numFmtId="169" fontId="11" fillId="0" borderId="0" xfId="0" applyNumberFormat="1" applyFont="1" applyFill="1" applyAlignment="1">
      <alignment horizontal="center"/>
    </xf>
    <xf numFmtId="0" fontId="7" fillId="0" borderId="0" xfId="0" applyFont="1" applyFill="1" applyAlignment="1">
      <alignment horizontal="center" vertical="center" wrapText="1"/>
    </xf>
    <xf numFmtId="0" fontId="7" fillId="0" borderId="10" xfId="0" applyFont="1" applyFill="1" applyBorder="1" applyAlignment="1">
      <alignment horizontal="left"/>
    </xf>
    <xf numFmtId="169" fontId="7" fillId="0" borderId="10" xfId="0" applyNumberFormat="1" applyFont="1" applyFill="1" applyBorder="1" applyAlignment="1">
      <alignment horizontal="center"/>
    </xf>
    <xf numFmtId="169" fontId="7" fillId="0" borderId="11" xfId="0" applyNumberFormat="1" applyFont="1" applyFill="1" applyBorder="1" applyAlignment="1">
      <alignment horizontal="center"/>
    </xf>
    <xf numFmtId="169" fontId="7" fillId="25" borderId="11" xfId="0" applyNumberFormat="1" applyFont="1" applyFill="1" applyBorder="1" applyAlignment="1">
      <alignment horizontal="center"/>
    </xf>
    <xf numFmtId="0" fontId="7" fillId="0" borderId="11" xfId="0" applyFont="1" applyFill="1" applyBorder="1" applyAlignment="1">
      <alignment horizontal="left"/>
    </xf>
    <xf numFmtId="169" fontId="7" fillId="0" borderId="15" xfId="0" applyNumberFormat="1" applyFont="1" applyFill="1" applyBorder="1" applyAlignment="1">
      <alignment horizontal="center"/>
    </xf>
    <xf numFmtId="0" fontId="7" fillId="0" borderId="0" xfId="0" applyFont="1" applyFill="1" applyAlignment="1">
      <alignment horizontal="center"/>
    </xf>
    <xf numFmtId="171" fontId="7" fillId="0" borderId="0" xfId="0" applyNumberFormat="1" applyFont="1" applyFill="1"/>
    <xf numFmtId="169" fontId="7" fillId="0" borderId="0" xfId="0" applyNumberFormat="1" applyFont="1" applyFill="1"/>
    <xf numFmtId="14" fontId="4" fillId="0" borderId="0" xfId="0" applyNumberFormat="1" applyFont="1" applyAlignment="1">
      <alignment horizontal="left"/>
    </xf>
    <xf numFmtId="169" fontId="5" fillId="0" borderId="14" xfId="0" applyNumberFormat="1" applyFont="1" applyFill="1" applyBorder="1" applyAlignment="1">
      <alignment horizontal="center" vertical="center"/>
    </xf>
    <xf numFmtId="0" fontId="5" fillId="0" borderId="0" xfId="0" applyFont="1" applyFill="1" applyBorder="1" applyAlignment="1">
      <alignment horizontal="center" vertical="center"/>
    </xf>
    <xf numFmtId="169" fontId="5" fillId="0" borderId="0" xfId="0" applyNumberFormat="1" applyFont="1" applyFill="1" applyBorder="1" applyAlignment="1">
      <alignment horizontal="center" vertical="center"/>
    </xf>
    <xf numFmtId="174" fontId="5" fillId="0" borderId="0" xfId="0" applyNumberFormat="1" applyFont="1"/>
    <xf numFmtId="2" fontId="5" fillId="0" borderId="0" xfId="0" applyNumberFormat="1" applyFont="1"/>
    <xf numFmtId="174" fontId="5" fillId="0" borderId="13" xfId="0" applyNumberFormat="1" applyFont="1" applyFill="1" applyBorder="1" applyAlignment="1">
      <alignment horizontal="center"/>
    </xf>
    <xf numFmtId="171" fontId="7" fillId="0" borderId="10" xfId="0" applyNumberFormat="1" applyFont="1" applyFill="1" applyBorder="1" applyAlignment="1">
      <alignment horizontal="center"/>
    </xf>
    <xf numFmtId="171" fontId="7" fillId="0" borderId="24" xfId="0" applyNumberFormat="1" applyFont="1" applyFill="1" applyBorder="1" applyAlignment="1">
      <alignment horizontal="center"/>
    </xf>
    <xf numFmtId="171" fontId="7" fillId="0" borderId="11" xfId="0" applyNumberFormat="1" applyFont="1" applyFill="1" applyBorder="1" applyAlignment="1">
      <alignment horizontal="center"/>
    </xf>
    <xf numFmtId="171" fontId="7" fillId="0" borderId="15" xfId="0" applyNumberFormat="1" applyFont="1" applyFill="1" applyBorder="1" applyAlignment="1">
      <alignment horizontal="center"/>
    </xf>
    <xf numFmtId="171" fontId="7" fillId="0" borderId="27" xfId="0" applyNumberFormat="1" applyFont="1" applyFill="1" applyBorder="1" applyAlignment="1">
      <alignment horizontal="center"/>
    </xf>
    <xf numFmtId="0" fontId="0" fillId="0" borderId="0" xfId="0" applyFill="1"/>
    <xf numFmtId="0" fontId="0" fillId="0" borderId="0" xfId="0" applyAlignment="1">
      <alignment horizontal="center"/>
    </xf>
    <xf numFmtId="4" fontId="5" fillId="0" borderId="0" xfId="0" applyNumberFormat="1" applyFont="1" applyAlignment="1">
      <alignment horizontal="center"/>
    </xf>
    <xf numFmtId="4" fontId="5" fillId="0" borderId="0" xfId="0" applyNumberFormat="1" applyFont="1"/>
    <xf numFmtId="4" fontId="5" fillId="0" borderId="13" xfId="0" applyNumberFormat="1" applyFont="1" applyBorder="1" applyAlignment="1">
      <alignment horizontal="center"/>
    </xf>
    <xf numFmtId="3" fontId="5" fillId="0" borderId="13" xfId="0" applyNumberFormat="1" applyFont="1" applyBorder="1" applyAlignment="1">
      <alignment horizontal="center"/>
    </xf>
    <xf numFmtId="4" fontId="4" fillId="0" borderId="0" xfId="0" applyNumberFormat="1" applyFont="1" applyFill="1" applyBorder="1" applyAlignment="1">
      <alignment horizontal="center"/>
    </xf>
    <xf numFmtId="4" fontId="5" fillId="0" borderId="21" xfId="0" applyNumberFormat="1" applyFont="1" applyFill="1" applyBorder="1" applyAlignment="1">
      <alignment horizontal="center"/>
    </xf>
    <xf numFmtId="4" fontId="5" fillId="0" borderId="0" xfId="0" applyNumberFormat="1" applyFont="1" applyBorder="1" applyAlignment="1">
      <alignment horizontal="center"/>
    </xf>
    <xf numFmtId="165" fontId="5" fillId="0" borderId="0" xfId="0" applyNumberFormat="1" applyFont="1" applyFill="1" applyAlignment="1">
      <alignment horizontal="center"/>
    </xf>
    <xf numFmtId="165" fontId="5" fillId="0" borderId="0" xfId="0" applyNumberFormat="1" applyFont="1" applyFill="1" applyBorder="1" applyAlignment="1">
      <alignment horizontal="center"/>
    </xf>
    <xf numFmtId="165" fontId="5" fillId="0" borderId="0" xfId="0" applyNumberFormat="1" applyFont="1" applyAlignment="1">
      <alignment horizontal="center"/>
    </xf>
    <xf numFmtId="2" fontId="5" fillId="0" borderId="28" xfId="0" applyNumberFormat="1" applyFont="1" applyBorder="1"/>
    <xf numFmtId="2" fontId="5" fillId="0" borderId="28" xfId="0" applyNumberFormat="1" applyFont="1" applyFill="1" applyBorder="1"/>
    <xf numFmtId="0" fontId="5" fillId="0" borderId="29" xfId="0" applyFont="1" applyFill="1" applyBorder="1" applyAlignment="1">
      <alignment wrapText="1"/>
    </xf>
    <xf numFmtId="9" fontId="0" fillId="0" borderId="0" xfId="0" applyNumberFormat="1" applyFill="1"/>
    <xf numFmtId="166" fontId="0" fillId="0" borderId="0" xfId="0" applyNumberFormat="1" applyFill="1"/>
    <xf numFmtId="165" fontId="5" fillId="0" borderId="13" xfId="0" applyNumberFormat="1" applyFont="1" applyFill="1" applyBorder="1" applyAlignment="1">
      <alignment horizontal="center" vertical="center"/>
    </xf>
    <xf numFmtId="0" fontId="13" fillId="0" borderId="0" xfId="0" applyFont="1" applyAlignment="1">
      <alignment horizontal="center"/>
    </xf>
    <xf numFmtId="2" fontId="5" fillId="0" borderId="13" xfId="0" applyNumberFormat="1" applyFont="1" applyFill="1" applyBorder="1" applyAlignment="1"/>
    <xf numFmtId="2" fontId="5" fillId="26" borderId="13" xfId="0" applyNumberFormat="1" applyFont="1" applyFill="1" applyBorder="1" applyAlignment="1">
      <alignment horizontal="center"/>
    </xf>
    <xf numFmtId="0" fontId="32" fillId="0" borderId="0" xfId="0" applyFont="1"/>
    <xf numFmtId="0" fontId="32" fillId="0" borderId="0" xfId="0" applyFont="1" applyFill="1"/>
    <xf numFmtId="4" fontId="32" fillId="0" borderId="0" xfId="0" applyNumberFormat="1" applyFont="1" applyAlignment="1">
      <alignment horizontal="center"/>
    </xf>
    <xf numFmtId="0" fontId="32" fillId="0" borderId="0" xfId="0" applyFont="1" applyAlignment="1">
      <alignment horizontal="center"/>
    </xf>
    <xf numFmtId="4" fontId="32" fillId="0" borderId="0" xfId="0" applyNumberFormat="1" applyFont="1"/>
    <xf numFmtId="165" fontId="4" fillId="0" borderId="0" xfId="0" applyNumberFormat="1" applyFont="1" applyFill="1" applyBorder="1" applyAlignment="1">
      <alignment horizontal="center"/>
    </xf>
    <xf numFmtId="165" fontId="32" fillId="0" borderId="0" xfId="0" applyNumberFormat="1" applyFont="1"/>
    <xf numFmtId="0" fontId="5" fillId="0" borderId="23" xfId="0" applyFont="1" applyFill="1" applyBorder="1"/>
    <xf numFmtId="0" fontId="32" fillId="0" borderId="23" xfId="0" applyFont="1" applyBorder="1"/>
    <xf numFmtId="0" fontId="4" fillId="25" borderId="13" xfId="0" applyFont="1" applyFill="1" applyBorder="1" applyAlignment="1">
      <alignment horizontal="center" vertical="center" wrapText="1"/>
    </xf>
    <xf numFmtId="0" fontId="4" fillId="25" borderId="13" xfId="0" applyFont="1" applyFill="1" applyBorder="1" applyAlignment="1">
      <alignment horizontal="center"/>
    </xf>
    <xf numFmtId="2" fontId="4" fillId="25" borderId="13" xfId="0" applyNumberFormat="1" applyFont="1" applyFill="1" applyBorder="1" applyAlignment="1">
      <alignment horizontal="center"/>
    </xf>
    <xf numFmtId="4" fontId="4" fillId="25" borderId="13" xfId="0" applyNumberFormat="1" applyFont="1" applyFill="1" applyBorder="1" applyAlignment="1">
      <alignment horizontal="center"/>
    </xf>
    <xf numFmtId="0" fontId="5" fillId="25" borderId="30" xfId="0" applyFont="1" applyFill="1" applyBorder="1" applyAlignment="1">
      <alignment horizontal="center"/>
    </xf>
    <xf numFmtId="174" fontId="5" fillId="25" borderId="31" xfId="0" applyNumberFormat="1" applyFont="1" applyFill="1" applyBorder="1" applyAlignment="1">
      <alignment horizontal="center"/>
    </xf>
    <xf numFmtId="0" fontId="5" fillId="25" borderId="30" xfId="0" applyFont="1" applyFill="1" applyBorder="1" applyAlignment="1">
      <alignment horizontal="center" vertical="center" wrapText="1"/>
    </xf>
    <xf numFmtId="174" fontId="4" fillId="25" borderId="31" xfId="0" applyNumberFormat="1" applyFont="1" applyFill="1" applyBorder="1" applyAlignment="1">
      <alignment horizontal="center" vertical="center" wrapText="1"/>
    </xf>
    <xf numFmtId="169" fontId="4" fillId="25" borderId="12" xfId="0" applyNumberFormat="1" applyFont="1" applyFill="1" applyBorder="1" applyAlignment="1">
      <alignment horizontal="center" vertical="center"/>
    </xf>
    <xf numFmtId="169" fontId="4" fillId="25" borderId="21" xfId="0" applyNumberFormat="1" applyFont="1" applyFill="1" applyBorder="1" applyAlignment="1">
      <alignment horizontal="center" vertical="center"/>
    </xf>
    <xf numFmtId="0" fontId="5" fillId="25" borderId="18" xfId="0" applyFont="1" applyFill="1" applyBorder="1" applyAlignment="1">
      <alignment horizontal="center" vertical="center"/>
    </xf>
    <xf numFmtId="0" fontId="5" fillId="25" borderId="18" xfId="0" applyFont="1" applyFill="1" applyBorder="1" applyAlignment="1">
      <alignment horizontal="center" vertical="center" wrapText="1"/>
    </xf>
    <xf numFmtId="0" fontId="5" fillId="26" borderId="32" xfId="0" applyFont="1" applyFill="1" applyBorder="1" applyAlignment="1">
      <alignment horizontal="center" vertical="center"/>
    </xf>
    <xf numFmtId="169" fontId="5" fillId="26" borderId="33" xfId="0" applyNumberFormat="1" applyFont="1" applyFill="1" applyBorder="1" applyAlignment="1">
      <alignment horizontal="center" vertical="center"/>
    </xf>
    <xf numFmtId="171" fontId="5" fillId="26" borderId="34" xfId="0" applyNumberFormat="1" applyFont="1" applyFill="1" applyBorder="1" applyAlignment="1">
      <alignment horizontal="center" vertical="center"/>
    </xf>
    <xf numFmtId="0" fontId="11" fillId="25" borderId="18" xfId="0" applyFont="1" applyFill="1" applyBorder="1" applyAlignment="1">
      <alignment horizontal="center" vertical="center" wrapText="1"/>
    </xf>
    <xf numFmtId="3" fontId="11" fillId="25" borderId="18" xfId="0" applyNumberFormat="1" applyFont="1" applyFill="1" applyBorder="1" applyAlignment="1">
      <alignment horizontal="center" vertical="center" wrapText="1"/>
    </xf>
    <xf numFmtId="174" fontId="11" fillId="25" borderId="18" xfId="0" applyNumberFormat="1" applyFont="1" applyFill="1" applyBorder="1" applyAlignment="1">
      <alignment horizontal="center" vertical="center" wrapText="1"/>
    </xf>
    <xf numFmtId="171" fontId="7" fillId="25" borderId="10" xfId="0" applyNumberFormat="1" applyFont="1" applyFill="1" applyBorder="1" applyAlignment="1">
      <alignment horizontal="left"/>
    </xf>
    <xf numFmtId="169" fontId="7" fillId="25" borderId="10" xfId="0" applyNumberFormat="1" applyFont="1" applyFill="1" applyBorder="1" applyAlignment="1">
      <alignment horizontal="center"/>
    </xf>
    <xf numFmtId="171" fontId="7" fillId="25" borderId="11" xfId="0" applyNumberFormat="1" applyFont="1" applyFill="1" applyBorder="1" applyAlignment="1">
      <alignment horizontal="left"/>
    </xf>
    <xf numFmtId="0" fontId="7" fillId="26" borderId="11" xfId="0" applyFont="1" applyFill="1" applyBorder="1" applyAlignment="1"/>
    <xf numFmtId="169" fontId="7" fillId="26" borderId="11" xfId="0" applyNumberFormat="1" applyFont="1" applyFill="1" applyBorder="1" applyAlignment="1">
      <alignment horizontal="center"/>
    </xf>
    <xf numFmtId="171" fontId="7" fillId="26" borderId="11" xfId="0" applyNumberFormat="1" applyFont="1" applyFill="1" applyBorder="1" applyAlignment="1">
      <alignment horizontal="center"/>
    </xf>
    <xf numFmtId="171" fontId="7" fillId="26" borderId="25" xfId="0" applyNumberFormat="1" applyFont="1" applyFill="1" applyBorder="1" applyAlignment="1">
      <alignment horizontal="center"/>
    </xf>
    <xf numFmtId="0" fontId="4" fillId="25" borderId="18" xfId="0" applyFont="1" applyFill="1" applyBorder="1" applyAlignment="1">
      <alignment horizontal="center"/>
    </xf>
    <xf numFmtId="2" fontId="5" fillId="26" borderId="10" xfId="0" applyNumberFormat="1" applyFont="1" applyFill="1" applyBorder="1" applyAlignment="1">
      <alignment horizontal="center" vertical="center"/>
    </xf>
    <xf numFmtId="2" fontId="5" fillId="26" borderId="11" xfId="0" applyNumberFormat="1" applyFont="1" applyFill="1" applyBorder="1" applyAlignment="1">
      <alignment horizontal="center" vertical="center"/>
    </xf>
    <xf numFmtId="2" fontId="5" fillId="26" borderId="12" xfId="0" applyNumberFormat="1" applyFont="1" applyFill="1" applyBorder="1"/>
    <xf numFmtId="2" fontId="5" fillId="26" borderId="12" xfId="0" applyNumberFormat="1" applyFont="1" applyFill="1" applyBorder="1" applyAlignment="1">
      <alignment horizontal="center" vertical="center"/>
    </xf>
    <xf numFmtId="169" fontId="4" fillId="25" borderId="21" xfId="0" applyNumberFormat="1" applyFont="1" applyFill="1" applyBorder="1" applyAlignment="1">
      <alignment horizontal="center"/>
    </xf>
    <xf numFmtId="169" fontId="4" fillId="25" borderId="13" xfId="0" applyNumberFormat="1" applyFont="1" applyFill="1" applyBorder="1" applyAlignment="1">
      <alignment horizontal="center"/>
    </xf>
    <xf numFmtId="165" fontId="4" fillId="25" borderId="13" xfId="0" applyNumberFormat="1" applyFont="1" applyFill="1" applyBorder="1" applyAlignment="1">
      <alignment horizontal="center"/>
    </xf>
    <xf numFmtId="0" fontId="5" fillId="25" borderId="13" xfId="0" applyNumberFormat="1" applyFont="1" applyFill="1" applyBorder="1" applyAlignment="1">
      <alignment horizontal="center" vertical="center" wrapText="1"/>
    </xf>
    <xf numFmtId="174" fontId="4" fillId="25" borderId="13" xfId="0" applyNumberFormat="1" applyFont="1" applyFill="1" applyBorder="1" applyAlignment="1">
      <alignment horizontal="center"/>
    </xf>
    <xf numFmtId="3" fontId="4" fillId="25" borderId="13" xfId="0" applyNumberFormat="1" applyFont="1" applyFill="1" applyBorder="1" applyAlignment="1">
      <alignment horizontal="center" vertical="center"/>
    </xf>
    <xf numFmtId="3" fontId="4" fillId="25" borderId="18" xfId="0" applyNumberFormat="1" applyFont="1" applyFill="1" applyBorder="1" applyAlignment="1">
      <alignment horizontal="center" vertical="center"/>
    </xf>
    <xf numFmtId="3" fontId="4" fillId="25" borderId="18" xfId="0" applyNumberFormat="1" applyFont="1" applyFill="1" applyBorder="1" applyAlignment="1">
      <alignment horizontal="center" vertical="center" wrapText="1"/>
    </xf>
    <xf numFmtId="2" fontId="4" fillId="25" borderId="18" xfId="0" applyNumberFormat="1" applyFont="1" applyFill="1" applyBorder="1" applyAlignment="1">
      <alignment horizontal="center" vertical="center"/>
    </xf>
    <xf numFmtId="167" fontId="4" fillId="25" borderId="18" xfId="0" applyNumberFormat="1" applyFont="1" applyFill="1" applyBorder="1" applyAlignment="1">
      <alignment horizontal="center" vertical="center"/>
    </xf>
    <xf numFmtId="3" fontId="4" fillId="25" borderId="13" xfId="0" applyNumberFormat="1" applyFont="1" applyFill="1" applyBorder="1" applyAlignment="1">
      <alignment horizontal="center" vertical="center" wrapText="1"/>
    </xf>
    <xf numFmtId="168" fontId="5" fillId="0" borderId="12" xfId="205" applyNumberFormat="1" applyFont="1" applyFill="1" applyBorder="1" applyAlignment="1">
      <alignment horizontal="center" vertical="center"/>
    </xf>
    <xf numFmtId="4" fontId="5" fillId="0" borderId="15" xfId="0" applyNumberFormat="1" applyFont="1" applyFill="1" applyBorder="1" applyAlignment="1">
      <alignment horizontal="center" vertical="center"/>
    </xf>
    <xf numFmtId="165" fontId="0" fillId="0" borderId="0" xfId="0" applyNumberFormat="1" applyFill="1"/>
    <xf numFmtId="165" fontId="0" fillId="0" borderId="0" xfId="0" applyNumberFormat="1"/>
    <xf numFmtId="9" fontId="0" fillId="0" borderId="0" xfId="205" applyFont="1"/>
    <xf numFmtId="16" fontId="10" fillId="0" borderId="13" xfId="0" applyNumberFormat="1" applyFont="1" applyBorder="1" applyAlignment="1">
      <alignment horizontal="center"/>
    </xf>
    <xf numFmtId="4" fontId="0" fillId="0" borderId="0" xfId="0" applyNumberFormat="1"/>
    <xf numFmtId="174" fontId="0" fillId="0" borderId="0" xfId="0" applyNumberFormat="1"/>
    <xf numFmtId="169" fontId="32" fillId="0" borderId="0" xfId="0" applyNumberFormat="1" applyFont="1"/>
    <xf numFmtId="0" fontId="5" fillId="0" borderId="35" xfId="0" applyFont="1" applyFill="1" applyBorder="1" applyAlignment="1">
      <alignment horizontal="center"/>
    </xf>
    <xf numFmtId="170" fontId="5" fillId="0" borderId="35" xfId="0" applyNumberFormat="1" applyFont="1" applyFill="1" applyBorder="1" applyAlignment="1">
      <alignment horizontal="center"/>
    </xf>
    <xf numFmtId="166" fontId="5" fillId="0" borderId="35" xfId="205" applyNumberFormat="1" applyFont="1" applyFill="1" applyBorder="1" applyAlignment="1">
      <alignment horizontal="center"/>
    </xf>
    <xf numFmtId="0" fontId="5" fillId="0" borderId="35" xfId="0" applyFont="1" applyBorder="1" applyAlignment="1">
      <alignment horizontal="center"/>
    </xf>
    <xf numFmtId="170" fontId="5" fillId="0" borderId="35" xfId="0" applyNumberFormat="1" applyFont="1" applyBorder="1" applyAlignment="1">
      <alignment horizontal="center"/>
    </xf>
    <xf numFmtId="166" fontId="5" fillId="0" borderId="35" xfId="205" applyNumberFormat="1" applyFont="1" applyBorder="1" applyAlignment="1">
      <alignment horizontal="center"/>
    </xf>
    <xf numFmtId="0" fontId="5" fillId="0" borderId="36" xfId="0" applyFont="1" applyFill="1" applyBorder="1" applyAlignment="1">
      <alignment horizontal="center"/>
    </xf>
    <xf numFmtId="170" fontId="5" fillId="0" borderId="36" xfId="0" applyNumberFormat="1" applyFont="1" applyFill="1" applyBorder="1" applyAlignment="1">
      <alignment horizontal="center"/>
    </xf>
    <xf numFmtId="166" fontId="5" fillId="0" borderId="36" xfId="205" applyNumberFormat="1" applyFont="1" applyFill="1" applyBorder="1" applyAlignment="1">
      <alignment horizontal="center"/>
    </xf>
    <xf numFmtId="0" fontId="5" fillId="0" borderId="37" xfId="0" applyFont="1" applyFill="1" applyBorder="1" applyAlignment="1">
      <alignment horizontal="center"/>
    </xf>
    <xf numFmtId="170" fontId="5" fillId="0" borderId="37" xfId="0" applyNumberFormat="1" applyFont="1" applyFill="1" applyBorder="1" applyAlignment="1">
      <alignment horizontal="center"/>
    </xf>
    <xf numFmtId="166" fontId="5" fillId="0" borderId="37" xfId="205" applyNumberFormat="1" applyFont="1" applyFill="1" applyBorder="1" applyAlignment="1">
      <alignment horizontal="center"/>
    </xf>
    <xf numFmtId="0" fontId="5" fillId="0" borderId="38" xfId="0" applyFont="1" applyFill="1" applyBorder="1" applyAlignment="1">
      <alignment horizontal="center"/>
    </xf>
    <xf numFmtId="170" fontId="5" fillId="0" borderId="38" xfId="0" applyNumberFormat="1" applyFont="1" applyFill="1" applyBorder="1" applyAlignment="1">
      <alignment horizontal="center"/>
    </xf>
    <xf numFmtId="166" fontId="5" fillId="0" borderId="38" xfId="205" applyNumberFormat="1" applyFont="1" applyFill="1" applyBorder="1" applyAlignment="1">
      <alignment horizontal="center"/>
    </xf>
    <xf numFmtId="0" fontId="5" fillId="0" borderId="37" xfId="0" applyFont="1" applyBorder="1" applyAlignment="1">
      <alignment horizontal="center"/>
    </xf>
    <xf numFmtId="170" fontId="5" fillId="0" borderId="37" xfId="0" applyNumberFormat="1" applyFont="1" applyBorder="1" applyAlignment="1">
      <alignment horizontal="center"/>
    </xf>
    <xf numFmtId="166" fontId="5" fillId="0" borderId="37" xfId="205" applyNumberFormat="1" applyFont="1" applyBorder="1" applyAlignment="1">
      <alignment horizontal="center"/>
    </xf>
    <xf numFmtId="0" fontId="5" fillId="0" borderId="39" xfId="0" applyFont="1" applyFill="1" applyBorder="1" applyAlignment="1">
      <alignment horizontal="center"/>
    </xf>
    <xf numFmtId="170" fontId="5" fillId="0" borderId="39" xfId="0" applyNumberFormat="1" applyFont="1" applyFill="1" applyBorder="1" applyAlignment="1">
      <alignment horizontal="center"/>
    </xf>
    <xf numFmtId="166" fontId="5" fillId="0" borderId="39" xfId="205" applyNumberFormat="1" applyFont="1" applyFill="1" applyBorder="1" applyAlignment="1">
      <alignment horizontal="center"/>
    </xf>
    <xf numFmtId="0" fontId="5" fillId="0" borderId="40" xfId="0" applyFont="1" applyBorder="1" applyAlignment="1">
      <alignment horizontal="center"/>
    </xf>
    <xf numFmtId="170" fontId="5" fillId="0" borderId="40" xfId="0" applyNumberFormat="1" applyFont="1" applyBorder="1" applyAlignment="1">
      <alignment horizontal="center"/>
    </xf>
    <xf numFmtId="166" fontId="5" fillId="0" borderId="40" xfId="205" applyNumberFormat="1" applyFont="1" applyBorder="1" applyAlignment="1">
      <alignment horizontal="center"/>
    </xf>
    <xf numFmtId="0" fontId="5" fillId="0" borderId="38" xfId="0" applyFont="1" applyBorder="1" applyAlignment="1">
      <alignment horizontal="center"/>
    </xf>
    <xf numFmtId="170" fontId="5" fillId="0" borderId="38" xfId="0" applyNumberFormat="1" applyFont="1" applyBorder="1" applyAlignment="1">
      <alignment horizontal="center"/>
    </xf>
    <xf numFmtId="166" fontId="5" fillId="0" borderId="38" xfId="205" applyNumberFormat="1" applyFont="1" applyBorder="1" applyAlignment="1">
      <alignment horizontal="center"/>
    </xf>
    <xf numFmtId="170" fontId="5" fillId="0" borderId="41" xfId="0" applyNumberFormat="1" applyFont="1" applyFill="1" applyBorder="1" applyAlignment="1">
      <alignment horizontal="center"/>
    </xf>
    <xf numFmtId="166" fontId="5" fillId="0" borderId="41" xfId="205" applyNumberFormat="1" applyFont="1" applyFill="1" applyBorder="1" applyAlignment="1">
      <alignment horizontal="center"/>
    </xf>
    <xf numFmtId="166" fontId="5" fillId="0" borderId="42" xfId="205" applyNumberFormat="1" applyFont="1" applyFill="1" applyBorder="1" applyAlignment="1">
      <alignment horizontal="center"/>
    </xf>
    <xf numFmtId="166" fontId="5" fillId="0" borderId="43" xfId="205" applyNumberFormat="1" applyFont="1" applyFill="1" applyBorder="1" applyAlignment="1">
      <alignment horizontal="center"/>
    </xf>
    <xf numFmtId="166" fontId="5" fillId="0" borderId="44" xfId="205" applyNumberFormat="1" applyFont="1" applyFill="1" applyBorder="1" applyAlignment="1">
      <alignment horizontal="center"/>
    </xf>
    <xf numFmtId="166" fontId="5" fillId="0" borderId="45" xfId="205" applyNumberFormat="1" applyFont="1" applyFill="1" applyBorder="1" applyAlignment="1">
      <alignment horizontal="center"/>
    </xf>
    <xf numFmtId="166" fontId="5" fillId="0" borderId="46" xfId="205" applyNumberFormat="1" applyFont="1" applyFill="1" applyBorder="1" applyAlignment="1">
      <alignment horizontal="center"/>
    </xf>
    <xf numFmtId="166" fontId="5" fillId="0" borderId="47" xfId="205" applyNumberFormat="1" applyFont="1" applyFill="1" applyBorder="1" applyAlignment="1">
      <alignment horizontal="center"/>
    </xf>
    <xf numFmtId="166" fontId="5" fillId="0" borderId="48" xfId="205" applyNumberFormat="1" applyFont="1" applyBorder="1" applyAlignment="1">
      <alignment horizontal="center"/>
    </xf>
    <xf numFmtId="166" fontId="5" fillId="0" borderId="45" xfId="205" applyNumberFormat="1" applyFont="1" applyBorder="1" applyAlignment="1">
      <alignment horizontal="center"/>
    </xf>
    <xf numFmtId="166" fontId="5" fillId="0" borderId="43" xfId="205" applyNumberFormat="1" applyFont="1" applyBorder="1" applyAlignment="1">
      <alignment horizontal="center"/>
    </xf>
    <xf numFmtId="166" fontId="5" fillId="0" borderId="44" xfId="205" applyNumberFormat="1" applyFont="1" applyBorder="1" applyAlignment="1">
      <alignment horizontal="center"/>
    </xf>
    <xf numFmtId="0" fontId="34" fillId="28" borderId="49" xfId="0" applyFont="1" applyFill="1" applyBorder="1" applyAlignment="1">
      <alignment horizontal="center" vertical="center" wrapText="1"/>
    </xf>
    <xf numFmtId="0" fontId="34" fillId="28" borderId="50" xfId="0" applyFont="1" applyFill="1" applyBorder="1" applyAlignment="1">
      <alignment horizontal="center" vertical="center" wrapText="1"/>
    </xf>
    <xf numFmtId="3" fontId="34" fillId="28" borderId="50" xfId="0" applyNumberFormat="1" applyFont="1" applyFill="1" applyBorder="1" applyAlignment="1">
      <alignment horizontal="center" vertical="center" wrapText="1"/>
    </xf>
    <xf numFmtId="3" fontId="34" fillId="28" borderId="51" xfId="0" applyNumberFormat="1" applyFont="1" applyFill="1" applyBorder="1" applyAlignment="1">
      <alignment horizontal="center" vertical="center" wrapText="1"/>
    </xf>
    <xf numFmtId="170" fontId="0" fillId="0" borderId="0" xfId="0" applyNumberFormat="1"/>
    <xf numFmtId="10" fontId="0" fillId="0" borderId="0" xfId="0" applyNumberFormat="1"/>
    <xf numFmtId="2" fontId="5" fillId="29" borderId="13" xfId="0" applyNumberFormat="1" applyFont="1" applyFill="1" applyBorder="1"/>
    <xf numFmtId="0" fontId="32" fillId="29" borderId="0" xfId="0" applyFont="1" applyFill="1"/>
    <xf numFmtId="0" fontId="12" fillId="24" borderId="0" xfId="0" applyFont="1" applyFill="1"/>
    <xf numFmtId="0" fontId="0" fillId="0" borderId="13" xfId="0" applyBorder="1"/>
    <xf numFmtId="0" fontId="24" fillId="0" borderId="13" xfId="0" applyFont="1" applyFill="1" applyBorder="1"/>
    <xf numFmtId="0" fontId="0" fillId="0" borderId="13" xfId="0" applyFill="1" applyBorder="1"/>
    <xf numFmtId="0" fontId="0" fillId="0" borderId="18" xfId="0" applyBorder="1"/>
    <xf numFmtId="174" fontId="24" fillId="0" borderId="13" xfId="0" applyNumberFormat="1" applyFont="1" applyBorder="1"/>
    <xf numFmtId="0" fontId="24" fillId="0" borderId="20" xfId="0" applyFont="1" applyFill="1" applyBorder="1"/>
    <xf numFmtId="0" fontId="24" fillId="0" borderId="13" xfId="0" applyFont="1" applyBorder="1" applyAlignment="1">
      <alignment horizontal="center"/>
    </xf>
    <xf numFmtId="0" fontId="24" fillId="0" borderId="13" xfId="0" applyFont="1" applyFill="1" applyBorder="1" applyAlignment="1">
      <alignment horizontal="center"/>
    </xf>
    <xf numFmtId="0" fontId="13" fillId="0" borderId="13" xfId="0" applyFont="1" applyFill="1" applyBorder="1" applyAlignment="1">
      <alignment horizontal="center"/>
    </xf>
    <xf numFmtId="0" fontId="24" fillId="0" borderId="13" xfId="0" applyFont="1" applyFill="1" applyBorder="1" applyAlignment="1">
      <alignment horizontal="right"/>
    </xf>
    <xf numFmtId="2" fontId="5" fillId="24" borderId="13" xfId="0" applyNumberFormat="1" applyFont="1" applyFill="1" applyBorder="1" applyAlignment="1">
      <alignment horizontal="center"/>
    </xf>
    <xf numFmtId="0" fontId="5" fillId="24" borderId="17" xfId="0" applyFont="1" applyFill="1" applyBorder="1" applyAlignment="1">
      <alignment horizontal="left"/>
    </xf>
    <xf numFmtId="169" fontId="5" fillId="24" borderId="10" xfId="0" applyNumberFormat="1" applyFont="1" applyFill="1" applyBorder="1" applyAlignment="1">
      <alignment horizontal="center" vertical="center"/>
    </xf>
    <xf numFmtId="169" fontId="5" fillId="24" borderId="12" xfId="0" applyNumberFormat="1" applyFont="1" applyFill="1" applyBorder="1" applyAlignment="1">
      <alignment horizontal="center" vertical="center"/>
    </xf>
    <xf numFmtId="174" fontId="5" fillId="0" borderId="13" xfId="0" applyNumberFormat="1" applyFont="1" applyFill="1" applyBorder="1" applyAlignment="1">
      <alignment horizontal="center" vertical="center"/>
    </xf>
    <xf numFmtId="2" fontId="5" fillId="30" borderId="13" xfId="0" applyNumberFormat="1" applyFont="1" applyFill="1" applyBorder="1" applyAlignment="1">
      <alignment horizontal="center"/>
    </xf>
    <xf numFmtId="0" fontId="32" fillId="24" borderId="0" xfId="0" applyFont="1" applyFill="1"/>
    <xf numFmtId="4" fontId="5" fillId="30" borderId="13" xfId="0" applyNumberFormat="1" applyFont="1" applyFill="1" applyBorder="1" applyAlignment="1">
      <alignment horizontal="center"/>
    </xf>
    <xf numFmtId="0" fontId="5" fillId="24" borderId="13" xfId="0" applyFont="1" applyFill="1" applyBorder="1" applyAlignment="1">
      <alignment horizontal="center"/>
    </xf>
    <xf numFmtId="2" fontId="5" fillId="24" borderId="13" xfId="0" applyNumberFormat="1" applyFont="1" applyFill="1" applyBorder="1"/>
    <xf numFmtId="171" fontId="7" fillId="24" borderId="10" xfId="0" applyNumberFormat="1" applyFont="1" applyFill="1" applyBorder="1" applyAlignment="1">
      <alignment horizontal="center"/>
    </xf>
    <xf numFmtId="171" fontId="7" fillId="24" borderId="24" xfId="0" applyNumberFormat="1" applyFont="1" applyFill="1" applyBorder="1" applyAlignment="1">
      <alignment horizontal="center"/>
    </xf>
    <xf numFmtId="169" fontId="5" fillId="24" borderId="11" xfId="0" applyNumberFormat="1" applyFont="1" applyFill="1" applyBorder="1" applyAlignment="1">
      <alignment horizontal="center" vertical="center"/>
    </xf>
    <xf numFmtId="4" fontId="5" fillId="24" borderId="13" xfId="0" applyNumberFormat="1" applyFont="1" applyFill="1" applyBorder="1" applyAlignment="1">
      <alignment horizontal="center"/>
    </xf>
    <xf numFmtId="3" fontId="5" fillId="24" borderId="13" xfId="0" applyNumberFormat="1" applyFont="1" applyFill="1" applyBorder="1" applyAlignment="1">
      <alignment horizontal="center" vertical="center"/>
    </xf>
    <xf numFmtId="0" fontId="5" fillId="24" borderId="13" xfId="0" applyFont="1" applyFill="1" applyBorder="1" applyAlignment="1">
      <alignment horizontal="left"/>
    </xf>
    <xf numFmtId="165" fontId="5" fillId="24" borderId="13" xfId="0" applyNumberFormat="1" applyFont="1" applyFill="1" applyBorder="1" applyAlignment="1">
      <alignment horizontal="center"/>
    </xf>
    <xf numFmtId="174" fontId="24" fillId="0" borderId="13" xfId="0" applyNumberFormat="1" applyFont="1" applyFill="1" applyBorder="1" applyAlignment="1">
      <alignment horizontal="right"/>
    </xf>
    <xf numFmtId="174" fontId="0" fillId="0" borderId="13" xfId="0" applyNumberFormat="1" applyFill="1" applyBorder="1" applyAlignment="1">
      <alignment horizontal="right"/>
    </xf>
    <xf numFmtId="174" fontId="24" fillId="0" borderId="20" xfId="0" applyNumberFormat="1" applyFont="1" applyFill="1" applyBorder="1" applyAlignment="1">
      <alignment horizontal="right"/>
    </xf>
    <xf numFmtId="174" fontId="5" fillId="0" borderId="13" xfId="0" applyNumberFormat="1" applyFont="1" applyBorder="1" applyAlignment="1">
      <alignment horizontal="right"/>
    </xf>
    <xf numFmtId="175" fontId="4" fillId="25" borderId="13" xfId="0" applyNumberFormat="1" applyFont="1" applyFill="1" applyBorder="1" applyAlignment="1">
      <alignment horizontal="center"/>
    </xf>
    <xf numFmtId="174" fontId="5" fillId="0" borderId="13" xfId="0" applyNumberFormat="1" applyFont="1" applyFill="1" applyBorder="1"/>
    <xf numFmtId="174" fontId="5" fillId="24" borderId="13" xfId="0" applyNumberFormat="1" applyFont="1" applyFill="1" applyBorder="1" applyAlignment="1">
      <alignment horizontal="center"/>
    </xf>
    <xf numFmtId="174" fontId="5" fillId="26" borderId="13" xfId="0" applyNumberFormat="1" applyFont="1" applyFill="1" applyBorder="1" applyAlignment="1">
      <alignment horizontal="center"/>
    </xf>
    <xf numFmtId="3" fontId="32" fillId="0" borderId="0" xfId="0" applyNumberFormat="1" applyFont="1"/>
    <xf numFmtId="166" fontId="5" fillId="24" borderId="11" xfId="205" applyNumberFormat="1" applyFont="1" applyFill="1" applyBorder="1" applyAlignment="1">
      <alignment horizontal="center" vertical="center"/>
    </xf>
    <xf numFmtId="169" fontId="12" fillId="24" borderId="0" xfId="0" applyNumberFormat="1" applyFont="1" applyFill="1"/>
    <xf numFmtId="0" fontId="32" fillId="24" borderId="0" xfId="0" applyFont="1" applyFill="1" applyBorder="1"/>
    <xf numFmtId="166" fontId="8" fillId="0" borderId="12" xfId="205" applyNumberFormat="1" applyFont="1" applyFill="1" applyBorder="1" applyAlignment="1">
      <alignment horizontal="center" vertical="center"/>
    </xf>
    <xf numFmtId="2" fontId="5" fillId="0" borderId="17" xfId="0" applyNumberFormat="1" applyFont="1" applyFill="1" applyBorder="1" applyAlignment="1">
      <alignment horizontal="right"/>
    </xf>
    <xf numFmtId="2" fontId="5" fillId="0" borderId="20" xfId="0" applyNumberFormat="1" applyFont="1" applyFill="1" applyBorder="1" applyAlignment="1">
      <alignment horizontal="right"/>
    </xf>
    <xf numFmtId="2" fontId="5" fillId="0" borderId="18" xfId="0" applyNumberFormat="1" applyFont="1" applyFill="1" applyBorder="1" applyAlignment="1">
      <alignment horizontal="right"/>
    </xf>
    <xf numFmtId="2" fontId="5" fillId="0" borderId="21" xfId="0" applyNumberFormat="1" applyFont="1" applyFill="1" applyBorder="1" applyAlignment="1">
      <alignment horizontal="right"/>
    </xf>
    <xf numFmtId="174" fontId="44" fillId="0" borderId="13" xfId="0" applyNumberFormat="1" applyFont="1" applyBorder="1" applyAlignment="1">
      <alignment horizontal="center"/>
    </xf>
    <xf numFmtId="3" fontId="5" fillId="24" borderId="15" xfId="0" applyNumberFormat="1" applyFont="1" applyFill="1" applyBorder="1" applyAlignment="1">
      <alignment horizontal="center" vertical="center"/>
    </xf>
    <xf numFmtId="167" fontId="5" fillId="24" borderId="15" xfId="0" applyNumberFormat="1" applyFont="1" applyFill="1" applyBorder="1" applyAlignment="1">
      <alignment horizontal="center" vertical="center"/>
    </xf>
    <xf numFmtId="3" fontId="5" fillId="24" borderId="11" xfId="0" applyNumberFormat="1" applyFont="1" applyFill="1" applyBorder="1" applyAlignment="1">
      <alignment horizontal="center" vertical="center"/>
    </xf>
    <xf numFmtId="3" fontId="5" fillId="24" borderId="11" xfId="205" applyNumberFormat="1" applyFont="1" applyFill="1" applyBorder="1" applyAlignment="1">
      <alignment horizontal="center" vertical="center"/>
    </xf>
    <xf numFmtId="167" fontId="5" fillId="24" borderId="11" xfId="0" applyNumberFormat="1" applyFont="1" applyFill="1" applyBorder="1" applyAlignment="1">
      <alignment horizontal="center" vertical="center"/>
    </xf>
    <xf numFmtId="168" fontId="5" fillId="24" borderId="11" xfId="0" applyNumberFormat="1" applyFont="1" applyFill="1" applyBorder="1" applyAlignment="1">
      <alignment horizontal="center" vertical="center"/>
    </xf>
    <xf numFmtId="3" fontId="5" fillId="24" borderId="14" xfId="0" applyNumberFormat="1" applyFont="1" applyFill="1" applyBorder="1" applyAlignment="1">
      <alignment horizontal="center" vertical="center"/>
    </xf>
    <xf numFmtId="3" fontId="5" fillId="24" borderId="14" xfId="205" applyNumberFormat="1" applyFont="1" applyFill="1" applyBorder="1" applyAlignment="1">
      <alignment horizontal="center" vertical="center"/>
    </xf>
    <xf numFmtId="167" fontId="5" fillId="24" borderId="14" xfId="0" applyNumberFormat="1" applyFont="1" applyFill="1" applyBorder="1" applyAlignment="1">
      <alignment horizontal="center" vertical="center"/>
    </xf>
    <xf numFmtId="3" fontId="5" fillId="24" borderId="10" xfId="0" applyNumberFormat="1" applyFont="1" applyFill="1" applyBorder="1" applyAlignment="1">
      <alignment horizontal="center" vertical="center"/>
    </xf>
    <xf numFmtId="167" fontId="5" fillId="24" borderId="10" xfId="0" applyNumberFormat="1" applyFont="1" applyFill="1" applyBorder="1" applyAlignment="1">
      <alignment horizontal="center" vertical="center"/>
    </xf>
    <xf numFmtId="168" fontId="5" fillId="24" borderId="10" xfId="0" applyNumberFormat="1" applyFont="1" applyFill="1" applyBorder="1" applyAlignment="1">
      <alignment horizontal="center" vertical="center"/>
    </xf>
    <xf numFmtId="0" fontId="40" fillId="24" borderId="0" xfId="0" applyFont="1" applyFill="1"/>
    <xf numFmtId="166" fontId="5" fillId="24" borderId="10" xfId="205" applyNumberFormat="1" applyFont="1" applyFill="1" applyBorder="1" applyAlignment="1">
      <alignment horizontal="center" vertical="center"/>
    </xf>
    <xf numFmtId="166" fontId="5" fillId="24" borderId="14" xfId="205" applyNumberFormat="1" applyFont="1" applyFill="1" applyBorder="1" applyAlignment="1">
      <alignment horizontal="center" vertical="center"/>
    </xf>
    <xf numFmtId="3" fontId="5" fillId="24" borderId="12" xfId="0" applyNumberFormat="1" applyFont="1" applyFill="1" applyBorder="1" applyAlignment="1">
      <alignment horizontal="center" vertical="center"/>
    </xf>
    <xf numFmtId="167" fontId="5" fillId="24" borderId="12" xfId="0" applyNumberFormat="1" applyFont="1" applyFill="1" applyBorder="1" applyAlignment="1">
      <alignment horizontal="center" vertical="center"/>
    </xf>
    <xf numFmtId="166" fontId="5" fillId="24" borderId="12" xfId="205" applyNumberFormat="1" applyFont="1" applyFill="1" applyBorder="1" applyAlignment="1">
      <alignment horizontal="center" vertical="center"/>
    </xf>
    <xf numFmtId="0" fontId="36" fillId="24" borderId="0" xfId="0" applyFont="1" applyFill="1"/>
    <xf numFmtId="178" fontId="5" fillId="26" borderId="13" xfId="0" applyNumberFormat="1" applyFont="1" applyFill="1" applyBorder="1" applyAlignment="1">
      <alignment horizontal="center"/>
    </xf>
    <xf numFmtId="178" fontId="5" fillId="24" borderId="13" xfId="0" applyNumberFormat="1" applyFont="1" applyFill="1" applyBorder="1" applyAlignment="1">
      <alignment horizontal="center"/>
    </xf>
    <xf numFmtId="165" fontId="32" fillId="24" borderId="0" xfId="0" applyNumberFormat="1" applyFont="1" applyFill="1" applyBorder="1"/>
    <xf numFmtId="0" fontId="5" fillId="30" borderId="13" xfId="0" applyFont="1" applyFill="1" applyBorder="1" applyAlignment="1">
      <alignment horizontal="center"/>
    </xf>
    <xf numFmtId="0" fontId="5" fillId="24" borderId="18" xfId="0" applyFont="1" applyFill="1" applyBorder="1" applyAlignment="1">
      <alignment horizontal="center"/>
    </xf>
    <xf numFmtId="0" fontId="32" fillId="0" borderId="0" xfId="0" applyFont="1" applyBorder="1"/>
    <xf numFmtId="3" fontId="5" fillId="0" borderId="52" xfId="0" applyNumberFormat="1" applyFont="1" applyFill="1" applyBorder="1" applyAlignment="1">
      <alignment horizontal="center" vertical="center"/>
    </xf>
    <xf numFmtId="3" fontId="5" fillId="0" borderId="53" xfId="0" applyNumberFormat="1" applyFont="1" applyFill="1" applyBorder="1" applyAlignment="1">
      <alignment horizontal="center" vertical="center"/>
    </xf>
    <xf numFmtId="3" fontId="5" fillId="0" borderId="54" xfId="205" applyNumberFormat="1" applyFont="1" applyFill="1" applyBorder="1" applyAlignment="1">
      <alignment horizontal="center" vertical="center"/>
    </xf>
    <xf numFmtId="2" fontId="5" fillId="24" borderId="13" xfId="0" applyNumberFormat="1" applyFont="1" applyFill="1" applyBorder="1" applyAlignment="1">
      <alignment horizontal="right"/>
    </xf>
    <xf numFmtId="3" fontId="4" fillId="25" borderId="16" xfId="0" applyNumberFormat="1" applyFont="1" applyFill="1" applyBorder="1" applyAlignment="1">
      <alignment horizontal="center" vertical="center"/>
    </xf>
    <xf numFmtId="169" fontId="32" fillId="24" borderId="0" xfId="0" applyNumberFormat="1" applyFont="1" applyFill="1" applyBorder="1"/>
    <xf numFmtId="0" fontId="5" fillId="26" borderId="13" xfId="0" applyFont="1" applyFill="1" applyBorder="1" applyAlignment="1">
      <alignment horizontal="center"/>
    </xf>
    <xf numFmtId="0" fontId="5" fillId="24" borderId="13" xfId="0" applyFont="1" applyFill="1" applyBorder="1" applyAlignment="1">
      <alignment horizontal="center" wrapText="1"/>
    </xf>
    <xf numFmtId="174" fontId="45" fillId="0" borderId="0" xfId="0" applyNumberFormat="1" applyFont="1"/>
    <xf numFmtId="0" fontId="5" fillId="31" borderId="13" xfId="0" applyFont="1" applyFill="1" applyBorder="1" applyAlignment="1">
      <alignment horizontal="center"/>
    </xf>
    <xf numFmtId="4" fontId="5" fillId="24" borderId="0" xfId="0" applyNumberFormat="1" applyFont="1" applyFill="1" applyAlignment="1">
      <alignment horizontal="center"/>
    </xf>
    <xf numFmtId="0" fontId="24" fillId="24" borderId="0" xfId="0" applyFont="1" applyFill="1"/>
    <xf numFmtId="169" fontId="4" fillId="25" borderId="15" xfId="0" applyNumberFormat="1" applyFont="1" applyFill="1" applyBorder="1" applyAlignment="1">
      <alignment horizontal="center" vertical="center"/>
    </xf>
    <xf numFmtId="169" fontId="5" fillId="0" borderId="52" xfId="0" applyNumberFormat="1" applyFont="1" applyFill="1" applyBorder="1" applyAlignment="1">
      <alignment horizontal="center" vertical="center"/>
    </xf>
    <xf numFmtId="0" fontId="32" fillId="0" borderId="12" xfId="0" applyFont="1" applyBorder="1" applyAlignment="1">
      <alignment horizontal="center"/>
    </xf>
    <xf numFmtId="0" fontId="32" fillId="0" borderId="10" xfId="0" applyFont="1" applyBorder="1" applyAlignment="1">
      <alignment horizontal="center" vertical="center"/>
    </xf>
    <xf numFmtId="0" fontId="32" fillId="0" borderId="12" xfId="0" applyFont="1" applyBorder="1" applyAlignment="1">
      <alignment horizontal="center" vertical="center"/>
    </xf>
    <xf numFmtId="169" fontId="5" fillId="0" borderId="10" xfId="0" applyNumberFormat="1" applyFont="1" applyFill="1" applyBorder="1" applyAlignment="1">
      <alignment vertical="center"/>
    </xf>
    <xf numFmtId="2" fontId="5" fillId="26" borderId="13" xfId="0" applyNumberFormat="1" applyFont="1" applyFill="1" applyBorder="1" applyAlignment="1">
      <alignment horizontal="right"/>
    </xf>
    <xf numFmtId="0" fontId="48" fillId="24" borderId="13" xfId="0" applyFont="1" applyFill="1" applyBorder="1" applyAlignment="1">
      <alignment horizontal="center" wrapText="1"/>
    </xf>
    <xf numFmtId="165" fontId="48" fillId="0" borderId="13" xfId="0" applyNumberFormat="1" applyFont="1" applyFill="1" applyBorder="1" applyAlignment="1">
      <alignment horizontal="center"/>
    </xf>
    <xf numFmtId="0" fontId="4" fillId="24" borderId="0" xfId="0" applyFont="1" applyFill="1" applyBorder="1" applyAlignment="1">
      <alignment horizontal="center"/>
    </xf>
    <xf numFmtId="0" fontId="4" fillId="24" borderId="17" xfId="0" applyFont="1" applyFill="1" applyBorder="1" applyAlignment="1">
      <alignment horizontal="center"/>
    </xf>
    <xf numFmtId="0" fontId="4" fillId="24" borderId="19" xfId="0" applyFont="1" applyFill="1" applyBorder="1" applyAlignment="1">
      <alignment horizontal="center"/>
    </xf>
    <xf numFmtId="3" fontId="48" fillId="0" borderId="13" xfId="0" applyNumberFormat="1" applyFont="1" applyFill="1" applyBorder="1" applyAlignment="1">
      <alignment horizontal="center" vertical="center"/>
    </xf>
    <xf numFmtId="0" fontId="0" fillId="24" borderId="0" xfId="0" applyFill="1"/>
    <xf numFmtId="0" fontId="24" fillId="0" borderId="0" xfId="0" applyFont="1"/>
    <xf numFmtId="0" fontId="5" fillId="24" borderId="10" xfId="0" applyFont="1" applyFill="1" applyBorder="1" applyAlignment="1">
      <alignment horizontal="center"/>
    </xf>
    <xf numFmtId="0" fontId="5" fillId="24" borderId="15" xfId="0" applyFont="1" applyFill="1" applyBorder="1" applyAlignment="1">
      <alignment horizontal="center"/>
    </xf>
    <xf numFmtId="0" fontId="5" fillId="24" borderId="11" xfId="0" applyFont="1" applyFill="1" applyBorder="1" applyAlignment="1">
      <alignment horizontal="center"/>
    </xf>
    <xf numFmtId="0" fontId="5" fillId="24" borderId="12" xfId="0" applyFont="1" applyFill="1" applyBorder="1" applyAlignment="1">
      <alignment horizontal="center"/>
    </xf>
    <xf numFmtId="171" fontId="7" fillId="24" borderId="11" xfId="0" applyNumberFormat="1" applyFont="1" applyFill="1" applyBorder="1" applyAlignment="1">
      <alignment horizontal="center"/>
    </xf>
    <xf numFmtId="171" fontId="7" fillId="24" borderId="25" xfId="0" applyNumberFormat="1" applyFont="1" applyFill="1" applyBorder="1" applyAlignment="1">
      <alignment horizontal="center"/>
    </xf>
    <xf numFmtId="169" fontId="97" fillId="0" borderId="24" xfId="0" applyNumberFormat="1" applyFont="1" applyFill="1" applyBorder="1" applyAlignment="1">
      <alignment horizontal="center"/>
    </xf>
    <xf numFmtId="169" fontId="97" fillId="0" borderId="25" xfId="0" applyNumberFormat="1" applyFont="1" applyFill="1" applyBorder="1" applyAlignment="1">
      <alignment horizontal="center"/>
    </xf>
    <xf numFmtId="169" fontId="97" fillId="0" borderId="26" xfId="0" applyNumberFormat="1" applyFont="1" applyFill="1" applyBorder="1" applyAlignment="1">
      <alignment horizontal="center"/>
    </xf>
    <xf numFmtId="3" fontId="5" fillId="24" borderId="10" xfId="0" applyNumberFormat="1" applyFont="1" applyFill="1" applyBorder="1" applyAlignment="1">
      <alignment horizontal="center"/>
    </xf>
    <xf numFmtId="3" fontId="5" fillId="24" borderId="12" xfId="0" applyNumberFormat="1" applyFont="1" applyFill="1" applyBorder="1" applyAlignment="1">
      <alignment horizontal="center"/>
    </xf>
    <xf numFmtId="3" fontId="5" fillId="24" borderId="14" xfId="0" applyNumberFormat="1" applyFont="1" applyFill="1" applyBorder="1" applyAlignment="1">
      <alignment horizontal="center"/>
    </xf>
    <xf numFmtId="3" fontId="5" fillId="24" borderId="11" xfId="0" applyNumberFormat="1" applyFont="1" applyFill="1" applyBorder="1" applyAlignment="1">
      <alignment horizontal="center"/>
    </xf>
    <xf numFmtId="0" fontId="5" fillId="24" borderId="14" xfId="0" applyFont="1" applyFill="1" applyBorder="1" applyAlignment="1">
      <alignment horizontal="center"/>
    </xf>
    <xf numFmtId="3" fontId="8" fillId="24" borderId="10" xfId="0" applyNumberFormat="1" applyFont="1" applyFill="1" applyBorder="1" applyAlignment="1">
      <alignment horizontal="center"/>
    </xf>
    <xf numFmtId="3" fontId="8" fillId="24" borderId="11" xfId="0" applyNumberFormat="1" applyFont="1" applyFill="1" applyBorder="1" applyAlignment="1">
      <alignment horizontal="center"/>
    </xf>
    <xf numFmtId="3" fontId="8" fillId="24" borderId="14" xfId="0" applyNumberFormat="1" applyFont="1" applyFill="1" applyBorder="1" applyAlignment="1">
      <alignment horizontal="center"/>
    </xf>
    <xf numFmtId="3" fontId="5" fillId="24" borderId="15" xfId="0" applyNumberFormat="1" applyFont="1" applyFill="1" applyBorder="1" applyAlignment="1">
      <alignment horizontal="center"/>
    </xf>
    <xf numFmtId="0" fontId="5" fillId="24" borderId="55" xfId="0" applyFont="1" applyFill="1" applyBorder="1" applyAlignment="1">
      <alignment horizontal="center"/>
    </xf>
    <xf numFmtId="0" fontId="5" fillId="24" borderId="17" xfId="0" applyFont="1" applyFill="1" applyBorder="1" applyAlignment="1">
      <alignment horizontal="center"/>
    </xf>
    <xf numFmtId="0" fontId="5" fillId="24" borderId="13" xfId="0" applyFont="1" applyFill="1" applyBorder="1" applyAlignment="1">
      <alignment horizontal="center" vertical="center" wrapText="1"/>
    </xf>
    <xf numFmtId="0" fontId="5" fillId="32" borderId="13" xfId="0" applyFont="1" applyFill="1" applyBorder="1" applyAlignment="1">
      <alignment horizontal="center"/>
    </xf>
    <xf numFmtId="0" fontId="5" fillId="33" borderId="13" xfId="0" applyFont="1" applyFill="1" applyBorder="1" applyAlignment="1">
      <alignment horizontal="center"/>
    </xf>
    <xf numFmtId="2" fontId="4" fillId="0" borderId="13" xfId="0" applyNumberFormat="1" applyFont="1" applyFill="1" applyBorder="1" applyAlignment="1">
      <alignment horizontal="center" vertical="center"/>
    </xf>
    <xf numFmtId="4" fontId="3" fillId="0" borderId="0" xfId="0" applyNumberFormat="1" applyFont="1" applyFill="1" applyBorder="1" applyAlignment="1">
      <alignment horizontal="center"/>
    </xf>
    <xf numFmtId="3" fontId="48" fillId="0" borderId="13" xfId="0" applyNumberFormat="1" applyFont="1" applyFill="1" applyBorder="1" applyAlignment="1">
      <alignment horizontal="center"/>
    </xf>
    <xf numFmtId="169" fontId="99" fillId="0" borderId="11" xfId="0" applyNumberFormat="1" applyFont="1" applyFill="1" applyBorder="1" applyAlignment="1">
      <alignment horizontal="center"/>
    </xf>
    <xf numFmtId="169" fontId="99" fillId="0" borderId="10" xfId="0" applyNumberFormat="1" applyFont="1" applyFill="1" applyBorder="1" applyAlignment="1">
      <alignment horizontal="center"/>
    </xf>
    <xf numFmtId="169" fontId="99" fillId="0" borderId="15" xfId="0" applyNumberFormat="1" applyFont="1" applyFill="1" applyBorder="1" applyAlignment="1">
      <alignment horizontal="center"/>
    </xf>
    <xf numFmtId="169" fontId="100" fillId="0" borderId="10" xfId="0" applyNumberFormat="1" applyFont="1" applyFill="1" applyBorder="1" applyAlignment="1">
      <alignment horizontal="center"/>
    </xf>
    <xf numFmtId="169" fontId="100" fillId="0" borderId="11" xfId="0" applyNumberFormat="1" applyFont="1" applyFill="1" applyBorder="1" applyAlignment="1">
      <alignment horizontal="center"/>
    </xf>
    <xf numFmtId="169" fontId="99" fillId="24" borderId="10" xfId="0" applyNumberFormat="1" applyFont="1" applyFill="1" applyBorder="1" applyAlignment="1">
      <alignment horizontal="center"/>
    </xf>
    <xf numFmtId="169" fontId="99" fillId="24" borderId="11" xfId="0" applyNumberFormat="1" applyFont="1" applyFill="1" applyBorder="1" applyAlignment="1">
      <alignment horizontal="center"/>
    </xf>
    <xf numFmtId="4" fontId="5" fillId="24" borderId="13" xfId="0" applyNumberFormat="1" applyFont="1" applyFill="1" applyBorder="1" applyAlignment="1">
      <alignment horizontal="center" vertical="center"/>
    </xf>
    <xf numFmtId="0" fontId="5" fillId="34" borderId="13" xfId="0" applyFont="1" applyFill="1" applyBorder="1" applyAlignment="1">
      <alignment horizontal="center"/>
    </xf>
    <xf numFmtId="0" fontId="5" fillId="35" borderId="13" xfId="0" applyFont="1" applyFill="1" applyBorder="1" applyAlignment="1">
      <alignment horizontal="center"/>
    </xf>
    <xf numFmtId="0" fontId="7" fillId="24" borderId="0" xfId="0" applyFont="1" applyFill="1"/>
    <xf numFmtId="0" fontId="0" fillId="36" borderId="56" xfId="0" applyFill="1" applyBorder="1"/>
    <xf numFmtId="0" fontId="13" fillId="36" borderId="30" xfId="0" applyFont="1" applyFill="1" applyBorder="1"/>
    <xf numFmtId="0" fontId="0" fillId="36" borderId="30" xfId="0" applyFill="1" applyBorder="1"/>
    <xf numFmtId="0" fontId="0" fillId="36" borderId="31" xfId="0" applyFill="1" applyBorder="1"/>
    <xf numFmtId="169" fontId="5" fillId="24" borderId="13" xfId="0" applyNumberFormat="1" applyFont="1" applyFill="1" applyBorder="1" applyAlignment="1">
      <alignment horizontal="center" vertical="center"/>
    </xf>
    <xf numFmtId="174" fontId="5" fillId="24" borderId="13" xfId="0" applyNumberFormat="1" applyFont="1" applyFill="1" applyBorder="1" applyAlignment="1">
      <alignment horizontal="center" vertical="center"/>
    </xf>
    <xf numFmtId="0" fontId="5" fillId="24" borderId="13" xfId="0" applyFont="1" applyFill="1" applyBorder="1" applyAlignment="1">
      <alignment wrapText="1"/>
    </xf>
    <xf numFmtId="0" fontId="5" fillId="24" borderId="29" xfId="0" applyFont="1" applyFill="1" applyBorder="1" applyAlignment="1">
      <alignment wrapText="1"/>
    </xf>
    <xf numFmtId="165" fontId="5" fillId="24" borderId="0" xfId="0" applyNumberFormat="1" applyFont="1" applyFill="1" applyBorder="1" applyAlignment="1"/>
    <xf numFmtId="165" fontId="5" fillId="24" borderId="0" xfId="0" applyNumberFormat="1" applyFont="1" applyFill="1" applyBorder="1" applyAlignment="1">
      <alignment horizontal="center"/>
    </xf>
    <xf numFmtId="0" fontId="101" fillId="0" borderId="57" xfId="151" applyFont="1" applyBorder="1"/>
    <xf numFmtId="0" fontId="102" fillId="0" borderId="57" xfId="151" applyFont="1" applyFill="1" applyBorder="1"/>
    <xf numFmtId="0" fontId="102" fillId="0" borderId="57" xfId="151" applyFont="1" applyFill="1" applyBorder="1" applyAlignment="1">
      <alignment horizontal="left"/>
    </xf>
    <xf numFmtId="49" fontId="102" fillId="0" borderId="57" xfId="151" applyNumberFormat="1" applyFont="1" applyFill="1" applyBorder="1" applyAlignment="1">
      <alignment horizontal="left"/>
    </xf>
    <xf numFmtId="49" fontId="102" fillId="0" borderId="58" xfId="151" applyNumberFormat="1" applyFont="1" applyBorder="1" applyAlignment="1">
      <alignment horizontal="left" vertical="center" wrapText="1"/>
    </xf>
    <xf numFmtId="0" fontId="102" fillId="24" borderId="57" xfId="151" applyFont="1" applyFill="1" applyBorder="1" applyAlignment="1">
      <alignment horizontal="left"/>
    </xf>
    <xf numFmtId="2" fontId="5" fillId="24" borderId="13" xfId="177" applyNumberFormat="1" applyFont="1" applyFill="1" applyBorder="1" applyAlignment="1">
      <alignment horizontal="right"/>
    </xf>
    <xf numFmtId="2" fontId="5" fillId="0" borderId="13" xfId="177" applyNumberFormat="1" applyFont="1" applyBorder="1" applyAlignment="1">
      <alignment horizontal="right"/>
    </xf>
    <xf numFmtId="2" fontId="5" fillId="0" borderId="13" xfId="177" applyNumberFormat="1" applyFont="1" applyFill="1" applyBorder="1" applyAlignment="1">
      <alignment horizontal="right"/>
    </xf>
    <xf numFmtId="174" fontId="0" fillId="0" borderId="57" xfId="0" applyNumberFormat="1" applyFont="1" applyBorder="1" applyAlignment="1">
      <alignment horizontal="center"/>
    </xf>
    <xf numFmtId="174" fontId="0" fillId="0" borderId="57" xfId="0" applyNumberFormat="1" applyFont="1" applyFill="1" applyBorder="1" applyAlignment="1">
      <alignment horizontal="center"/>
    </xf>
    <xf numFmtId="174" fontId="103" fillId="24" borderId="57" xfId="0" applyNumberFormat="1" applyFont="1" applyFill="1" applyBorder="1" applyAlignment="1">
      <alignment horizontal="center"/>
    </xf>
    <xf numFmtId="174" fontId="50" fillId="0" borderId="57" xfId="0" applyNumberFormat="1" applyFont="1" applyFill="1" applyBorder="1" applyAlignment="1">
      <alignment horizontal="center"/>
    </xf>
    <xf numFmtId="2" fontId="24" fillId="0" borderId="13" xfId="0" applyNumberFormat="1" applyFont="1" applyFill="1" applyBorder="1" applyAlignment="1">
      <alignment horizontal="center"/>
    </xf>
    <xf numFmtId="3" fontId="3" fillId="0" borderId="0" xfId="0" applyNumberFormat="1" applyFont="1" applyFill="1" applyBorder="1" applyAlignment="1">
      <alignment horizontal="center"/>
    </xf>
    <xf numFmtId="2" fontId="24" fillId="0" borderId="13" xfId="0" applyNumberFormat="1" applyFont="1" applyFill="1" applyBorder="1"/>
    <xf numFmtId="4" fontId="24" fillId="0" borderId="13" xfId="0" applyNumberFormat="1" applyFont="1" applyFill="1" applyBorder="1" applyAlignment="1">
      <alignment horizontal="center"/>
    </xf>
    <xf numFmtId="0" fontId="0" fillId="0" borderId="59" xfId="0" applyNumberFormat="1" applyBorder="1"/>
    <xf numFmtId="0" fontId="24" fillId="0" borderId="13" xfId="0" applyFont="1" applyBorder="1" applyAlignment="1">
      <alignment horizontal="right"/>
    </xf>
    <xf numFmtId="43" fontId="4" fillId="25" borderId="60" xfId="157" applyFont="1" applyFill="1" applyBorder="1" applyAlignment="1">
      <alignment horizontal="center"/>
    </xf>
    <xf numFmtId="43" fontId="4" fillId="25" borderId="61" xfId="157" applyFont="1" applyFill="1" applyBorder="1" applyAlignment="1">
      <alignment horizontal="center"/>
    </xf>
    <xf numFmtId="169" fontId="7" fillId="24" borderId="10" xfId="0" applyNumberFormat="1" applyFont="1" applyFill="1" applyBorder="1" applyAlignment="1">
      <alignment horizontal="center"/>
    </xf>
    <xf numFmtId="2" fontId="32" fillId="24" borderId="0" xfId="0" applyNumberFormat="1" applyFont="1" applyFill="1"/>
    <xf numFmtId="2" fontId="5" fillId="0" borderId="57" xfId="0" applyNumberFormat="1" applyFont="1" applyBorder="1" applyAlignment="1">
      <alignment horizontal="center"/>
    </xf>
    <xf numFmtId="2" fontId="53" fillId="0" borderId="57" xfId="0" applyNumberFormat="1" applyFont="1" applyBorder="1" applyAlignment="1">
      <alignment horizontal="center"/>
    </xf>
    <xf numFmtId="2" fontId="8" fillId="0" borderId="57" xfId="0" applyNumberFormat="1" applyFont="1" applyFill="1" applyBorder="1" applyAlignment="1">
      <alignment horizontal="center"/>
    </xf>
    <xf numFmtId="2" fontId="53" fillId="0" borderId="57" xfId="0" applyNumberFormat="1" applyFont="1" applyFill="1" applyBorder="1" applyAlignment="1">
      <alignment horizontal="center"/>
    </xf>
    <xf numFmtId="2" fontId="5" fillId="0" borderId="57" xfId="0" applyNumberFormat="1" applyFont="1" applyFill="1" applyBorder="1" applyAlignment="1">
      <alignment horizontal="center"/>
    </xf>
    <xf numFmtId="171" fontId="7" fillId="24" borderId="52" xfId="0" applyNumberFormat="1" applyFont="1" applyFill="1" applyBorder="1" applyAlignment="1">
      <alignment horizontal="center"/>
    </xf>
    <xf numFmtId="171" fontId="7" fillId="24" borderId="15" xfId="0" applyNumberFormat="1" applyFont="1" applyFill="1" applyBorder="1" applyAlignment="1">
      <alignment horizontal="center"/>
    </xf>
    <xf numFmtId="174" fontId="8" fillId="0" borderId="57" xfId="0" applyNumberFormat="1" applyFont="1" applyBorder="1" applyAlignment="1">
      <alignment horizontal="center"/>
    </xf>
    <xf numFmtId="174" fontId="53" fillId="0" borderId="57" xfId="0" applyNumberFormat="1" applyFont="1" applyBorder="1" applyAlignment="1">
      <alignment horizontal="center"/>
    </xf>
    <xf numFmtId="174" fontId="5" fillId="0" borderId="57" xfId="0" applyNumberFormat="1" applyFont="1" applyBorder="1" applyAlignment="1">
      <alignment horizontal="center"/>
    </xf>
    <xf numFmtId="0" fontId="24" fillId="0" borderId="13" xfId="0" applyFont="1" applyBorder="1" applyAlignment="1"/>
    <xf numFmtId="0" fontId="38" fillId="25" borderId="13" xfId="0" applyFont="1" applyFill="1" applyBorder="1" applyAlignment="1">
      <alignment horizontal="center"/>
    </xf>
    <xf numFmtId="0" fontId="38" fillId="25" borderId="13" xfId="0" applyFont="1" applyFill="1" applyBorder="1" applyAlignment="1">
      <alignment horizontal="center" wrapText="1"/>
    </xf>
    <xf numFmtId="2" fontId="13" fillId="0" borderId="13" xfId="0" applyNumberFormat="1" applyFont="1" applyBorder="1" applyAlignment="1">
      <alignment horizontal="center"/>
    </xf>
    <xf numFmtId="0" fontId="104" fillId="24" borderId="0" xfId="0" applyFont="1" applyFill="1"/>
    <xf numFmtId="2" fontId="4" fillId="24" borderId="0" xfId="0" applyNumberFormat="1" applyFont="1" applyFill="1" applyBorder="1" applyAlignment="1">
      <alignment horizontal="center"/>
    </xf>
    <xf numFmtId="2" fontId="5" fillId="24" borderId="0" xfId="0" applyNumberFormat="1" applyFont="1" applyFill="1" applyBorder="1"/>
    <xf numFmtId="2" fontId="7" fillId="0" borderId="13" xfId="0" applyNumberFormat="1" applyFont="1" applyFill="1" applyBorder="1" applyAlignment="1">
      <alignment horizontal="center"/>
    </xf>
    <xf numFmtId="174" fontId="0" fillId="0" borderId="13" xfId="0" applyNumberFormat="1" applyBorder="1"/>
    <xf numFmtId="2" fontId="5" fillId="24" borderId="13" xfId="178" applyNumberFormat="1" applyFont="1" applyFill="1" applyBorder="1" applyAlignment="1">
      <alignment horizontal="right"/>
    </xf>
    <xf numFmtId="0" fontId="98" fillId="0" borderId="13" xfId="0" applyFont="1" applyBorder="1" applyAlignment="1">
      <alignment horizontal="center"/>
    </xf>
    <xf numFmtId="180" fontId="105" fillId="0" borderId="13" xfId="0" applyNumberFormat="1" applyFont="1" applyBorder="1" applyAlignment="1">
      <alignment horizontal="center"/>
    </xf>
    <xf numFmtId="174" fontId="105" fillId="0" borderId="13" xfId="0" applyNumberFormat="1" applyFont="1" applyFill="1" applyBorder="1" applyAlignment="1">
      <alignment horizontal="center"/>
    </xf>
    <xf numFmtId="0" fontId="106" fillId="24" borderId="0" xfId="0" applyFont="1" applyFill="1"/>
    <xf numFmtId="169" fontId="32" fillId="24" borderId="0" xfId="0" applyNumberFormat="1" applyFont="1" applyFill="1"/>
    <xf numFmtId="2" fontId="5" fillId="0" borderId="13" xfId="178" applyNumberFormat="1" applyFont="1" applyBorder="1" applyAlignment="1">
      <alignment horizontal="right"/>
    </xf>
    <xf numFmtId="4" fontId="5" fillId="0" borderId="11" xfId="205" applyNumberFormat="1" applyFont="1" applyFill="1" applyBorder="1" applyAlignment="1">
      <alignment horizontal="center" vertical="center"/>
    </xf>
    <xf numFmtId="167" fontId="5" fillId="0" borderId="0" xfId="0" applyNumberFormat="1" applyFont="1" applyFill="1" applyBorder="1" applyAlignment="1">
      <alignment horizontal="center" vertical="center"/>
    </xf>
    <xf numFmtId="2" fontId="5" fillId="24" borderId="18" xfId="0" applyNumberFormat="1" applyFont="1" applyFill="1" applyBorder="1" applyAlignment="1">
      <alignment horizontal="center"/>
    </xf>
    <xf numFmtId="2" fontId="5" fillId="24" borderId="21" xfId="0" applyNumberFormat="1" applyFont="1" applyFill="1" applyBorder="1"/>
    <xf numFmtId="2" fontId="5" fillId="24" borderId="20" xfId="0" applyNumberFormat="1" applyFont="1" applyFill="1" applyBorder="1" applyAlignment="1">
      <alignment horizontal="center"/>
    </xf>
    <xf numFmtId="169" fontId="5" fillId="0" borderId="15" xfId="0" applyNumberFormat="1" applyFont="1" applyFill="1" applyBorder="1" applyAlignment="1">
      <alignment horizontal="center" vertical="center"/>
    </xf>
    <xf numFmtId="0" fontId="32" fillId="0" borderId="0" xfId="0" applyFont="1" applyBorder="1" applyAlignment="1">
      <alignment horizontal="center"/>
    </xf>
    <xf numFmtId="0" fontId="13" fillId="25" borderId="17" xfId="0" applyFont="1" applyFill="1" applyBorder="1"/>
    <xf numFmtId="0" fontId="55" fillId="0" borderId="0" xfId="0" applyFont="1"/>
    <xf numFmtId="169" fontId="55" fillId="0" borderId="0" xfId="0" applyNumberFormat="1" applyFont="1"/>
    <xf numFmtId="0" fontId="55" fillId="26" borderId="13" xfId="0" applyFont="1" applyFill="1" applyBorder="1" applyAlignment="1">
      <alignment horizontal="center"/>
    </xf>
    <xf numFmtId="169" fontId="32" fillId="0" borderId="52" xfId="0" applyNumberFormat="1" applyFont="1" applyBorder="1" applyAlignment="1">
      <alignment horizontal="center"/>
    </xf>
    <xf numFmtId="169" fontId="32" fillId="0" borderId="62" xfId="0" applyNumberFormat="1" applyFont="1" applyBorder="1" applyAlignment="1">
      <alignment horizontal="center"/>
    </xf>
    <xf numFmtId="169" fontId="59" fillId="24" borderId="0" xfId="0" applyNumberFormat="1" applyFont="1" applyFill="1" applyBorder="1"/>
    <xf numFmtId="171" fontId="5" fillId="0" borderId="62" xfId="0" applyNumberFormat="1" applyFont="1" applyFill="1" applyBorder="1" applyAlignment="1">
      <alignment horizontal="center" vertical="center"/>
    </xf>
    <xf numFmtId="171" fontId="5" fillId="0" borderId="64" xfId="0" applyNumberFormat="1" applyFont="1" applyFill="1" applyBorder="1" applyAlignment="1">
      <alignment horizontal="center" vertical="center"/>
    </xf>
    <xf numFmtId="169" fontId="4" fillId="25" borderId="13" xfId="0" applyNumberFormat="1" applyFont="1" applyFill="1" applyBorder="1" applyAlignment="1">
      <alignment horizontal="center" vertical="center"/>
    </xf>
    <xf numFmtId="0" fontId="105" fillId="0" borderId="13" xfId="0" applyFont="1" applyBorder="1" applyAlignment="1">
      <alignment horizontal="center"/>
    </xf>
    <xf numFmtId="2" fontId="105" fillId="0" borderId="13" xfId="0" applyNumberFormat="1" applyFont="1" applyBorder="1" applyAlignment="1">
      <alignment horizontal="center"/>
    </xf>
    <xf numFmtId="3" fontId="11" fillId="25" borderId="18" xfId="0" applyNumberFormat="1" applyFont="1" applyFill="1" applyBorder="1" applyAlignment="1">
      <alignment horizontal="center" vertical="center"/>
    </xf>
    <xf numFmtId="0" fontId="7" fillId="24" borderId="13" xfId="0" applyFont="1" applyFill="1" applyBorder="1" applyAlignment="1">
      <alignment horizontal="center"/>
    </xf>
    <xf numFmtId="0" fontId="36" fillId="0" borderId="0" xfId="0" applyFont="1"/>
    <xf numFmtId="0" fontId="36" fillId="0" borderId="0" xfId="0" applyFont="1" applyBorder="1"/>
    <xf numFmtId="1" fontId="7" fillId="24" borderId="0" xfId="0" applyNumberFormat="1" applyFont="1" applyFill="1" applyBorder="1" applyAlignment="1">
      <alignment horizontal="center" vertical="center"/>
    </xf>
    <xf numFmtId="0" fontId="0" fillId="0" borderId="0" xfId="0" applyBorder="1"/>
    <xf numFmtId="3" fontId="5" fillId="24" borderId="13" xfId="0" applyNumberFormat="1" applyFont="1" applyFill="1" applyBorder="1" applyAlignment="1">
      <alignment horizontal="center"/>
    </xf>
    <xf numFmtId="0" fontId="5" fillId="0" borderId="33" xfId="0" applyFont="1" applyFill="1" applyBorder="1" applyAlignment="1">
      <alignment horizontal="center" vertical="center" wrapText="1"/>
    </xf>
    <xf numFmtId="3" fontId="5" fillId="0" borderId="65" xfId="0" applyNumberFormat="1" applyFont="1" applyFill="1" applyBorder="1" applyAlignment="1">
      <alignment horizontal="center" vertical="center"/>
    </xf>
    <xf numFmtId="3" fontId="5" fillId="0" borderId="66" xfId="0" applyNumberFormat="1" applyFont="1" applyFill="1" applyBorder="1" applyAlignment="1">
      <alignment horizontal="center" vertical="center"/>
    </xf>
    <xf numFmtId="3" fontId="5" fillId="0" borderId="33" xfId="205" applyNumberFormat="1" applyFont="1" applyFill="1" applyBorder="1" applyAlignment="1">
      <alignment horizontal="center" vertical="center"/>
    </xf>
    <xf numFmtId="167" fontId="5" fillId="0" borderId="33" xfId="0" applyNumberFormat="1" applyFont="1" applyFill="1" applyBorder="1" applyAlignment="1">
      <alignment horizontal="center" vertical="center"/>
    </xf>
    <xf numFmtId="4" fontId="5" fillId="0" borderId="33" xfId="0" applyNumberFormat="1" applyFont="1" applyFill="1" applyBorder="1" applyAlignment="1">
      <alignment horizontal="center" vertical="center"/>
    </xf>
    <xf numFmtId="168" fontId="5" fillId="0" borderId="33" xfId="0" applyNumberFormat="1" applyFont="1" applyFill="1" applyBorder="1" applyAlignment="1">
      <alignment horizontal="center" vertical="center"/>
    </xf>
    <xf numFmtId="165" fontId="5" fillId="0" borderId="33" xfId="0" applyNumberFormat="1" applyFont="1" applyFill="1" applyBorder="1" applyAlignment="1">
      <alignment horizontal="center" vertical="center"/>
    </xf>
    <xf numFmtId="166" fontId="5" fillId="0" borderId="33" xfId="205" applyNumberFormat="1" applyFont="1" applyFill="1" applyBorder="1" applyAlignment="1">
      <alignment horizontal="center" vertical="center"/>
    </xf>
    <xf numFmtId="10" fontId="5" fillId="0" borderId="33" xfId="205" applyNumberFormat="1" applyFont="1" applyFill="1" applyBorder="1" applyAlignment="1">
      <alignment horizontal="center" vertical="center"/>
    </xf>
    <xf numFmtId="170" fontId="5" fillId="0" borderId="67" xfId="0" applyNumberFormat="1" applyFont="1" applyFill="1" applyBorder="1" applyAlignment="1">
      <alignment horizontal="center"/>
    </xf>
    <xf numFmtId="166" fontId="5" fillId="0" borderId="67" xfId="205" applyNumberFormat="1" applyFont="1" applyFill="1" applyBorder="1" applyAlignment="1">
      <alignment horizontal="center"/>
    </xf>
    <xf numFmtId="166" fontId="5" fillId="0" borderId="68" xfId="205" applyNumberFormat="1" applyFont="1" applyFill="1" applyBorder="1" applyAlignment="1">
      <alignment horizontal="center"/>
    </xf>
    <xf numFmtId="0" fontId="5" fillId="0" borderId="69" xfId="0" applyFont="1" applyFill="1" applyBorder="1" applyAlignment="1">
      <alignment horizontal="center"/>
    </xf>
    <xf numFmtId="0" fontId="5" fillId="0" borderId="70" xfId="0" applyFont="1" applyFill="1" applyBorder="1" applyAlignment="1">
      <alignment horizontal="center"/>
    </xf>
    <xf numFmtId="0" fontId="5" fillId="0" borderId="71" xfId="0" applyFont="1" applyFill="1" applyBorder="1" applyAlignment="1">
      <alignment horizontal="center"/>
    </xf>
    <xf numFmtId="0" fontId="5" fillId="0" borderId="72" xfId="0" applyFont="1" applyFill="1" applyBorder="1" applyAlignment="1">
      <alignment horizontal="center" vertical="center" wrapText="1"/>
    </xf>
    <xf numFmtId="0" fontId="5" fillId="24" borderId="73" xfId="0" applyFont="1" applyFill="1" applyBorder="1" applyAlignment="1">
      <alignment horizontal="center" vertical="center"/>
    </xf>
    <xf numFmtId="0" fontId="24" fillId="32" borderId="0" xfId="0" applyFont="1" applyFill="1"/>
    <xf numFmtId="0" fontId="32" fillId="32" borderId="0" xfId="0" applyFont="1" applyFill="1"/>
    <xf numFmtId="0" fontId="105" fillId="0" borderId="0" xfId="0" applyFont="1" applyFill="1"/>
    <xf numFmtId="2" fontId="5" fillId="25" borderId="13" xfId="0" applyNumberFormat="1" applyFont="1" applyFill="1" applyBorder="1" applyAlignment="1">
      <alignment horizontal="right"/>
    </xf>
    <xf numFmtId="0" fontId="32" fillId="25" borderId="0" xfId="0" applyFont="1" applyFill="1"/>
    <xf numFmtId="2" fontId="5" fillId="25" borderId="13" xfId="0" applyNumberFormat="1" applyFont="1" applyFill="1" applyBorder="1" applyAlignment="1">
      <alignment horizontal="center"/>
    </xf>
    <xf numFmtId="0" fontId="24" fillId="0" borderId="0" xfId="0" applyFont="1" applyAlignment="1">
      <alignment horizontal="center"/>
    </xf>
    <xf numFmtId="0" fontId="5" fillId="24" borderId="19" xfId="0" applyFont="1" applyFill="1" applyBorder="1" applyAlignment="1">
      <alignment horizontal="center"/>
    </xf>
    <xf numFmtId="0" fontId="61" fillId="0" borderId="13" xfId="173" applyFont="1" applyBorder="1" applyAlignment="1">
      <alignment vertical="center" wrapText="1"/>
    </xf>
    <xf numFmtId="3" fontId="62" fillId="0" borderId="21" xfId="173" applyNumberFormat="1" applyFont="1" applyFill="1" applyBorder="1" applyAlignment="1">
      <alignment horizontal="center" vertical="center"/>
    </xf>
    <xf numFmtId="0" fontId="5" fillId="24" borderId="17" xfId="0" applyFont="1" applyFill="1" applyBorder="1" applyAlignment="1">
      <alignment horizontal="center" wrapText="1"/>
    </xf>
    <xf numFmtId="3" fontId="43" fillId="0" borderId="21" xfId="173" applyNumberFormat="1" applyFont="1" applyFill="1" applyBorder="1" applyAlignment="1">
      <alignment horizontal="center" vertical="center"/>
    </xf>
    <xf numFmtId="169" fontId="104" fillId="24" borderId="0" xfId="0" applyNumberFormat="1" applyFont="1" applyFill="1"/>
    <xf numFmtId="16" fontId="10" fillId="24" borderId="13" xfId="0" applyNumberFormat="1" applyFont="1" applyFill="1" applyBorder="1" applyAlignment="1">
      <alignment horizontal="center"/>
    </xf>
    <xf numFmtId="0" fontId="4" fillId="24" borderId="0" xfId="0" applyFont="1" applyFill="1" applyAlignment="1">
      <alignment horizontal="center"/>
    </xf>
    <xf numFmtId="2" fontId="5" fillId="0" borderId="20" xfId="0" applyNumberFormat="1" applyFont="1" applyBorder="1" applyAlignment="1">
      <alignment horizontal="center"/>
    </xf>
    <xf numFmtId="2" fontId="5" fillId="0" borderId="13" xfId="178" applyNumberFormat="1" applyFont="1" applyFill="1" applyBorder="1" applyAlignment="1">
      <alignment horizontal="right"/>
    </xf>
    <xf numFmtId="2" fontId="5" fillId="0" borderId="13" xfId="178" applyNumberFormat="1" applyFont="1" applyFill="1" applyBorder="1" applyAlignment="1">
      <alignment horizontal="center"/>
    </xf>
    <xf numFmtId="2" fontId="5" fillId="26" borderId="13" xfId="178" applyNumberFormat="1" applyFont="1" applyFill="1" applyBorder="1" applyAlignment="1">
      <alignment horizontal="right"/>
    </xf>
    <xf numFmtId="169" fontId="5" fillId="24" borderId="13" xfId="0" applyNumberFormat="1" applyFont="1" applyFill="1" applyBorder="1" applyAlignment="1">
      <alignment horizontal="center"/>
    </xf>
    <xf numFmtId="9" fontId="5" fillId="24" borderId="13" xfId="205" applyFont="1" applyFill="1" applyBorder="1" applyAlignment="1">
      <alignment horizontal="center"/>
    </xf>
    <xf numFmtId="0" fontId="48" fillId="25" borderId="13" xfId="0" applyFont="1" applyFill="1" applyBorder="1" applyAlignment="1">
      <alignment horizontal="center" vertical="center" wrapText="1"/>
    </xf>
    <xf numFmtId="0" fontId="13" fillId="24" borderId="0" xfId="0" applyFont="1" applyFill="1" applyBorder="1" applyAlignment="1">
      <alignment horizontal="center"/>
    </xf>
    <xf numFmtId="174" fontId="13" fillId="0" borderId="0" xfId="0" applyNumberFormat="1" applyFont="1" applyAlignment="1">
      <alignment horizontal="center"/>
    </xf>
    <xf numFmtId="169" fontId="32" fillId="0" borderId="0" xfId="0" applyNumberFormat="1" applyFont="1" applyAlignment="1">
      <alignment horizontal="center"/>
    </xf>
    <xf numFmtId="0" fontId="101" fillId="0" borderId="57" xfId="151" applyFont="1" applyFill="1" applyBorder="1" applyAlignment="1">
      <alignment horizontal="center"/>
    </xf>
    <xf numFmtId="0" fontId="37" fillId="0" borderId="57" xfId="151" applyFont="1" applyFill="1" applyBorder="1" applyAlignment="1">
      <alignment horizontal="center"/>
    </xf>
    <xf numFmtId="0" fontId="37" fillId="24" borderId="57" xfId="151" applyFont="1" applyFill="1" applyBorder="1" applyAlignment="1">
      <alignment horizontal="center"/>
    </xf>
    <xf numFmtId="0" fontId="37" fillId="0" borderId="57" xfId="151" applyFont="1" applyBorder="1" applyAlignment="1">
      <alignment horizontal="center"/>
    </xf>
    <xf numFmtId="9" fontId="48" fillId="24" borderId="13" xfId="205" applyFont="1" applyFill="1" applyBorder="1" applyAlignment="1">
      <alignment horizontal="center"/>
    </xf>
    <xf numFmtId="181" fontId="10" fillId="24" borderId="13" xfId="0" applyNumberFormat="1" applyFont="1" applyFill="1" applyBorder="1" applyAlignment="1">
      <alignment horizontal="center"/>
    </xf>
    <xf numFmtId="0" fontId="13" fillId="24" borderId="0" xfId="0" applyFont="1" applyFill="1"/>
    <xf numFmtId="168" fontId="5" fillId="24" borderId="15" xfId="0" applyNumberFormat="1" applyFont="1" applyFill="1" applyBorder="1" applyAlignment="1">
      <alignment horizontal="center" vertical="center"/>
    </xf>
    <xf numFmtId="0" fontId="5" fillId="24" borderId="32" xfId="0" applyFont="1" applyFill="1" applyBorder="1" applyAlignment="1">
      <alignment horizontal="center" vertical="center"/>
    </xf>
    <xf numFmtId="181" fontId="10" fillId="0" borderId="13" xfId="205" applyNumberFormat="1" applyFont="1" applyFill="1" applyBorder="1" applyAlignment="1">
      <alignment horizontal="center"/>
    </xf>
    <xf numFmtId="0" fontId="38" fillId="25" borderId="0" xfId="0" applyFont="1" applyFill="1"/>
    <xf numFmtId="0" fontId="36" fillId="25" borderId="0" xfId="0" applyFont="1" applyFill="1"/>
    <xf numFmtId="2" fontId="7" fillId="0" borderId="0" xfId="0" applyNumberFormat="1" applyFont="1" applyFill="1"/>
    <xf numFmtId="0" fontId="7" fillId="0" borderId="0" xfId="0" applyFont="1"/>
    <xf numFmtId="0" fontId="7" fillId="0" borderId="13" xfId="0" applyFont="1" applyBorder="1" applyAlignment="1">
      <alignment horizontal="center"/>
    </xf>
    <xf numFmtId="0" fontId="7" fillId="0" borderId="13" xfId="0" applyFont="1" applyFill="1" applyBorder="1" applyAlignment="1">
      <alignment horizontal="center"/>
    </xf>
    <xf numFmtId="0" fontId="7" fillId="26" borderId="13" xfId="0" applyFont="1" applyFill="1" applyBorder="1" applyAlignment="1">
      <alignment horizontal="center"/>
    </xf>
    <xf numFmtId="0" fontId="11" fillId="0" borderId="13" xfId="0" applyFont="1" applyFill="1" applyBorder="1" applyAlignment="1">
      <alignment horizontal="center"/>
    </xf>
    <xf numFmtId="2" fontId="7" fillId="24" borderId="13" xfId="0" applyNumberFormat="1" applyFont="1" applyFill="1" applyBorder="1" applyAlignment="1">
      <alignment horizontal="center"/>
    </xf>
    <xf numFmtId="2" fontId="7" fillId="0" borderId="13" xfId="0" applyNumberFormat="1" applyFont="1" applyBorder="1" applyAlignment="1">
      <alignment horizontal="center"/>
    </xf>
    <xf numFmtId="2" fontId="7" fillId="0" borderId="13" xfId="0" applyNumberFormat="1" applyFont="1" applyBorder="1" applyAlignment="1">
      <alignment horizontal="right"/>
    </xf>
    <xf numFmtId="2" fontId="7" fillId="0" borderId="13" xfId="0" applyNumberFormat="1" applyFont="1" applyFill="1" applyBorder="1" applyAlignment="1">
      <alignment horizontal="right"/>
    </xf>
    <xf numFmtId="2" fontId="11" fillId="25" borderId="13" xfId="0" applyNumberFormat="1" applyFont="1" applyFill="1" applyBorder="1" applyAlignment="1">
      <alignment horizontal="center"/>
    </xf>
    <xf numFmtId="2" fontId="7" fillId="0" borderId="13" xfId="0" applyNumberFormat="1" applyFont="1" applyBorder="1"/>
    <xf numFmtId="2" fontId="11" fillId="0" borderId="13" xfId="0" applyNumberFormat="1" applyFont="1" applyBorder="1" applyAlignment="1">
      <alignment horizontal="center"/>
    </xf>
    <xf numFmtId="4" fontId="7" fillId="0" borderId="13" xfId="0" applyNumberFormat="1" applyFont="1" applyBorder="1" applyAlignment="1">
      <alignment horizontal="center"/>
    </xf>
    <xf numFmtId="4" fontId="7" fillId="0" borderId="13" xfId="0" applyNumberFormat="1" applyFont="1" applyFill="1" applyBorder="1" applyAlignment="1">
      <alignment horizontal="center"/>
    </xf>
    <xf numFmtId="2" fontId="108" fillId="25" borderId="13" xfId="0" applyNumberFormat="1" applyFont="1" applyFill="1" applyBorder="1" applyAlignment="1">
      <alignment horizontal="center"/>
    </xf>
    <xf numFmtId="2" fontId="5" fillId="26" borderId="13" xfId="177" applyNumberFormat="1" applyFont="1" applyFill="1" applyBorder="1" applyAlignment="1">
      <alignment horizontal="right"/>
    </xf>
    <xf numFmtId="174" fontId="5" fillId="26" borderId="13" xfId="177" applyNumberFormat="1" applyFont="1" applyFill="1" applyBorder="1" applyAlignment="1">
      <alignment horizontal="right"/>
    </xf>
    <xf numFmtId="2" fontId="5" fillId="30" borderId="13" xfId="177" applyNumberFormat="1" applyFont="1" applyFill="1" applyBorder="1" applyAlignment="1">
      <alignment horizontal="right"/>
    </xf>
    <xf numFmtId="2" fontId="5" fillId="30" borderId="13" xfId="0" applyNumberFormat="1" applyFont="1" applyFill="1" applyBorder="1" applyAlignment="1">
      <alignment horizontal="right"/>
    </xf>
    <xf numFmtId="2" fontId="5" fillId="30" borderId="13" xfId="178" applyNumberFormat="1" applyFont="1" applyFill="1" applyBorder="1" applyAlignment="1">
      <alignment horizontal="right"/>
    </xf>
    <xf numFmtId="3" fontId="104" fillId="24" borderId="0" xfId="0" applyNumberFormat="1" applyFont="1" applyFill="1"/>
    <xf numFmtId="3" fontId="48" fillId="24" borderId="13" xfId="0" applyNumberFormat="1" applyFont="1" applyFill="1" applyBorder="1" applyAlignment="1">
      <alignment horizontal="center" vertical="center"/>
    </xf>
    <xf numFmtId="0" fontId="13" fillId="0" borderId="0" xfId="0" applyFont="1" applyBorder="1" applyAlignment="1">
      <alignment horizontal="center"/>
    </xf>
    <xf numFmtId="169" fontId="55" fillId="24" borderId="63" xfId="0" applyNumberFormat="1" applyFont="1" applyFill="1" applyBorder="1" applyAlignment="1">
      <alignment horizontal="center"/>
    </xf>
    <xf numFmtId="169" fontId="55" fillId="24" borderId="74" xfId="0" applyNumberFormat="1" applyFont="1" applyFill="1" applyBorder="1" applyAlignment="1">
      <alignment horizontal="center"/>
    </xf>
    <xf numFmtId="0" fontId="55" fillId="24" borderId="75" xfId="0" applyFont="1" applyFill="1" applyBorder="1" applyAlignment="1">
      <alignment horizontal="center"/>
    </xf>
    <xf numFmtId="0" fontId="55" fillId="24" borderId="76" xfId="0" applyFont="1" applyFill="1" applyBorder="1" applyAlignment="1">
      <alignment horizontal="center"/>
    </xf>
    <xf numFmtId="9" fontId="5" fillId="26" borderId="13" xfId="205" applyFont="1" applyFill="1" applyBorder="1" applyAlignment="1">
      <alignment horizontal="center"/>
    </xf>
    <xf numFmtId="16" fontId="109" fillId="26" borderId="13" xfId="0" applyNumberFormat="1" applyFont="1" applyFill="1" applyBorder="1" applyAlignment="1">
      <alignment horizontal="center"/>
    </xf>
    <xf numFmtId="0" fontId="63" fillId="25" borderId="56" xfId="0" applyFont="1" applyFill="1" applyBorder="1"/>
    <xf numFmtId="0" fontId="63" fillId="25" borderId="30" xfId="0" applyFont="1" applyFill="1" applyBorder="1"/>
    <xf numFmtId="0" fontId="63" fillId="25" borderId="31" xfId="0" applyFont="1" applyFill="1" applyBorder="1"/>
    <xf numFmtId="0" fontId="7" fillId="30" borderId="13" xfId="0" applyFont="1" applyFill="1" applyBorder="1" applyAlignment="1">
      <alignment horizontal="center"/>
    </xf>
    <xf numFmtId="0" fontId="7" fillId="31" borderId="13" xfId="0" applyFont="1" applyFill="1" applyBorder="1" applyAlignment="1">
      <alignment horizontal="center"/>
    </xf>
    <xf numFmtId="0" fontId="24" fillId="0" borderId="0" xfId="0" applyFont="1" applyBorder="1"/>
    <xf numFmtId="0" fontId="0" fillId="24" borderId="0" xfId="0" applyFill="1" applyBorder="1"/>
    <xf numFmtId="4" fontId="7" fillId="0" borderId="0" xfId="0" applyNumberFormat="1" applyFont="1" applyFill="1" applyAlignment="1">
      <alignment horizontal="center"/>
    </xf>
    <xf numFmtId="9" fontId="7" fillId="0" borderId="13" xfId="205" applyFont="1" applyFill="1" applyBorder="1" applyAlignment="1">
      <alignment horizontal="center"/>
    </xf>
    <xf numFmtId="0" fontId="7" fillId="0" borderId="0" xfId="0" applyFont="1" applyFill="1" applyAlignment="1">
      <alignment horizontal="right"/>
    </xf>
    <xf numFmtId="4" fontId="7" fillId="0" borderId="0" xfId="0" applyNumberFormat="1" applyFont="1" applyFill="1" applyBorder="1" applyAlignment="1">
      <alignment horizontal="center"/>
    </xf>
    <xf numFmtId="0" fontId="7" fillId="24" borderId="13" xfId="0" applyFont="1" applyFill="1" applyBorder="1" applyAlignment="1">
      <alignment horizontal="center" vertical="center" wrapText="1"/>
    </xf>
    <xf numFmtId="0" fontId="7" fillId="0" borderId="0" xfId="0" applyFont="1" applyFill="1" applyBorder="1" applyAlignment="1">
      <alignment horizontal="center"/>
    </xf>
    <xf numFmtId="0" fontId="7" fillId="0" borderId="0" xfId="0" applyFont="1" applyFill="1" applyBorder="1" applyAlignment="1">
      <alignment horizontal="center" wrapText="1"/>
    </xf>
    <xf numFmtId="4" fontId="7" fillId="0" borderId="0" xfId="0" applyNumberFormat="1" applyFont="1" applyFill="1" applyBorder="1" applyAlignment="1">
      <alignment horizontal="center" vertical="center"/>
    </xf>
    <xf numFmtId="0" fontId="11" fillId="25" borderId="18" xfId="0" applyFont="1" applyFill="1" applyBorder="1" applyAlignment="1">
      <alignment horizontal="center"/>
    </xf>
    <xf numFmtId="9" fontId="7" fillId="0" borderId="77" xfId="205" applyFont="1" applyFill="1" applyBorder="1" applyAlignment="1">
      <alignment horizontal="center"/>
    </xf>
    <xf numFmtId="0" fontId="11" fillId="0" borderId="21" xfId="0" applyFont="1" applyFill="1" applyBorder="1" applyAlignment="1">
      <alignment horizontal="center"/>
    </xf>
    <xf numFmtId="0" fontId="7" fillId="24" borderId="77" xfId="0" applyFont="1" applyFill="1" applyBorder="1" applyAlignment="1">
      <alignment horizontal="center" vertical="center" wrapText="1"/>
    </xf>
    <xf numFmtId="0" fontId="7" fillId="0" borderId="78" xfId="0" applyFont="1" applyFill="1" applyBorder="1" applyAlignment="1">
      <alignment horizontal="center"/>
    </xf>
    <xf numFmtId="0" fontId="7" fillId="0" borderId="79" xfId="0" applyFont="1" applyFill="1" applyBorder="1" applyAlignment="1">
      <alignment horizontal="center"/>
    </xf>
    <xf numFmtId="0" fontId="60" fillId="24" borderId="21" xfId="0" applyFont="1" applyFill="1" applyBorder="1" applyAlignment="1">
      <alignment horizontal="center" vertical="center" wrapText="1"/>
    </xf>
    <xf numFmtId="0" fontId="7" fillId="24" borderId="80" xfId="0" applyFont="1" applyFill="1" applyBorder="1" applyAlignment="1">
      <alignment horizontal="center" wrapText="1"/>
    </xf>
    <xf numFmtId="181" fontId="47" fillId="0" borderId="79" xfId="0" applyNumberFormat="1" applyFont="1" applyFill="1" applyBorder="1" applyAlignment="1">
      <alignment horizontal="center"/>
    </xf>
    <xf numFmtId="0" fontId="60" fillId="24" borderId="81" xfId="0" applyFont="1" applyFill="1" applyBorder="1" applyAlignment="1">
      <alignment horizontal="center" wrapText="1"/>
    </xf>
    <xf numFmtId="0" fontId="11" fillId="25" borderId="82" xfId="0" applyFont="1" applyFill="1" applyBorder="1" applyAlignment="1">
      <alignment horizontal="center"/>
    </xf>
    <xf numFmtId="0" fontId="11" fillId="25" borderId="83" xfId="0" applyFont="1" applyFill="1" applyBorder="1" applyAlignment="1">
      <alignment horizontal="center"/>
    </xf>
    <xf numFmtId="0" fontId="11" fillId="25" borderId="84" xfId="0" applyFont="1" applyFill="1" applyBorder="1" applyAlignment="1">
      <alignment horizontal="center"/>
    </xf>
    <xf numFmtId="2" fontId="13" fillId="0" borderId="17" xfId="0" applyNumberFormat="1" applyFont="1" applyBorder="1" applyAlignment="1">
      <alignment horizontal="center"/>
    </xf>
    <xf numFmtId="0" fontId="11" fillId="26" borderId="18" xfId="0" applyFont="1" applyFill="1" applyBorder="1" applyAlignment="1">
      <alignment horizontal="center"/>
    </xf>
    <xf numFmtId="2" fontId="7" fillId="26" borderId="13" xfId="0" applyNumberFormat="1" applyFont="1" applyFill="1" applyBorder="1" applyAlignment="1">
      <alignment horizontal="center"/>
    </xf>
    <xf numFmtId="169" fontId="7" fillId="0" borderId="52" xfId="0" applyNumberFormat="1" applyFont="1" applyFill="1" applyBorder="1" applyAlignment="1">
      <alignment horizontal="center"/>
    </xf>
    <xf numFmtId="169" fontId="7" fillId="0" borderId="85" xfId="0" applyNumberFormat="1" applyFont="1" applyFill="1" applyBorder="1" applyAlignment="1">
      <alignment horizontal="center"/>
    </xf>
    <xf numFmtId="3" fontId="38" fillId="0" borderId="28" xfId="0" applyNumberFormat="1" applyFont="1" applyFill="1" applyBorder="1" applyAlignment="1">
      <alignment horizontal="right"/>
    </xf>
    <xf numFmtId="174" fontId="36" fillId="37" borderId="57" xfId="196" applyNumberFormat="1" applyFont="1" applyFill="1" applyBorder="1" applyAlignment="1"/>
    <xf numFmtId="0" fontId="24" fillId="0" borderId="13" xfId="0" applyFont="1" applyFill="1" applyBorder="1" applyAlignment="1"/>
    <xf numFmtId="2" fontId="0" fillId="0" borderId="13" xfId="0" applyNumberFormat="1" applyBorder="1" applyAlignment="1">
      <alignment horizontal="center"/>
    </xf>
    <xf numFmtId="0" fontId="13" fillId="0" borderId="86" xfId="0" applyFont="1" applyBorder="1" applyAlignment="1">
      <alignment horizontal="center"/>
    </xf>
    <xf numFmtId="0" fontId="0" fillId="0" borderId="13" xfId="0" applyBorder="1" applyAlignment="1"/>
    <xf numFmtId="0" fontId="24" fillId="0" borderId="29" xfId="0" applyFont="1" applyFill="1" applyBorder="1" applyAlignment="1"/>
    <xf numFmtId="2" fontId="0" fillId="0" borderId="13" xfId="0" applyNumberFormat="1" applyBorder="1" applyAlignment="1"/>
    <xf numFmtId="2" fontId="24" fillId="0" borderId="13" xfId="0" applyNumberFormat="1" applyFont="1" applyFill="1" applyBorder="1" applyAlignment="1"/>
    <xf numFmtId="2" fontId="0" fillId="0" borderId="13" xfId="0" applyNumberFormat="1" applyFill="1" applyBorder="1" applyAlignment="1"/>
    <xf numFmtId="0" fontId="48" fillId="24" borderId="13" xfId="0" applyFont="1" applyFill="1" applyBorder="1" applyAlignment="1">
      <alignment horizontal="center" vertical="center" wrapText="1"/>
    </xf>
    <xf numFmtId="174" fontId="0" fillId="0" borderId="57" xfId="0" applyNumberFormat="1" applyFill="1" applyBorder="1" applyAlignment="1">
      <alignment horizontal="center"/>
    </xf>
    <xf numFmtId="174" fontId="5" fillId="0" borderId="13" xfId="0" applyNumberFormat="1" applyFont="1" applyBorder="1" applyAlignment="1">
      <alignment horizontal="center"/>
    </xf>
    <xf numFmtId="0" fontId="66" fillId="0" borderId="0" xfId="0" applyFont="1"/>
    <xf numFmtId="174" fontId="66" fillId="0" borderId="0" xfId="0" applyNumberFormat="1" applyFont="1"/>
    <xf numFmtId="174" fontId="66" fillId="0" borderId="0" xfId="0" applyNumberFormat="1" applyFont="1" applyFill="1"/>
    <xf numFmtId="174" fontId="66" fillId="24" borderId="0" xfId="0" applyNumberFormat="1" applyFont="1" applyFill="1"/>
    <xf numFmtId="0" fontId="67" fillId="0" borderId="13" xfId="0" applyFont="1" applyFill="1" applyBorder="1" applyAlignment="1">
      <alignment horizontal="center"/>
    </xf>
    <xf numFmtId="181" fontId="10" fillId="0" borderId="13" xfId="0" applyNumberFormat="1" applyFont="1" applyFill="1" applyBorder="1" applyAlignment="1">
      <alignment horizontal="center"/>
    </xf>
    <xf numFmtId="174" fontId="48" fillId="26" borderId="13" xfId="0" applyNumberFormat="1" applyFont="1" applyFill="1" applyBorder="1" applyAlignment="1">
      <alignment horizontal="center" vertical="center" wrapText="1"/>
    </xf>
    <xf numFmtId="9" fontId="48" fillId="0" borderId="21" xfId="205" applyFont="1" applyFill="1" applyBorder="1" applyAlignment="1">
      <alignment horizontal="center"/>
    </xf>
    <xf numFmtId="9" fontId="48" fillId="24" borderId="21" xfId="205" applyFont="1" applyFill="1" applyBorder="1" applyAlignment="1">
      <alignment horizontal="center"/>
    </xf>
    <xf numFmtId="2" fontId="48" fillId="32" borderId="56" xfId="0" applyNumberFormat="1" applyFont="1" applyFill="1" applyBorder="1" applyAlignment="1">
      <alignment horizontal="center"/>
    </xf>
    <xf numFmtId="2" fontId="48" fillId="32" borderId="87" xfId="0" applyNumberFormat="1" applyFont="1" applyFill="1" applyBorder="1" applyAlignment="1">
      <alignment horizontal="center"/>
    </xf>
    <xf numFmtId="165" fontId="4" fillId="25" borderId="16" xfId="0" applyNumberFormat="1" applyFont="1" applyFill="1" applyBorder="1" applyAlignment="1">
      <alignment horizontal="center"/>
    </xf>
    <xf numFmtId="9" fontId="24" fillId="0" borderId="88" xfId="0" applyNumberFormat="1" applyFont="1" applyBorder="1" applyAlignment="1">
      <alignment horizontal="center"/>
    </xf>
    <xf numFmtId="9" fontId="24" fillId="0" borderId="89" xfId="0" applyNumberFormat="1" applyFont="1" applyBorder="1" applyAlignment="1">
      <alignment horizontal="center"/>
    </xf>
    <xf numFmtId="9" fontId="32" fillId="0" borderId="13" xfId="0" applyNumberFormat="1" applyFont="1" applyBorder="1" applyAlignment="1">
      <alignment horizontal="center"/>
    </xf>
    <xf numFmtId="0" fontId="24" fillId="0" borderId="80" xfId="0" applyFont="1" applyBorder="1" applyAlignment="1">
      <alignment horizontal="center"/>
    </xf>
    <xf numFmtId="9" fontId="32" fillId="0" borderId="79" xfId="0" applyNumberFormat="1" applyFont="1" applyBorder="1" applyAlignment="1">
      <alignment horizontal="center"/>
    </xf>
    <xf numFmtId="0" fontId="32" fillId="0" borderId="90" xfId="0" applyFont="1" applyBorder="1" applyAlignment="1">
      <alignment horizontal="center"/>
    </xf>
    <xf numFmtId="4" fontId="5" fillId="0" borderId="91" xfId="0" applyNumberFormat="1" applyFont="1" applyFill="1" applyBorder="1" applyAlignment="1">
      <alignment horizontal="center" vertical="center"/>
    </xf>
    <xf numFmtId="2" fontId="0" fillId="0" borderId="13" xfId="0" applyNumberFormat="1" applyBorder="1"/>
    <xf numFmtId="2" fontId="0" fillId="0" borderId="13" xfId="0" applyNumberFormat="1" applyFill="1" applyBorder="1"/>
    <xf numFmtId="2" fontId="0" fillId="0" borderId="13" xfId="0" applyNumberFormat="1" applyFill="1" applyBorder="1" applyAlignment="1">
      <alignment horizontal="center"/>
    </xf>
    <xf numFmtId="4" fontId="5" fillId="0" borderId="92" xfId="0" applyNumberFormat="1" applyFont="1" applyFill="1" applyBorder="1" applyAlignment="1">
      <alignment horizontal="center" vertical="center"/>
    </xf>
    <xf numFmtId="0" fontId="5" fillId="30" borderId="13" xfId="0" applyFont="1" applyFill="1" applyBorder="1" applyAlignment="1">
      <alignment wrapText="1"/>
    </xf>
    <xf numFmtId="174" fontId="5" fillId="24" borderId="13" xfId="0" applyNumberFormat="1" applyFont="1" applyFill="1" applyBorder="1"/>
    <xf numFmtId="167" fontId="32" fillId="0" borderId="0" xfId="0" applyNumberFormat="1" applyFont="1"/>
    <xf numFmtId="169" fontId="5" fillId="0" borderId="13" xfId="0" applyNumberFormat="1" applyFont="1" applyBorder="1" applyAlignment="1">
      <alignment horizontal="center"/>
    </xf>
    <xf numFmtId="0" fontId="7" fillId="0" borderId="15" xfId="0" applyFont="1" applyFill="1" applyBorder="1" applyAlignment="1">
      <alignment horizontal="left"/>
    </xf>
    <xf numFmtId="0" fontId="7" fillId="0" borderId="12" xfId="0" applyFont="1" applyFill="1" applyBorder="1" applyAlignment="1">
      <alignment horizontal="left"/>
    </xf>
    <xf numFmtId="169" fontId="7" fillId="0" borderId="12" xfId="0" applyNumberFormat="1" applyFont="1" applyFill="1" applyBorder="1" applyAlignment="1">
      <alignment horizontal="center"/>
    </xf>
    <xf numFmtId="169" fontId="99" fillId="0" borderId="12" xfId="0" applyNumberFormat="1" applyFont="1" applyFill="1" applyBorder="1" applyAlignment="1">
      <alignment horizontal="center"/>
    </xf>
    <xf numFmtId="171" fontId="7" fillId="0" borderId="12" xfId="0" applyNumberFormat="1" applyFont="1" applyFill="1" applyBorder="1" applyAlignment="1">
      <alignment horizontal="center"/>
    </xf>
    <xf numFmtId="171" fontId="7" fillId="24" borderId="12" xfId="0" applyNumberFormat="1" applyFont="1" applyFill="1" applyBorder="1" applyAlignment="1">
      <alignment horizontal="center"/>
    </xf>
    <xf numFmtId="171" fontId="7" fillId="24" borderId="26" xfId="0" applyNumberFormat="1" applyFont="1" applyFill="1" applyBorder="1" applyAlignment="1">
      <alignment horizontal="center"/>
    </xf>
    <xf numFmtId="0" fontId="7" fillId="0" borderId="14" xfId="0" applyFont="1" applyFill="1" applyBorder="1" applyAlignment="1">
      <alignment horizontal="left"/>
    </xf>
    <xf numFmtId="169" fontId="7" fillId="0" borderId="14" xfId="0" applyNumberFormat="1" applyFont="1" applyFill="1" applyBorder="1" applyAlignment="1">
      <alignment horizontal="center"/>
    </xf>
    <xf numFmtId="169" fontId="99" fillId="0" borderId="14" xfId="0" applyNumberFormat="1" applyFont="1" applyFill="1" applyBorder="1" applyAlignment="1">
      <alignment horizontal="center"/>
    </xf>
    <xf numFmtId="171" fontId="7" fillId="0" borderId="14" xfId="0" applyNumberFormat="1" applyFont="1" applyFill="1" applyBorder="1" applyAlignment="1">
      <alignment horizontal="center"/>
    </xf>
    <xf numFmtId="171" fontId="7" fillId="24" borderId="14" xfId="0" applyNumberFormat="1" applyFont="1" applyFill="1" applyBorder="1" applyAlignment="1">
      <alignment horizontal="center"/>
    </xf>
    <xf numFmtId="171" fontId="7" fillId="24" borderId="93" xfId="0" applyNumberFormat="1" applyFont="1" applyFill="1" applyBorder="1" applyAlignment="1">
      <alignment horizontal="center"/>
    </xf>
    <xf numFmtId="171" fontId="41" fillId="24" borderId="12" xfId="0" applyNumberFormat="1" applyFont="1" applyFill="1" applyBorder="1" applyAlignment="1">
      <alignment horizontal="center"/>
    </xf>
    <xf numFmtId="171" fontId="49" fillId="24" borderId="26" xfId="0" applyNumberFormat="1" applyFont="1" applyFill="1" applyBorder="1" applyAlignment="1">
      <alignment horizontal="center"/>
    </xf>
    <xf numFmtId="171" fontId="41" fillId="24" borderId="26" xfId="0" applyNumberFormat="1" applyFont="1" applyFill="1" applyBorder="1" applyAlignment="1">
      <alignment horizontal="center"/>
    </xf>
    <xf numFmtId="169" fontId="99" fillId="24" borderId="12" xfId="0" applyNumberFormat="1" applyFont="1" applyFill="1" applyBorder="1" applyAlignment="1">
      <alignment horizontal="center"/>
    </xf>
    <xf numFmtId="0" fontId="7" fillId="25" borderId="10" xfId="0" applyFont="1" applyFill="1" applyBorder="1" applyAlignment="1">
      <alignment horizontal="left"/>
    </xf>
    <xf numFmtId="0" fontId="7" fillId="25" borderId="11" xfId="0" applyFont="1" applyFill="1" applyBorder="1" applyAlignment="1">
      <alignment horizontal="left"/>
    </xf>
    <xf numFmtId="169" fontId="5" fillId="0" borderId="15" xfId="0" applyNumberFormat="1" applyFont="1" applyBorder="1" applyAlignment="1">
      <alignment horizontal="center"/>
    </xf>
    <xf numFmtId="169" fontId="5" fillId="0" borderId="27" xfId="0" applyNumberFormat="1" applyFont="1" applyBorder="1" applyAlignment="1">
      <alignment horizontal="center"/>
    </xf>
    <xf numFmtId="2" fontId="98" fillId="0" borderId="10" xfId="0" applyNumberFormat="1" applyFont="1" applyFill="1" applyBorder="1" applyAlignment="1">
      <alignment horizontal="center" vertical="center"/>
    </xf>
    <xf numFmtId="2" fontId="98" fillId="0" borderId="11" xfId="0" applyNumberFormat="1" applyFont="1" applyFill="1" applyBorder="1" applyAlignment="1">
      <alignment horizontal="center" vertical="center"/>
    </xf>
    <xf numFmtId="2" fontId="98" fillId="0" borderId="12" xfId="0" applyNumberFormat="1" applyFont="1" applyFill="1" applyBorder="1" applyAlignment="1">
      <alignment horizontal="center" vertical="center"/>
    </xf>
    <xf numFmtId="169" fontId="5" fillId="0" borderId="94" xfId="0" applyNumberFormat="1" applyFont="1" applyBorder="1" applyAlignment="1">
      <alignment horizontal="center"/>
    </xf>
    <xf numFmtId="169" fontId="5" fillId="0" borderId="95" xfId="0" applyNumberFormat="1" applyFont="1" applyBorder="1" applyAlignment="1">
      <alignment horizontal="center"/>
    </xf>
    <xf numFmtId="169" fontId="5" fillId="0" borderId="96" xfId="0" applyNumberFormat="1" applyFont="1" applyBorder="1" applyAlignment="1">
      <alignment horizontal="center"/>
    </xf>
    <xf numFmtId="169" fontId="5" fillId="0" borderId="91" xfId="0" applyNumberFormat="1" applyFont="1" applyBorder="1" applyAlignment="1">
      <alignment horizontal="center"/>
    </xf>
    <xf numFmtId="169" fontId="5" fillId="0" borderId="54" xfId="0" applyNumberFormat="1" applyFont="1" applyBorder="1" applyAlignment="1">
      <alignment horizontal="center"/>
    </xf>
    <xf numFmtId="0" fontId="61" fillId="0" borderId="21" xfId="173" applyFont="1" applyBorder="1" applyAlignment="1">
      <alignment vertical="center" wrapText="1"/>
    </xf>
    <xf numFmtId="0" fontId="0" fillId="0" borderId="0" xfId="0" applyAlignment="1">
      <alignment vertical="center"/>
    </xf>
    <xf numFmtId="169" fontId="24" fillId="24" borderId="0" xfId="0" applyNumberFormat="1" applyFont="1" applyFill="1"/>
    <xf numFmtId="181" fontId="10" fillId="24" borderId="13" xfId="205" applyNumberFormat="1" applyFont="1" applyFill="1" applyBorder="1" applyAlignment="1">
      <alignment horizontal="center"/>
    </xf>
    <xf numFmtId="181" fontId="5" fillId="0" borderId="13" xfId="205" applyNumberFormat="1" applyFont="1" applyFill="1" applyBorder="1" applyAlignment="1">
      <alignment horizontal="center"/>
    </xf>
    <xf numFmtId="0" fontId="5" fillId="24" borderId="13" xfId="0" applyFont="1" applyFill="1" applyBorder="1"/>
    <xf numFmtId="181" fontId="5" fillId="24" borderId="13" xfId="205" applyNumberFormat="1" applyFont="1" applyFill="1" applyBorder="1" applyAlignment="1">
      <alignment horizontal="center"/>
    </xf>
    <xf numFmtId="181" fontId="5" fillId="0" borderId="18" xfId="0" applyNumberFormat="1" applyFont="1" applyFill="1" applyBorder="1" applyAlignment="1">
      <alignment horizontal="center" vertical="center"/>
    </xf>
    <xf numFmtId="181" fontId="5" fillId="0" borderId="13" xfId="0" applyNumberFormat="1" applyFont="1" applyFill="1" applyBorder="1" applyAlignment="1">
      <alignment horizontal="center"/>
    </xf>
    <xf numFmtId="181" fontId="105" fillId="0" borderId="18" xfId="0" applyNumberFormat="1" applyFont="1" applyFill="1" applyBorder="1" applyAlignment="1">
      <alignment horizontal="center" vertical="center"/>
    </xf>
    <xf numFmtId="0" fontId="24" fillId="26" borderId="0" xfId="0" applyFont="1" applyFill="1"/>
    <xf numFmtId="3" fontId="5" fillId="0" borderId="0" xfId="0" applyNumberFormat="1" applyFont="1" applyBorder="1"/>
    <xf numFmtId="169" fontId="59" fillId="25" borderId="62" xfId="0" applyNumberFormat="1" applyFont="1" applyFill="1" applyBorder="1" applyAlignment="1">
      <alignment horizontal="center"/>
    </xf>
    <xf numFmtId="169" fontId="59" fillId="25" borderId="64" xfId="0" applyNumberFormat="1" applyFont="1" applyFill="1" applyBorder="1" applyAlignment="1">
      <alignment horizontal="center"/>
    </xf>
    <xf numFmtId="0" fontId="32" fillId="0" borderId="14" xfId="0" applyFont="1" applyBorder="1" applyAlignment="1">
      <alignment horizontal="center"/>
    </xf>
    <xf numFmtId="169" fontId="5" fillId="0" borderId="14" xfId="0" applyNumberFormat="1" applyFont="1" applyFill="1" applyBorder="1" applyAlignment="1">
      <alignment vertical="center"/>
    </xf>
    <xf numFmtId="169" fontId="32" fillId="0" borderId="97" xfId="0" applyNumberFormat="1" applyFont="1" applyBorder="1" applyAlignment="1">
      <alignment horizontal="center"/>
    </xf>
    <xf numFmtId="169" fontId="32" fillId="0" borderId="64" xfId="0" applyNumberFormat="1" applyFont="1" applyBorder="1" applyAlignment="1">
      <alignment horizontal="center"/>
    </xf>
    <xf numFmtId="166" fontId="5" fillId="24" borderId="15" xfId="205" applyNumberFormat="1" applyFont="1" applyFill="1" applyBorder="1" applyAlignment="1">
      <alignment horizontal="center" vertical="center"/>
    </xf>
    <xf numFmtId="14" fontId="32" fillId="0" borderId="0" xfId="0" applyNumberFormat="1" applyFont="1"/>
    <xf numFmtId="174" fontId="5" fillId="24" borderId="74" xfId="0" applyNumberFormat="1" applyFont="1" applyFill="1" applyBorder="1" applyAlignment="1">
      <alignment horizontal="center" vertical="center"/>
    </xf>
    <xf numFmtId="169" fontId="5" fillId="0" borderId="98" xfId="0" applyNumberFormat="1" applyFont="1" applyFill="1" applyBorder="1" applyAlignment="1">
      <alignment horizontal="center" vertical="center"/>
    </xf>
    <xf numFmtId="169" fontId="5" fillId="0" borderId="99" xfId="0" applyNumberFormat="1" applyFont="1" applyFill="1" applyBorder="1" applyAlignment="1">
      <alignment horizontal="center" vertical="center"/>
    </xf>
    <xf numFmtId="169" fontId="5" fillId="26" borderId="100" xfId="0" applyNumberFormat="1" applyFont="1" applyFill="1" applyBorder="1" applyAlignment="1">
      <alignment horizontal="center" vertical="center"/>
    </xf>
    <xf numFmtId="169" fontId="4" fillId="25" borderId="22" xfId="0" applyNumberFormat="1" applyFont="1" applyFill="1" applyBorder="1" applyAlignment="1">
      <alignment horizontal="center" vertical="center"/>
    </xf>
    <xf numFmtId="169" fontId="4" fillId="25" borderId="61" xfId="0" applyNumberFormat="1" applyFont="1" applyFill="1" applyBorder="1" applyAlignment="1">
      <alignment horizontal="center" vertical="center"/>
    </xf>
    <xf numFmtId="169" fontId="4" fillId="25" borderId="18" xfId="0" applyNumberFormat="1" applyFont="1" applyFill="1" applyBorder="1" applyAlignment="1">
      <alignment horizontal="center" vertical="center"/>
    </xf>
    <xf numFmtId="169" fontId="4" fillId="38" borderId="87" xfId="0" applyNumberFormat="1" applyFont="1" applyFill="1" applyBorder="1" applyAlignment="1">
      <alignment horizontal="center" vertical="center"/>
    </xf>
    <xf numFmtId="2" fontId="0" fillId="0" borderId="0" xfId="0" applyNumberFormat="1"/>
    <xf numFmtId="174" fontId="103" fillId="0" borderId="57" xfId="0" applyNumberFormat="1" applyFont="1" applyFill="1" applyBorder="1" applyAlignment="1">
      <alignment horizontal="center"/>
    </xf>
    <xf numFmtId="183" fontId="32" fillId="0" borderId="0" xfId="0" applyNumberFormat="1" applyFont="1"/>
    <xf numFmtId="3" fontId="105" fillId="24" borderId="13" xfId="0" applyNumberFormat="1" applyFont="1" applyFill="1" applyBorder="1" applyAlignment="1">
      <alignment horizontal="center" vertical="center"/>
    </xf>
    <xf numFmtId="4" fontId="105" fillId="24" borderId="13" xfId="0" applyNumberFormat="1" applyFont="1" applyFill="1" applyBorder="1" applyAlignment="1">
      <alignment horizontal="center" vertical="center"/>
    </xf>
    <xf numFmtId="174" fontId="36" fillId="39" borderId="57" xfId="196" applyNumberFormat="1" applyFont="1" applyFill="1" applyBorder="1" applyAlignment="1">
      <alignment horizontal="center"/>
    </xf>
    <xf numFmtId="169" fontId="5" fillId="0" borderId="11" xfId="0" applyNumberFormat="1" applyFont="1" applyBorder="1" applyAlignment="1">
      <alignment horizontal="center"/>
    </xf>
    <xf numFmtId="181" fontId="4" fillId="25" borderId="101" xfId="0" applyNumberFormat="1" applyFont="1" applyFill="1" applyBorder="1" applyAlignment="1">
      <alignment horizontal="center"/>
    </xf>
    <xf numFmtId="0" fontId="32" fillId="0" borderId="13" xfId="0" applyFont="1" applyBorder="1" applyAlignment="1">
      <alignment horizontal="center"/>
    </xf>
    <xf numFmtId="174" fontId="32" fillId="24" borderId="13" xfId="0" applyNumberFormat="1" applyFont="1" applyFill="1" applyBorder="1" applyAlignment="1">
      <alignment horizontal="center"/>
    </xf>
    <xf numFmtId="174" fontId="13" fillId="26" borderId="102" xfId="0" applyNumberFormat="1" applyFont="1" applyFill="1" applyBorder="1" applyAlignment="1">
      <alignment horizontal="center"/>
    </xf>
    <xf numFmtId="174" fontId="13" fillId="26" borderId="103" xfId="0" applyNumberFormat="1" applyFont="1" applyFill="1" applyBorder="1" applyAlignment="1">
      <alignment horizontal="center"/>
    </xf>
    <xf numFmtId="169" fontId="0" fillId="0" borderId="0" xfId="0" applyNumberFormat="1"/>
    <xf numFmtId="3" fontId="5" fillId="24" borderId="12" xfId="205" applyNumberFormat="1" applyFont="1" applyFill="1" applyBorder="1" applyAlignment="1">
      <alignment horizontal="center" vertical="center"/>
    </xf>
    <xf numFmtId="3" fontId="5" fillId="24" borderId="95" xfId="0" applyNumberFormat="1" applyFont="1" applyFill="1" applyBorder="1" applyAlignment="1">
      <alignment horizontal="center" vertical="center"/>
    </xf>
    <xf numFmtId="3" fontId="5" fillId="24" borderId="91" xfId="0" applyNumberFormat="1" applyFont="1" applyFill="1" applyBorder="1" applyAlignment="1">
      <alignment horizontal="center" vertical="center"/>
    </xf>
    <xf numFmtId="0" fontId="48" fillId="25" borderId="13" xfId="0" applyFont="1" applyFill="1" applyBorder="1" applyAlignment="1">
      <alignment horizontal="center"/>
    </xf>
    <xf numFmtId="4" fontId="4" fillId="24" borderId="0" xfId="0" applyNumberFormat="1" applyFont="1" applyFill="1" applyBorder="1" applyAlignment="1">
      <alignment horizontal="center"/>
    </xf>
    <xf numFmtId="0" fontId="4" fillId="0" borderId="16" xfId="0" applyFont="1" applyFill="1" applyBorder="1" applyAlignment="1">
      <alignment horizontal="center"/>
    </xf>
    <xf numFmtId="0" fontId="4" fillId="0" borderId="0" xfId="0" applyFont="1" applyFill="1" applyBorder="1" applyAlignment="1">
      <alignment horizontal="center" wrapText="1"/>
    </xf>
    <xf numFmtId="3" fontId="4" fillId="0" borderId="0" xfId="0" applyNumberFormat="1" applyFont="1" applyFill="1" applyBorder="1" applyAlignment="1">
      <alignment horizontal="center" vertical="center"/>
    </xf>
    <xf numFmtId="3" fontId="57" fillId="0" borderId="0" xfId="0" applyNumberFormat="1" applyFont="1" applyFill="1" applyAlignment="1">
      <alignment horizontal="center" vertical="center"/>
    </xf>
    <xf numFmtId="0" fontId="57" fillId="0" borderId="0" xfId="0" applyFont="1" applyFill="1" applyAlignment="1">
      <alignment horizontal="center"/>
    </xf>
    <xf numFmtId="0" fontId="57" fillId="0" borderId="0" xfId="0" applyFont="1" applyFill="1"/>
    <xf numFmtId="3" fontId="48" fillId="25" borderId="13" xfId="0" applyNumberFormat="1" applyFont="1" applyFill="1" applyBorder="1" applyAlignment="1">
      <alignment horizontal="center" vertical="center"/>
    </xf>
    <xf numFmtId="0" fontId="57" fillId="0" borderId="13" xfId="0" applyFont="1" applyFill="1" applyBorder="1" applyAlignment="1">
      <alignment wrapText="1"/>
    </xf>
    <xf numFmtId="0" fontId="57" fillId="24" borderId="13" xfId="0" applyFont="1" applyFill="1" applyBorder="1" applyAlignment="1">
      <alignment horizontal="center" wrapText="1"/>
    </xf>
    <xf numFmtId="3" fontId="57" fillId="0" borderId="13" xfId="0" applyNumberFormat="1" applyFont="1" applyFill="1" applyBorder="1" applyAlignment="1">
      <alignment horizontal="center" vertical="center"/>
    </xf>
    <xf numFmtId="2" fontId="57" fillId="0" borderId="13" xfId="0" applyNumberFormat="1" applyFont="1" applyFill="1" applyBorder="1" applyAlignment="1">
      <alignment horizontal="center"/>
    </xf>
    <xf numFmtId="164" fontId="57" fillId="0" borderId="13" xfId="0" applyNumberFormat="1" applyFont="1" applyFill="1" applyBorder="1" applyAlignment="1">
      <alignment horizontal="center"/>
    </xf>
    <xf numFmtId="0" fontId="57" fillId="24" borderId="13" xfId="0" applyFont="1" applyFill="1" applyBorder="1" applyAlignment="1">
      <alignment horizontal="center" vertical="center" wrapText="1"/>
    </xf>
    <xf numFmtId="0" fontId="48" fillId="0" borderId="13" xfId="0" applyFont="1" applyFill="1" applyBorder="1" applyAlignment="1">
      <alignment horizontal="center"/>
    </xf>
    <xf numFmtId="4" fontId="48" fillId="0" borderId="13" xfId="0" applyNumberFormat="1" applyFont="1" applyFill="1" applyBorder="1" applyAlignment="1">
      <alignment horizontal="center"/>
    </xf>
    <xf numFmtId="0" fontId="57" fillId="0" borderId="0" xfId="0" applyFont="1" applyFill="1" applyAlignment="1">
      <alignment horizontal="right"/>
    </xf>
    <xf numFmtId="3" fontId="57" fillId="0" borderId="0" xfId="0" applyNumberFormat="1" applyFont="1" applyFill="1" applyBorder="1" applyAlignment="1">
      <alignment horizontal="center" vertical="center"/>
    </xf>
    <xf numFmtId="4" fontId="57" fillId="0" borderId="0" xfId="0" applyNumberFormat="1" applyFont="1" applyFill="1" applyBorder="1" applyAlignment="1">
      <alignment horizontal="center"/>
    </xf>
    <xf numFmtId="0" fontId="48" fillId="0" borderId="13" xfId="0" applyFont="1" applyFill="1" applyBorder="1" applyAlignment="1">
      <alignment horizontal="center" wrapText="1"/>
    </xf>
    <xf numFmtId="4" fontId="48" fillId="0" borderId="13" xfId="0" applyNumberFormat="1" applyFont="1" applyFill="1" applyBorder="1" applyAlignment="1">
      <alignment horizontal="center" vertical="center"/>
    </xf>
    <xf numFmtId="164" fontId="48" fillId="0" borderId="13" xfId="0" applyNumberFormat="1" applyFont="1" applyFill="1" applyBorder="1" applyAlignment="1">
      <alignment horizontal="center"/>
    </xf>
    <xf numFmtId="0" fontId="48" fillId="0" borderId="16" xfId="0" applyFont="1" applyFill="1" applyBorder="1" applyAlignment="1">
      <alignment horizontal="center"/>
    </xf>
    <xf numFmtId="0" fontId="48" fillId="0" borderId="0" xfId="0" applyFont="1" applyFill="1" applyBorder="1" applyAlignment="1">
      <alignment horizontal="center" wrapText="1"/>
    </xf>
    <xf numFmtId="3" fontId="48" fillId="0" borderId="0" xfId="0" applyNumberFormat="1" applyFont="1" applyFill="1" applyBorder="1" applyAlignment="1">
      <alignment horizontal="center" vertical="center"/>
    </xf>
    <xf numFmtId="4" fontId="48" fillId="0" borderId="0" xfId="0" applyNumberFormat="1" applyFont="1" applyFill="1" applyBorder="1" applyAlignment="1">
      <alignment horizontal="center" vertical="center"/>
    </xf>
    <xf numFmtId="164" fontId="48" fillId="0" borderId="0" xfId="0" applyNumberFormat="1" applyFont="1" applyFill="1" applyBorder="1" applyAlignment="1">
      <alignment horizontal="center"/>
    </xf>
    <xf numFmtId="165" fontId="48" fillId="25" borderId="13" xfId="0" applyNumberFormat="1" applyFont="1" applyFill="1" applyBorder="1" applyAlignment="1">
      <alignment horizontal="center"/>
    </xf>
    <xf numFmtId="165" fontId="57" fillId="0" borderId="13" xfId="0" applyNumberFormat="1" applyFont="1" applyFill="1" applyBorder="1" applyAlignment="1">
      <alignment horizontal="center"/>
    </xf>
    <xf numFmtId="2" fontId="57" fillId="0" borderId="13" xfId="0" applyNumberFormat="1" applyFont="1" applyFill="1" applyBorder="1" applyAlignment="1">
      <alignment horizontal="center" vertical="center"/>
    </xf>
    <xf numFmtId="174" fontId="4" fillId="24" borderId="19" xfId="0" applyNumberFormat="1" applyFont="1" applyFill="1" applyBorder="1" applyAlignment="1">
      <alignment horizontal="center"/>
    </xf>
    <xf numFmtId="0" fontId="49" fillId="0" borderId="13" xfId="0" applyFont="1" applyFill="1" applyBorder="1" applyAlignment="1">
      <alignment wrapText="1"/>
    </xf>
    <xf numFmtId="0" fontId="11" fillId="25" borderId="17" xfId="0" applyFont="1" applyFill="1" applyBorder="1" applyAlignment="1"/>
    <xf numFmtId="0" fontId="11" fillId="25" borderId="19" xfId="0" applyFont="1" applyFill="1" applyBorder="1" applyAlignment="1"/>
    <xf numFmtId="0" fontId="11" fillId="25" borderId="20" xfId="0" applyFont="1" applyFill="1" applyBorder="1" applyAlignment="1"/>
    <xf numFmtId="4" fontId="5" fillId="25" borderId="0" xfId="0" applyNumberFormat="1" applyFont="1" applyFill="1" applyAlignment="1">
      <alignment horizontal="center"/>
    </xf>
    <xf numFmtId="0" fontId="4" fillId="25" borderId="17" xfId="0" applyFont="1" applyFill="1" applyBorder="1" applyAlignment="1"/>
    <xf numFmtId="0" fontId="4" fillId="25" borderId="19" xfId="0" applyFont="1" applyFill="1" applyBorder="1" applyAlignment="1"/>
    <xf numFmtId="0" fontId="4" fillId="25" borderId="20" xfId="0" applyFont="1" applyFill="1" applyBorder="1" applyAlignment="1"/>
    <xf numFmtId="0" fontId="69" fillId="0" borderId="21" xfId="173" applyFont="1" applyBorder="1" applyAlignment="1">
      <alignment vertical="center" wrapText="1"/>
    </xf>
    <xf numFmtId="181" fontId="105" fillId="0" borderId="13" xfId="0" applyNumberFormat="1" applyFont="1" applyFill="1" applyBorder="1" applyAlignment="1">
      <alignment horizontal="center"/>
    </xf>
    <xf numFmtId="0" fontId="7" fillId="0" borderId="21" xfId="0" applyFont="1" applyFill="1" applyBorder="1" applyAlignment="1">
      <alignment horizontal="center"/>
    </xf>
    <xf numFmtId="0" fontId="13" fillId="25" borderId="56" xfId="0" applyFont="1" applyFill="1" applyBorder="1"/>
    <xf numFmtId="0" fontId="13" fillId="25" borderId="31" xfId="0" applyFont="1" applyFill="1" applyBorder="1"/>
    <xf numFmtId="0" fontId="13" fillId="25" borderId="30" xfId="0" applyFont="1" applyFill="1" applyBorder="1"/>
    <xf numFmtId="3" fontId="11" fillId="25" borderId="13" xfId="0" applyNumberFormat="1" applyFont="1" applyFill="1" applyBorder="1" applyAlignment="1">
      <alignment horizontal="center" vertical="center"/>
    </xf>
    <xf numFmtId="3" fontId="105" fillId="0" borderId="13" xfId="0" applyNumberFormat="1" applyFont="1" applyFill="1" applyBorder="1" applyAlignment="1">
      <alignment horizontal="center" vertical="center"/>
    </xf>
    <xf numFmtId="181" fontId="0" fillId="0" borderId="0" xfId="0" applyNumberFormat="1" applyAlignment="1">
      <alignment horizontal="center"/>
    </xf>
    <xf numFmtId="181" fontId="3" fillId="0" borderId="0" xfId="0" applyNumberFormat="1" applyFont="1" applyFill="1" applyBorder="1" applyAlignment="1">
      <alignment horizontal="center"/>
    </xf>
    <xf numFmtId="181" fontId="5" fillId="0" borderId="0" xfId="0" applyNumberFormat="1" applyFont="1" applyAlignment="1">
      <alignment horizontal="center"/>
    </xf>
    <xf numFmtId="181" fontId="4" fillId="25" borderId="18" xfId="0" applyNumberFormat="1" applyFont="1" applyFill="1" applyBorder="1" applyAlignment="1">
      <alignment horizontal="center" vertical="center"/>
    </xf>
    <xf numFmtId="181" fontId="10" fillId="0" borderId="13" xfId="0" applyNumberFormat="1" applyFont="1" applyBorder="1" applyAlignment="1">
      <alignment horizontal="center"/>
    </xf>
    <xf numFmtId="181" fontId="5" fillId="0" borderId="13" xfId="0" applyNumberFormat="1" applyFont="1" applyBorder="1" applyAlignment="1">
      <alignment horizontal="center"/>
    </xf>
    <xf numFmtId="181" fontId="57" fillId="0" borderId="0" xfId="0" applyNumberFormat="1" applyFont="1" applyAlignment="1">
      <alignment horizontal="center"/>
    </xf>
    <xf numFmtId="181" fontId="48" fillId="25" borderId="18" xfId="0" applyNumberFormat="1" applyFont="1" applyFill="1" applyBorder="1" applyAlignment="1">
      <alignment horizontal="center" vertical="center"/>
    </xf>
    <xf numFmtId="181" fontId="5" fillId="0" borderId="0" xfId="0" applyNumberFormat="1" applyFont="1" applyFill="1" applyAlignment="1">
      <alignment horizontal="center"/>
    </xf>
    <xf numFmtId="181" fontId="105" fillId="0" borderId="13" xfId="0" applyNumberFormat="1" applyFont="1" applyBorder="1" applyAlignment="1">
      <alignment horizontal="center"/>
    </xf>
    <xf numFmtId="164" fontId="105" fillId="0" borderId="13" xfId="0" applyNumberFormat="1" applyFont="1" applyFill="1" applyBorder="1" applyAlignment="1">
      <alignment horizontal="center"/>
    </xf>
    <xf numFmtId="165" fontId="48" fillId="0" borderId="13" xfId="0" applyNumberFormat="1" applyFont="1" applyFill="1" applyBorder="1" applyAlignment="1">
      <alignment horizontal="center" vertical="center"/>
    </xf>
    <xf numFmtId="0" fontId="60" fillId="30" borderId="81" xfId="0" applyFont="1" applyFill="1" applyBorder="1" applyAlignment="1">
      <alignment horizontal="center" wrapText="1"/>
    </xf>
    <xf numFmtId="0" fontId="7" fillId="30" borderId="77" xfId="0" applyFont="1" applyFill="1" applyBorder="1" applyAlignment="1">
      <alignment horizontal="center"/>
    </xf>
    <xf numFmtId="0" fontId="7" fillId="30" borderId="104" xfId="0" applyFont="1" applyFill="1" applyBorder="1" applyAlignment="1">
      <alignment horizontal="center" wrapText="1"/>
    </xf>
    <xf numFmtId="0" fontId="7" fillId="30" borderId="18" xfId="0" applyFont="1" applyFill="1" applyBorder="1" applyAlignment="1">
      <alignment horizontal="center"/>
    </xf>
    <xf numFmtId="0" fontId="7" fillId="30" borderId="90" xfId="0" applyFont="1" applyFill="1" applyBorder="1" applyAlignment="1">
      <alignment horizontal="center" wrapText="1"/>
    </xf>
    <xf numFmtId="0" fontId="7" fillId="30" borderId="102" xfId="0" applyFont="1" applyFill="1" applyBorder="1" applyAlignment="1">
      <alignment horizontal="center" vertical="center" wrapText="1"/>
    </xf>
    <xf numFmtId="9" fontId="7" fillId="30" borderId="102" xfId="205" applyFont="1" applyFill="1" applyBorder="1" applyAlignment="1">
      <alignment horizontal="center"/>
    </xf>
    <xf numFmtId="181" fontId="47" fillId="30" borderId="103" xfId="0" applyNumberFormat="1" applyFont="1" applyFill="1" applyBorder="1" applyAlignment="1">
      <alignment horizontal="center"/>
    </xf>
    <xf numFmtId="0" fontId="7" fillId="30" borderId="105" xfId="0" applyFont="1" applyFill="1" applyBorder="1" applyAlignment="1">
      <alignment horizontal="center"/>
    </xf>
    <xf numFmtId="14" fontId="109" fillId="30" borderId="103" xfId="0" applyNumberFormat="1" applyFont="1" applyFill="1" applyBorder="1" applyAlignment="1">
      <alignment horizontal="center"/>
    </xf>
    <xf numFmtId="174" fontId="5" fillId="30" borderId="13" xfId="0" applyNumberFormat="1" applyFont="1" applyFill="1" applyBorder="1" applyAlignment="1">
      <alignment horizontal="center"/>
    </xf>
    <xf numFmtId="174" fontId="32" fillId="0" borderId="0" xfId="0" applyNumberFormat="1" applyFont="1"/>
    <xf numFmtId="174" fontId="7" fillId="24" borderId="10" xfId="0" applyNumberFormat="1" applyFont="1" applyFill="1" applyBorder="1" applyAlignment="1">
      <alignment horizontal="center"/>
    </xf>
    <xf numFmtId="174" fontId="32" fillId="0" borderId="13" xfId="0" applyNumberFormat="1" applyFont="1" applyBorder="1" applyAlignment="1">
      <alignment horizontal="center"/>
    </xf>
    <xf numFmtId="174" fontId="0" fillId="0" borderId="57" xfId="0" applyNumberFormat="1"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2" fontId="24" fillId="0" borderId="13" xfId="0" applyNumberFormat="1" applyFont="1" applyBorder="1" applyAlignment="1">
      <alignment horizontal="center"/>
    </xf>
    <xf numFmtId="2" fontId="24" fillId="0" borderId="29" xfId="0" applyNumberFormat="1" applyFont="1" applyFill="1" applyBorder="1" applyAlignment="1">
      <alignment horizontal="center"/>
    </xf>
    <xf numFmtId="174" fontId="66" fillId="0" borderId="57" xfId="0" applyNumberFormat="1" applyFont="1" applyFill="1" applyBorder="1" applyAlignment="1">
      <alignment horizontal="center"/>
    </xf>
    <xf numFmtId="174" fontId="71" fillId="0" borderId="102" xfId="0" applyNumberFormat="1" applyFont="1" applyFill="1" applyBorder="1" applyAlignment="1">
      <alignment horizontal="center"/>
    </xf>
    <xf numFmtId="174" fontId="71" fillId="0" borderId="103" xfId="0" applyNumberFormat="1" applyFont="1" applyFill="1" applyBorder="1" applyAlignment="1">
      <alignment horizontal="center"/>
    </xf>
    <xf numFmtId="2" fontId="35" fillId="0" borderId="13" xfId="0" applyNumberFormat="1" applyFont="1" applyFill="1" applyBorder="1"/>
    <xf numFmtId="174" fontId="66" fillId="0" borderId="13" xfId="0" applyNumberFormat="1" applyFont="1" applyFill="1" applyBorder="1" applyAlignment="1">
      <alignment horizontal="center"/>
    </xf>
    <xf numFmtId="2" fontId="5" fillId="0" borderId="21" xfId="0" applyNumberFormat="1" applyFont="1" applyFill="1" applyBorder="1"/>
    <xf numFmtId="2" fontId="66" fillId="0" borderId="13" xfId="0" applyNumberFormat="1" applyFont="1" applyFill="1" applyBorder="1" applyAlignment="1">
      <alignment horizontal="center"/>
    </xf>
    <xf numFmtId="181" fontId="68" fillId="26" borderId="13" xfId="0" applyNumberFormat="1" applyFont="1" applyFill="1" applyBorder="1" applyAlignment="1">
      <alignment horizontal="center"/>
    </xf>
    <xf numFmtId="167" fontId="5" fillId="24" borderId="13" xfId="0" applyNumberFormat="1" applyFont="1" applyFill="1" applyBorder="1" applyAlignment="1">
      <alignment horizontal="center" vertical="center"/>
    </xf>
    <xf numFmtId="181" fontId="109" fillId="24" borderId="18" xfId="0" applyNumberFormat="1" applyFont="1" applyFill="1" applyBorder="1" applyAlignment="1">
      <alignment horizontal="center" vertical="center"/>
    </xf>
    <xf numFmtId="181" fontId="105" fillId="24" borderId="13" xfId="205" applyNumberFormat="1" applyFont="1" applyFill="1" applyBorder="1" applyAlignment="1">
      <alignment horizontal="center"/>
    </xf>
    <xf numFmtId="181" fontId="68" fillId="24" borderId="13" xfId="0" applyNumberFormat="1" applyFont="1" applyFill="1" applyBorder="1" applyAlignment="1">
      <alignment horizontal="center"/>
    </xf>
    <xf numFmtId="180" fontId="10" fillId="0" borderId="13" xfId="205" applyNumberFormat="1" applyFont="1" applyFill="1" applyBorder="1" applyAlignment="1">
      <alignment horizontal="center"/>
    </xf>
    <xf numFmtId="180" fontId="10" fillId="0" borderId="13" xfId="0" applyNumberFormat="1" applyFont="1" applyBorder="1" applyAlignment="1">
      <alignment horizontal="center"/>
    </xf>
    <xf numFmtId="4" fontId="5" fillId="26" borderId="85" xfId="0" applyNumberFormat="1" applyFont="1" applyFill="1" applyBorder="1" applyAlignment="1">
      <alignment horizontal="center" vertical="center"/>
    </xf>
    <xf numFmtId="4" fontId="5" fillId="26" borderId="106" xfId="0" applyNumberFormat="1" applyFont="1" applyFill="1" applyBorder="1" applyAlignment="1">
      <alignment horizontal="center" vertical="center"/>
    </xf>
    <xf numFmtId="4" fontId="5" fillId="26" borderId="54" xfId="0" applyNumberFormat="1" applyFont="1" applyFill="1" applyBorder="1" applyAlignment="1">
      <alignment horizontal="center" vertical="center"/>
    </xf>
    <xf numFmtId="181" fontId="108" fillId="0" borderId="18" xfId="0" applyNumberFormat="1" applyFont="1" applyFill="1" applyBorder="1" applyAlignment="1">
      <alignment horizontal="center" vertical="center"/>
    </xf>
    <xf numFmtId="0" fontId="49" fillId="0" borderId="13" xfId="0" applyFont="1" applyFill="1" applyBorder="1" applyAlignment="1">
      <alignment vertical="center" wrapText="1"/>
    </xf>
    <xf numFmtId="174" fontId="66" fillId="0" borderId="0" xfId="0" applyNumberFormat="1" applyFont="1" applyAlignment="1">
      <alignment vertical="center"/>
    </xf>
    <xf numFmtId="0" fontId="4" fillId="25" borderId="29" xfId="0" applyFont="1" applyFill="1" applyBorder="1" applyAlignment="1">
      <alignment horizontal="center"/>
    </xf>
    <xf numFmtId="0" fontId="48" fillId="0" borderId="0" xfId="0" applyFont="1" applyFill="1"/>
    <xf numFmtId="174" fontId="0" fillId="0" borderId="59" xfId="0" applyNumberFormat="1" applyFill="1" applyBorder="1" applyAlignment="1">
      <alignment horizontal="center"/>
    </xf>
    <xf numFmtId="4" fontId="7" fillId="24" borderId="13" xfId="0" applyNumberFormat="1" applyFont="1" applyFill="1" applyBorder="1" applyAlignment="1">
      <alignment horizontal="center"/>
    </xf>
    <xf numFmtId="4" fontId="7" fillId="30" borderId="107" xfId="0" applyNumberFormat="1" applyFont="1" applyFill="1" applyBorder="1" applyAlignment="1">
      <alignment horizontal="center"/>
    </xf>
    <xf numFmtId="4" fontId="7" fillId="30" borderId="60" xfId="0" applyNumberFormat="1" applyFont="1" applyFill="1" applyBorder="1" applyAlignment="1">
      <alignment horizontal="center"/>
    </xf>
    <xf numFmtId="4" fontId="7" fillId="30" borderId="102" xfId="0" applyNumberFormat="1" applyFont="1" applyFill="1" applyBorder="1" applyAlignment="1">
      <alignment horizontal="center"/>
    </xf>
    <xf numFmtId="174" fontId="66" fillId="0" borderId="13" xfId="0" applyNumberFormat="1" applyFont="1" applyBorder="1" applyAlignment="1">
      <alignment horizontal="center"/>
    </xf>
    <xf numFmtId="174" fontId="36" fillId="39" borderId="58" xfId="196" applyNumberFormat="1" applyFont="1" applyFill="1" applyBorder="1" applyAlignment="1">
      <alignment horizontal="center"/>
    </xf>
    <xf numFmtId="0" fontId="66" fillId="0" borderId="0" xfId="0" applyFont="1" applyFill="1"/>
    <xf numFmtId="2" fontId="66" fillId="0" borderId="0" xfId="0" applyNumberFormat="1" applyFont="1" applyFill="1"/>
    <xf numFmtId="0" fontId="66" fillId="0" borderId="13" xfId="0" applyFont="1" applyBorder="1" applyAlignment="1">
      <alignment horizontal="center"/>
    </xf>
    <xf numFmtId="0" fontId="72" fillId="0" borderId="13" xfId="0" applyFont="1" applyFill="1" applyBorder="1" applyAlignment="1">
      <alignment horizontal="center"/>
    </xf>
    <xf numFmtId="2" fontId="66" fillId="0" borderId="13" xfId="0" applyNumberFormat="1" applyFont="1" applyBorder="1" applyAlignment="1">
      <alignment horizontal="center"/>
    </xf>
    <xf numFmtId="2" fontId="66" fillId="0" borderId="13" xfId="0" applyNumberFormat="1" applyFont="1" applyFill="1" applyBorder="1" applyAlignment="1">
      <alignment horizontal="right"/>
    </xf>
    <xf numFmtId="2" fontId="72" fillId="25" borderId="13" xfId="0" applyNumberFormat="1" applyFont="1" applyFill="1" applyBorder="1" applyAlignment="1">
      <alignment horizontal="center"/>
    </xf>
    <xf numFmtId="2" fontId="66" fillId="0" borderId="13" xfId="0" applyNumberFormat="1" applyFont="1" applyBorder="1"/>
    <xf numFmtId="2" fontId="66" fillId="26" borderId="13" xfId="0" applyNumberFormat="1" applyFont="1" applyFill="1" applyBorder="1" applyAlignment="1">
      <alignment horizontal="center"/>
    </xf>
    <xf numFmtId="2" fontId="5" fillId="0" borderId="13" xfId="177" applyNumberFormat="1" applyFont="1" applyFill="1" applyBorder="1" applyAlignment="1">
      <alignment horizontal="center"/>
    </xf>
    <xf numFmtId="174" fontId="53" fillId="24" borderId="57" xfId="0" applyNumberFormat="1" applyFont="1" applyFill="1" applyBorder="1" applyAlignment="1">
      <alignment horizontal="center"/>
    </xf>
    <xf numFmtId="0" fontId="36" fillId="0" borderId="13" xfId="0" applyFont="1" applyBorder="1"/>
    <xf numFmtId="3" fontId="73" fillId="24" borderId="13" xfId="0" applyNumberFormat="1" applyFont="1" applyFill="1" applyBorder="1" applyAlignment="1">
      <alignment horizontal="right"/>
    </xf>
    <xf numFmtId="174" fontId="66" fillId="0" borderId="58" xfId="0" applyNumberFormat="1" applyFont="1" applyFill="1" applyBorder="1" applyAlignment="1">
      <alignment horizontal="center"/>
    </xf>
    <xf numFmtId="174" fontId="66" fillId="0" borderId="13" xfId="0" applyNumberFormat="1" applyFont="1" applyFill="1" applyBorder="1"/>
    <xf numFmtId="0" fontId="69" fillId="0" borderId="29" xfId="173" applyFont="1" applyBorder="1" applyAlignment="1">
      <alignment vertical="center" wrapText="1"/>
    </xf>
    <xf numFmtId="0" fontId="5" fillId="24" borderId="28" xfId="0" applyFont="1" applyFill="1" applyBorder="1" applyAlignment="1">
      <alignment horizontal="center"/>
    </xf>
    <xf numFmtId="3" fontId="5" fillId="24" borderId="29" xfId="0" applyNumberFormat="1" applyFont="1" applyFill="1" applyBorder="1" applyAlignment="1">
      <alignment horizontal="center" vertical="center"/>
    </xf>
    <xf numFmtId="9" fontId="5" fillId="24" borderId="18" xfId="205" applyFont="1" applyFill="1" applyBorder="1" applyAlignment="1">
      <alignment horizontal="center"/>
    </xf>
    <xf numFmtId="181" fontId="10" fillId="0" borderId="18" xfId="205" applyNumberFormat="1" applyFont="1" applyFill="1" applyBorder="1" applyAlignment="1">
      <alignment horizontal="center"/>
    </xf>
    <xf numFmtId="0" fontId="4" fillId="0" borderId="109" xfId="0" applyFont="1" applyFill="1" applyBorder="1" applyAlignment="1">
      <alignment horizontal="center"/>
    </xf>
    <xf numFmtId="0" fontId="4" fillId="0" borderId="110" xfId="0" applyFont="1" applyFill="1" applyBorder="1" applyAlignment="1">
      <alignment horizontal="center"/>
    </xf>
    <xf numFmtId="4" fontId="4" fillId="26" borderId="111" xfId="0" applyNumberFormat="1" applyFont="1" applyFill="1" applyBorder="1" applyAlignment="1">
      <alignment horizontal="center" vertical="center"/>
    </xf>
    <xf numFmtId="9" fontId="5" fillId="24" borderId="111" xfId="205" applyFont="1" applyFill="1" applyBorder="1" applyAlignment="1">
      <alignment horizontal="center"/>
    </xf>
    <xf numFmtId="181" fontId="5" fillId="0" borderId="112" xfId="205" applyNumberFormat="1" applyFont="1" applyFill="1" applyBorder="1" applyAlignment="1">
      <alignment horizontal="center"/>
    </xf>
    <xf numFmtId="174" fontId="66" fillId="0" borderId="113" xfId="0" applyNumberFormat="1" applyFont="1" applyFill="1" applyBorder="1" applyAlignment="1">
      <alignment horizontal="center"/>
    </xf>
    <xf numFmtId="174" fontId="71" fillId="36" borderId="114" xfId="0" applyNumberFormat="1" applyFont="1" applyFill="1" applyBorder="1" applyAlignment="1">
      <alignment horizontal="center"/>
    </xf>
    <xf numFmtId="174" fontId="71" fillId="36" borderId="88" xfId="0" applyNumberFormat="1" applyFont="1" applyFill="1" applyBorder="1" applyAlignment="1">
      <alignment horizontal="center"/>
    </xf>
    <xf numFmtId="174" fontId="71" fillId="36" borderId="77" xfId="0" applyNumberFormat="1" applyFont="1" applyFill="1" applyBorder="1" applyAlignment="1">
      <alignment horizontal="center"/>
    </xf>
    <xf numFmtId="0" fontId="66" fillId="24" borderId="13" xfId="0" applyFont="1" applyFill="1" applyBorder="1" applyAlignment="1">
      <alignment horizontal="center"/>
    </xf>
    <xf numFmtId="0" fontId="0" fillId="0" borderId="13" xfId="0" applyBorder="1" applyAlignment="1">
      <alignment wrapText="1"/>
    </xf>
    <xf numFmtId="174" fontId="13" fillId="24" borderId="13" xfId="177" applyNumberFormat="1" applyFont="1" applyFill="1" applyBorder="1" applyAlignment="1">
      <alignment horizontal="center"/>
    </xf>
    <xf numFmtId="4" fontId="7" fillId="24" borderId="13" xfId="0" applyNumberFormat="1" applyFont="1" applyFill="1" applyBorder="1" applyAlignment="1">
      <alignment horizontal="center" vertical="center"/>
    </xf>
    <xf numFmtId="4" fontId="7" fillId="30" borderId="77" xfId="0" applyNumberFormat="1" applyFont="1" applyFill="1" applyBorder="1" applyAlignment="1">
      <alignment horizontal="center" vertical="center"/>
    </xf>
    <xf numFmtId="4" fontId="7" fillId="30" borderId="18" xfId="0" applyNumberFormat="1" applyFont="1" applyFill="1" applyBorder="1" applyAlignment="1">
      <alignment horizontal="center" vertical="center"/>
    </xf>
    <xf numFmtId="4" fontId="7" fillId="0" borderId="77" xfId="0" applyNumberFormat="1" applyFont="1" applyFill="1" applyBorder="1" applyAlignment="1">
      <alignment horizontal="center" vertical="center"/>
    </xf>
    <xf numFmtId="4" fontId="7" fillId="0" borderId="13" xfId="0" applyNumberFormat="1" applyFont="1" applyFill="1" applyBorder="1" applyAlignment="1">
      <alignment horizontal="center" vertical="center"/>
    </xf>
    <xf numFmtId="9" fontId="109" fillId="30" borderId="18" xfId="205" applyFont="1" applyFill="1" applyBorder="1" applyAlignment="1">
      <alignment horizontal="center"/>
    </xf>
    <xf numFmtId="9" fontId="109" fillId="30" borderId="77" xfId="205" applyFont="1" applyFill="1" applyBorder="1" applyAlignment="1">
      <alignment horizontal="center"/>
    </xf>
    <xf numFmtId="9" fontId="109" fillId="30" borderId="102" xfId="205" applyFont="1" applyFill="1" applyBorder="1" applyAlignment="1">
      <alignment horizontal="center"/>
    </xf>
    <xf numFmtId="4" fontId="109" fillId="30" borderId="77" xfId="0" applyNumberFormat="1" applyFont="1" applyFill="1" applyBorder="1" applyAlignment="1">
      <alignment horizontal="center"/>
    </xf>
    <xf numFmtId="4" fontId="109" fillId="30" borderId="18" xfId="0" applyNumberFormat="1" applyFont="1" applyFill="1" applyBorder="1" applyAlignment="1">
      <alignment horizontal="center"/>
    </xf>
    <xf numFmtId="4" fontId="7" fillId="24" borderId="77" xfId="0" applyNumberFormat="1" applyFont="1" applyFill="1" applyBorder="1" applyAlignment="1">
      <alignment horizontal="center" vertical="center"/>
    </xf>
    <xf numFmtId="4" fontId="7" fillId="30" borderId="102" xfId="0" applyNumberFormat="1" applyFont="1" applyFill="1" applyBorder="1" applyAlignment="1">
      <alignment horizontal="center" vertical="center"/>
    </xf>
    <xf numFmtId="4" fontId="109" fillId="30" borderId="102" xfId="0" applyNumberFormat="1" applyFont="1" applyFill="1" applyBorder="1" applyAlignment="1">
      <alignment horizontal="center" vertical="center"/>
    </xf>
    <xf numFmtId="4" fontId="109" fillId="30" borderId="102" xfId="0" applyNumberFormat="1" applyFont="1" applyFill="1" applyBorder="1" applyAlignment="1">
      <alignment horizontal="center"/>
    </xf>
    <xf numFmtId="4" fontId="7" fillId="0" borderId="21" xfId="0" applyNumberFormat="1" applyFont="1" applyFill="1" applyBorder="1" applyAlignment="1">
      <alignment horizontal="center" vertical="center"/>
    </xf>
    <xf numFmtId="4" fontId="7" fillId="0" borderId="21" xfId="0" applyNumberFormat="1" applyFont="1" applyFill="1" applyBorder="1" applyAlignment="1">
      <alignment horizontal="center"/>
    </xf>
    <xf numFmtId="4" fontId="11" fillId="24" borderId="21" xfId="0" applyNumberFormat="1" applyFont="1" applyFill="1" applyBorder="1" applyAlignment="1">
      <alignment horizontal="center" vertical="center"/>
    </xf>
    <xf numFmtId="4" fontId="60" fillId="0" borderId="21" xfId="0" applyNumberFormat="1" applyFont="1" applyFill="1" applyBorder="1" applyAlignment="1">
      <alignment horizontal="center" vertical="center"/>
    </xf>
    <xf numFmtId="4" fontId="11" fillId="0" borderId="21" xfId="0" applyNumberFormat="1" applyFont="1" applyFill="1" applyBorder="1" applyAlignment="1">
      <alignment horizontal="center"/>
    </xf>
    <xf numFmtId="4" fontId="11" fillId="25" borderId="18" xfId="0" applyNumberFormat="1" applyFont="1" applyFill="1" applyBorder="1" applyAlignment="1">
      <alignment horizontal="center" vertical="center"/>
    </xf>
    <xf numFmtId="4" fontId="11" fillId="25" borderId="18" xfId="0" applyNumberFormat="1" applyFont="1" applyFill="1" applyBorder="1" applyAlignment="1">
      <alignment horizontal="center"/>
    </xf>
    <xf numFmtId="4" fontId="7" fillId="30" borderId="115" xfId="0" applyNumberFormat="1" applyFont="1" applyFill="1" applyBorder="1" applyAlignment="1">
      <alignment horizontal="center" vertical="center"/>
    </xf>
    <xf numFmtId="4" fontId="11" fillId="0" borderId="21" xfId="0" applyNumberFormat="1" applyFont="1" applyFill="1" applyBorder="1" applyAlignment="1">
      <alignment horizontal="center" vertical="center"/>
    </xf>
    <xf numFmtId="4" fontId="7" fillId="30" borderId="90" xfId="0" applyNumberFormat="1" applyFont="1" applyFill="1" applyBorder="1" applyAlignment="1">
      <alignment horizontal="center" vertical="center"/>
    </xf>
    <xf numFmtId="4" fontId="7" fillId="30" borderId="116" xfId="0" applyNumberFormat="1" applyFont="1" applyFill="1" applyBorder="1" applyAlignment="1">
      <alignment horizontal="center" vertical="center"/>
    </xf>
    <xf numFmtId="4" fontId="110" fillId="30" borderId="102" xfId="0" applyNumberFormat="1" applyFont="1" applyFill="1" applyBorder="1" applyAlignment="1">
      <alignment horizontal="center" vertical="center"/>
    </xf>
    <xf numFmtId="0" fontId="7" fillId="30" borderId="103" xfId="0" applyFont="1" applyFill="1" applyBorder="1" applyAlignment="1">
      <alignment horizontal="center"/>
    </xf>
    <xf numFmtId="4" fontId="100" fillId="30" borderId="102" xfId="0" applyNumberFormat="1" applyFont="1" applyFill="1" applyBorder="1" applyAlignment="1">
      <alignment horizontal="center" vertical="center"/>
    </xf>
    <xf numFmtId="4" fontId="5" fillId="24" borderId="117" xfId="0" applyNumberFormat="1" applyFont="1" applyFill="1" applyBorder="1" applyAlignment="1">
      <alignment horizontal="center"/>
    </xf>
    <xf numFmtId="4" fontId="5" fillId="26" borderId="24" xfId="0" applyNumberFormat="1" applyFont="1" applyFill="1" applyBorder="1" applyAlignment="1">
      <alignment horizontal="center" vertical="center"/>
    </xf>
    <xf numFmtId="4" fontId="5" fillId="26" borderId="25" xfId="0" applyNumberFormat="1" applyFont="1" applyFill="1" applyBorder="1" applyAlignment="1">
      <alignment horizontal="center" vertical="center"/>
    </xf>
    <xf numFmtId="4" fontId="5" fillId="26" borderId="26" xfId="0" applyNumberFormat="1" applyFont="1" applyFill="1" applyBorder="1" applyAlignment="1">
      <alignment horizontal="center" vertical="center"/>
    </xf>
    <xf numFmtId="4" fontId="5" fillId="24" borderId="92" xfId="0" applyNumberFormat="1" applyFont="1" applyFill="1" applyBorder="1" applyAlignment="1">
      <alignment horizontal="center"/>
    </xf>
    <xf numFmtId="4" fontId="5" fillId="24" borderId="91" xfId="0" applyNumberFormat="1" applyFont="1" applyFill="1" applyBorder="1" applyAlignment="1">
      <alignment horizontal="center"/>
    </xf>
    <xf numFmtId="4" fontId="57" fillId="0" borderId="117" xfId="0" applyNumberFormat="1" applyFont="1" applyFill="1" applyBorder="1" applyAlignment="1">
      <alignment horizontal="center"/>
    </xf>
    <xf numFmtId="174" fontId="0" fillId="0" borderId="118" xfId="0" applyNumberFormat="1" applyFill="1" applyBorder="1" applyAlignment="1">
      <alignment horizontal="center"/>
    </xf>
    <xf numFmtId="0" fontId="0" fillId="0" borderId="57" xfId="0" applyBorder="1"/>
    <xf numFmtId="174" fontId="76" fillId="0" borderId="13" xfId="0" applyNumberFormat="1" applyFont="1" applyFill="1" applyBorder="1" applyAlignment="1">
      <alignment horizontal="center"/>
    </xf>
    <xf numFmtId="174" fontId="66" fillId="0" borderId="119" xfId="0" applyNumberFormat="1" applyFont="1" applyFill="1" applyBorder="1" applyAlignment="1">
      <alignment horizontal="center"/>
    </xf>
    <xf numFmtId="174" fontId="66" fillId="0" borderId="119" xfId="0" applyNumberFormat="1" applyFont="1" applyBorder="1" applyAlignment="1">
      <alignment horizontal="center"/>
    </xf>
    <xf numFmtId="174" fontId="66" fillId="0" borderId="21" xfId="0" applyNumberFormat="1" applyFont="1" applyBorder="1" applyAlignment="1">
      <alignment horizontal="center"/>
    </xf>
    <xf numFmtId="0" fontId="66" fillId="0" borderId="13" xfId="0" applyFont="1" applyBorder="1"/>
    <xf numFmtId="174" fontId="66" fillId="0" borderId="120" xfId="0" applyNumberFormat="1" applyFont="1" applyFill="1" applyBorder="1" applyAlignment="1">
      <alignment horizontal="center"/>
    </xf>
    <xf numFmtId="2" fontId="66" fillId="26" borderId="13" xfId="0" applyNumberFormat="1" applyFont="1" applyFill="1" applyBorder="1" applyAlignment="1">
      <alignment horizontal="right"/>
    </xf>
    <xf numFmtId="0" fontId="38" fillId="0" borderId="13" xfId="0" applyFont="1" applyBorder="1"/>
    <xf numFmtId="43" fontId="72" fillId="0" borderId="13" xfId="157" applyFont="1" applyBorder="1"/>
    <xf numFmtId="43" fontId="11" fillId="0" borderId="13" xfId="157" applyFont="1" applyFill="1" applyBorder="1" applyAlignment="1">
      <alignment horizontal="left"/>
    </xf>
    <xf numFmtId="4" fontId="43" fillId="0" borderId="77" xfId="184" applyNumberFormat="1" applyFont="1" applyFill="1" applyBorder="1" applyAlignment="1">
      <alignment horizontal="center" vertical="center"/>
    </xf>
    <xf numFmtId="4" fontId="43" fillId="0" borderId="21" xfId="184" applyNumberFormat="1" applyFont="1" applyFill="1" applyBorder="1" applyAlignment="1">
      <alignment horizontal="center" vertical="center"/>
    </xf>
    <xf numFmtId="4" fontId="43" fillId="0" borderId="13" xfId="184" applyNumberFormat="1" applyFont="1" applyFill="1" applyBorder="1" applyAlignment="1">
      <alignment horizontal="center" vertical="center"/>
    </xf>
    <xf numFmtId="4" fontId="43" fillId="0" borderId="116" xfId="184" applyNumberFormat="1" applyFont="1" applyFill="1" applyBorder="1" applyAlignment="1">
      <alignment horizontal="center" vertical="center"/>
    </xf>
    <xf numFmtId="174" fontId="67" fillId="0" borderId="13" xfId="0" applyNumberFormat="1" applyFont="1" applyFill="1" applyBorder="1" applyAlignment="1">
      <alignment horizontal="center"/>
    </xf>
    <xf numFmtId="174" fontId="66" fillId="0" borderId="108" xfId="0" applyNumberFormat="1" applyFont="1" applyFill="1" applyBorder="1" applyAlignment="1">
      <alignment horizontal="center"/>
    </xf>
    <xf numFmtId="0" fontId="66" fillId="0" borderId="121" xfId="0" applyFont="1" applyBorder="1" applyAlignment="1">
      <alignment horizontal="center"/>
    </xf>
    <xf numFmtId="174" fontId="66" fillId="0" borderId="122" xfId="0" applyNumberFormat="1" applyFont="1" applyFill="1" applyBorder="1" applyAlignment="1">
      <alignment horizontal="center"/>
    </xf>
    <xf numFmtId="2" fontId="5" fillId="24" borderId="17" xfId="0" applyNumberFormat="1" applyFont="1" applyFill="1" applyBorder="1" applyAlignment="1">
      <alignment horizontal="center"/>
    </xf>
    <xf numFmtId="2" fontId="5" fillId="0" borderId="20" xfId="0" applyNumberFormat="1" applyFont="1" applyBorder="1"/>
    <xf numFmtId="4" fontId="4" fillId="24" borderId="11" xfId="0" applyNumberFormat="1" applyFont="1" applyFill="1" applyBorder="1" applyAlignment="1">
      <alignment horizontal="center"/>
    </xf>
    <xf numFmtId="2" fontId="5" fillId="0" borderId="17" xfId="0" applyNumberFormat="1" applyFont="1" applyFill="1" applyBorder="1" applyAlignment="1">
      <alignment horizontal="center"/>
    </xf>
    <xf numFmtId="0" fontId="77" fillId="0" borderId="0" xfId="0" applyFont="1"/>
    <xf numFmtId="0" fontId="77" fillId="0" borderId="0" xfId="0" applyFont="1" applyAlignment="1">
      <alignment horizontal="center"/>
    </xf>
    <xf numFmtId="0" fontId="77" fillId="24" borderId="0" xfId="0" applyFont="1" applyFill="1"/>
    <xf numFmtId="165" fontId="0" fillId="26" borderId="0" xfId="0" applyNumberFormat="1" applyFill="1"/>
    <xf numFmtId="0" fontId="5" fillId="26" borderId="0" xfId="0" applyFont="1" applyFill="1" applyBorder="1" applyAlignment="1">
      <alignment horizontal="center"/>
    </xf>
    <xf numFmtId="0" fontId="5" fillId="0" borderId="17" xfId="0" applyFont="1" applyFill="1" applyBorder="1" applyAlignment="1">
      <alignment horizontal="center"/>
    </xf>
    <xf numFmtId="0" fontId="0" fillId="0" borderId="20" xfId="0" applyFill="1" applyBorder="1"/>
    <xf numFmtId="14" fontId="24" fillId="24" borderId="0" xfId="0" applyNumberFormat="1" applyFont="1" applyFill="1"/>
    <xf numFmtId="0" fontId="78" fillId="0" borderId="0" xfId="0" applyFont="1"/>
    <xf numFmtId="0" fontId="24" fillId="26" borderId="13" xfId="0" applyFont="1" applyFill="1" applyBorder="1"/>
    <xf numFmtId="0" fontId="24" fillId="30" borderId="13" xfId="0" applyFont="1" applyFill="1" applyBorder="1"/>
    <xf numFmtId="0" fontId="24" fillId="31" borderId="13" xfId="0" applyFont="1" applyFill="1" applyBorder="1"/>
    <xf numFmtId="174" fontId="111" fillId="24" borderId="0" xfId="0" applyNumberFormat="1" applyFont="1" applyFill="1"/>
    <xf numFmtId="174" fontId="111" fillId="0" borderId="0" xfId="0" applyNumberFormat="1" applyFont="1"/>
    <xf numFmtId="3" fontId="0" fillId="0" borderId="0" xfId="0" applyNumberFormat="1"/>
    <xf numFmtId="171" fontId="32" fillId="0" borderId="0" xfId="0" applyNumberFormat="1" applyFont="1"/>
    <xf numFmtId="0" fontId="38" fillId="25" borderId="31" xfId="0" applyFont="1" applyFill="1" applyBorder="1" applyAlignment="1">
      <alignment horizontal="center"/>
    </xf>
    <xf numFmtId="0" fontId="38" fillId="0" borderId="0" xfId="0" applyFont="1" applyBorder="1" applyAlignment="1">
      <alignment horizontal="center"/>
    </xf>
    <xf numFmtId="0" fontId="36" fillId="0" borderId="0" xfId="0" applyFont="1" applyBorder="1" applyAlignment="1">
      <alignment horizontal="center"/>
    </xf>
    <xf numFmtId="0" fontId="63" fillId="0" borderId="29" xfId="0" applyFont="1" applyBorder="1" applyAlignment="1">
      <alignment horizontal="center"/>
    </xf>
    <xf numFmtId="0" fontId="38" fillId="0" borderId="109" xfId="0" applyFont="1" applyBorder="1" applyAlignment="1">
      <alignment horizontal="center"/>
    </xf>
    <xf numFmtId="0" fontId="38" fillId="0" borderId="111" xfId="0" applyFont="1" applyBorder="1" applyAlignment="1">
      <alignment horizontal="center"/>
    </xf>
    <xf numFmtId="0" fontId="38" fillId="0" borderId="112" xfId="0" applyFont="1" applyBorder="1" applyAlignment="1">
      <alignment horizontal="center"/>
    </xf>
    <xf numFmtId="0" fontId="38" fillId="0" borderId="60" xfId="0" applyFont="1" applyBorder="1" applyAlignment="1">
      <alignment horizontal="center"/>
    </xf>
    <xf numFmtId="0" fontId="38" fillId="0" borderId="18" xfId="0" applyFont="1" applyBorder="1" applyAlignment="1">
      <alignment horizontal="center"/>
    </xf>
    <xf numFmtId="0" fontId="38" fillId="0" borderId="18" xfId="0" applyFont="1" applyFill="1" applyBorder="1" applyAlignment="1">
      <alignment horizontal="center"/>
    </xf>
    <xf numFmtId="0" fontId="38" fillId="0" borderId="22" xfId="0" applyFont="1" applyBorder="1" applyAlignment="1">
      <alignment horizontal="center"/>
    </xf>
    <xf numFmtId="0" fontId="36" fillId="0" borderId="123" xfId="0" applyFont="1" applyBorder="1" applyAlignment="1">
      <alignment horizontal="center"/>
    </xf>
    <xf numFmtId="0" fontId="36" fillId="0" borderId="124" xfId="0" applyFont="1" applyBorder="1"/>
    <xf numFmtId="0" fontId="36" fillId="0" borderId="81" xfId="0" applyFont="1" applyBorder="1" applyAlignment="1">
      <alignment horizontal="center"/>
    </xf>
    <xf numFmtId="2" fontId="36" fillId="0" borderId="77" xfId="0" applyNumberFormat="1" applyFont="1" applyBorder="1" applyAlignment="1">
      <alignment horizontal="center"/>
    </xf>
    <xf numFmtId="0" fontId="36" fillId="0" borderId="78" xfId="0" applyFont="1" applyBorder="1"/>
    <xf numFmtId="0" fontId="38" fillId="0" borderId="17" xfId="0" applyFont="1" applyBorder="1" applyAlignment="1">
      <alignment horizontal="center"/>
    </xf>
    <xf numFmtId="0" fontId="36" fillId="0" borderId="125" xfId="0" applyFont="1" applyBorder="1"/>
    <xf numFmtId="0" fontId="36" fillId="0" borderId="90" xfId="0" applyFont="1" applyBorder="1" applyAlignment="1">
      <alignment horizontal="center"/>
    </xf>
    <xf numFmtId="2" fontId="36" fillId="0" borderId="102" xfId="0" applyNumberFormat="1" applyFont="1" applyBorder="1" applyAlignment="1">
      <alignment horizontal="center"/>
    </xf>
    <xf numFmtId="0" fontId="36" fillId="0" borderId="102" xfId="0" applyFont="1" applyBorder="1" applyAlignment="1">
      <alignment horizontal="center"/>
    </xf>
    <xf numFmtId="0" fontId="36" fillId="0" borderId="103" xfId="0" applyFont="1" applyBorder="1"/>
    <xf numFmtId="0" fontId="36" fillId="0" borderId="56" xfId="0" applyFont="1" applyBorder="1" applyAlignment="1">
      <alignment horizontal="center"/>
    </xf>
    <xf numFmtId="2" fontId="36" fillId="0" borderId="87" xfId="0" applyNumberFormat="1" applyFont="1" applyBorder="1" applyAlignment="1">
      <alignment horizontal="center"/>
    </xf>
    <xf numFmtId="2" fontId="36" fillId="0" borderId="31" xfId="0" applyNumberFormat="1" applyFont="1" applyBorder="1" applyAlignment="1">
      <alignment horizontal="center"/>
    </xf>
    <xf numFmtId="0" fontId="38" fillId="24" borderId="0" xfId="0" applyFont="1" applyFill="1" applyBorder="1" applyAlignment="1">
      <alignment horizontal="center"/>
    </xf>
    <xf numFmtId="0" fontId="63" fillId="0" borderId="21" xfId="0" applyFont="1" applyBorder="1" applyAlignment="1">
      <alignment horizontal="center"/>
    </xf>
    <xf numFmtId="0" fontId="38" fillId="0" borderId="13" xfId="0" applyFont="1" applyBorder="1" applyAlignment="1">
      <alignment horizontal="center"/>
    </xf>
    <xf numFmtId="0" fontId="36" fillId="0" borderId="124" xfId="0" applyFont="1" applyBorder="1" applyAlignment="1">
      <alignment horizontal="center"/>
    </xf>
    <xf numFmtId="0" fontId="36" fillId="0" borderId="126" xfId="0" applyFont="1" applyBorder="1"/>
    <xf numFmtId="0" fontId="36" fillId="0" borderId="77" xfId="0" applyFont="1" applyBorder="1" applyAlignment="1">
      <alignment horizontal="center"/>
    </xf>
    <xf numFmtId="0" fontId="36" fillId="0" borderId="127" xfId="0" applyFont="1" applyBorder="1"/>
    <xf numFmtId="0" fontId="38" fillId="0" borderId="0" xfId="0" applyFont="1"/>
    <xf numFmtId="0" fontId="36" fillId="0" borderId="0" xfId="0" applyFont="1" applyAlignment="1">
      <alignment horizontal="center"/>
    </xf>
    <xf numFmtId="0" fontId="38" fillId="36" borderId="128" xfId="0" applyFont="1" applyFill="1" applyBorder="1" applyAlignment="1">
      <alignment horizontal="center"/>
    </xf>
    <xf numFmtId="0" fontId="38" fillId="36" borderId="127" xfId="0" applyFont="1" applyFill="1" applyBorder="1" applyAlignment="1"/>
    <xf numFmtId="0" fontId="38" fillId="36" borderId="129" xfId="0" applyFont="1" applyFill="1" applyBorder="1" applyAlignment="1"/>
    <xf numFmtId="0" fontId="38" fillId="33" borderId="77" xfId="0" applyFont="1" applyFill="1" applyBorder="1" applyAlignment="1">
      <alignment horizontal="center"/>
    </xf>
    <xf numFmtId="0" fontId="38" fillId="33" borderId="78" xfId="0" applyFont="1" applyFill="1" applyBorder="1" applyAlignment="1">
      <alignment horizontal="center"/>
    </xf>
    <xf numFmtId="0" fontId="38" fillId="0" borderId="56" xfId="0" applyFont="1" applyBorder="1" applyAlignment="1">
      <alignment horizontal="center"/>
    </xf>
    <xf numFmtId="0" fontId="38" fillId="33" borderId="18" xfId="0" applyFont="1" applyFill="1" applyBorder="1" applyAlignment="1">
      <alignment horizontal="center"/>
    </xf>
    <xf numFmtId="0" fontId="38" fillId="33" borderId="130" xfId="0" applyFont="1" applyFill="1" applyBorder="1" applyAlignment="1">
      <alignment horizontal="center"/>
    </xf>
    <xf numFmtId="0" fontId="38" fillId="0" borderId="87" xfId="0" applyFont="1" applyBorder="1" applyAlignment="1">
      <alignment horizontal="center"/>
    </xf>
    <xf numFmtId="14" fontId="36" fillId="0" borderId="0" xfId="0" applyNumberFormat="1" applyFont="1"/>
    <xf numFmtId="0" fontId="38" fillId="24" borderId="131" xfId="0" applyFont="1" applyFill="1" applyBorder="1" applyAlignment="1">
      <alignment horizontal="center"/>
    </xf>
    <xf numFmtId="0" fontId="38" fillId="24" borderId="121" xfId="0" applyFont="1" applyFill="1" applyBorder="1" applyAlignment="1">
      <alignment horizontal="center"/>
    </xf>
    <xf numFmtId="0" fontId="38" fillId="24" borderId="132" xfId="0" applyFont="1" applyFill="1" applyBorder="1" applyAlignment="1">
      <alignment horizontal="center"/>
    </xf>
    <xf numFmtId="0" fontId="38" fillId="24" borderId="101" xfId="0" applyFont="1" applyFill="1" applyBorder="1" applyAlignment="1">
      <alignment horizontal="center"/>
    </xf>
    <xf numFmtId="0" fontId="36" fillId="0" borderId="81" xfId="0" applyFont="1" applyBorder="1"/>
    <xf numFmtId="0" fontId="36" fillId="0" borderId="77" xfId="0" applyFont="1" applyBorder="1"/>
    <xf numFmtId="0" fontId="36" fillId="0" borderId="78" xfId="0" applyFont="1" applyBorder="1" applyAlignment="1">
      <alignment horizontal="center"/>
    </xf>
    <xf numFmtId="0" fontId="36" fillId="0" borderId="80" xfId="0" applyFont="1" applyBorder="1"/>
    <xf numFmtId="2" fontId="36" fillId="0" borderId="13" xfId="0" applyNumberFormat="1" applyFont="1" applyBorder="1" applyAlignment="1">
      <alignment horizontal="center"/>
    </xf>
    <xf numFmtId="0" fontId="36" fillId="0" borderId="80" xfId="0" applyFont="1" applyFill="1" applyBorder="1" applyAlignment="1"/>
    <xf numFmtId="0" fontId="36" fillId="0" borderId="13" xfId="0" applyFont="1" applyFill="1" applyBorder="1" applyAlignment="1"/>
    <xf numFmtId="0" fontId="36" fillId="0" borderId="90" xfId="0" applyFont="1" applyFill="1" applyBorder="1" applyAlignment="1"/>
    <xf numFmtId="0" fontId="36" fillId="0" borderId="102" xfId="0" applyFont="1" applyFill="1" applyBorder="1" applyAlignment="1"/>
    <xf numFmtId="0" fontId="36" fillId="0" borderId="83" xfId="0" applyFont="1" applyBorder="1"/>
    <xf numFmtId="0" fontId="36" fillId="0" borderId="133" xfId="0" applyFont="1" applyBorder="1"/>
    <xf numFmtId="0" fontId="38" fillId="0" borderId="116" xfId="0" applyFont="1" applyBorder="1" applyAlignment="1">
      <alignment horizontal="center"/>
    </xf>
    <xf numFmtId="0" fontId="36" fillId="0" borderId="134" xfId="0" applyFont="1" applyBorder="1" applyAlignment="1">
      <alignment horizontal="center"/>
    </xf>
    <xf numFmtId="0" fontId="36" fillId="0" borderId="135" xfId="0" applyFont="1" applyBorder="1"/>
    <xf numFmtId="0" fontId="112" fillId="24" borderId="83" xfId="0" applyFont="1" applyFill="1" applyBorder="1" applyAlignment="1">
      <alignment horizontal="center"/>
    </xf>
    <xf numFmtId="0" fontId="112" fillId="24" borderId="135" xfId="0" applyFont="1" applyFill="1" applyBorder="1" applyAlignment="1">
      <alignment horizontal="center"/>
    </xf>
    <xf numFmtId="0" fontId="113" fillId="0" borderId="136" xfId="0" applyFont="1" applyBorder="1" applyAlignment="1">
      <alignment horizontal="center"/>
    </xf>
    <xf numFmtId="0" fontId="113" fillId="0" borderId="137" xfId="0" applyFont="1" applyBorder="1"/>
    <xf numFmtId="0" fontId="113" fillId="0" borderId="0" xfId="0" applyFont="1" applyBorder="1"/>
    <xf numFmtId="0" fontId="113" fillId="0" borderId="0" xfId="0" applyFont="1" applyBorder="1" applyAlignment="1">
      <alignment horizontal="center"/>
    </xf>
    <xf numFmtId="0" fontId="38" fillId="24" borderId="138" xfId="179" applyFont="1" applyFill="1" applyBorder="1" applyAlignment="1">
      <alignment horizontal="center" wrapText="1"/>
    </xf>
    <xf numFmtId="0" fontId="38" fillId="24" borderId="139" xfId="179" applyFont="1" applyFill="1" applyBorder="1" applyAlignment="1">
      <alignment horizontal="center" wrapText="1"/>
    </xf>
    <xf numFmtId="0" fontId="38" fillId="24" borderId="87" xfId="179" applyFont="1" applyFill="1" applyBorder="1" applyAlignment="1">
      <alignment horizontal="center" wrapText="1"/>
    </xf>
    <xf numFmtId="0" fontId="38" fillId="24" borderId="132" xfId="179" applyFont="1" applyFill="1" applyBorder="1" applyAlignment="1">
      <alignment horizontal="center" wrapText="1"/>
    </xf>
    <xf numFmtId="0" fontId="36" fillId="24" borderId="77" xfId="179" applyFont="1" applyFill="1" applyBorder="1" applyAlignment="1">
      <alignment horizontal="center" wrapText="1"/>
    </xf>
    <xf numFmtId="0" fontId="36" fillId="24" borderId="140" xfId="179" applyFont="1" applyFill="1" applyBorder="1" applyAlignment="1">
      <alignment horizontal="center" wrapText="1"/>
    </xf>
    <xf numFmtId="0" fontId="36" fillId="24" borderId="124" xfId="179" applyFont="1" applyFill="1" applyBorder="1" applyAlignment="1">
      <alignment horizontal="center" wrapText="1"/>
    </xf>
    <xf numFmtId="0" fontId="80" fillId="24" borderId="13" xfId="179" applyFont="1" applyFill="1" applyBorder="1" applyAlignment="1">
      <alignment horizontal="center" wrapText="1"/>
    </xf>
    <xf numFmtId="0" fontId="73" fillId="24" borderId="17" xfId="179" applyFont="1" applyFill="1" applyBorder="1" applyAlignment="1">
      <alignment horizontal="center" wrapText="1"/>
    </xf>
    <xf numFmtId="0" fontId="73" fillId="24" borderId="141" xfId="179" applyFont="1" applyFill="1" applyBorder="1" applyAlignment="1">
      <alignment horizontal="center" wrapText="1"/>
    </xf>
    <xf numFmtId="0" fontId="36" fillId="24" borderId="141" xfId="179" applyFont="1" applyFill="1" applyBorder="1" applyAlignment="1">
      <alignment horizontal="center" wrapText="1"/>
    </xf>
    <xf numFmtId="0" fontId="36" fillId="24" borderId="13" xfId="179" applyFont="1" applyFill="1" applyBorder="1" applyAlignment="1">
      <alignment horizontal="center" wrapText="1"/>
    </xf>
    <xf numFmtId="0" fontId="36" fillId="24" borderId="17" xfId="179" applyFont="1" applyFill="1" applyBorder="1" applyAlignment="1">
      <alignment horizontal="center" wrapText="1"/>
    </xf>
    <xf numFmtId="0" fontId="36" fillId="24" borderId="102" xfId="179" applyFont="1" applyFill="1" applyBorder="1" applyAlignment="1">
      <alignment horizontal="center" wrapText="1"/>
    </xf>
    <xf numFmtId="0" fontId="36" fillId="24" borderId="105" xfId="179" applyFont="1" applyFill="1" applyBorder="1" applyAlignment="1">
      <alignment horizontal="center" wrapText="1"/>
    </xf>
    <xf numFmtId="0" fontId="36" fillId="24" borderId="125" xfId="179" applyFont="1" applyFill="1" applyBorder="1" applyAlignment="1">
      <alignment horizontal="center" wrapText="1"/>
    </xf>
    <xf numFmtId="0" fontId="36" fillId="24" borderId="142" xfId="179" applyFont="1" applyFill="1" applyBorder="1" applyAlignment="1">
      <alignment horizontal="center" wrapText="1"/>
    </xf>
    <xf numFmtId="0" fontId="114" fillId="31" borderId="56" xfId="187" applyFont="1" applyFill="1" applyBorder="1"/>
    <xf numFmtId="0" fontId="115" fillId="31" borderId="30" xfId="187" applyFont="1" applyFill="1" applyBorder="1"/>
    <xf numFmtId="0" fontId="115" fillId="31" borderId="31" xfId="187" applyFont="1" applyFill="1" applyBorder="1"/>
    <xf numFmtId="0" fontId="36" fillId="24" borderId="143" xfId="179" applyFont="1" applyFill="1" applyBorder="1" applyAlignment="1">
      <alignment horizontal="center" wrapText="1"/>
    </xf>
    <xf numFmtId="0" fontId="36" fillId="24" borderId="144" xfId="179" applyFont="1" applyFill="1" applyBorder="1" applyAlignment="1">
      <alignment horizontal="center" wrapText="1"/>
    </xf>
    <xf numFmtId="0" fontId="81" fillId="24" borderId="144" xfId="179" applyFont="1" applyFill="1" applyBorder="1" applyAlignment="1">
      <alignment horizontal="center" wrapText="1"/>
    </xf>
    <xf numFmtId="0" fontId="36" fillId="24" borderId="115" xfId="179" applyFont="1" applyFill="1" applyBorder="1" applyAlignment="1">
      <alignment horizontal="center" wrapText="1"/>
    </xf>
    <xf numFmtId="0" fontId="38" fillId="24" borderId="101" xfId="179" applyFont="1" applyFill="1" applyBorder="1" applyAlignment="1">
      <alignment horizontal="center" wrapText="1"/>
    </xf>
    <xf numFmtId="0" fontId="38" fillId="24" borderId="121" xfId="179" applyFont="1" applyFill="1" applyBorder="1" applyAlignment="1">
      <alignment horizontal="center" wrapText="1"/>
    </xf>
    <xf numFmtId="0" fontId="36" fillId="24" borderId="0" xfId="179" applyFont="1" applyFill="1" applyBorder="1" applyAlignment="1">
      <alignment horizontal="center" wrapText="1"/>
    </xf>
    <xf numFmtId="0" fontId="115" fillId="26" borderId="30" xfId="187" applyFont="1" applyFill="1" applyBorder="1"/>
    <xf numFmtId="0" fontId="114" fillId="26" borderId="56" xfId="187" applyFont="1" applyFill="1" applyBorder="1"/>
    <xf numFmtId="0" fontId="0" fillId="26" borderId="31" xfId="0" applyFill="1" applyBorder="1"/>
    <xf numFmtId="0" fontId="114" fillId="24" borderId="145" xfId="187" applyFont="1" applyFill="1" applyBorder="1"/>
    <xf numFmtId="0" fontId="115" fillId="24" borderId="145" xfId="187" applyFont="1" applyFill="1" applyBorder="1"/>
    <xf numFmtId="0" fontId="115" fillId="24" borderId="0" xfId="187" applyFont="1" applyFill="1" applyBorder="1"/>
    <xf numFmtId="0" fontId="24" fillId="24" borderId="87" xfId="0" applyFont="1" applyFill="1" applyBorder="1"/>
    <xf numFmtId="0" fontId="115" fillId="0" borderId="87" xfId="187" applyFont="1" applyBorder="1" applyAlignment="1">
      <alignment horizontal="center"/>
    </xf>
    <xf numFmtId="0" fontId="154" fillId="0" borderId="0" xfId="187" applyAlignment="1">
      <alignment horizontal="center"/>
    </xf>
    <xf numFmtId="0" fontId="82" fillId="24" borderId="146" xfId="179" applyFont="1" applyFill="1" applyBorder="1" applyAlignment="1">
      <alignment horizontal="center" wrapText="1"/>
    </xf>
    <xf numFmtId="0" fontId="83" fillId="24" borderId="147" xfId="179" applyFont="1" applyFill="1" applyBorder="1" applyAlignment="1">
      <alignment horizontal="center" wrapText="1"/>
    </xf>
    <xf numFmtId="0" fontId="114" fillId="0" borderId="87" xfId="187" applyFont="1" applyBorder="1" applyAlignment="1">
      <alignment horizontal="center"/>
    </xf>
    <xf numFmtId="0" fontId="115" fillId="0" borderId="148" xfId="187" applyFont="1" applyBorder="1" applyAlignment="1">
      <alignment horizontal="center"/>
    </xf>
    <xf numFmtId="0" fontId="154" fillId="0" borderId="137" xfId="187" applyBorder="1" applyAlignment="1">
      <alignment horizontal="center"/>
    </xf>
    <xf numFmtId="0" fontId="154" fillId="0" borderId="0" xfId="187" applyBorder="1" applyAlignment="1">
      <alignment horizontal="center"/>
    </xf>
    <xf numFmtId="0" fontId="154" fillId="0" borderId="124" xfId="187" applyBorder="1" applyAlignment="1">
      <alignment horizontal="center"/>
    </xf>
    <xf numFmtId="0" fontId="154" fillId="0" borderId="141" xfId="187" applyBorder="1" applyAlignment="1">
      <alignment horizontal="center"/>
    </xf>
    <xf numFmtId="0" fontId="154" fillId="0" borderId="125" xfId="187" applyBorder="1" applyAlignment="1">
      <alignment horizontal="center"/>
    </xf>
    <xf numFmtId="0" fontId="115" fillId="26" borderId="141" xfId="187" applyFont="1" applyFill="1" applyBorder="1" applyAlignment="1">
      <alignment horizontal="center"/>
    </xf>
    <xf numFmtId="0" fontId="114" fillId="24" borderId="56" xfId="187" applyFont="1" applyFill="1" applyBorder="1"/>
    <xf numFmtId="0" fontId="115" fillId="24" borderId="30" xfId="187" applyFont="1" applyFill="1" applyBorder="1"/>
    <xf numFmtId="0" fontId="82" fillId="24" borderId="0" xfId="179" applyFont="1" applyFill="1" applyBorder="1" applyAlignment="1">
      <alignment horizontal="center" wrapText="1"/>
    </xf>
    <xf numFmtId="0" fontId="83" fillId="24" borderId="0" xfId="179" applyFont="1" applyFill="1" applyBorder="1" applyAlignment="1">
      <alignment horizontal="center" wrapText="1"/>
    </xf>
    <xf numFmtId="0" fontId="114" fillId="0" borderId="0" xfId="187" applyFont="1" applyBorder="1" applyAlignment="1">
      <alignment horizontal="center"/>
    </xf>
    <xf numFmtId="0" fontId="115" fillId="24" borderId="123" xfId="187" applyFont="1" applyFill="1" applyBorder="1" applyAlignment="1">
      <alignment horizontal="center"/>
    </xf>
    <xf numFmtId="169" fontId="5" fillId="30" borderId="13" xfId="0" applyNumberFormat="1" applyFont="1" applyFill="1" applyBorder="1" applyAlignment="1">
      <alignment horizontal="center"/>
    </xf>
    <xf numFmtId="175" fontId="5" fillId="30" borderId="13" xfId="0" applyNumberFormat="1" applyFont="1" applyFill="1" applyBorder="1" applyAlignment="1">
      <alignment horizontal="center"/>
    </xf>
    <xf numFmtId="0" fontId="36" fillId="24" borderId="13" xfId="0" applyFont="1" applyFill="1" applyBorder="1" applyAlignment="1">
      <alignment horizontal="center"/>
    </xf>
    <xf numFmtId="2" fontId="36" fillId="26" borderId="13" xfId="0" applyNumberFormat="1" applyFont="1" applyFill="1" applyBorder="1" applyAlignment="1">
      <alignment horizontal="center"/>
    </xf>
    <xf numFmtId="2" fontId="36" fillId="26" borderId="13" xfId="0" applyNumberFormat="1" applyFont="1" applyFill="1" applyBorder="1" applyAlignment="1">
      <alignment horizontal="right"/>
    </xf>
    <xf numFmtId="2" fontId="36" fillId="0" borderId="13" xfId="0" applyNumberFormat="1" applyFont="1" applyBorder="1" applyAlignment="1">
      <alignment horizontal="right"/>
    </xf>
    <xf numFmtId="2" fontId="36" fillId="0" borderId="13" xfId="0" applyNumberFormat="1" applyFont="1" applyFill="1" applyBorder="1" applyAlignment="1">
      <alignment horizontal="right"/>
    </xf>
    <xf numFmtId="2" fontId="36" fillId="0" borderId="13" xfId="0" applyNumberFormat="1" applyFont="1" applyBorder="1"/>
    <xf numFmtId="0" fontId="106" fillId="24" borderId="0" xfId="0" applyFont="1" applyFill="1" applyBorder="1" applyAlignment="1">
      <alignment horizontal="center"/>
    </xf>
    <xf numFmtId="0" fontId="105" fillId="26" borderId="13" xfId="0" applyNumberFormat="1" applyFont="1" applyFill="1" applyBorder="1" applyAlignment="1">
      <alignment horizontal="center" vertical="center" wrapText="1"/>
    </xf>
    <xf numFmtId="169" fontId="57" fillId="0" borderId="92" xfId="0" applyNumberFormat="1" applyFont="1" applyFill="1" applyBorder="1" applyAlignment="1">
      <alignment horizontal="center"/>
    </xf>
    <xf numFmtId="0" fontId="38" fillId="30" borderId="87" xfId="0" applyFont="1" applyFill="1" applyBorder="1"/>
    <xf numFmtId="169" fontId="57" fillId="24" borderId="62" xfId="0" applyNumberFormat="1" applyFont="1" applyFill="1" applyBorder="1" applyAlignment="1">
      <alignment horizontal="center"/>
    </xf>
    <xf numFmtId="169" fontId="57" fillId="24" borderId="149" xfId="0" applyNumberFormat="1" applyFont="1" applyFill="1" applyBorder="1" applyAlignment="1">
      <alignment horizontal="center"/>
    </xf>
    <xf numFmtId="169" fontId="57" fillId="24" borderId="150" xfId="0" applyNumberFormat="1" applyFont="1" applyFill="1" applyBorder="1" applyAlignment="1">
      <alignment horizontal="center"/>
    </xf>
    <xf numFmtId="0" fontId="113" fillId="0" borderId="132" xfId="0" applyFont="1" applyBorder="1"/>
    <xf numFmtId="0" fontId="113" fillId="0" borderId="135" xfId="0" applyFont="1" applyBorder="1"/>
    <xf numFmtId="0" fontId="112" fillId="0" borderId="136" xfId="0" applyFont="1" applyBorder="1" applyAlignment="1">
      <alignment horizontal="center"/>
    </xf>
    <xf numFmtId="0" fontId="112" fillId="24" borderId="136" xfId="0" applyFont="1" applyFill="1" applyBorder="1" applyAlignment="1">
      <alignment horizontal="center"/>
    </xf>
    <xf numFmtId="4" fontId="105" fillId="24" borderId="95" xfId="0" applyNumberFormat="1" applyFont="1" applyFill="1" applyBorder="1" applyAlignment="1">
      <alignment horizontal="center"/>
    </xf>
    <xf numFmtId="4" fontId="105" fillId="24" borderId="92" xfId="0" applyNumberFormat="1" applyFont="1" applyFill="1" applyBorder="1" applyAlignment="1">
      <alignment horizontal="center"/>
    </xf>
    <xf numFmtId="169" fontId="105" fillId="0" borderId="92" xfId="0" applyNumberFormat="1" applyFont="1" applyFill="1" applyBorder="1" applyAlignment="1">
      <alignment horizontal="center"/>
    </xf>
    <xf numFmtId="0" fontId="85" fillId="40" borderId="13" xfId="151" applyFont="1" applyFill="1" applyBorder="1"/>
    <xf numFmtId="0" fontId="84" fillId="0" borderId="13" xfId="151" applyFont="1" applyBorder="1"/>
    <xf numFmtId="0" fontId="84" fillId="26" borderId="13" xfId="151" applyFont="1" applyFill="1" applyBorder="1"/>
    <xf numFmtId="0" fontId="14" fillId="0" borderId="0" xfId="151"/>
    <xf numFmtId="0" fontId="85" fillId="0" borderId="13" xfId="151" applyFont="1" applyBorder="1"/>
    <xf numFmtId="0" fontId="84" fillId="0" borderId="0" xfId="151" applyFont="1"/>
    <xf numFmtId="3" fontId="85" fillId="0" borderId="13" xfId="151" applyNumberFormat="1" applyFont="1" applyBorder="1"/>
    <xf numFmtId="3" fontId="84" fillId="0" borderId="13" xfId="151" applyNumberFormat="1" applyFont="1" applyBorder="1"/>
    <xf numFmtId="3" fontId="86" fillId="0" borderId="0" xfId="151" applyNumberFormat="1" applyFont="1"/>
    <xf numFmtId="3" fontId="86" fillId="32" borderId="13" xfId="151" applyNumberFormat="1" applyFont="1" applyFill="1" applyBorder="1"/>
    <xf numFmtId="0" fontId="86" fillId="0" borderId="13" xfId="151" applyFont="1" applyBorder="1"/>
    <xf numFmtId="3" fontId="86" fillId="0" borderId="13" xfId="151" applyNumberFormat="1" applyFont="1" applyBorder="1"/>
    <xf numFmtId="0" fontId="5" fillId="26" borderId="0" xfId="0" applyFont="1" applyFill="1"/>
    <xf numFmtId="0" fontId="38" fillId="0" borderId="31" xfId="0" applyFont="1" applyBorder="1" applyAlignment="1">
      <alignment horizontal="center"/>
    </xf>
    <xf numFmtId="0" fontId="38" fillId="0" borderId="29" xfId="0" applyFont="1" applyBorder="1" applyAlignment="1">
      <alignment horizontal="center"/>
    </xf>
    <xf numFmtId="166" fontId="5" fillId="0" borderId="96" xfId="205" applyNumberFormat="1" applyFont="1" applyFill="1" applyBorder="1" applyAlignment="1">
      <alignment horizontal="center" vertical="center"/>
    </xf>
    <xf numFmtId="166" fontId="5" fillId="0" borderId="85" xfId="205" applyNumberFormat="1" applyFont="1" applyFill="1" applyBorder="1" applyAlignment="1">
      <alignment horizontal="center" vertical="center"/>
    </xf>
    <xf numFmtId="166" fontId="5" fillId="0" borderId="151" xfId="205" applyNumberFormat="1" applyFont="1" applyFill="1" applyBorder="1" applyAlignment="1">
      <alignment horizontal="center" vertical="center"/>
    </xf>
    <xf numFmtId="2" fontId="36" fillId="0" borderId="0" xfId="0" applyNumberFormat="1" applyFont="1" applyAlignment="1">
      <alignment horizontal="center"/>
    </xf>
    <xf numFmtId="174" fontId="36" fillId="0" borderId="108" xfId="0" applyNumberFormat="1" applyFont="1" applyBorder="1" applyAlignment="1">
      <alignment horizontal="center"/>
    </xf>
    <xf numFmtId="174" fontId="36" fillId="0" borderId="57" xfId="0" applyNumberFormat="1" applyFont="1" applyFill="1" applyBorder="1" applyAlignment="1">
      <alignment horizontal="center"/>
    </xf>
    <xf numFmtId="174" fontId="36" fillId="0" borderId="118" xfId="0" applyNumberFormat="1" applyFont="1" applyFill="1" applyBorder="1" applyAlignment="1">
      <alignment horizontal="center"/>
    </xf>
    <xf numFmtId="174" fontId="56" fillId="0" borderId="108" xfId="0" applyNumberFormat="1" applyFont="1" applyBorder="1" applyAlignment="1">
      <alignment horizontal="center"/>
    </xf>
    <xf numFmtId="174" fontId="56" fillId="0" borderId="57" xfId="0" applyNumberFormat="1" applyFont="1" applyFill="1" applyBorder="1" applyAlignment="1">
      <alignment horizontal="center"/>
    </xf>
    <xf numFmtId="174" fontId="56" fillId="0" borderId="118" xfId="0" applyNumberFormat="1" applyFont="1" applyFill="1" applyBorder="1" applyAlignment="1">
      <alignment horizontal="center"/>
    </xf>
    <xf numFmtId="174" fontId="36" fillId="0" borderId="20" xfId="0" applyNumberFormat="1" applyFont="1" applyBorder="1" applyAlignment="1">
      <alignment horizontal="center"/>
    </xf>
    <xf numFmtId="174" fontId="36" fillId="0" borderId="13" xfId="0" applyNumberFormat="1" applyFont="1" applyFill="1" applyBorder="1" applyAlignment="1">
      <alignment horizontal="center"/>
    </xf>
    <xf numFmtId="174" fontId="36" fillId="0" borderId="17" xfId="0" applyNumberFormat="1" applyFont="1" applyFill="1" applyBorder="1" applyAlignment="1">
      <alignment horizontal="center"/>
    </xf>
    <xf numFmtId="174" fontId="56" fillId="0" borderId="13" xfId="0" applyNumberFormat="1" applyFont="1" applyFill="1" applyBorder="1" applyAlignment="1">
      <alignment horizontal="center"/>
    </xf>
    <xf numFmtId="174" fontId="56" fillId="0" borderId="17" xfId="0" applyNumberFormat="1" applyFont="1" applyFill="1" applyBorder="1" applyAlignment="1">
      <alignment horizontal="center"/>
    </xf>
    <xf numFmtId="174" fontId="56" fillId="36" borderId="20" xfId="0" applyNumberFormat="1" applyFont="1" applyFill="1" applyBorder="1" applyAlignment="1">
      <alignment horizontal="center"/>
    </xf>
    <xf numFmtId="174" fontId="56" fillId="36" borderId="13" xfId="0" applyNumberFormat="1" applyFont="1" applyFill="1" applyBorder="1" applyAlignment="1">
      <alignment horizontal="center"/>
    </xf>
    <xf numFmtId="174" fontId="36" fillId="0" borderId="13" xfId="0" applyNumberFormat="1" applyFont="1" applyBorder="1" applyAlignment="1">
      <alignment horizontal="center"/>
    </xf>
    <xf numFmtId="0" fontId="0" fillId="0" borderId="81" xfId="0" applyBorder="1"/>
    <xf numFmtId="0" fontId="0" fillId="0" borderId="77" xfId="0" applyBorder="1" applyAlignment="1">
      <alignment horizontal="center"/>
    </xf>
    <xf numFmtId="0" fontId="0" fillId="0" borderId="80" xfId="0" applyBorder="1"/>
    <xf numFmtId="0" fontId="0" fillId="0" borderId="90" xfId="0" applyBorder="1"/>
    <xf numFmtId="43" fontId="11" fillId="0" borderId="0" xfId="157" applyFont="1" applyFill="1" applyBorder="1" applyAlignment="1">
      <alignment horizontal="left"/>
    </xf>
    <xf numFmtId="43" fontId="72" fillId="0" borderId="0" xfId="157" applyFont="1" applyBorder="1"/>
    <xf numFmtId="0" fontId="0" fillId="0" borderId="124" xfId="0" applyBorder="1" applyAlignment="1">
      <alignment horizontal="center"/>
    </xf>
    <xf numFmtId="0" fontId="0" fillId="0" borderId="137" xfId="0" applyBorder="1" applyAlignment="1">
      <alignment horizontal="center"/>
    </xf>
    <xf numFmtId="0" fontId="81" fillId="31" borderId="13" xfId="179" applyFont="1" applyFill="1" applyBorder="1" applyAlignment="1">
      <alignment horizontal="center" wrapText="1"/>
    </xf>
    <xf numFmtId="0" fontId="73" fillId="31" borderId="17" xfId="179" applyFont="1" applyFill="1" applyBorder="1" applyAlignment="1">
      <alignment horizontal="center" wrapText="1"/>
    </xf>
    <xf numFmtId="0" fontId="73" fillId="31" borderId="141" xfId="179" applyFont="1" applyFill="1" applyBorder="1" applyAlignment="1">
      <alignment horizontal="center" wrapText="1"/>
    </xf>
    <xf numFmtId="0" fontId="36" fillId="31" borderId="144" xfId="179" applyFont="1" applyFill="1" applyBorder="1" applyAlignment="1">
      <alignment horizontal="center" wrapText="1"/>
    </xf>
    <xf numFmtId="0" fontId="115" fillId="31" borderId="148" xfId="187" applyFont="1" applyFill="1" applyBorder="1" applyAlignment="1">
      <alignment horizontal="center"/>
    </xf>
    <xf numFmtId="0" fontId="154" fillId="31" borderId="141" xfId="187" applyFill="1" applyBorder="1" applyAlignment="1">
      <alignment horizontal="center"/>
    </xf>
    <xf numFmtId="171" fontId="7" fillId="24" borderId="0" xfId="0" applyNumberFormat="1" applyFont="1" applyFill="1" applyBorder="1" applyAlignment="1">
      <alignment horizontal="center"/>
    </xf>
    <xf numFmtId="169" fontId="7" fillId="25" borderId="92" xfId="0" applyNumberFormat="1" applyFont="1" applyFill="1" applyBorder="1" applyAlignment="1">
      <alignment horizontal="center"/>
    </xf>
    <xf numFmtId="169" fontId="7" fillId="25" borderId="152" xfId="0" applyNumberFormat="1" applyFont="1" applyFill="1" applyBorder="1" applyAlignment="1">
      <alignment horizontal="center"/>
    </xf>
    <xf numFmtId="169" fontId="7" fillId="25" borderId="153" xfId="0" applyNumberFormat="1" applyFont="1" applyFill="1" applyBorder="1" applyAlignment="1">
      <alignment horizontal="center"/>
    </xf>
    <xf numFmtId="0" fontId="0" fillId="0" borderId="137" xfId="0" applyBorder="1"/>
    <xf numFmtId="0" fontId="36" fillId="24" borderId="87" xfId="179" applyFont="1" applyFill="1" applyBorder="1" applyAlignment="1">
      <alignment horizontal="center" wrapText="1"/>
    </xf>
    <xf numFmtId="0" fontId="36" fillId="24" borderId="154" xfId="179" applyFont="1" applyFill="1" applyBorder="1" applyAlignment="1">
      <alignment horizontal="center" wrapText="1"/>
    </xf>
    <xf numFmtId="0" fontId="38" fillId="24" borderId="155" xfId="179" applyFont="1" applyFill="1" applyBorder="1" applyAlignment="1">
      <alignment horizontal="center" wrapText="1"/>
    </xf>
    <xf numFmtId="0" fontId="38" fillId="24" borderId="156" xfId="179" applyFont="1" applyFill="1" applyBorder="1" applyAlignment="1">
      <alignment horizontal="center" wrapText="1"/>
    </xf>
    <xf numFmtId="0" fontId="0" fillId="0" borderId="79" xfId="0" applyBorder="1"/>
    <xf numFmtId="0" fontId="82" fillId="24" borderId="157" xfId="179" applyFont="1" applyFill="1" applyBorder="1" applyAlignment="1">
      <alignment horizontal="center" wrapText="1"/>
    </xf>
    <xf numFmtId="0" fontId="36" fillId="24" borderId="16" xfId="179" applyFont="1" applyFill="1" applyBorder="1" applyAlignment="1">
      <alignment horizontal="center" wrapText="1"/>
    </xf>
    <xf numFmtId="0" fontId="36" fillId="24" borderId="18" xfId="179" applyFont="1" applyFill="1" applyBorder="1" applyAlignment="1">
      <alignment horizontal="center" wrapText="1"/>
    </xf>
    <xf numFmtId="0" fontId="83" fillId="24" borderId="109" xfId="179" applyFont="1" applyFill="1" applyBorder="1" applyAlignment="1">
      <alignment horizontal="center" wrapText="1"/>
    </xf>
    <xf numFmtId="0" fontId="83" fillId="24" borderId="111" xfId="179" applyFont="1" applyFill="1" applyBorder="1" applyAlignment="1">
      <alignment horizontal="center" wrapText="1"/>
    </xf>
    <xf numFmtId="0" fontId="0" fillId="0" borderId="112" xfId="0" applyBorder="1"/>
    <xf numFmtId="0" fontId="38" fillId="24" borderId="31" xfId="179" applyFont="1" applyFill="1" applyBorder="1" applyAlignment="1">
      <alignment horizontal="center" wrapText="1"/>
    </xf>
    <xf numFmtId="0" fontId="0" fillId="0" borderId="144" xfId="0" applyBorder="1"/>
    <xf numFmtId="0" fontId="0" fillId="0" borderId="115" xfId="0" applyBorder="1"/>
    <xf numFmtId="0" fontId="0" fillId="0" borderId="128" xfId="0" applyBorder="1"/>
    <xf numFmtId="0" fontId="73" fillId="24" borderId="80" xfId="179" applyFont="1" applyFill="1" applyBorder="1" applyAlignment="1">
      <alignment horizontal="center" wrapText="1"/>
    </xf>
    <xf numFmtId="0" fontId="73" fillId="24" borderId="90" xfId="179" applyFont="1" applyFill="1" applyBorder="1" applyAlignment="1">
      <alignment horizontal="center" wrapText="1"/>
    </xf>
    <xf numFmtId="0" fontId="0" fillId="0" borderId="130" xfId="0" applyBorder="1"/>
    <xf numFmtId="0" fontId="82" fillId="24" borderId="133" xfId="179" applyFont="1" applyFill="1" applyBorder="1" applyAlignment="1">
      <alignment horizontal="center" wrapText="1"/>
    </xf>
    <xf numFmtId="0" fontId="115" fillId="24" borderId="148" xfId="187" applyFont="1" applyFill="1" applyBorder="1" applyAlignment="1">
      <alignment horizontal="center"/>
    </xf>
    <xf numFmtId="0" fontId="0" fillId="24" borderId="158" xfId="0" applyFill="1" applyBorder="1" applyAlignment="1">
      <alignment horizontal="center"/>
    </xf>
    <xf numFmtId="0" fontId="115" fillId="24" borderId="141" xfId="187" applyFont="1" applyFill="1" applyBorder="1" applyAlignment="1">
      <alignment horizontal="center"/>
    </xf>
    <xf numFmtId="0" fontId="36" fillId="24" borderId="148" xfId="179" applyFont="1" applyFill="1" applyBorder="1" applyAlignment="1">
      <alignment horizontal="center" wrapText="1"/>
    </xf>
    <xf numFmtId="0" fontId="0" fillId="24" borderId="159" xfId="0" applyFill="1" applyBorder="1" applyAlignment="1">
      <alignment horizontal="center"/>
    </xf>
    <xf numFmtId="0" fontId="82" fillId="24" borderId="160" xfId="179" applyFont="1" applyFill="1" applyBorder="1" applyAlignment="1">
      <alignment horizontal="center" wrapText="1"/>
    </xf>
    <xf numFmtId="0" fontId="82" fillId="24" borderId="161" xfId="179" applyFont="1" applyFill="1" applyBorder="1" applyAlignment="1">
      <alignment horizontal="center" wrapText="1"/>
    </xf>
    <xf numFmtId="0" fontId="83" fillId="24" borderId="162" xfId="179" applyFont="1" applyFill="1" applyBorder="1" applyAlignment="1">
      <alignment horizontal="center" wrapText="1"/>
    </xf>
    <xf numFmtId="0" fontId="114" fillId="0" borderId="137" xfId="187" applyFont="1" applyBorder="1" applyAlignment="1">
      <alignment horizontal="center"/>
    </xf>
    <xf numFmtId="0" fontId="115" fillId="24" borderId="124" xfId="187" applyFont="1" applyFill="1" applyBorder="1" applyAlignment="1">
      <alignment horizontal="center"/>
    </xf>
    <xf numFmtId="0" fontId="115" fillId="24" borderId="143" xfId="187" applyFont="1" applyFill="1" applyBorder="1" applyAlignment="1">
      <alignment horizontal="center"/>
    </xf>
    <xf numFmtId="0" fontId="36" fillId="24" borderId="128" xfId="179" applyFont="1" applyFill="1" applyBorder="1" applyAlignment="1">
      <alignment horizontal="center" wrapText="1"/>
    </xf>
    <xf numFmtId="0" fontId="115" fillId="24" borderId="128" xfId="187" applyFont="1" applyFill="1" applyBorder="1" applyAlignment="1">
      <alignment horizontal="center"/>
    </xf>
    <xf numFmtId="0" fontId="0" fillId="24" borderId="136" xfId="0" applyFill="1" applyBorder="1" applyAlignment="1">
      <alignment horizontal="center"/>
    </xf>
    <xf numFmtId="0" fontId="115" fillId="24" borderId="158" xfId="187" applyFont="1" applyFill="1" applyBorder="1" applyAlignment="1">
      <alignment horizontal="center"/>
    </xf>
    <xf numFmtId="0" fontId="115" fillId="24" borderId="159" xfId="187" applyFont="1" applyFill="1" applyBorder="1" applyAlignment="1">
      <alignment horizontal="center"/>
    </xf>
    <xf numFmtId="0" fontId="115" fillId="24" borderId="136" xfId="187" applyFont="1" applyFill="1" applyBorder="1" applyAlignment="1">
      <alignment horizontal="center"/>
    </xf>
    <xf numFmtId="0" fontId="154" fillId="0" borderId="81" xfId="191" applyBorder="1" applyAlignment="1">
      <alignment horizontal="center"/>
    </xf>
    <xf numFmtId="0" fontId="154" fillId="0" borderId="78" xfId="193" applyBorder="1" applyAlignment="1">
      <alignment horizontal="center"/>
    </xf>
    <xf numFmtId="0" fontId="154" fillId="0" borderId="80" xfId="191" applyBorder="1" applyAlignment="1">
      <alignment horizontal="center"/>
    </xf>
    <xf numFmtId="0" fontId="154" fillId="0" borderId="79" xfId="193" applyBorder="1" applyAlignment="1">
      <alignment horizontal="center"/>
    </xf>
    <xf numFmtId="0" fontId="154" fillId="0" borderId="90" xfId="191" applyBorder="1" applyAlignment="1">
      <alignment horizontal="center"/>
    </xf>
    <xf numFmtId="0" fontId="154" fillId="0" borderId="103" xfId="193" applyBorder="1" applyAlignment="1">
      <alignment horizontal="center"/>
    </xf>
    <xf numFmtId="0" fontId="115" fillId="24" borderId="144" xfId="187" applyFont="1" applyFill="1" applyBorder="1" applyAlignment="1">
      <alignment horizontal="center"/>
    </xf>
    <xf numFmtId="0" fontId="115" fillId="24" borderId="115" xfId="187" applyFont="1" applyFill="1" applyBorder="1" applyAlignment="1">
      <alignment horizontal="center"/>
    </xf>
    <xf numFmtId="0" fontId="115" fillId="24" borderId="125" xfId="187" applyFont="1" applyFill="1" applyBorder="1" applyAlignment="1">
      <alignment horizontal="center"/>
    </xf>
    <xf numFmtId="0" fontId="24" fillId="0" borderId="0" xfId="0" applyFont="1" applyFill="1" applyBorder="1"/>
    <xf numFmtId="0" fontId="118" fillId="0" borderId="121" xfId="195" applyFont="1" applyFill="1" applyBorder="1" applyAlignment="1">
      <alignment horizontal="center" wrapText="1"/>
    </xf>
    <xf numFmtId="0" fontId="111" fillId="26" borderId="0" xfId="0" applyFont="1" applyFill="1"/>
    <xf numFmtId="0" fontId="119" fillId="0" borderId="0" xfId="0" applyFont="1" applyAlignment="1"/>
    <xf numFmtId="0" fontId="36" fillId="0" borderId="0" xfId="0" applyFont="1" applyAlignment="1">
      <alignment horizontal="center" vertical="center"/>
    </xf>
    <xf numFmtId="0" fontId="36" fillId="0" borderId="86" xfId="0" applyFont="1" applyBorder="1" applyAlignment="1">
      <alignment horizontal="center" vertical="center"/>
    </xf>
    <xf numFmtId="0" fontId="36" fillId="0" borderId="89" xfId="0" applyFont="1" applyBorder="1" applyAlignment="1">
      <alignment horizontal="center" vertical="center"/>
    </xf>
    <xf numFmtId="0" fontId="36" fillId="0" borderId="114" xfId="0" applyFont="1" applyBorder="1" applyAlignment="1">
      <alignment horizontal="center" vertical="center"/>
    </xf>
    <xf numFmtId="0" fontId="36" fillId="0" borderId="88" xfId="0" applyFont="1" applyBorder="1" applyAlignment="1">
      <alignment horizontal="center" vertical="center"/>
    </xf>
    <xf numFmtId="0" fontId="36" fillId="32" borderId="104" xfId="0" applyFont="1" applyFill="1" applyBorder="1" applyAlignment="1">
      <alignment horizontal="center" vertical="center"/>
    </xf>
    <xf numFmtId="0" fontId="36" fillId="32" borderId="18" xfId="0" applyFont="1" applyFill="1" applyBorder="1" applyAlignment="1">
      <alignment horizontal="center" vertical="center"/>
    </xf>
    <xf numFmtId="0" fontId="36" fillId="0" borderId="16" xfId="0" applyFont="1" applyBorder="1" applyAlignment="1">
      <alignment horizontal="center" vertical="center"/>
    </xf>
    <xf numFmtId="0" fontId="36" fillId="32" borderId="130" xfId="0" applyFont="1" applyFill="1" applyBorder="1" applyAlignment="1">
      <alignment horizontal="center" vertical="center"/>
    </xf>
    <xf numFmtId="0" fontId="38" fillId="0" borderId="101" xfId="0" applyFont="1" applyFill="1" applyBorder="1" applyAlignment="1">
      <alignment horizontal="center" vertical="center"/>
    </xf>
    <xf numFmtId="0" fontId="36" fillId="0" borderId="107" xfId="0" applyFont="1" applyBorder="1" applyAlignment="1">
      <alignment horizontal="center" vertical="center"/>
    </xf>
    <xf numFmtId="0" fontId="36" fillId="0" borderId="77" xfId="0" applyFont="1" applyBorder="1" applyAlignment="1">
      <alignment horizontal="center" vertical="center"/>
    </xf>
    <xf numFmtId="0" fontId="36" fillId="0" borderId="78" xfId="0" applyFont="1" applyBorder="1" applyAlignment="1">
      <alignment horizontal="center" vertical="center"/>
    </xf>
    <xf numFmtId="3" fontId="36" fillId="0" borderId="81" xfId="0" applyNumberFormat="1" applyFont="1" applyBorder="1" applyAlignment="1">
      <alignment horizontal="center" vertical="center"/>
    </xf>
    <xf numFmtId="3" fontId="36" fillId="0" borderId="77" xfId="0" applyNumberFormat="1" applyFont="1" applyBorder="1" applyAlignment="1">
      <alignment horizontal="center" vertical="center"/>
    </xf>
    <xf numFmtId="3" fontId="36" fillId="0" borderId="140" xfId="0" applyNumberFormat="1" applyFont="1" applyBorder="1" applyAlignment="1">
      <alignment horizontal="center" vertical="center"/>
    </xf>
    <xf numFmtId="3" fontId="87" fillId="0" borderId="78" xfId="196" applyNumberFormat="1" applyFont="1" applyFill="1" applyBorder="1" applyAlignment="1">
      <alignment horizontal="center" vertical="center" wrapText="1"/>
    </xf>
    <xf numFmtId="0" fontId="36" fillId="0" borderId="163" xfId="0" applyFont="1" applyBorder="1" applyAlignment="1">
      <alignment horizontal="center" vertical="center"/>
    </xf>
    <xf numFmtId="0" fontId="36" fillId="0" borderId="102" xfId="0" applyFont="1" applyBorder="1" applyAlignment="1">
      <alignment horizontal="center" vertical="center"/>
    </xf>
    <xf numFmtId="0" fontId="36" fillId="0" borderId="103" xfId="0" applyFont="1" applyBorder="1" applyAlignment="1">
      <alignment horizontal="center" vertical="center"/>
    </xf>
    <xf numFmtId="3" fontId="36" fillId="0" borderId="90" xfId="0" applyNumberFormat="1" applyFont="1" applyBorder="1" applyAlignment="1">
      <alignment horizontal="center" vertical="center"/>
    </xf>
    <xf numFmtId="3" fontId="36" fillId="0" borderId="102" xfId="0" applyNumberFormat="1" applyFont="1" applyBorder="1" applyAlignment="1">
      <alignment horizontal="center" vertical="center"/>
    </xf>
    <xf numFmtId="3" fontId="36" fillId="0" borderId="105" xfId="0" applyNumberFormat="1" applyFont="1" applyBorder="1" applyAlignment="1">
      <alignment horizontal="center" vertical="center"/>
    </xf>
    <xf numFmtId="3" fontId="87" fillId="0" borderId="103" xfId="196" applyNumberFormat="1" applyFont="1" applyFill="1" applyBorder="1" applyAlignment="1">
      <alignment horizontal="center" vertical="center" wrapText="1"/>
    </xf>
    <xf numFmtId="3" fontId="36" fillId="0" borderId="129" xfId="0" applyNumberFormat="1" applyFont="1" applyBorder="1" applyAlignment="1">
      <alignment horizontal="center" vertical="center"/>
    </xf>
    <xf numFmtId="0" fontId="36" fillId="30" borderId="163" xfId="0" applyFont="1" applyFill="1" applyBorder="1" applyAlignment="1">
      <alignment horizontal="center" vertical="center"/>
    </xf>
    <xf numFmtId="0" fontId="36" fillId="30" borderId="102" xfId="0" applyFont="1" applyFill="1" applyBorder="1" applyAlignment="1">
      <alignment horizontal="center" vertical="center"/>
    </xf>
    <xf numFmtId="0" fontId="36" fillId="30" borderId="103" xfId="0" applyFont="1" applyFill="1" applyBorder="1" applyAlignment="1">
      <alignment horizontal="center" vertical="center"/>
    </xf>
    <xf numFmtId="3" fontId="36" fillId="30" borderId="90" xfId="0" applyNumberFormat="1" applyFont="1" applyFill="1" applyBorder="1" applyAlignment="1">
      <alignment horizontal="center" vertical="center"/>
    </xf>
    <xf numFmtId="3" fontId="36" fillId="30" borderId="102" xfId="0" applyNumberFormat="1" applyFont="1" applyFill="1" applyBorder="1" applyAlignment="1">
      <alignment horizontal="center" vertical="center"/>
    </xf>
    <xf numFmtId="3" fontId="36" fillId="30" borderId="105" xfId="0" applyNumberFormat="1" applyFont="1" applyFill="1" applyBorder="1" applyAlignment="1">
      <alignment horizontal="center" vertical="center"/>
    </xf>
    <xf numFmtId="3" fontId="87" fillId="30" borderId="103" xfId="196" applyNumberFormat="1" applyFont="1" applyFill="1" applyBorder="1" applyAlignment="1">
      <alignment horizontal="center" vertical="center" wrapText="1"/>
    </xf>
    <xf numFmtId="3" fontId="36" fillId="0" borderId="0" xfId="0" applyNumberFormat="1" applyFont="1"/>
    <xf numFmtId="0" fontId="36" fillId="24" borderId="0" xfId="0" applyFont="1" applyFill="1" applyBorder="1"/>
    <xf numFmtId="0" fontId="36" fillId="0" borderId="20" xfId="0" applyFont="1" applyBorder="1" applyAlignment="1">
      <alignment horizontal="center" vertical="center"/>
    </xf>
    <xf numFmtId="0" fontId="36" fillId="0" borderId="13" xfId="0" applyFont="1" applyBorder="1" applyAlignment="1">
      <alignment horizontal="center" vertical="center"/>
    </xf>
    <xf numFmtId="0" fontId="36" fillId="0" borderId="79" xfId="0" applyFont="1" applyBorder="1" applyAlignment="1">
      <alignment horizontal="center" vertical="center"/>
    </xf>
    <xf numFmtId="3" fontId="36" fillId="0" borderId="80" xfId="0" applyNumberFormat="1" applyFont="1" applyBorder="1" applyAlignment="1">
      <alignment horizontal="center" vertical="center"/>
    </xf>
    <xf numFmtId="3" fontId="36" fillId="0" borderId="13" xfId="0" applyNumberFormat="1" applyFont="1" applyBorder="1" applyAlignment="1">
      <alignment horizontal="center" vertical="center"/>
    </xf>
    <xf numFmtId="3" fontId="36" fillId="0" borderId="17" xfId="0" applyNumberFormat="1" applyFont="1" applyBorder="1" applyAlignment="1">
      <alignment horizontal="center" vertical="center"/>
    </xf>
    <xf numFmtId="3" fontId="87" fillId="0" borderId="79" xfId="196" applyNumberFormat="1" applyFont="1" applyFill="1" applyBorder="1" applyAlignment="1">
      <alignment horizontal="center" vertical="center" wrapText="1"/>
    </xf>
    <xf numFmtId="0" fontId="36" fillId="0" borderId="61" xfId="0" applyFont="1" applyBorder="1" applyAlignment="1">
      <alignment horizontal="center" vertical="center"/>
    </xf>
    <xf numFmtId="0" fontId="36" fillId="0" borderId="21" xfId="0" applyFont="1" applyBorder="1" applyAlignment="1">
      <alignment horizontal="center" vertical="center"/>
    </xf>
    <xf numFmtId="0" fontId="36" fillId="0" borderId="165" xfId="0" applyFont="1" applyBorder="1" applyAlignment="1">
      <alignment horizontal="center" vertical="center"/>
    </xf>
    <xf numFmtId="3" fontId="36" fillId="0" borderId="166" xfId="0" applyNumberFormat="1" applyFont="1" applyBorder="1" applyAlignment="1">
      <alignment horizontal="center" vertical="center"/>
    </xf>
    <xf numFmtId="3" fontId="36" fillId="0" borderId="21" xfId="0" applyNumberFormat="1" applyFont="1" applyBorder="1" applyAlignment="1">
      <alignment horizontal="center" vertical="center"/>
    </xf>
    <xf numFmtId="3" fontId="36" fillId="0" borderId="22" xfId="0" applyNumberFormat="1" applyFont="1" applyBorder="1" applyAlignment="1">
      <alignment horizontal="center" vertical="center"/>
    </xf>
    <xf numFmtId="3" fontId="87" fillId="0" borderId="165" xfId="196" applyNumberFormat="1" applyFont="1" applyFill="1" applyBorder="1" applyAlignment="1">
      <alignment horizontal="center" vertical="center" wrapText="1"/>
    </xf>
    <xf numFmtId="0" fontId="36" fillId="0" borderId="60" xfId="0" applyFont="1" applyBorder="1" applyAlignment="1">
      <alignment horizontal="center" vertical="center"/>
    </xf>
    <xf numFmtId="0" fontId="36" fillId="0" borderId="18" xfId="0" applyFont="1" applyBorder="1" applyAlignment="1">
      <alignment horizontal="center" vertical="center"/>
    </xf>
    <xf numFmtId="0" fontId="36" fillId="0" borderId="130" xfId="0" applyFont="1" applyBorder="1" applyAlignment="1">
      <alignment horizontal="center" vertical="center"/>
    </xf>
    <xf numFmtId="3" fontId="36" fillId="0" borderId="104" xfId="0" applyNumberFormat="1" applyFont="1" applyBorder="1" applyAlignment="1">
      <alignment horizontal="center" vertical="center"/>
    </xf>
    <xf numFmtId="3" fontId="36" fillId="0" borderId="18" xfId="0" applyNumberFormat="1" applyFont="1" applyBorder="1" applyAlignment="1">
      <alignment horizontal="center" vertical="center"/>
    </xf>
    <xf numFmtId="3" fontId="36" fillId="0" borderId="16" xfId="0" applyNumberFormat="1" applyFont="1" applyBorder="1" applyAlignment="1">
      <alignment horizontal="center" vertical="center"/>
    </xf>
    <xf numFmtId="0" fontId="36" fillId="0" borderId="140" xfId="0" applyFont="1" applyBorder="1" applyAlignment="1">
      <alignment horizontal="center" vertical="center"/>
    </xf>
    <xf numFmtId="3" fontId="36" fillId="0" borderId="78" xfId="0" applyNumberFormat="1" applyFont="1" applyBorder="1" applyAlignment="1">
      <alignment horizontal="center" vertical="center"/>
    </xf>
    <xf numFmtId="3" fontId="36" fillId="0" borderId="124" xfId="0" applyNumberFormat="1" applyFont="1" applyBorder="1" applyAlignment="1">
      <alignment horizontal="center" vertical="center"/>
    </xf>
    <xf numFmtId="0" fontId="36" fillId="0" borderId="105" xfId="0" applyFont="1" applyBorder="1" applyAlignment="1">
      <alignment horizontal="center" vertical="center"/>
    </xf>
    <xf numFmtId="3" fontId="36" fillId="0" borderId="103" xfId="0" applyNumberFormat="1" applyFont="1" applyBorder="1" applyAlignment="1">
      <alignment horizontal="center" vertical="center"/>
    </xf>
    <xf numFmtId="3" fontId="36" fillId="0" borderId="125" xfId="0" applyNumberFormat="1" applyFont="1" applyBorder="1" applyAlignment="1">
      <alignment horizontal="center" vertical="center"/>
    </xf>
    <xf numFmtId="0" fontId="36" fillId="0" borderId="0" xfId="0" applyFont="1" applyBorder="1" applyAlignment="1">
      <alignment horizontal="center" vertical="center"/>
    </xf>
    <xf numFmtId="16" fontId="36" fillId="0" borderId="0" xfId="0" applyNumberFormat="1" applyFont="1" applyBorder="1" applyAlignment="1">
      <alignment horizontal="center" vertical="center"/>
    </xf>
    <xf numFmtId="0" fontId="36" fillId="0" borderId="31" xfId="0" applyFont="1" applyBorder="1" applyAlignment="1">
      <alignment horizontal="center" vertical="center"/>
    </xf>
    <xf numFmtId="3" fontId="36" fillId="0" borderId="109" xfId="0" applyNumberFormat="1" applyFont="1" applyBorder="1" applyAlignment="1">
      <alignment horizontal="center" vertical="center"/>
    </xf>
    <xf numFmtId="3" fontId="36" fillId="26" borderId="109" xfId="0" applyNumberFormat="1" applyFont="1" applyFill="1" applyBorder="1" applyAlignment="1">
      <alignment horizontal="center" vertical="center"/>
    </xf>
    <xf numFmtId="0" fontId="36" fillId="24" borderId="0" xfId="0" applyFont="1" applyFill="1" applyBorder="1" applyAlignment="1">
      <alignment horizontal="center"/>
    </xf>
    <xf numFmtId="0" fontId="38" fillId="24" borderId="0" xfId="0" applyFont="1" applyFill="1" applyBorder="1"/>
    <xf numFmtId="0" fontId="36" fillId="0" borderId="0" xfId="0" applyFont="1" applyFill="1" applyBorder="1" applyAlignment="1">
      <alignment horizontal="center" vertical="center"/>
    </xf>
    <xf numFmtId="180" fontId="36" fillId="0" borderId="0" xfId="0" applyNumberFormat="1" applyFont="1" applyBorder="1" applyAlignment="1">
      <alignment horizontal="center"/>
    </xf>
    <xf numFmtId="0" fontId="119" fillId="0" borderId="0" xfId="0" applyFont="1" applyAlignment="1">
      <alignment horizontal="left"/>
    </xf>
    <xf numFmtId="0" fontId="118" fillId="36" borderId="131" xfId="195" applyFont="1" applyFill="1" applyBorder="1" applyAlignment="1">
      <alignment horizontal="center" vertical="center" wrapText="1"/>
    </xf>
    <xf numFmtId="0" fontId="118" fillId="36" borderId="168" xfId="195" applyFont="1" applyFill="1" applyBorder="1" applyAlignment="1">
      <alignment horizontal="center" vertical="center" wrapText="1"/>
    </xf>
    <xf numFmtId="0" fontId="118" fillId="36" borderId="122" xfId="195" applyFont="1" applyFill="1" applyBorder="1" applyAlignment="1">
      <alignment horizontal="center" vertical="center" wrapText="1"/>
    </xf>
    <xf numFmtId="0" fontId="118" fillId="36" borderId="169" xfId="195" applyFont="1" applyFill="1" applyBorder="1" applyAlignment="1">
      <alignment horizontal="center" vertical="center" wrapText="1"/>
    </xf>
    <xf numFmtId="0" fontId="118" fillId="36" borderId="170" xfId="195" applyFont="1" applyFill="1" applyBorder="1" applyAlignment="1">
      <alignment horizontal="center" vertical="center" wrapText="1"/>
    </xf>
    <xf numFmtId="0" fontId="118" fillId="36" borderId="171" xfId="195" applyFont="1" applyFill="1" applyBorder="1" applyAlignment="1">
      <alignment horizontal="center" vertical="center" wrapText="1"/>
    </xf>
    <xf numFmtId="180" fontId="38" fillId="36" borderId="87" xfId="0" applyNumberFormat="1" applyFont="1" applyFill="1" applyBorder="1" applyAlignment="1">
      <alignment horizontal="center"/>
    </xf>
    <xf numFmtId="0" fontId="118" fillId="0" borderId="172" xfId="195" applyFont="1" applyFill="1" applyBorder="1" applyAlignment="1">
      <alignment horizontal="center" wrapText="1"/>
    </xf>
    <xf numFmtId="0" fontId="118" fillId="0" borderId="173" xfId="195" applyFont="1" applyFill="1" applyBorder="1" applyAlignment="1">
      <alignment horizontal="center" wrapText="1"/>
    </xf>
    <xf numFmtId="0" fontId="118" fillId="0" borderId="174" xfId="195" applyFont="1" applyFill="1" applyBorder="1" applyAlignment="1">
      <alignment horizontal="center" wrapText="1"/>
    </xf>
    <xf numFmtId="0" fontId="118" fillId="0" borderId="175" xfId="195" applyFont="1" applyFill="1" applyBorder="1" applyAlignment="1">
      <alignment horizontal="center" wrapText="1"/>
    </xf>
    <xf numFmtId="0" fontId="118" fillId="0" borderId="176" xfId="195" applyFont="1" applyFill="1" applyBorder="1" applyAlignment="1">
      <alignment horizontal="center" wrapText="1"/>
    </xf>
    <xf numFmtId="0" fontId="118" fillId="0" borderId="177" xfId="195" applyFont="1" applyFill="1" applyBorder="1" applyAlignment="1">
      <alignment horizontal="center" wrapText="1"/>
    </xf>
    <xf numFmtId="0" fontId="118" fillId="0" borderId="178" xfId="195" applyFont="1" applyFill="1" applyBorder="1" applyAlignment="1">
      <alignment horizontal="center" wrapText="1"/>
    </xf>
    <xf numFmtId="0" fontId="118" fillId="0" borderId="179" xfId="195" applyFont="1" applyFill="1" applyBorder="1" applyAlignment="1">
      <alignment horizontal="center" wrapText="1"/>
    </xf>
    <xf numFmtId="0" fontId="118" fillId="0" borderId="4" xfId="195" applyFont="1" applyFill="1" applyBorder="1" applyAlignment="1">
      <alignment horizontal="center" wrapText="1"/>
    </xf>
    <xf numFmtId="0" fontId="118" fillId="0" borderId="180" xfId="195" applyFont="1" applyFill="1" applyBorder="1" applyAlignment="1">
      <alignment horizontal="center" wrapText="1"/>
    </xf>
    <xf numFmtId="0" fontId="118" fillId="0" borderId="181" xfId="195" applyFont="1" applyFill="1" applyBorder="1" applyAlignment="1">
      <alignment horizontal="center" wrapText="1"/>
    </xf>
    <xf numFmtId="0" fontId="118" fillId="0" borderId="182" xfId="195" applyFont="1" applyFill="1" applyBorder="1" applyAlignment="1">
      <alignment horizontal="center" wrapText="1"/>
    </xf>
    <xf numFmtId="0" fontId="118" fillId="0" borderId="183" xfId="195" applyFont="1" applyFill="1" applyBorder="1" applyAlignment="1">
      <alignment horizontal="center" wrapText="1"/>
    </xf>
    <xf numFmtId="0" fontId="118" fillId="0" borderId="184" xfId="195" applyFont="1" applyFill="1" applyBorder="1" applyAlignment="1">
      <alignment horizontal="center" wrapText="1"/>
    </xf>
    <xf numFmtId="0" fontId="118" fillId="0" borderId="185" xfId="195" applyFont="1" applyFill="1" applyBorder="1" applyAlignment="1">
      <alignment horizontal="center" wrapText="1"/>
    </xf>
    <xf numFmtId="0" fontId="118" fillId="0" borderId="186" xfId="195" applyFont="1" applyFill="1" applyBorder="1" applyAlignment="1">
      <alignment horizontal="center" wrapText="1"/>
    </xf>
    <xf numFmtId="0" fontId="118" fillId="0" borderId="187" xfId="195" applyFont="1" applyFill="1" applyBorder="1" applyAlignment="1">
      <alignment horizontal="center" wrapText="1"/>
    </xf>
    <xf numFmtId="0" fontId="118" fillId="0" borderId="188" xfId="195" applyFont="1" applyFill="1" applyBorder="1" applyAlignment="1">
      <alignment horizontal="center" wrapText="1"/>
    </xf>
    <xf numFmtId="0" fontId="118" fillId="0" borderId="189" xfId="195" applyFont="1" applyFill="1" applyBorder="1" applyAlignment="1">
      <alignment horizontal="center" wrapText="1"/>
    </xf>
    <xf numFmtId="0" fontId="118" fillId="0" borderId="190" xfId="195" applyFont="1" applyFill="1" applyBorder="1" applyAlignment="1">
      <alignment horizontal="center" wrapText="1"/>
    </xf>
    <xf numFmtId="0" fontId="118" fillId="0" borderId="191" xfId="195" applyFont="1" applyFill="1" applyBorder="1" applyAlignment="1">
      <alignment horizontal="center" wrapText="1"/>
    </xf>
    <xf numFmtId="0" fontId="118" fillId="0" borderId="192" xfId="195" applyFont="1" applyFill="1" applyBorder="1" applyAlignment="1">
      <alignment horizontal="center" wrapText="1"/>
    </xf>
    <xf numFmtId="0" fontId="118" fillId="0" borderId="193" xfId="195" applyFont="1" applyFill="1" applyBorder="1" applyAlignment="1">
      <alignment horizontal="center" wrapText="1"/>
    </xf>
    <xf numFmtId="0" fontId="118" fillId="0" borderId="194" xfId="195" applyFont="1" applyFill="1" applyBorder="1" applyAlignment="1">
      <alignment horizontal="center" wrapText="1"/>
    </xf>
    <xf numFmtId="0" fontId="118" fillId="0" borderId="195" xfId="195" applyFont="1" applyFill="1" applyBorder="1" applyAlignment="1">
      <alignment horizontal="center" wrapText="1"/>
    </xf>
    <xf numFmtId="0" fontId="118" fillId="0" borderId="196" xfId="195" applyFont="1" applyFill="1" applyBorder="1" applyAlignment="1">
      <alignment horizontal="center" wrapText="1"/>
    </xf>
    <xf numFmtId="0" fontId="118" fillId="0" borderId="197" xfId="195" applyFont="1" applyFill="1" applyBorder="1" applyAlignment="1">
      <alignment horizontal="center" wrapText="1"/>
    </xf>
    <xf numFmtId="0" fontId="118" fillId="0" borderId="198" xfId="195" applyFont="1" applyFill="1" applyBorder="1" applyAlignment="1">
      <alignment horizontal="center" wrapText="1"/>
    </xf>
    <xf numFmtId="0" fontId="118" fillId="0" borderId="199" xfId="195" applyFont="1" applyFill="1" applyBorder="1" applyAlignment="1">
      <alignment horizontal="center" wrapText="1"/>
    </xf>
    <xf numFmtId="0" fontId="118" fillId="0" borderId="131" xfId="195" applyFont="1" applyFill="1" applyBorder="1" applyAlignment="1">
      <alignment horizontal="center" wrapText="1"/>
    </xf>
    <xf numFmtId="0" fontId="118" fillId="0" borderId="132" xfId="195" applyFont="1" applyFill="1" applyBorder="1" applyAlignment="1">
      <alignment horizontal="center" wrapText="1"/>
    </xf>
    <xf numFmtId="0" fontId="118" fillId="0" borderId="83" xfId="195" applyFont="1" applyFill="1" applyBorder="1" applyAlignment="1">
      <alignment horizontal="center" wrapText="1"/>
    </xf>
    <xf numFmtId="0" fontId="118" fillId="0" borderId="0" xfId="195" applyFont="1" applyFill="1" applyBorder="1" applyAlignment="1">
      <alignment horizontal="center" wrapText="1"/>
    </xf>
    <xf numFmtId="0" fontId="118" fillId="0" borderId="135" xfId="195" applyFont="1" applyFill="1" applyBorder="1" applyAlignment="1">
      <alignment horizontal="center" wrapText="1"/>
    </xf>
    <xf numFmtId="0" fontId="118" fillId="30" borderId="83" xfId="195" applyFont="1" applyFill="1" applyBorder="1" applyAlignment="1">
      <alignment horizontal="center" wrapText="1"/>
    </xf>
    <xf numFmtId="0" fontId="118" fillId="30" borderId="0" xfId="195" applyFont="1" applyFill="1" applyBorder="1" applyAlignment="1">
      <alignment horizontal="center" wrapText="1"/>
    </xf>
    <xf numFmtId="0" fontId="118" fillId="30" borderId="135" xfId="195" applyFont="1" applyFill="1" applyBorder="1" applyAlignment="1">
      <alignment horizontal="center" wrapText="1"/>
    </xf>
    <xf numFmtId="0" fontId="38" fillId="30" borderId="0" xfId="0" applyFont="1" applyFill="1"/>
    <xf numFmtId="0" fontId="118" fillId="0" borderId="128" xfId="195" applyFont="1" applyFill="1" applyBorder="1" applyAlignment="1">
      <alignment horizontal="center" wrapText="1"/>
    </xf>
    <xf numFmtId="0" fontId="118" fillId="0" borderId="145" xfId="195" applyFont="1" applyFill="1" applyBorder="1" applyAlignment="1">
      <alignment horizontal="center" wrapText="1"/>
    </xf>
    <xf numFmtId="0" fontId="118" fillId="0" borderId="136" xfId="195" applyFont="1" applyFill="1" applyBorder="1" applyAlignment="1">
      <alignment horizontal="center" wrapText="1"/>
    </xf>
    <xf numFmtId="0" fontId="118" fillId="0" borderId="56" xfId="195" applyFont="1" applyFill="1" applyBorder="1" applyAlignment="1">
      <alignment horizontal="center" wrapText="1"/>
    </xf>
    <xf numFmtId="0" fontId="118" fillId="0" borderId="31" xfId="195" applyFont="1" applyFill="1" applyBorder="1" applyAlignment="1">
      <alignment horizontal="center" wrapText="1"/>
    </xf>
    <xf numFmtId="0" fontId="118" fillId="0" borderId="0" xfId="195" applyFont="1" applyFill="1" applyBorder="1" applyAlignment="1">
      <alignment horizontal="left" wrapText="1"/>
    </xf>
    <xf numFmtId="0" fontId="118" fillId="0" borderId="30" xfId="195" applyFont="1" applyFill="1" applyBorder="1" applyAlignment="1">
      <alignment horizontal="left" wrapText="1"/>
    </xf>
    <xf numFmtId="0" fontId="118" fillId="26" borderId="31" xfId="195" applyFont="1" applyFill="1" applyBorder="1" applyAlignment="1">
      <alignment horizontal="center" wrapText="1"/>
    </xf>
    <xf numFmtId="0" fontId="36" fillId="0" borderId="201" xfId="0" applyFont="1" applyBorder="1" applyAlignment="1">
      <alignment horizontal="center" vertical="center"/>
    </xf>
    <xf numFmtId="0" fontId="36" fillId="0" borderId="109" xfId="0" applyFont="1" applyBorder="1" applyAlignment="1">
      <alignment horizontal="center" vertical="center"/>
    </xf>
    <xf numFmtId="0" fontId="36" fillId="0" borderId="110" xfId="0" applyFont="1" applyBorder="1" applyAlignment="1">
      <alignment horizontal="center" vertical="center"/>
    </xf>
    <xf numFmtId="0" fontId="36" fillId="24" borderId="16" xfId="0" applyFont="1" applyFill="1" applyBorder="1" applyAlignment="1">
      <alignment horizontal="center" vertical="center"/>
    </xf>
    <xf numFmtId="16" fontId="36" fillId="0" borderId="112" xfId="0" applyNumberFormat="1" applyFont="1" applyBorder="1" applyAlignment="1">
      <alignment horizontal="center" vertical="center"/>
    </xf>
    <xf numFmtId="0" fontId="63" fillId="24" borderId="0" xfId="0" applyFont="1" applyFill="1" applyBorder="1" applyAlignment="1">
      <alignment wrapText="1"/>
    </xf>
    <xf numFmtId="3" fontId="63" fillId="24" borderId="0" xfId="0" applyNumberFormat="1" applyFont="1" applyFill="1" applyBorder="1"/>
    <xf numFmtId="0" fontId="63" fillId="24" borderId="0" xfId="0" applyFont="1" applyFill="1" applyBorder="1" applyAlignment="1">
      <alignment horizontal="center"/>
    </xf>
    <xf numFmtId="0" fontId="38" fillId="24" borderId="78" xfId="0" applyFont="1" applyFill="1" applyBorder="1" applyAlignment="1">
      <alignment horizontal="center"/>
    </xf>
    <xf numFmtId="0" fontId="38" fillId="24" borderId="79" xfId="0" applyFont="1" applyFill="1" applyBorder="1" applyAlignment="1">
      <alignment horizontal="center"/>
    </xf>
    <xf numFmtId="0" fontId="38" fillId="24" borderId="103" xfId="0" applyFont="1" applyFill="1" applyBorder="1" applyAlignment="1">
      <alignment horizontal="center"/>
    </xf>
    <xf numFmtId="0" fontId="63" fillId="24" borderId="81" xfId="0" applyFont="1" applyFill="1" applyBorder="1" applyAlignment="1">
      <alignment horizontal="center"/>
    </xf>
    <xf numFmtId="0" fontId="63" fillId="24" borderId="80" xfId="0" applyFont="1" applyFill="1" applyBorder="1" applyAlignment="1">
      <alignment horizontal="center"/>
    </xf>
    <xf numFmtId="0" fontId="38" fillId="24" borderId="81" xfId="0" applyFont="1" applyFill="1" applyBorder="1" applyAlignment="1">
      <alignment horizontal="center"/>
    </xf>
    <xf numFmtId="0" fontId="38" fillId="24" borderId="77" xfId="0" applyFont="1" applyFill="1" applyBorder="1" applyAlignment="1">
      <alignment horizontal="center"/>
    </xf>
    <xf numFmtId="0" fontId="38" fillId="24" borderId="81" xfId="0" applyFont="1" applyFill="1" applyBorder="1" applyAlignment="1">
      <alignment horizontal="center" wrapText="1"/>
    </xf>
    <xf numFmtId="3" fontId="38" fillId="24" borderId="77" xfId="0" applyNumberFormat="1" applyFont="1" applyFill="1" applyBorder="1" applyAlignment="1">
      <alignment horizontal="center"/>
    </xf>
    <xf numFmtId="0" fontId="38" fillId="24" borderId="80" xfId="0" applyFont="1" applyFill="1" applyBorder="1" applyAlignment="1">
      <alignment horizontal="center" wrapText="1"/>
    </xf>
    <xf numFmtId="3" fontId="38" fillId="24" borderId="13" xfId="0" applyNumberFormat="1" applyFont="1" applyFill="1" applyBorder="1" applyAlignment="1">
      <alignment horizontal="center"/>
    </xf>
    <xf numFmtId="0" fontId="38" fillId="24" borderId="90" xfId="0" applyFont="1" applyFill="1" applyBorder="1" applyAlignment="1">
      <alignment horizontal="center" wrapText="1"/>
    </xf>
    <xf numFmtId="3" fontId="38" fillId="24" borderId="102" xfId="0" applyNumberFormat="1" applyFont="1" applyFill="1" applyBorder="1" applyAlignment="1">
      <alignment horizontal="center"/>
    </xf>
    <xf numFmtId="170" fontId="38" fillId="24" borderId="18" xfId="0" applyNumberFormat="1" applyFont="1" applyFill="1" applyBorder="1" applyAlignment="1">
      <alignment horizontal="center"/>
    </xf>
    <xf numFmtId="170" fontId="38" fillId="24" borderId="79" xfId="0" applyNumberFormat="1" applyFont="1" applyFill="1" applyBorder="1" applyAlignment="1">
      <alignment horizontal="center"/>
    </xf>
    <xf numFmtId="170" fontId="38" fillId="24" borderId="90" xfId="0" applyNumberFormat="1" applyFont="1" applyFill="1" applyBorder="1" applyAlignment="1">
      <alignment horizontal="center"/>
    </xf>
    <xf numFmtId="170" fontId="38" fillId="24" borderId="102" xfId="0" applyNumberFormat="1" applyFont="1" applyFill="1" applyBorder="1" applyAlignment="1">
      <alignment horizontal="center"/>
    </xf>
    <xf numFmtId="170" fontId="38" fillId="24" borderId="103" xfId="0" applyNumberFormat="1" applyFont="1" applyFill="1" applyBorder="1" applyAlignment="1">
      <alignment horizontal="center"/>
    </xf>
    <xf numFmtId="0" fontId="36" fillId="0" borderId="130" xfId="0" applyFont="1" applyBorder="1" applyAlignment="1">
      <alignment horizontal="center"/>
    </xf>
    <xf numFmtId="0" fontId="32" fillId="0" borderId="115" xfId="0" applyFont="1" applyBorder="1" applyAlignment="1">
      <alignment horizontal="center"/>
    </xf>
    <xf numFmtId="0" fontId="36" fillId="0" borderId="87" xfId="0" applyFont="1" applyBorder="1" applyAlignment="1">
      <alignment horizontal="center"/>
    </xf>
    <xf numFmtId="170" fontId="13" fillId="0" borderId="87" xfId="0" applyNumberFormat="1" applyFont="1" applyBorder="1"/>
    <xf numFmtId="170" fontId="13" fillId="0" borderId="31" xfId="0" applyNumberFormat="1" applyFont="1" applyBorder="1"/>
    <xf numFmtId="171" fontId="38" fillId="24" borderId="104" xfId="0" applyNumberFormat="1" applyFont="1" applyFill="1" applyBorder="1" applyAlignment="1">
      <alignment horizontal="center"/>
    </xf>
    <xf numFmtId="2" fontId="36" fillId="0" borderId="13" xfId="0" applyNumberFormat="1" applyFont="1" applyFill="1" applyBorder="1" applyAlignment="1">
      <alignment horizontal="center"/>
    </xf>
    <xf numFmtId="4" fontId="118" fillId="0" borderId="131" xfId="195" applyNumberFormat="1" applyFont="1" applyFill="1" applyBorder="1" applyAlignment="1">
      <alignment horizontal="center" wrapText="1"/>
    </xf>
    <xf numFmtId="4" fontId="118" fillId="0" borderId="132" xfId="195" applyNumberFormat="1" applyFont="1" applyFill="1" applyBorder="1" applyAlignment="1">
      <alignment horizontal="center" wrapText="1"/>
    </xf>
    <xf numFmtId="4" fontId="118" fillId="0" borderId="83" xfId="195" applyNumberFormat="1" applyFont="1" applyFill="1" applyBorder="1" applyAlignment="1">
      <alignment horizontal="center" wrapText="1"/>
    </xf>
    <xf numFmtId="4" fontId="118" fillId="0" borderId="135" xfId="195" applyNumberFormat="1" applyFont="1" applyFill="1" applyBorder="1" applyAlignment="1">
      <alignment horizontal="center" wrapText="1"/>
    </xf>
    <xf numFmtId="4" fontId="118" fillId="0" borderId="128" xfId="195" applyNumberFormat="1" applyFont="1" applyFill="1" applyBorder="1" applyAlignment="1">
      <alignment horizontal="center" wrapText="1"/>
    </xf>
    <xf numFmtId="4" fontId="118" fillId="0" borderId="136" xfId="195" applyNumberFormat="1" applyFont="1" applyFill="1" applyBorder="1" applyAlignment="1">
      <alignment horizontal="center" wrapText="1"/>
    </xf>
    <xf numFmtId="169" fontId="98" fillId="24" borderId="13" xfId="0" applyNumberFormat="1" applyFont="1" applyFill="1" applyBorder="1" applyAlignment="1">
      <alignment horizontal="center" vertical="center"/>
    </xf>
    <xf numFmtId="4" fontId="105" fillId="0" borderId="13" xfId="0" applyNumberFormat="1" applyFont="1" applyFill="1" applyBorder="1" applyAlignment="1">
      <alignment horizontal="center" vertical="center"/>
    </xf>
    <xf numFmtId="174" fontId="105" fillId="0" borderId="13" xfId="0" applyNumberFormat="1" applyFont="1" applyFill="1" applyBorder="1" applyAlignment="1">
      <alignment horizontal="center" vertical="center"/>
    </xf>
    <xf numFmtId="174" fontId="66" fillId="24" borderId="0" xfId="0" applyNumberFormat="1" applyFont="1" applyFill="1" applyBorder="1"/>
    <xf numFmtId="4" fontId="24" fillId="24" borderId="0" xfId="0" applyNumberFormat="1" applyFont="1" applyFill="1" applyBorder="1" applyAlignment="1">
      <alignment horizontal="center"/>
    </xf>
    <xf numFmtId="0" fontId="0" fillId="24" borderId="0" xfId="0" applyFill="1" applyBorder="1" applyAlignment="1">
      <alignment horizontal="center"/>
    </xf>
    <xf numFmtId="9" fontId="121" fillId="24" borderId="13" xfId="205" applyFont="1" applyFill="1" applyBorder="1" applyAlignment="1">
      <alignment horizontal="center"/>
    </xf>
    <xf numFmtId="0" fontId="24" fillId="24" borderId="0" xfId="0" applyFont="1" applyFill="1" applyBorder="1"/>
    <xf numFmtId="0" fontId="13" fillId="31" borderId="30" xfId="0" applyFont="1" applyFill="1" applyBorder="1"/>
    <xf numFmtId="0" fontId="13" fillId="31" borderId="128" xfId="0" applyFont="1" applyFill="1" applyBorder="1"/>
    <xf numFmtId="0" fontId="13" fillId="31" borderId="145" xfId="0" applyFont="1" applyFill="1" applyBorder="1"/>
    <xf numFmtId="0" fontId="13" fillId="31" borderId="136" xfId="0" applyFont="1" applyFill="1" applyBorder="1"/>
    <xf numFmtId="0" fontId="13" fillId="31" borderId="56" xfId="0" applyFont="1" applyFill="1" applyBorder="1"/>
    <xf numFmtId="0" fontId="13" fillId="31" borderId="31" xfId="0" applyFont="1" applyFill="1" applyBorder="1"/>
    <xf numFmtId="2" fontId="7" fillId="24" borderId="13" xfId="0" applyNumberFormat="1" applyFont="1" applyFill="1" applyBorder="1" applyAlignment="1">
      <alignment horizontal="right"/>
    </xf>
    <xf numFmtId="169" fontId="87" fillId="0" borderId="13" xfId="198" applyNumberFormat="1" applyFont="1" applyFill="1" applyBorder="1" applyAlignment="1">
      <alignment horizontal="center" vertical="center" wrapText="1"/>
    </xf>
    <xf numFmtId="169" fontId="87" fillId="0" borderId="13" xfId="198" applyNumberFormat="1" applyFont="1" applyBorder="1" applyAlignment="1">
      <alignment horizontal="center" vertical="center"/>
    </xf>
    <xf numFmtId="0" fontId="7" fillId="0" borderId="21" xfId="0" applyFont="1" applyBorder="1" applyAlignment="1">
      <alignment horizontal="center"/>
    </xf>
    <xf numFmtId="0" fontId="66" fillId="0" borderId="21" xfId="0" applyFont="1" applyBorder="1" applyAlignment="1">
      <alignment horizontal="center"/>
    </xf>
    <xf numFmtId="0" fontId="36" fillId="24" borderId="21" xfId="0" applyFont="1" applyFill="1" applyBorder="1" applyAlignment="1">
      <alignment horizontal="center"/>
    </xf>
    <xf numFmtId="0" fontId="11" fillId="35" borderId="56" xfId="0" applyFont="1" applyFill="1" applyBorder="1" applyAlignment="1"/>
    <xf numFmtId="0" fontId="11" fillId="35" borderId="30" xfId="0" applyFont="1" applyFill="1" applyBorder="1" applyAlignment="1"/>
    <xf numFmtId="0" fontId="11" fillId="35" borderId="201" xfId="0" applyFont="1" applyFill="1" applyBorder="1" applyAlignment="1"/>
    <xf numFmtId="0" fontId="66" fillId="35" borderId="30" xfId="0" applyFont="1" applyFill="1" applyBorder="1"/>
    <xf numFmtId="0" fontId="66" fillId="35" borderId="31" xfId="0" applyFont="1" applyFill="1" applyBorder="1"/>
    <xf numFmtId="174" fontId="115" fillId="24" borderId="0" xfId="187" applyNumberFormat="1" applyFont="1" applyFill="1" applyBorder="1" applyAlignment="1">
      <alignment horizontal="center"/>
    </xf>
    <xf numFmtId="174" fontId="0" fillId="0" borderId="58" xfId="0" applyNumberFormat="1" applyFill="1" applyBorder="1" applyAlignment="1">
      <alignment horizontal="center"/>
    </xf>
    <xf numFmtId="2" fontId="36" fillId="0" borderId="57" xfId="0" applyNumberFormat="1" applyFont="1" applyFill="1" applyBorder="1" applyAlignment="1">
      <alignment horizontal="center"/>
    </xf>
    <xf numFmtId="4" fontId="5" fillId="0" borderId="17" xfId="0" applyNumberFormat="1" applyFont="1" applyFill="1" applyBorder="1" applyAlignment="1">
      <alignment horizontal="center"/>
    </xf>
    <xf numFmtId="0" fontId="5" fillId="0" borderId="18" xfId="0" applyFont="1" applyBorder="1"/>
    <xf numFmtId="0" fontId="118" fillId="24" borderId="0" xfId="195" applyFont="1" applyFill="1" applyBorder="1" applyAlignment="1">
      <alignment horizontal="center" wrapText="1"/>
    </xf>
    <xf numFmtId="0" fontId="0" fillId="0" borderId="0" xfId="0" applyAlignment="1">
      <alignment horizontal="left"/>
    </xf>
    <xf numFmtId="185" fontId="115" fillId="0" borderId="0" xfId="0" applyNumberFormat="1" applyFont="1" applyAlignment="1">
      <alignment horizontal="left"/>
    </xf>
    <xf numFmtId="0" fontId="119" fillId="24" borderId="0" xfId="0" applyFont="1" applyFill="1" applyAlignment="1"/>
    <xf numFmtId="0" fontId="36" fillId="24" borderId="0" xfId="0" applyFont="1" applyFill="1" applyAlignment="1">
      <alignment horizontal="center" vertical="center"/>
    </xf>
    <xf numFmtId="0" fontId="36" fillId="24" borderId="86" xfId="0" applyFont="1" applyFill="1" applyBorder="1" applyAlignment="1">
      <alignment horizontal="center" vertical="center"/>
    </xf>
    <xf numFmtId="0" fontId="36" fillId="24" borderId="89" xfId="0" applyFont="1" applyFill="1" applyBorder="1" applyAlignment="1">
      <alignment horizontal="center" vertical="center"/>
    </xf>
    <xf numFmtId="0" fontId="36" fillId="24" borderId="114" xfId="0" applyFont="1" applyFill="1" applyBorder="1" applyAlignment="1">
      <alignment horizontal="center" vertical="center"/>
    </xf>
    <xf numFmtId="0" fontId="36" fillId="24" borderId="88" xfId="0" applyFont="1" applyFill="1" applyBorder="1" applyAlignment="1">
      <alignment horizontal="center" vertical="center"/>
    </xf>
    <xf numFmtId="0" fontId="36" fillId="24" borderId="104" xfId="0" applyFont="1" applyFill="1" applyBorder="1" applyAlignment="1">
      <alignment horizontal="center" vertical="center"/>
    </xf>
    <xf numFmtId="0" fontId="36" fillId="24" borderId="18" xfId="0" applyFont="1" applyFill="1" applyBorder="1" applyAlignment="1">
      <alignment horizontal="center" vertical="center"/>
    </xf>
    <xf numFmtId="0" fontId="36" fillId="24" borderId="130" xfId="0" applyFont="1" applyFill="1" applyBorder="1" applyAlignment="1">
      <alignment horizontal="center" vertical="center"/>
    </xf>
    <xf numFmtId="0" fontId="119" fillId="30" borderId="0" xfId="0" applyFont="1" applyFill="1" applyAlignment="1"/>
    <xf numFmtId="0" fontId="36" fillId="30" borderId="0" xfId="0" applyFont="1" applyFill="1" applyAlignment="1">
      <alignment horizontal="center" vertical="center"/>
    </xf>
    <xf numFmtId="4" fontId="118" fillId="30" borderId="83" xfId="195" applyNumberFormat="1" applyFont="1" applyFill="1" applyBorder="1" applyAlignment="1">
      <alignment horizontal="center" wrapText="1"/>
    </xf>
    <xf numFmtId="4" fontId="118" fillId="30" borderId="135" xfId="195" applyNumberFormat="1" applyFont="1" applyFill="1" applyBorder="1" applyAlignment="1">
      <alignment horizontal="center" wrapText="1"/>
    </xf>
    <xf numFmtId="0" fontId="38" fillId="26" borderId="0" xfId="0" applyFont="1" applyFill="1"/>
    <xf numFmtId="0" fontId="122" fillId="26" borderId="178" xfId="195" applyFont="1" applyFill="1" applyBorder="1" applyAlignment="1">
      <alignment horizontal="center" wrapText="1"/>
    </xf>
    <xf numFmtId="0" fontId="123" fillId="26" borderId="179" xfId="195" applyFont="1" applyFill="1" applyBorder="1" applyAlignment="1">
      <alignment horizontal="center" wrapText="1"/>
    </xf>
    <xf numFmtId="0" fontId="123" fillId="26" borderId="4" xfId="195" applyFont="1" applyFill="1" applyBorder="1" applyAlignment="1">
      <alignment horizontal="center" wrapText="1"/>
    </xf>
    <xf numFmtId="0" fontId="122" fillId="26" borderId="180" xfId="195" applyFont="1" applyFill="1" applyBorder="1" applyAlignment="1">
      <alignment horizontal="center" wrapText="1"/>
    </xf>
    <xf numFmtId="0" fontId="122" fillId="26" borderId="181" xfId="195" applyFont="1" applyFill="1" applyBorder="1" applyAlignment="1">
      <alignment horizontal="center" wrapText="1"/>
    </xf>
    <xf numFmtId="0" fontId="122" fillId="26" borderId="182" xfId="195" applyFont="1" applyFill="1" applyBorder="1" applyAlignment="1">
      <alignment horizontal="center" wrapText="1"/>
    </xf>
    <xf numFmtId="4" fontId="122" fillId="26" borderId="83" xfId="195" applyNumberFormat="1" applyFont="1" applyFill="1" applyBorder="1" applyAlignment="1">
      <alignment horizontal="center" wrapText="1"/>
    </xf>
    <xf numFmtId="4" fontId="122" fillId="26" borderId="135" xfId="195" applyNumberFormat="1" applyFont="1" applyFill="1" applyBorder="1" applyAlignment="1">
      <alignment horizontal="center" wrapText="1"/>
    </xf>
    <xf numFmtId="4" fontId="7" fillId="0" borderId="0" xfId="0" applyNumberFormat="1" applyFont="1" applyAlignment="1">
      <alignment horizontal="center"/>
    </xf>
    <xf numFmtId="4" fontId="36" fillId="0" borderId="0" xfId="0" applyNumberFormat="1" applyFont="1" applyAlignment="1">
      <alignment horizontal="center"/>
    </xf>
    <xf numFmtId="0" fontId="11" fillId="0" borderId="0" xfId="0" applyFont="1" applyFill="1" applyBorder="1" applyAlignment="1">
      <alignment horizontal="center"/>
    </xf>
    <xf numFmtId="4" fontId="11" fillId="0" borderId="0" xfId="0" applyNumberFormat="1" applyFont="1" applyFill="1" applyBorder="1" applyAlignment="1">
      <alignment horizontal="center"/>
    </xf>
    <xf numFmtId="4" fontId="36" fillId="0" borderId="0" xfId="0" applyNumberFormat="1" applyFont="1" applyFill="1" applyAlignment="1">
      <alignment horizontal="center"/>
    </xf>
    <xf numFmtId="0" fontId="36" fillId="0" borderId="0" xfId="0" applyFont="1" applyFill="1" applyAlignment="1">
      <alignment horizontal="center"/>
    </xf>
    <xf numFmtId="0" fontId="36" fillId="0" borderId="0" xfId="0" applyFont="1" applyFill="1"/>
    <xf numFmtId="4" fontId="7" fillId="0" borderId="0" xfId="0" applyNumberFormat="1" applyFont="1"/>
    <xf numFmtId="3" fontId="7" fillId="0" borderId="13" xfId="0" applyNumberFormat="1" applyFont="1" applyBorder="1" applyAlignment="1">
      <alignment horizontal="center"/>
    </xf>
    <xf numFmtId="3" fontId="7" fillId="0" borderId="13" xfId="0" applyNumberFormat="1" applyFont="1" applyFill="1" applyBorder="1" applyAlignment="1">
      <alignment horizontal="center"/>
    </xf>
    <xf numFmtId="2" fontId="36" fillId="0" borderId="13" xfId="0" applyNumberFormat="1" applyFont="1" applyBorder="1" applyAlignment="1">
      <alignment horizontal="center" vertical="center"/>
    </xf>
    <xf numFmtId="0" fontId="11" fillId="25" borderId="13" xfId="0" applyFont="1" applyFill="1" applyBorder="1" applyAlignment="1">
      <alignment horizontal="center"/>
    </xf>
    <xf numFmtId="4" fontId="11" fillId="25" borderId="13" xfId="0" applyNumberFormat="1" applyFont="1" applyFill="1" applyBorder="1" applyAlignment="1">
      <alignment horizontal="center"/>
    </xf>
    <xf numFmtId="0" fontId="124" fillId="26" borderId="13" xfId="0" applyFont="1" applyFill="1" applyBorder="1"/>
    <xf numFmtId="174" fontId="36" fillId="0" borderId="13" xfId="0" applyNumberFormat="1" applyFont="1" applyBorder="1"/>
    <xf numFmtId="174" fontId="36" fillId="0" borderId="57" xfId="0" applyNumberFormat="1" applyFont="1" applyBorder="1"/>
    <xf numFmtId="174" fontId="36" fillId="0" borderId="0" xfId="0" applyNumberFormat="1" applyFont="1"/>
    <xf numFmtId="174" fontId="36" fillId="0" borderId="58" xfId="0" applyNumberFormat="1" applyFont="1" applyFill="1" applyBorder="1" applyAlignment="1">
      <alignment horizontal="center"/>
    </xf>
    <xf numFmtId="0" fontId="36" fillId="0" borderId="203" xfId="0" applyFont="1" applyBorder="1"/>
    <xf numFmtId="0" fontId="36" fillId="0" borderId="57" xfId="0" applyFont="1" applyBorder="1"/>
    <xf numFmtId="0" fontId="36" fillId="0" borderId="57" xfId="0" applyFont="1" applyFill="1" applyBorder="1" applyAlignment="1">
      <alignment horizontal="center"/>
    </xf>
    <xf numFmtId="2" fontId="36" fillId="0" borderId="57" xfId="0" applyNumberFormat="1" applyFont="1" applyBorder="1"/>
    <xf numFmtId="174" fontId="36" fillId="0" borderId="57" xfId="0" applyNumberFormat="1" applyFont="1" applyFill="1" applyBorder="1"/>
    <xf numFmtId="174" fontId="36" fillId="0" borderId="0" xfId="0" applyNumberFormat="1" applyFont="1" applyFill="1"/>
    <xf numFmtId="2" fontId="36" fillId="0" borderId="57" xfId="0" applyNumberFormat="1" applyFont="1" applyFill="1" applyBorder="1"/>
    <xf numFmtId="174" fontId="36" fillId="0" borderId="13" xfId="0" applyNumberFormat="1" applyFont="1" applyFill="1" applyBorder="1"/>
    <xf numFmtId="0" fontId="36" fillId="0" borderId="57" xfId="0" applyFont="1" applyFill="1" applyBorder="1"/>
    <xf numFmtId="2" fontId="7" fillId="0" borderId="0" xfId="0" applyNumberFormat="1" applyFont="1" applyBorder="1"/>
    <xf numFmtId="4" fontId="7" fillId="0" borderId="0" xfId="0" applyNumberFormat="1" applyFont="1" applyBorder="1"/>
    <xf numFmtId="3" fontId="7" fillId="26" borderId="13" xfId="0" applyNumberFormat="1" applyFont="1" applyFill="1" applyBorder="1" applyAlignment="1">
      <alignment horizontal="center"/>
    </xf>
    <xf numFmtId="0" fontId="36" fillId="0" borderId="13" xfId="0" applyFont="1" applyBorder="1" applyAlignment="1">
      <alignment horizontal="right"/>
    </xf>
    <xf numFmtId="4" fontId="7" fillId="0" borderId="20" xfId="0" applyNumberFormat="1" applyFont="1" applyFill="1" applyBorder="1" applyAlignment="1">
      <alignment horizontal="center"/>
    </xf>
    <xf numFmtId="4" fontId="40" fillId="0" borderId="13" xfId="0" applyNumberFormat="1" applyFont="1" applyFill="1" applyBorder="1" applyAlignment="1">
      <alignment horizontal="center"/>
    </xf>
    <xf numFmtId="4" fontId="7" fillId="0" borderId="20" xfId="0" applyNumberFormat="1" applyFont="1" applyBorder="1" applyAlignment="1">
      <alignment horizontal="center"/>
    </xf>
    <xf numFmtId="4" fontId="7" fillId="0" borderId="21" xfId="0" applyNumberFormat="1" applyFont="1" applyBorder="1" applyAlignment="1">
      <alignment horizontal="center"/>
    </xf>
    <xf numFmtId="178" fontId="7" fillId="26" borderId="13" xfId="0" applyNumberFormat="1" applyFont="1" applyFill="1" applyBorder="1" applyAlignment="1">
      <alignment horizontal="center"/>
    </xf>
    <xf numFmtId="2" fontId="7" fillId="0" borderId="13" xfId="0" applyNumberFormat="1" applyFont="1" applyFill="1" applyBorder="1"/>
    <xf numFmtId="2" fontId="7" fillId="0" borderId="13" xfId="0" applyNumberFormat="1" applyFont="1" applyBorder="1" applyAlignment="1"/>
    <xf numFmtId="0" fontId="11" fillId="24" borderId="0" xfId="0" applyFont="1" applyFill="1" applyBorder="1" applyAlignment="1">
      <alignment horizontal="center"/>
    </xf>
    <xf numFmtId="4" fontId="11" fillId="24" borderId="0" xfId="0" applyNumberFormat="1" applyFont="1" applyFill="1" applyBorder="1" applyAlignment="1">
      <alignment horizontal="center"/>
    </xf>
    <xf numFmtId="4" fontId="7" fillId="0" borderId="0" xfId="0" applyNumberFormat="1" applyFont="1" applyBorder="1" applyAlignment="1">
      <alignment horizontal="center"/>
    </xf>
    <xf numFmtId="3" fontId="113" fillId="0" borderId="79" xfId="0" applyNumberFormat="1" applyFont="1" applyBorder="1" applyAlignment="1">
      <alignment wrapText="1"/>
    </xf>
    <xf numFmtId="3" fontId="113" fillId="0" borderId="164" xfId="0" applyNumberFormat="1" applyFont="1" applyBorder="1" applyAlignment="1">
      <alignment wrapText="1"/>
    </xf>
    <xf numFmtId="0" fontId="113" fillId="0" borderId="164" xfId="0" applyFont="1" applyBorder="1" applyAlignment="1">
      <alignment wrapText="1"/>
    </xf>
    <xf numFmtId="178" fontId="7" fillId="26" borderId="21" xfId="0" applyNumberFormat="1" applyFont="1" applyFill="1" applyBorder="1" applyAlignment="1">
      <alignment horizontal="center"/>
    </xf>
    <xf numFmtId="2" fontId="7" fillId="0" borderId="21" xfId="0" applyNumberFormat="1" applyFont="1" applyFill="1" applyBorder="1" applyAlignment="1">
      <alignment horizontal="center"/>
    </xf>
    <xf numFmtId="169" fontId="7" fillId="0" borderId="13" xfId="0" applyNumberFormat="1" applyFont="1" applyBorder="1" applyAlignment="1">
      <alignment horizontal="center"/>
    </xf>
    <xf numFmtId="4" fontId="36" fillId="0" borderId="0" xfId="0" applyNumberFormat="1" applyFont="1"/>
    <xf numFmtId="0" fontId="106" fillId="24" borderId="0" xfId="0" applyFont="1" applyFill="1" applyBorder="1"/>
    <xf numFmtId="174" fontId="24" fillId="0" borderId="57" xfId="0" applyNumberFormat="1" applyFont="1" applyFill="1" applyBorder="1" applyAlignment="1">
      <alignment horizontal="center"/>
    </xf>
    <xf numFmtId="0" fontId="36" fillId="31" borderId="0" xfId="0" applyFont="1" applyFill="1"/>
    <xf numFmtId="0" fontId="118" fillId="31" borderId="178" xfId="195" applyFont="1" applyFill="1" applyBorder="1" applyAlignment="1">
      <alignment horizontal="center" wrapText="1"/>
    </xf>
    <xf numFmtId="0" fontId="125" fillId="31" borderId="179" xfId="195" applyFont="1" applyFill="1" applyBorder="1" applyAlignment="1">
      <alignment horizontal="center" wrapText="1"/>
    </xf>
    <xf numFmtId="0" fontId="125" fillId="31" borderId="4" xfId="195" applyFont="1" applyFill="1" applyBorder="1" applyAlignment="1">
      <alignment horizontal="center" wrapText="1"/>
    </xf>
    <xf numFmtId="0" fontId="118" fillId="31" borderId="180" xfId="195" applyFont="1" applyFill="1" applyBorder="1" applyAlignment="1">
      <alignment horizontal="center" wrapText="1"/>
    </xf>
    <xf numFmtId="0" fontId="118" fillId="31" borderId="181" xfId="195" applyFont="1" applyFill="1" applyBorder="1" applyAlignment="1">
      <alignment horizontal="center" wrapText="1"/>
    </xf>
    <xf numFmtId="0" fontId="118" fillId="31" borderId="182" xfId="195" applyFont="1" applyFill="1" applyBorder="1" applyAlignment="1">
      <alignment horizontal="center" wrapText="1"/>
    </xf>
    <xf numFmtId="4" fontId="118" fillId="31" borderId="83" xfId="195" applyNumberFormat="1" applyFont="1" applyFill="1" applyBorder="1" applyAlignment="1">
      <alignment horizontal="center" wrapText="1"/>
    </xf>
    <xf numFmtId="4" fontId="118" fillId="31" borderId="135" xfId="195" applyNumberFormat="1" applyFont="1" applyFill="1" applyBorder="1" applyAlignment="1">
      <alignment horizontal="center" wrapText="1"/>
    </xf>
    <xf numFmtId="0" fontId="126" fillId="30" borderId="104" xfId="0" applyFont="1" applyFill="1" applyBorder="1"/>
    <xf numFmtId="0" fontId="113" fillId="0" borderId="128" xfId="0" applyFont="1" applyBorder="1" applyAlignment="1">
      <alignment horizontal="center"/>
    </xf>
    <xf numFmtId="0" fontId="0" fillId="26" borderId="13" xfId="0" applyFill="1" applyBorder="1"/>
    <xf numFmtId="2" fontId="36" fillId="0" borderId="13" xfId="0" applyNumberFormat="1" applyFont="1" applyBorder="1" applyAlignment="1"/>
    <xf numFmtId="2" fontId="36" fillId="0" borderId="13" xfId="0" applyNumberFormat="1" applyFont="1" applyFill="1" applyBorder="1" applyAlignment="1"/>
    <xf numFmtId="0" fontId="36" fillId="0" borderId="13" xfId="0" applyFont="1" applyBorder="1" applyAlignment="1"/>
    <xf numFmtId="0" fontId="69" fillId="24" borderId="21" xfId="173" applyFont="1" applyFill="1" applyBorder="1" applyAlignment="1">
      <alignment vertical="center" wrapText="1"/>
    </xf>
    <xf numFmtId="174" fontId="24" fillId="26" borderId="13" xfId="0" applyNumberFormat="1" applyFont="1" applyFill="1" applyBorder="1" applyAlignment="1">
      <alignment horizontal="right"/>
    </xf>
    <xf numFmtId="174" fontId="0" fillId="26" borderId="13" xfId="0" applyNumberFormat="1" applyFill="1" applyBorder="1" applyAlignment="1">
      <alignment horizontal="right"/>
    </xf>
    <xf numFmtId="174" fontId="5" fillId="26" borderId="13" xfId="0" applyNumberFormat="1" applyFont="1" applyFill="1" applyBorder="1"/>
    <xf numFmtId="174" fontId="24" fillId="26" borderId="13" xfId="0" applyNumberFormat="1" applyFont="1" applyFill="1" applyBorder="1"/>
    <xf numFmtId="0" fontId="74" fillId="26" borderId="13" xfId="0" applyFont="1" applyFill="1" applyBorder="1"/>
    <xf numFmtId="174" fontId="24" fillId="26" borderId="108" xfId="0" applyNumberFormat="1" applyFont="1" applyFill="1" applyBorder="1"/>
    <xf numFmtId="174" fontId="24" fillId="26" borderId="59" xfId="0" applyNumberFormat="1" applyFont="1" applyFill="1" applyBorder="1"/>
    <xf numFmtId="174" fontId="24" fillId="26" borderId="57" xfId="0" applyNumberFormat="1" applyFont="1" applyFill="1" applyBorder="1"/>
    <xf numFmtId="174" fontId="24" fillId="26" borderId="58" xfId="0" applyNumberFormat="1" applyFont="1" applyFill="1" applyBorder="1"/>
    <xf numFmtId="0" fontId="24" fillId="26" borderId="57" xfId="0" applyFont="1" applyFill="1" applyBorder="1"/>
    <xf numFmtId="0" fontId="24" fillId="26" borderId="58" xfId="0" applyFont="1" applyFill="1" applyBorder="1"/>
    <xf numFmtId="0" fontId="24" fillId="26" borderId="202" xfId="0" applyFont="1" applyFill="1" applyBorder="1"/>
    <xf numFmtId="0" fontId="24" fillId="26" borderId="108" xfId="0" applyFont="1" applyFill="1" applyBorder="1"/>
    <xf numFmtId="0" fontId="5" fillId="0" borderId="13" xfId="177" applyFont="1" applyBorder="1" applyAlignment="1">
      <alignment horizontal="center"/>
    </xf>
    <xf numFmtId="0" fontId="5" fillId="24" borderId="13" xfId="177" applyFont="1" applyFill="1" applyBorder="1" applyAlignment="1">
      <alignment horizontal="center"/>
    </xf>
    <xf numFmtId="0" fontId="5" fillId="0" borderId="13" xfId="177" applyFont="1" applyFill="1" applyBorder="1" applyAlignment="1">
      <alignment horizontal="center"/>
    </xf>
    <xf numFmtId="0" fontId="5" fillId="31" borderId="13" xfId="177" applyFont="1" applyFill="1" applyBorder="1" applyAlignment="1">
      <alignment horizontal="center"/>
    </xf>
    <xf numFmtId="1" fontId="5" fillId="0" borderId="13" xfId="177" applyNumberFormat="1" applyFont="1" applyFill="1" applyBorder="1" applyAlignment="1">
      <alignment horizontal="center"/>
    </xf>
    <xf numFmtId="0" fontId="4" fillId="25" borderId="13" xfId="177" applyFont="1" applyFill="1" applyBorder="1" applyAlignment="1">
      <alignment horizontal="center"/>
    </xf>
    <xf numFmtId="1" fontId="4" fillId="25" borderId="13" xfId="177" applyNumberFormat="1" applyFont="1" applyFill="1" applyBorder="1" applyAlignment="1">
      <alignment horizontal="center"/>
    </xf>
    <xf numFmtId="1" fontId="5" fillId="0" borderId="13" xfId="177" applyNumberFormat="1" applyFont="1" applyBorder="1"/>
    <xf numFmtId="174" fontId="4" fillId="24" borderId="0" xfId="0" applyNumberFormat="1" applyFont="1" applyFill="1" applyBorder="1" applyAlignment="1">
      <alignment horizontal="center"/>
    </xf>
    <xf numFmtId="0" fontId="13" fillId="0" borderId="0" xfId="0" applyFont="1"/>
    <xf numFmtId="0" fontId="127" fillId="24" borderId="0" xfId="0" applyFont="1" applyFill="1"/>
    <xf numFmtId="2" fontId="4" fillId="0" borderId="0" xfId="0" applyNumberFormat="1" applyFont="1" applyBorder="1"/>
    <xf numFmtId="1" fontId="5" fillId="0" borderId="0" xfId="177" applyNumberFormat="1" applyFont="1" applyBorder="1"/>
    <xf numFmtId="0" fontId="4" fillId="24" borderId="0" xfId="177" applyFont="1" applyFill="1" applyBorder="1" applyAlignment="1">
      <alignment horizontal="center"/>
    </xf>
    <xf numFmtId="1" fontId="4" fillId="24" borderId="0" xfId="177" applyNumberFormat="1" applyFont="1" applyFill="1" applyBorder="1" applyAlignment="1">
      <alignment horizontal="center"/>
    </xf>
    <xf numFmtId="4" fontId="118" fillId="35" borderId="83" xfId="195" applyNumberFormat="1" applyFont="1" applyFill="1" applyBorder="1" applyAlignment="1">
      <alignment horizontal="center" wrapText="1"/>
    </xf>
    <xf numFmtId="0" fontId="118" fillId="35" borderId="181" xfId="195" applyFont="1" applyFill="1" applyBorder="1" applyAlignment="1">
      <alignment horizontal="center" wrapText="1"/>
    </xf>
    <xf numFmtId="0" fontId="118" fillId="35" borderId="178" xfId="195" applyFont="1" applyFill="1" applyBorder="1" applyAlignment="1">
      <alignment horizontal="center" wrapText="1"/>
    </xf>
    <xf numFmtId="0" fontId="118" fillId="35" borderId="179" xfId="195" applyFont="1" applyFill="1" applyBorder="1" applyAlignment="1">
      <alignment horizontal="center" wrapText="1"/>
    </xf>
    <xf numFmtId="0" fontId="118" fillId="35" borderId="4" xfId="195" applyFont="1" applyFill="1" applyBorder="1" applyAlignment="1">
      <alignment horizontal="center" wrapText="1"/>
    </xf>
    <xf numFmtId="0" fontId="118" fillId="35" borderId="180" xfId="195" applyFont="1" applyFill="1" applyBorder="1" applyAlignment="1">
      <alignment horizontal="center" wrapText="1"/>
    </xf>
    <xf numFmtId="0" fontId="118" fillId="35" borderId="182" xfId="195" applyFont="1" applyFill="1" applyBorder="1" applyAlignment="1">
      <alignment horizontal="center" wrapText="1"/>
    </xf>
    <xf numFmtId="4" fontId="118" fillId="35" borderId="135" xfId="195" applyNumberFormat="1" applyFont="1" applyFill="1" applyBorder="1" applyAlignment="1">
      <alignment horizontal="center" wrapText="1"/>
    </xf>
    <xf numFmtId="0" fontId="36" fillId="24" borderId="109" xfId="0" applyFont="1" applyFill="1" applyBorder="1" applyAlignment="1">
      <alignment horizontal="center" vertical="center"/>
    </xf>
    <xf numFmtId="16" fontId="36" fillId="24" borderId="112" xfId="0" applyNumberFormat="1" applyFont="1" applyFill="1" applyBorder="1" applyAlignment="1">
      <alignment horizontal="center" vertical="center"/>
    </xf>
    <xf numFmtId="0" fontId="36" fillId="24" borderId="201" xfId="0" applyFont="1" applyFill="1" applyBorder="1" applyAlignment="1">
      <alignment horizontal="center" vertical="center"/>
    </xf>
    <xf numFmtId="0" fontId="36" fillId="24" borderId="111" xfId="0" applyFont="1" applyFill="1" applyBorder="1" applyAlignment="1">
      <alignment horizontal="center" vertical="center"/>
    </xf>
    <xf numFmtId="0" fontId="36" fillId="24" borderId="112" xfId="0" applyFont="1" applyFill="1" applyBorder="1" applyAlignment="1">
      <alignment horizontal="center" vertical="center"/>
    </xf>
    <xf numFmtId="0" fontId="36" fillId="24" borderId="110" xfId="0" applyFont="1" applyFill="1" applyBorder="1" applyAlignment="1">
      <alignment horizontal="center" vertical="center"/>
    </xf>
    <xf numFmtId="0" fontId="118" fillId="24" borderId="112" xfId="196" applyFont="1" applyFill="1" applyBorder="1" applyAlignment="1">
      <alignment horizontal="center" vertical="center" wrapText="1"/>
    </xf>
    <xf numFmtId="0" fontId="36" fillId="24" borderId="31" xfId="0" applyFont="1" applyFill="1" applyBorder="1" applyAlignment="1">
      <alignment horizontal="center" vertical="center"/>
    </xf>
    <xf numFmtId="0" fontId="113" fillId="24" borderId="78" xfId="0" applyFont="1" applyFill="1" applyBorder="1" applyAlignment="1">
      <alignment horizontal="center"/>
    </xf>
    <xf numFmtId="0" fontId="113" fillId="24" borderId="80" xfId="0" applyFont="1" applyFill="1" applyBorder="1"/>
    <xf numFmtId="0" fontId="113" fillId="24" borderId="13" xfId="0" applyFont="1" applyFill="1" applyBorder="1"/>
    <xf numFmtId="0" fontId="113" fillId="24" borderId="13" xfId="0" applyFont="1" applyFill="1" applyBorder="1" applyAlignment="1">
      <alignment horizontal="center"/>
    </xf>
    <xf numFmtId="0" fontId="113" fillId="24" borderId="79" xfId="0" applyFont="1" applyFill="1" applyBorder="1" applyAlignment="1">
      <alignment horizontal="center"/>
    </xf>
    <xf numFmtId="0" fontId="113" fillId="24" borderId="90" xfId="0" applyFont="1" applyFill="1" applyBorder="1"/>
    <xf numFmtId="0" fontId="113" fillId="24" borderId="102" xfId="0" applyFont="1" applyFill="1" applyBorder="1"/>
    <xf numFmtId="0" fontId="113" fillId="24" borderId="102" xfId="0" applyFont="1" applyFill="1" applyBorder="1" applyAlignment="1">
      <alignment horizontal="center"/>
    </xf>
    <xf numFmtId="181" fontId="120" fillId="24" borderId="103" xfId="0" applyNumberFormat="1" applyFont="1" applyFill="1" applyBorder="1" applyAlignment="1">
      <alignment horizontal="center"/>
    </xf>
    <xf numFmtId="0" fontId="38" fillId="24" borderId="81" xfId="0" applyFont="1" applyFill="1" applyBorder="1"/>
    <xf numFmtId="0" fontId="38" fillId="24" borderId="77" xfId="0" applyFont="1" applyFill="1" applyBorder="1"/>
    <xf numFmtId="4" fontId="5" fillId="24" borderId="10" xfId="0" applyNumberFormat="1" applyFont="1" applyFill="1" applyBorder="1" applyAlignment="1">
      <alignment horizontal="center" vertical="center"/>
    </xf>
    <xf numFmtId="4" fontId="5" fillId="24" borderId="12" xfId="0" applyNumberFormat="1" applyFont="1" applyFill="1" applyBorder="1" applyAlignment="1">
      <alignment horizontal="center" vertical="center"/>
    </xf>
    <xf numFmtId="4" fontId="5" fillId="24" borderId="15" xfId="0" applyNumberFormat="1" applyFont="1" applyFill="1" applyBorder="1" applyAlignment="1">
      <alignment horizontal="center" vertical="center"/>
    </xf>
    <xf numFmtId="4" fontId="5" fillId="24" borderId="11" xfId="0" applyNumberFormat="1" applyFont="1" applyFill="1" applyBorder="1" applyAlignment="1">
      <alignment horizontal="center" vertical="center"/>
    </xf>
    <xf numFmtId="174" fontId="24" fillId="24" borderId="13" xfId="0" applyNumberFormat="1" applyFont="1" applyFill="1" applyBorder="1" applyAlignment="1">
      <alignment horizontal="center"/>
    </xf>
    <xf numFmtId="169" fontId="4" fillId="24" borderId="117" xfId="0" applyNumberFormat="1" applyFont="1" applyFill="1" applyBorder="1" applyAlignment="1">
      <alignment horizontal="center"/>
    </xf>
    <xf numFmtId="169" fontId="5" fillId="24" borderId="204" xfId="0" applyNumberFormat="1" applyFont="1" applyFill="1" applyBorder="1" applyAlignment="1">
      <alignment horizontal="center"/>
    </xf>
    <xf numFmtId="4" fontId="24" fillId="24" borderId="117" xfId="151" applyNumberFormat="1" applyFont="1" applyFill="1" applyBorder="1" applyAlignment="1">
      <alignment horizontal="center"/>
    </xf>
    <xf numFmtId="169" fontId="5" fillId="24" borderId="11" xfId="0" applyNumberFormat="1" applyFont="1" applyFill="1" applyBorder="1" applyAlignment="1">
      <alignment horizontal="center"/>
    </xf>
    <xf numFmtId="174" fontId="12" fillId="24" borderId="13" xfId="0" applyNumberFormat="1" applyFont="1" applyFill="1" applyBorder="1" applyAlignment="1">
      <alignment horizontal="center"/>
    </xf>
    <xf numFmtId="174" fontId="39" fillId="24" borderId="13" xfId="0" applyNumberFormat="1" applyFont="1" applyFill="1" applyBorder="1" applyAlignment="1">
      <alignment horizontal="center"/>
    </xf>
    <xf numFmtId="0" fontId="5" fillId="24" borderId="11" xfId="0" applyNumberFormat="1" applyFont="1" applyFill="1" applyBorder="1" applyAlignment="1">
      <alignment horizontal="center" vertical="center"/>
    </xf>
    <xf numFmtId="4" fontId="4" fillId="24" borderId="117" xfId="0" applyNumberFormat="1" applyFont="1" applyFill="1" applyBorder="1" applyAlignment="1">
      <alignment horizontal="center"/>
    </xf>
    <xf numFmtId="174" fontId="106" fillId="24" borderId="13" xfId="0" applyNumberFormat="1" applyFont="1" applyFill="1" applyBorder="1" applyAlignment="1">
      <alignment horizontal="center"/>
    </xf>
    <xf numFmtId="169" fontId="105" fillId="24" borderId="92" xfId="0" applyNumberFormat="1" applyFont="1" applyFill="1" applyBorder="1" applyAlignment="1">
      <alignment horizontal="center"/>
    </xf>
    <xf numFmtId="4" fontId="57" fillId="24" borderId="117" xfId="0" applyNumberFormat="1" applyFont="1" applyFill="1" applyBorder="1" applyAlignment="1">
      <alignment horizontal="center"/>
    </xf>
    <xf numFmtId="2" fontId="32" fillId="24" borderId="0" xfId="0" applyNumberFormat="1" applyFont="1" applyFill="1" applyAlignment="1">
      <alignment horizontal="center"/>
    </xf>
    <xf numFmtId="169" fontId="57" fillId="24" borderId="92" xfId="0" applyNumberFormat="1" applyFont="1" applyFill="1" applyBorder="1" applyAlignment="1">
      <alignment horizontal="center"/>
    </xf>
    <xf numFmtId="169" fontId="57" fillId="24" borderId="0" xfId="0" applyNumberFormat="1" applyFont="1" applyFill="1" applyBorder="1" applyAlignment="1">
      <alignment horizontal="center"/>
    </xf>
    <xf numFmtId="174" fontId="32" fillId="24" borderId="0" xfId="0" applyNumberFormat="1" applyFont="1" applyFill="1"/>
    <xf numFmtId="2" fontId="24" fillId="24" borderId="13" xfId="177" applyNumberFormat="1" applyFill="1" applyBorder="1" applyAlignment="1">
      <alignment horizontal="right"/>
    </xf>
    <xf numFmtId="166" fontId="57" fillId="0" borderId="12" xfId="205" applyNumberFormat="1" applyFont="1" applyFill="1" applyBorder="1" applyAlignment="1">
      <alignment horizontal="center" vertical="center"/>
    </xf>
    <xf numFmtId="166" fontId="57" fillId="0" borderId="10" xfId="205" applyNumberFormat="1" applyFont="1" applyFill="1" applyBorder="1" applyAlignment="1">
      <alignment horizontal="center" vertical="center"/>
    </xf>
    <xf numFmtId="166" fontId="57" fillId="24" borderId="10" xfId="205" applyNumberFormat="1" applyFont="1" applyFill="1" applyBorder="1" applyAlignment="1">
      <alignment horizontal="center" vertical="center"/>
    </xf>
    <xf numFmtId="186" fontId="57" fillId="24" borderId="10" xfId="0" applyNumberFormat="1" applyFont="1" applyFill="1" applyBorder="1" applyAlignment="1">
      <alignment horizontal="center" vertical="center"/>
    </xf>
    <xf numFmtId="186" fontId="57" fillId="24" borderId="11" xfId="0" applyNumberFormat="1" applyFont="1" applyFill="1" applyBorder="1" applyAlignment="1">
      <alignment horizontal="center" vertical="center"/>
    </xf>
    <xf numFmtId="186" fontId="57" fillId="24" borderId="14" xfId="0" applyNumberFormat="1" applyFont="1" applyFill="1" applyBorder="1" applyAlignment="1">
      <alignment horizontal="center" vertical="center"/>
    </xf>
    <xf numFmtId="186" fontId="57" fillId="24" borderId="12" xfId="0" applyNumberFormat="1" applyFont="1" applyFill="1" applyBorder="1" applyAlignment="1">
      <alignment horizontal="center" vertical="center"/>
    </xf>
    <xf numFmtId="186" fontId="57" fillId="0" borderId="10" xfId="0" applyNumberFormat="1" applyFont="1" applyFill="1" applyBorder="1" applyAlignment="1">
      <alignment horizontal="center" vertical="center"/>
    </xf>
    <xf numFmtId="186" fontId="57" fillId="0" borderId="11" xfId="0" applyNumberFormat="1" applyFont="1" applyFill="1" applyBorder="1" applyAlignment="1">
      <alignment horizontal="center" vertical="center"/>
    </xf>
    <xf numFmtId="186" fontId="57" fillId="0" borderId="21" xfId="0" applyNumberFormat="1" applyFont="1" applyFill="1" applyBorder="1" applyAlignment="1">
      <alignment horizontal="center" vertical="center"/>
    </xf>
    <xf numFmtId="186" fontId="57" fillId="0" borderId="29" xfId="0" applyNumberFormat="1" applyFont="1" applyFill="1" applyBorder="1" applyAlignment="1">
      <alignment horizontal="center" vertical="center"/>
    </xf>
    <xf numFmtId="186" fontId="57" fillId="0" borderId="15" xfId="0" applyNumberFormat="1" applyFont="1" applyFill="1" applyBorder="1" applyAlignment="1">
      <alignment horizontal="center" vertical="center"/>
    </xf>
    <xf numFmtId="186" fontId="57" fillId="0" borderId="18" xfId="0" applyNumberFormat="1" applyFont="1" applyFill="1" applyBorder="1" applyAlignment="1">
      <alignment horizontal="center" vertical="center"/>
    </xf>
    <xf numFmtId="186" fontId="5" fillId="0" borderId="14" xfId="0" applyNumberFormat="1" applyFont="1" applyFill="1" applyBorder="1" applyAlignment="1">
      <alignment horizontal="center" vertical="center"/>
    </xf>
    <xf numFmtId="186" fontId="5" fillId="0" borderId="10" xfId="0" applyNumberFormat="1" applyFont="1" applyFill="1" applyBorder="1" applyAlignment="1">
      <alignment horizontal="center" vertical="center"/>
    </xf>
    <xf numFmtId="186" fontId="5" fillId="0" borderId="11" xfId="0" applyNumberFormat="1" applyFont="1" applyFill="1" applyBorder="1" applyAlignment="1">
      <alignment horizontal="center" vertical="center"/>
    </xf>
    <xf numFmtId="186" fontId="5" fillId="0" borderId="12" xfId="0" applyNumberFormat="1" applyFont="1" applyFill="1" applyBorder="1" applyAlignment="1">
      <alignment horizontal="center" vertical="center"/>
    </xf>
    <xf numFmtId="186" fontId="5" fillId="0" borderId="15" xfId="0" applyNumberFormat="1" applyFont="1" applyFill="1" applyBorder="1" applyAlignment="1">
      <alignment horizontal="center" vertical="center"/>
    </xf>
    <xf numFmtId="186" fontId="5" fillId="24" borderId="15" xfId="0" applyNumberFormat="1" applyFont="1" applyFill="1" applyBorder="1" applyAlignment="1">
      <alignment horizontal="center" vertical="center"/>
    </xf>
    <xf numFmtId="186" fontId="5" fillId="24" borderId="11" xfId="0" applyNumberFormat="1" applyFont="1" applyFill="1" applyBorder="1" applyAlignment="1">
      <alignment horizontal="center" vertical="center"/>
    </xf>
    <xf numFmtId="186" fontId="5" fillId="24" borderId="14" xfId="0" applyNumberFormat="1" applyFont="1" applyFill="1" applyBorder="1" applyAlignment="1">
      <alignment horizontal="center" vertical="center"/>
    </xf>
    <xf numFmtId="187" fontId="5" fillId="0" borderId="10" xfId="0" applyNumberFormat="1" applyFont="1" applyFill="1" applyBorder="1" applyAlignment="1">
      <alignment horizontal="center" vertical="center"/>
    </xf>
    <xf numFmtId="187" fontId="5" fillId="0" borderId="11" xfId="0" applyNumberFormat="1" applyFont="1" applyFill="1" applyBorder="1" applyAlignment="1">
      <alignment horizontal="center" vertical="center"/>
    </xf>
    <xf numFmtId="187" fontId="5" fillId="0" borderId="12" xfId="0" applyNumberFormat="1" applyFont="1" applyFill="1" applyBorder="1" applyAlignment="1">
      <alignment horizontal="center" vertical="center"/>
    </xf>
    <xf numFmtId="187" fontId="5" fillId="24" borderId="10" xfId="0" applyNumberFormat="1" applyFont="1" applyFill="1" applyBorder="1" applyAlignment="1">
      <alignment horizontal="center" vertical="center"/>
    </xf>
    <xf numFmtId="187" fontId="5" fillId="24" borderId="11" xfId="0" applyNumberFormat="1" applyFont="1" applyFill="1" applyBorder="1" applyAlignment="1">
      <alignment horizontal="center" vertical="center"/>
    </xf>
    <xf numFmtId="187" fontId="5" fillId="24" borderId="12" xfId="0" applyNumberFormat="1" applyFont="1" applyFill="1" applyBorder="1" applyAlignment="1">
      <alignment horizontal="center" vertical="center"/>
    </xf>
    <xf numFmtId="187" fontId="5" fillId="24" borderId="15" xfId="0" applyNumberFormat="1" applyFont="1" applyFill="1" applyBorder="1" applyAlignment="1">
      <alignment horizontal="center" vertical="center"/>
    </xf>
    <xf numFmtId="187" fontId="5" fillId="24" borderId="14" xfId="0" applyNumberFormat="1" applyFont="1" applyFill="1" applyBorder="1" applyAlignment="1">
      <alignment horizontal="center" vertical="center"/>
    </xf>
    <xf numFmtId="187" fontId="5" fillId="0" borderId="15" xfId="0" applyNumberFormat="1" applyFont="1" applyFill="1" applyBorder="1" applyAlignment="1">
      <alignment horizontal="center" vertical="center"/>
    </xf>
    <xf numFmtId="187" fontId="5" fillId="0" borderId="14" xfId="0" applyNumberFormat="1" applyFont="1" applyFill="1" applyBorder="1" applyAlignment="1">
      <alignment horizontal="center" vertical="center"/>
    </xf>
    <xf numFmtId="187" fontId="5" fillId="0" borderId="95" xfId="0" applyNumberFormat="1" applyFont="1" applyFill="1" applyBorder="1" applyAlignment="1">
      <alignment horizontal="center" vertical="center"/>
    </xf>
    <xf numFmtId="187" fontId="5" fillId="0" borderId="91" xfId="0" applyNumberFormat="1" applyFont="1" applyFill="1" applyBorder="1" applyAlignment="1">
      <alignment horizontal="center" vertical="center"/>
    </xf>
    <xf numFmtId="187" fontId="57" fillId="0" borderId="92" xfId="0" applyNumberFormat="1" applyFont="1" applyFill="1" applyBorder="1" applyAlignment="1">
      <alignment horizontal="center" vertical="center"/>
    </xf>
    <xf numFmtId="0" fontId="24" fillId="24" borderId="12" xfId="0" applyFont="1" applyFill="1" applyBorder="1" applyAlignment="1">
      <alignment horizontal="center" vertical="center"/>
    </xf>
    <xf numFmtId="0" fontId="24" fillId="24" borderId="10" xfId="0" applyFont="1" applyFill="1" applyBorder="1" applyAlignment="1">
      <alignment horizontal="center" vertical="center"/>
    </xf>
    <xf numFmtId="3" fontId="5" fillId="0" borderId="85" xfId="0" applyNumberFormat="1" applyFont="1" applyFill="1" applyBorder="1" applyAlignment="1">
      <alignment horizontal="center" vertical="center"/>
    </xf>
    <xf numFmtId="3" fontId="5" fillId="0" borderId="54" xfId="0" applyNumberFormat="1" applyFont="1" applyFill="1" applyBorder="1" applyAlignment="1">
      <alignment horizontal="center" vertical="center"/>
    </xf>
    <xf numFmtId="0" fontId="32" fillId="0" borderId="33" xfId="0" applyFont="1" applyBorder="1" applyAlignment="1">
      <alignment horizontal="center" vertical="center"/>
    </xf>
    <xf numFmtId="3" fontId="32" fillId="0" borderId="33" xfId="0" applyNumberFormat="1" applyFont="1" applyBorder="1" applyAlignment="1">
      <alignment horizontal="center" vertical="center"/>
    </xf>
    <xf numFmtId="2" fontId="32" fillId="0" borderId="33" xfId="0" applyNumberFormat="1" applyFont="1" applyBorder="1" applyAlignment="1">
      <alignment horizontal="center" vertical="center"/>
    </xf>
    <xf numFmtId="3" fontId="32" fillId="0" borderId="94" xfId="0" applyNumberFormat="1" applyFont="1" applyBorder="1" applyAlignment="1">
      <alignment horizontal="center" vertical="center"/>
    </xf>
    <xf numFmtId="2" fontId="32" fillId="0" borderId="94" xfId="0" applyNumberFormat="1" applyFont="1" applyBorder="1" applyAlignment="1">
      <alignment horizontal="center" vertical="center"/>
    </xf>
    <xf numFmtId="3" fontId="32" fillId="24" borderId="10" xfId="0" applyNumberFormat="1" applyFont="1" applyFill="1" applyBorder="1" applyAlignment="1">
      <alignment horizontal="center" vertical="center"/>
    </xf>
    <xf numFmtId="2" fontId="32" fillId="24" borderId="10" xfId="0" applyNumberFormat="1" applyFont="1" applyFill="1" applyBorder="1" applyAlignment="1">
      <alignment horizontal="center" vertical="center"/>
    </xf>
    <xf numFmtId="180" fontId="32" fillId="0" borderId="20" xfId="0" applyNumberFormat="1" applyFont="1" applyBorder="1" applyAlignment="1">
      <alignment horizontal="center"/>
    </xf>
    <xf numFmtId="0" fontId="24" fillId="24" borderId="33" xfId="0" applyFont="1" applyFill="1" applyBorder="1" applyAlignment="1">
      <alignment horizontal="center" vertical="center"/>
    </xf>
    <xf numFmtId="2" fontId="24" fillId="0" borderId="33" xfId="0" applyNumberFormat="1" applyFont="1" applyBorder="1" applyAlignment="1">
      <alignment horizontal="center" vertical="center"/>
    </xf>
    <xf numFmtId="166" fontId="32" fillId="0" borderId="33" xfId="0" applyNumberFormat="1" applyFont="1" applyBorder="1" applyAlignment="1">
      <alignment horizontal="center" vertical="center"/>
    </xf>
    <xf numFmtId="187" fontId="24" fillId="0" borderId="23" xfId="0" applyNumberFormat="1" applyFont="1" applyBorder="1" applyAlignment="1">
      <alignment horizontal="center" vertical="center"/>
    </xf>
    <xf numFmtId="187" fontId="24" fillId="0" borderId="28" xfId="0" applyNumberFormat="1" applyFont="1" applyBorder="1" applyAlignment="1">
      <alignment horizontal="center" vertical="center"/>
    </xf>
    <xf numFmtId="0" fontId="24" fillId="0" borderId="17" xfId="0" applyFont="1" applyBorder="1" applyAlignment="1">
      <alignment horizontal="center" vertical="center"/>
    </xf>
    <xf numFmtId="3" fontId="32" fillId="0" borderId="19" xfId="0" applyNumberFormat="1" applyFont="1" applyBorder="1" applyAlignment="1">
      <alignment horizontal="center" vertical="center"/>
    </xf>
    <xf numFmtId="0" fontId="24" fillId="0" borderId="33" xfId="0" applyFont="1" applyBorder="1" applyAlignment="1">
      <alignment horizontal="center" vertical="center"/>
    </xf>
    <xf numFmtId="166" fontId="32" fillId="0" borderId="100" xfId="0" applyNumberFormat="1" applyFont="1" applyBorder="1" applyAlignment="1">
      <alignment horizontal="center"/>
    </xf>
    <xf numFmtId="166" fontId="32" fillId="0" borderId="12" xfId="0" applyNumberFormat="1" applyFont="1" applyBorder="1" applyAlignment="1">
      <alignment horizontal="center"/>
    </xf>
    <xf numFmtId="0" fontId="5" fillId="0" borderId="67" xfId="0" applyFont="1" applyFill="1" applyBorder="1" applyAlignment="1">
      <alignment horizontal="center"/>
    </xf>
    <xf numFmtId="0" fontId="24" fillId="0" borderId="206" xfId="0" applyFont="1" applyBorder="1" applyAlignment="1">
      <alignment horizontal="center"/>
    </xf>
    <xf numFmtId="165" fontId="0" fillId="0" borderId="0" xfId="0" applyNumberFormat="1" applyFill="1" applyAlignment="1">
      <alignment horizontal="center"/>
    </xf>
    <xf numFmtId="9" fontId="0" fillId="0" borderId="0" xfId="205" applyFont="1" applyAlignment="1">
      <alignment horizontal="center"/>
    </xf>
    <xf numFmtId="0" fontId="0" fillId="0" borderId="207" xfId="0" applyBorder="1" applyAlignment="1">
      <alignment horizontal="center"/>
    </xf>
    <xf numFmtId="0" fontId="0" fillId="0" borderId="208" xfId="0" applyBorder="1" applyAlignment="1">
      <alignment horizontal="center"/>
    </xf>
    <xf numFmtId="0" fontId="104" fillId="0" borderId="209" xfId="0" applyFont="1" applyBorder="1" applyAlignment="1">
      <alignment horizontal="center"/>
    </xf>
    <xf numFmtId="0" fontId="128" fillId="0" borderId="209" xfId="0" applyFont="1" applyBorder="1" applyAlignment="1">
      <alignment horizontal="center"/>
    </xf>
    <xf numFmtId="0" fontId="128" fillId="0" borderId="210" xfId="0" applyFont="1" applyBorder="1" applyAlignment="1">
      <alignment horizontal="center"/>
    </xf>
    <xf numFmtId="0" fontId="128" fillId="0" borderId="211" xfId="0" applyFont="1" applyBorder="1" applyAlignment="1">
      <alignment horizontal="center"/>
    </xf>
    <xf numFmtId="0" fontId="128" fillId="0" borderId="212" xfId="0" applyFont="1" applyBorder="1" applyAlignment="1">
      <alignment horizontal="center"/>
    </xf>
    <xf numFmtId="166" fontId="128" fillId="0" borderId="213" xfId="0" applyNumberFormat="1" applyFont="1" applyBorder="1" applyAlignment="1">
      <alignment horizontal="center"/>
    </xf>
    <xf numFmtId="166" fontId="128" fillId="0" borderId="214" xfId="0" applyNumberFormat="1" applyFont="1" applyBorder="1" applyAlignment="1">
      <alignment horizontal="center"/>
    </xf>
    <xf numFmtId="170" fontId="129" fillId="0" borderId="37" xfId="0" applyNumberFormat="1" applyFont="1" applyBorder="1" applyAlignment="1">
      <alignment horizontal="center"/>
    </xf>
    <xf numFmtId="0" fontId="5" fillId="0" borderId="0" xfId="177" applyFont="1" applyFill="1"/>
    <xf numFmtId="2" fontId="5" fillId="0" borderId="0" xfId="177" applyNumberFormat="1" applyFont="1" applyFill="1"/>
    <xf numFmtId="0" fontId="5" fillId="0" borderId="0" xfId="177" applyFont="1"/>
    <xf numFmtId="0" fontId="5" fillId="0" borderId="13" xfId="177" applyFont="1" applyFill="1" applyBorder="1"/>
    <xf numFmtId="0" fontId="5" fillId="30" borderId="13" xfId="177" applyFont="1" applyFill="1" applyBorder="1" applyAlignment="1">
      <alignment horizontal="center"/>
    </xf>
    <xf numFmtId="2" fontId="5" fillId="0" borderId="13" xfId="177" applyNumberFormat="1" applyFont="1" applyBorder="1"/>
    <xf numFmtId="174" fontId="5" fillId="0" borderId="13" xfId="177" applyNumberFormat="1" applyFont="1" applyFill="1" applyBorder="1" applyAlignment="1">
      <alignment horizontal="right"/>
    </xf>
    <xf numFmtId="2" fontId="5" fillId="0" borderId="18" xfId="177" applyNumberFormat="1" applyFont="1" applyFill="1" applyBorder="1" applyAlignment="1">
      <alignment horizontal="right"/>
    </xf>
    <xf numFmtId="2" fontId="5" fillId="0" borderId="13" xfId="177" applyNumberFormat="1" applyFont="1" applyFill="1" applyBorder="1"/>
    <xf numFmtId="2" fontId="5" fillId="0" borderId="17" xfId="177" applyNumberFormat="1" applyFont="1" applyFill="1" applyBorder="1" applyAlignment="1">
      <alignment horizontal="right"/>
    </xf>
    <xf numFmtId="174" fontId="44" fillId="0" borderId="13" xfId="177" applyNumberFormat="1" applyFont="1" applyFill="1" applyBorder="1" applyAlignment="1">
      <alignment horizontal="center"/>
    </xf>
    <xf numFmtId="2" fontId="5" fillId="0" borderId="20" xfId="177" applyNumberFormat="1" applyFont="1" applyFill="1" applyBorder="1" applyAlignment="1">
      <alignment horizontal="right"/>
    </xf>
    <xf numFmtId="2" fontId="5" fillId="0" borderId="21" xfId="177" applyNumberFormat="1" applyFont="1" applyFill="1" applyBorder="1" applyAlignment="1">
      <alignment horizontal="right"/>
    </xf>
    <xf numFmtId="2" fontId="4" fillId="25" borderId="13" xfId="177" applyNumberFormat="1" applyFont="1" applyFill="1" applyBorder="1" applyAlignment="1">
      <alignment horizontal="center"/>
    </xf>
    <xf numFmtId="174" fontId="4" fillId="25" borderId="13" xfId="177" applyNumberFormat="1" applyFont="1" applyFill="1" applyBorder="1" applyAlignment="1">
      <alignment horizontal="center"/>
    </xf>
    <xf numFmtId="0" fontId="5" fillId="0" borderId="21" xfId="177" applyFont="1" applyBorder="1" applyAlignment="1">
      <alignment horizontal="center"/>
    </xf>
    <xf numFmtId="0" fontId="5" fillId="0" borderId="21" xfId="177" applyFont="1" applyFill="1" applyBorder="1" applyAlignment="1">
      <alignment horizontal="center"/>
    </xf>
    <xf numFmtId="0" fontId="115" fillId="0" borderId="124" xfId="187" applyFont="1" applyBorder="1" applyAlignment="1">
      <alignment horizontal="center"/>
    </xf>
    <xf numFmtId="2" fontId="11" fillId="0" borderId="0" xfId="0" applyNumberFormat="1" applyFont="1" applyBorder="1" applyAlignment="1">
      <alignment horizontal="center"/>
    </xf>
    <xf numFmtId="2" fontId="11" fillId="24" borderId="0" xfId="0" applyNumberFormat="1" applyFont="1" applyFill="1" applyBorder="1" applyAlignment="1">
      <alignment horizontal="center"/>
    </xf>
    <xf numFmtId="2" fontId="7" fillId="24" borderId="0" xfId="0" applyNumberFormat="1" applyFont="1" applyFill="1" applyBorder="1"/>
    <xf numFmtId="4" fontId="5" fillId="24" borderId="52" xfId="0" applyNumberFormat="1" applyFont="1" applyFill="1" applyBorder="1" applyAlignment="1">
      <alignment horizontal="center"/>
    </xf>
    <xf numFmtId="4" fontId="5" fillId="24" borderId="63" xfId="0" applyNumberFormat="1" applyFont="1" applyFill="1" applyBorder="1" applyAlignment="1">
      <alignment horizontal="center"/>
    </xf>
    <xf numFmtId="174" fontId="32" fillId="24" borderId="0" xfId="0" applyNumberFormat="1" applyFont="1" applyFill="1" applyAlignment="1">
      <alignment horizontal="center"/>
    </xf>
    <xf numFmtId="14" fontId="5" fillId="0" borderId="0" xfId="0" applyNumberFormat="1" applyFont="1" applyFill="1"/>
    <xf numFmtId="0" fontId="36" fillId="26" borderId="21" xfId="0" applyFont="1" applyFill="1" applyBorder="1" applyAlignment="1">
      <alignment horizontal="center"/>
    </xf>
    <xf numFmtId="180" fontId="105" fillId="0" borderId="24" xfId="0" applyNumberFormat="1" applyFont="1" applyFill="1" applyBorder="1" applyAlignment="1">
      <alignment horizontal="center" vertical="center"/>
    </xf>
    <xf numFmtId="180" fontId="5" fillId="0" borderId="26" xfId="0" applyNumberFormat="1" applyFont="1" applyFill="1" applyBorder="1" applyAlignment="1"/>
    <xf numFmtId="180" fontId="6" fillId="0" borderId="24" xfId="0" applyNumberFormat="1" applyFont="1" applyFill="1" applyBorder="1" applyAlignment="1">
      <alignment horizontal="center"/>
    </xf>
    <xf numFmtId="180" fontId="10" fillId="0" borderId="24" xfId="0" applyNumberFormat="1" applyFont="1" applyFill="1" applyBorder="1" applyAlignment="1">
      <alignment horizontal="center"/>
    </xf>
    <xf numFmtId="180" fontId="5" fillId="0" borderId="24" xfId="0" applyNumberFormat="1" applyFont="1" applyFill="1" applyBorder="1" applyAlignment="1"/>
    <xf numFmtId="180" fontId="5" fillId="0" borderId="93" xfId="0" applyNumberFormat="1" applyFont="1" applyFill="1" applyBorder="1" applyAlignment="1"/>
    <xf numFmtId="180" fontId="5" fillId="0" borderId="25" xfId="0" applyNumberFormat="1" applyFont="1" applyFill="1" applyBorder="1" applyAlignment="1"/>
    <xf numFmtId="180" fontId="105" fillId="24" borderId="24" xfId="0" applyNumberFormat="1" applyFont="1" applyFill="1" applyBorder="1" applyAlignment="1">
      <alignment horizontal="center"/>
    </xf>
    <xf numFmtId="180" fontId="5" fillId="24" borderId="26" xfId="0" applyNumberFormat="1" applyFont="1" applyFill="1" applyBorder="1" applyAlignment="1"/>
    <xf numFmtId="180" fontId="105" fillId="0" borderId="24" xfId="0" applyNumberFormat="1" applyFont="1" applyFill="1" applyBorder="1" applyAlignment="1">
      <alignment horizontal="center"/>
    </xf>
    <xf numFmtId="180" fontId="4" fillId="0" borderId="25" xfId="0" applyNumberFormat="1" applyFont="1" applyFill="1" applyBorder="1" applyAlignment="1"/>
    <xf numFmtId="180" fontId="10" fillId="24" borderId="26" xfId="0" applyNumberFormat="1" applyFont="1" applyFill="1" applyBorder="1" applyAlignment="1">
      <alignment horizontal="center"/>
    </xf>
    <xf numFmtId="180" fontId="10" fillId="24" borderId="18" xfId="0" applyNumberFormat="1" applyFont="1" applyFill="1" applyBorder="1" applyAlignment="1">
      <alignment horizontal="center"/>
    </xf>
    <xf numFmtId="180" fontId="33" fillId="0" borderId="29" xfId="0" applyNumberFormat="1" applyFont="1" applyFill="1" applyBorder="1" applyAlignment="1">
      <alignment horizontal="center"/>
    </xf>
    <xf numFmtId="180" fontId="10" fillId="0" borderId="21" xfId="0" applyNumberFormat="1" applyFont="1" applyFill="1" applyBorder="1" applyAlignment="1">
      <alignment horizontal="center"/>
    </xf>
    <xf numFmtId="180" fontId="10" fillId="24" borderId="27" xfId="0" applyNumberFormat="1" applyFont="1" applyFill="1" applyBorder="1" applyAlignment="1">
      <alignment horizontal="center"/>
    </xf>
    <xf numFmtId="180" fontId="10" fillId="0" borderId="27" xfId="0" applyNumberFormat="1" applyFont="1" applyFill="1" applyBorder="1" applyAlignment="1">
      <alignment horizontal="center"/>
    </xf>
    <xf numFmtId="180" fontId="5" fillId="0" borderId="27" xfId="0" applyNumberFormat="1" applyFont="1" applyFill="1" applyBorder="1" applyAlignment="1"/>
    <xf numFmtId="180" fontId="105" fillId="0" borderId="26" xfId="0" applyNumberFormat="1" applyFont="1" applyFill="1" applyBorder="1" applyAlignment="1">
      <alignment horizontal="center"/>
    </xf>
    <xf numFmtId="180" fontId="6" fillId="0" borderId="24" xfId="0" applyNumberFormat="1" applyFont="1" applyFill="1" applyBorder="1" applyAlignment="1"/>
    <xf numFmtId="180" fontId="10" fillId="0" borderId="215" xfId="0" applyNumberFormat="1" applyFont="1" applyFill="1" applyBorder="1" applyAlignment="1">
      <alignment horizontal="center"/>
    </xf>
    <xf numFmtId="180" fontId="5" fillId="0" borderId="34" xfId="0" applyNumberFormat="1" applyFont="1" applyFill="1" applyBorder="1" applyAlignment="1"/>
    <xf numFmtId="180" fontId="6" fillId="0" borderId="25" xfId="0" applyNumberFormat="1" applyFont="1" applyFill="1" applyBorder="1" applyAlignment="1"/>
    <xf numFmtId="180" fontId="6" fillId="0" borderId="93" xfId="0" applyNumberFormat="1" applyFont="1" applyFill="1" applyBorder="1" applyAlignment="1"/>
    <xf numFmtId="180" fontId="10" fillId="0" borderId="25" xfId="0" applyNumberFormat="1" applyFont="1" applyFill="1" applyBorder="1" applyAlignment="1">
      <alignment horizontal="center"/>
    </xf>
    <xf numFmtId="180" fontId="10" fillId="0" borderId="93" xfId="0" applyNumberFormat="1" applyFont="1" applyFill="1" applyBorder="1" applyAlignment="1">
      <alignment horizontal="center"/>
    </xf>
    <xf numFmtId="180" fontId="5" fillId="24" borderId="24" xfId="0" applyNumberFormat="1" applyFont="1" applyFill="1" applyBorder="1" applyAlignment="1"/>
    <xf numFmtId="180" fontId="5" fillId="24" borderId="25" xfId="0" applyNumberFormat="1" applyFont="1" applyFill="1" applyBorder="1" applyAlignment="1"/>
    <xf numFmtId="180" fontId="10" fillId="24" borderId="24" xfId="0" applyNumberFormat="1" applyFont="1" applyFill="1" applyBorder="1" applyAlignment="1">
      <alignment horizontal="center"/>
    </xf>
    <xf numFmtId="180" fontId="5" fillId="24" borderId="27" xfId="0" applyNumberFormat="1" applyFont="1" applyFill="1" applyBorder="1" applyAlignment="1"/>
    <xf numFmtId="180" fontId="5" fillId="24" borderId="93" xfId="0" applyNumberFormat="1" applyFont="1" applyFill="1" applyBorder="1" applyAlignment="1"/>
    <xf numFmtId="180" fontId="4" fillId="0" borderId="24" xfId="0" applyNumberFormat="1" applyFont="1" applyFill="1" applyBorder="1" applyAlignment="1"/>
    <xf numFmtId="180" fontId="58" fillId="0" borderId="62" xfId="0" applyNumberFormat="1" applyFont="1" applyFill="1" applyBorder="1" applyAlignment="1">
      <alignment horizontal="center"/>
    </xf>
    <xf numFmtId="180" fontId="58" fillId="0" borderId="216" xfId="0" applyNumberFormat="1" applyFont="1" applyFill="1" applyBorder="1" applyAlignment="1">
      <alignment horizontal="center"/>
    </xf>
    <xf numFmtId="180" fontId="58" fillId="0" borderId="61" xfId="0" applyNumberFormat="1" applyFont="1" applyFill="1" applyBorder="1" applyAlignment="1">
      <alignment horizontal="center"/>
    </xf>
    <xf numFmtId="180" fontId="48" fillId="0" borderId="26" xfId="0" applyNumberFormat="1" applyFont="1" applyFill="1" applyBorder="1" applyAlignment="1">
      <alignment horizontal="center"/>
    </xf>
    <xf numFmtId="180" fontId="48" fillId="0" borderId="24" xfId="0" applyNumberFormat="1" applyFont="1" applyFill="1" applyBorder="1" applyAlignment="1">
      <alignment horizontal="center"/>
    </xf>
    <xf numFmtId="4" fontId="130" fillId="36" borderId="217" xfId="197" applyNumberFormat="1" applyFont="1" applyFill="1" applyBorder="1" applyAlignment="1">
      <alignment horizontal="center" vertical="center" wrapText="1"/>
    </xf>
    <xf numFmtId="0" fontId="130" fillId="36" borderId="217" xfId="197" applyFont="1" applyFill="1" applyBorder="1" applyAlignment="1">
      <alignment horizontal="center" vertical="center" wrapText="1"/>
    </xf>
    <xf numFmtId="14" fontId="77" fillId="0" borderId="0" xfId="0" applyNumberFormat="1" applyFont="1" applyAlignment="1">
      <alignment horizontal="center"/>
    </xf>
    <xf numFmtId="0" fontId="77" fillId="24" borderId="0" xfId="0" applyFont="1" applyFill="1" applyAlignment="1">
      <alignment horizontal="center"/>
    </xf>
    <xf numFmtId="0" fontId="154" fillId="26" borderId="30" xfId="187" applyFill="1" applyBorder="1" applyAlignment="1">
      <alignment horizontal="center"/>
    </xf>
    <xf numFmtId="2" fontId="4" fillId="26" borderId="13" xfId="177" applyNumberFormat="1" applyFont="1" applyFill="1" applyBorder="1" applyAlignment="1">
      <alignment horizontal="center"/>
    </xf>
    <xf numFmtId="174" fontId="4" fillId="26" borderId="13" xfId="177" applyNumberFormat="1" applyFont="1" applyFill="1" applyBorder="1" applyAlignment="1">
      <alignment horizontal="center"/>
    </xf>
    <xf numFmtId="0" fontId="48" fillId="26" borderId="56" xfId="177" applyFont="1" applyFill="1" applyBorder="1"/>
    <xf numFmtId="0" fontId="48" fillId="26" borderId="201" xfId="177" applyFont="1" applyFill="1" applyBorder="1"/>
    <xf numFmtId="0" fontId="5" fillId="26" borderId="31" xfId="177" applyFont="1" applyFill="1" applyBorder="1"/>
    <xf numFmtId="0" fontId="154" fillId="26" borderId="30" xfId="187" applyFill="1" applyBorder="1" applyAlignment="1">
      <alignment horizontal="center"/>
    </xf>
    <xf numFmtId="0" fontId="0" fillId="0" borderId="101" xfId="0" applyBorder="1" applyAlignment="1">
      <alignment horizontal="center"/>
    </xf>
    <xf numFmtId="0" fontId="5" fillId="26" borderId="13" xfId="177" applyFont="1" applyFill="1" applyBorder="1" applyAlignment="1">
      <alignment horizontal="center"/>
    </xf>
    <xf numFmtId="0" fontId="114" fillId="26" borderId="30" xfId="187" applyFont="1" applyFill="1" applyBorder="1" applyAlignment="1">
      <alignment horizontal="center"/>
    </xf>
    <xf numFmtId="0" fontId="24" fillId="0" borderId="0" xfId="0" applyFont="1" applyBorder="1" applyAlignment="1"/>
    <xf numFmtId="0" fontId="131" fillId="24" borderId="0" xfId="0" applyFont="1" applyFill="1" applyBorder="1" applyAlignment="1">
      <alignment horizontal="center"/>
    </xf>
    <xf numFmtId="2" fontId="13" fillId="0" borderId="0" xfId="0" applyNumberFormat="1" applyFont="1" applyBorder="1" applyAlignment="1">
      <alignment horizontal="center"/>
    </xf>
    <xf numFmtId="0" fontId="36" fillId="0" borderId="0" xfId="0" applyFont="1" applyBorder="1" applyAlignment="1">
      <alignment horizontal="center" wrapText="1"/>
    </xf>
    <xf numFmtId="174" fontId="5" fillId="32" borderId="13" xfId="0" applyNumberFormat="1" applyFont="1" applyFill="1" applyBorder="1" applyAlignment="1">
      <alignment horizontal="center"/>
    </xf>
    <xf numFmtId="174" fontId="4" fillId="32" borderId="13" xfId="0" applyNumberFormat="1" applyFont="1" applyFill="1" applyBorder="1" applyAlignment="1">
      <alignment horizontal="center"/>
    </xf>
    <xf numFmtId="0" fontId="0" fillId="0" borderId="109" xfId="0" applyFont="1" applyFill="1" applyBorder="1" applyAlignment="1"/>
    <xf numFmtId="0" fontId="131" fillId="24" borderId="111" xfId="0" applyFont="1" applyFill="1" applyBorder="1" applyAlignment="1">
      <alignment horizontal="center"/>
    </xf>
    <xf numFmtId="2" fontId="24" fillId="30" borderId="18" xfId="0" applyNumberFormat="1" applyFont="1" applyFill="1" applyBorder="1" applyAlignment="1">
      <alignment horizontal="center"/>
    </xf>
    <xf numFmtId="0" fontId="0" fillId="0" borderId="77" xfId="0" applyBorder="1"/>
    <xf numFmtId="0" fontId="0" fillId="0" borderId="102" xfId="0" applyBorder="1"/>
    <xf numFmtId="0" fontId="24" fillId="30" borderId="18" xfId="0" applyFont="1" applyFill="1" applyBorder="1" applyAlignment="1"/>
    <xf numFmtId="0" fontId="38" fillId="24" borderId="0" xfId="0" applyFont="1" applyFill="1" applyBorder="1" applyAlignment="1"/>
    <xf numFmtId="0" fontId="38" fillId="0" borderId="56" xfId="0" applyFont="1" applyBorder="1"/>
    <xf numFmtId="0" fontId="36" fillId="0" borderId="0" xfId="199" applyNumberFormat="1" applyFont="1" applyFill="1" applyBorder="1" applyAlignment="1">
      <alignment horizontal="left"/>
    </xf>
    <xf numFmtId="170" fontId="36" fillId="0" borderId="13" xfId="0" applyNumberFormat="1" applyFont="1" applyBorder="1" applyAlignment="1">
      <alignment horizontal="right"/>
    </xf>
    <xf numFmtId="0" fontId="36" fillId="24" borderId="0" xfId="0" applyFont="1" applyFill="1" applyBorder="1" applyAlignment="1">
      <alignment horizontal="left"/>
    </xf>
    <xf numFmtId="0" fontId="36" fillId="0" borderId="0" xfId="0" applyFont="1" applyFill="1" applyBorder="1" applyAlignment="1">
      <alignment horizontal="left"/>
    </xf>
    <xf numFmtId="0" fontId="36" fillId="24" borderId="0" xfId="199" applyNumberFormat="1" applyFont="1" applyFill="1" applyBorder="1" applyAlignment="1">
      <alignment horizontal="left"/>
    </xf>
    <xf numFmtId="170" fontId="36" fillId="0" borderId="13" xfId="0" applyNumberFormat="1" applyFont="1" applyFill="1" applyBorder="1" applyAlignment="1">
      <alignment horizontal="right"/>
    </xf>
    <xf numFmtId="0" fontId="38" fillId="33" borderId="133" xfId="0" applyFont="1" applyFill="1" applyBorder="1"/>
    <xf numFmtId="170" fontId="38" fillId="33" borderId="116" xfId="0" applyNumberFormat="1" applyFont="1" applyFill="1" applyBorder="1" applyAlignment="1">
      <alignment horizontal="right"/>
    </xf>
    <xf numFmtId="0" fontId="38" fillId="0" borderId="87" xfId="0" applyFont="1" applyBorder="1"/>
    <xf numFmtId="0" fontId="38" fillId="33" borderId="109" xfId="0" applyFont="1" applyFill="1" applyBorder="1"/>
    <xf numFmtId="0" fontId="36" fillId="0" borderId="0" xfId="0" applyFont="1" applyAlignment="1">
      <alignment horizontal="right"/>
    </xf>
    <xf numFmtId="0" fontId="38" fillId="26" borderId="109" xfId="0" applyFont="1" applyFill="1" applyBorder="1"/>
    <xf numFmtId="170" fontId="38" fillId="26" borderId="111" xfId="0" applyNumberFormat="1" applyFont="1" applyFill="1" applyBorder="1" applyAlignment="1">
      <alignment horizontal="right"/>
    </xf>
    <xf numFmtId="0" fontId="38" fillId="33" borderId="13" xfId="0" applyFont="1" applyFill="1" applyBorder="1" applyAlignment="1">
      <alignment horizontal="center"/>
    </xf>
    <xf numFmtId="170" fontId="36" fillId="26" borderId="13" xfId="0" applyNumberFormat="1" applyFont="1" applyFill="1" applyBorder="1" applyAlignment="1">
      <alignment horizontal="right"/>
    </xf>
    <xf numFmtId="170" fontId="38" fillId="33" borderId="116" xfId="0" applyNumberFormat="1" applyFont="1" applyFill="1" applyBorder="1" applyAlignment="1"/>
    <xf numFmtId="170" fontId="36" fillId="0" borderId="13" xfId="0" applyNumberFormat="1" applyFont="1" applyBorder="1" applyAlignment="1"/>
    <xf numFmtId="170" fontId="36" fillId="0" borderId="13" xfId="0" applyNumberFormat="1" applyFont="1" applyFill="1" applyBorder="1" applyAlignment="1"/>
    <xf numFmtId="0" fontId="36" fillId="0" borderId="0" xfId="0" applyFont="1" applyAlignment="1"/>
    <xf numFmtId="170" fontId="38" fillId="26" borderId="109" xfId="0" applyNumberFormat="1" applyFont="1" applyFill="1" applyBorder="1" applyAlignment="1"/>
    <xf numFmtId="3" fontId="36" fillId="0" borderId="13" xfId="0" applyNumberFormat="1" applyFont="1" applyBorder="1" applyAlignment="1"/>
    <xf numFmtId="170" fontId="38" fillId="33" borderId="21" xfId="0" applyNumberFormat="1" applyFont="1" applyFill="1" applyBorder="1" applyAlignment="1"/>
    <xf numFmtId="3" fontId="36" fillId="0" borderId="13" xfId="0" applyNumberFormat="1" applyFont="1" applyBorder="1" applyAlignment="1">
      <alignment horizontal="right"/>
    </xf>
    <xf numFmtId="170" fontId="38" fillId="33" borderId="13" xfId="0" applyNumberFormat="1" applyFont="1" applyFill="1" applyBorder="1" applyAlignment="1">
      <alignment horizontal="right"/>
    </xf>
    <xf numFmtId="170" fontId="38" fillId="26" borderId="13" xfId="0" applyNumberFormat="1" applyFont="1" applyFill="1" applyBorder="1" applyAlignment="1">
      <alignment horizontal="right"/>
    </xf>
    <xf numFmtId="170" fontId="38" fillId="33" borderId="137" xfId="0" applyNumberFormat="1" applyFont="1" applyFill="1" applyBorder="1"/>
    <xf numFmtId="170" fontId="38" fillId="33" borderId="137" xfId="0" applyNumberFormat="1" applyFont="1" applyFill="1" applyBorder="1" applyAlignment="1">
      <alignment horizontal="right"/>
    </xf>
    <xf numFmtId="0" fontId="36" fillId="0" borderId="29" xfId="0" applyFont="1" applyBorder="1" applyAlignment="1">
      <alignment horizontal="right"/>
    </xf>
    <xf numFmtId="3" fontId="38" fillId="0" borderId="29" xfId="0" applyNumberFormat="1" applyFont="1" applyBorder="1" applyAlignment="1">
      <alignment horizontal="right"/>
    </xf>
    <xf numFmtId="3" fontId="38" fillId="26" borderId="87" xfId="0" applyNumberFormat="1" applyFont="1" applyFill="1" applyBorder="1" applyAlignment="1">
      <alignment horizontal="right"/>
    </xf>
    <xf numFmtId="0" fontId="36" fillId="0" borderId="13" xfId="0" applyFont="1" applyBorder="1" applyAlignment="1">
      <alignment horizontal="center"/>
    </xf>
    <xf numFmtId="0" fontId="36" fillId="0" borderId="116" xfId="0" applyFont="1" applyBorder="1" applyAlignment="1">
      <alignment horizontal="center"/>
    </xf>
    <xf numFmtId="14" fontId="120" fillId="0" borderId="102" xfId="0" applyNumberFormat="1" applyFont="1" applyBorder="1" applyAlignment="1">
      <alignment horizontal="center"/>
    </xf>
    <xf numFmtId="0" fontId="132" fillId="0" borderId="143" xfId="189" applyFont="1" applyBorder="1" applyAlignment="1">
      <alignment horizontal="center"/>
    </xf>
    <xf numFmtId="0" fontId="132" fillId="0" borderId="144" xfId="189" applyFont="1" applyBorder="1" applyAlignment="1">
      <alignment horizontal="center"/>
    </xf>
    <xf numFmtId="0" fontId="132" fillId="0" borderId="115" xfId="189" applyFont="1" applyBorder="1" applyAlignment="1">
      <alignment horizontal="center"/>
    </xf>
    <xf numFmtId="0" fontId="24" fillId="26" borderId="131" xfId="0" applyFont="1" applyFill="1" applyBorder="1"/>
    <xf numFmtId="0" fontId="0" fillId="26" borderId="121" xfId="0" applyFill="1" applyBorder="1"/>
    <xf numFmtId="0" fontId="0" fillId="26" borderId="132" xfId="0" applyFill="1" applyBorder="1"/>
    <xf numFmtId="0" fontId="0" fillId="26" borderId="131" xfId="0" applyFill="1" applyBorder="1"/>
    <xf numFmtId="0" fontId="24" fillId="26" borderId="128" xfId="0" applyFont="1" applyFill="1" applyBorder="1" applyAlignment="1"/>
    <xf numFmtId="0" fontId="24" fillId="26" borderId="145" xfId="0" applyFont="1" applyFill="1" applyBorder="1" applyAlignment="1"/>
    <xf numFmtId="0" fontId="0" fillId="26" borderId="145" xfId="0" applyFill="1" applyBorder="1" applyAlignment="1"/>
    <xf numFmtId="0" fontId="0" fillId="26" borderId="136" xfId="0" applyFill="1" applyBorder="1" applyAlignment="1"/>
    <xf numFmtId="2" fontId="11" fillId="24" borderId="13" xfId="0" applyNumberFormat="1" applyFont="1" applyFill="1" applyBorder="1" applyAlignment="1">
      <alignment horizontal="center"/>
    </xf>
    <xf numFmtId="2" fontId="72" fillId="24" borderId="13" xfId="0" applyNumberFormat="1" applyFont="1" applyFill="1" applyBorder="1" applyAlignment="1">
      <alignment horizontal="center"/>
    </xf>
    <xf numFmtId="0" fontId="38" fillId="25" borderId="131" xfId="0" applyFont="1" applyFill="1" applyBorder="1"/>
    <xf numFmtId="0" fontId="38" fillId="25" borderId="121" xfId="0" applyFont="1" applyFill="1" applyBorder="1"/>
    <xf numFmtId="0" fontId="38" fillId="25" borderId="132" xfId="0" applyFont="1" applyFill="1" applyBorder="1"/>
    <xf numFmtId="43" fontId="11" fillId="25" borderId="13" xfId="157" applyFont="1" applyFill="1" applyBorder="1" applyAlignment="1">
      <alignment horizontal="left"/>
    </xf>
    <xf numFmtId="43" fontId="72" fillId="25" borderId="13" xfId="157" applyFont="1" applyFill="1" applyBorder="1"/>
    <xf numFmtId="0" fontId="0" fillId="0" borderId="131" xfId="0" applyBorder="1" applyAlignment="1">
      <alignment horizontal="center"/>
    </xf>
    <xf numFmtId="0" fontId="0" fillId="0" borderId="83" xfId="0" applyBorder="1" applyAlignment="1">
      <alignment horizontal="center"/>
    </xf>
    <xf numFmtId="0" fontId="0" fillId="0" borderId="128" xfId="0" applyBorder="1" applyAlignment="1">
      <alignment horizontal="center"/>
    </xf>
    <xf numFmtId="0" fontId="0" fillId="0" borderId="205" xfId="0" applyBorder="1" applyAlignment="1">
      <alignment horizontal="center"/>
    </xf>
    <xf numFmtId="14" fontId="0" fillId="26" borderId="87" xfId="0" applyNumberFormat="1" applyFill="1" applyBorder="1" applyAlignment="1">
      <alignment horizontal="center"/>
    </xf>
    <xf numFmtId="0" fontId="0" fillId="0" borderId="121" xfId="0" applyBorder="1"/>
    <xf numFmtId="0" fontId="0" fillId="0" borderId="132" xfId="0" applyBorder="1"/>
    <xf numFmtId="0" fontId="0" fillId="0" borderId="135" xfId="0" applyBorder="1"/>
    <xf numFmtId="0" fontId="0" fillId="0" borderId="83" xfId="0" applyBorder="1"/>
    <xf numFmtId="0" fontId="0" fillId="0" borderId="145" xfId="0" applyBorder="1"/>
    <xf numFmtId="0" fontId="0" fillId="0" borderId="136" xfId="0" applyBorder="1"/>
    <xf numFmtId="0" fontId="0" fillId="0" borderId="0" xfId="0" applyBorder="1" applyAlignment="1">
      <alignment horizontal="center"/>
    </xf>
    <xf numFmtId="177" fontId="0" fillId="24" borderId="0" xfId="0" applyNumberFormat="1" applyFill="1" applyBorder="1" applyAlignment="1">
      <alignment horizontal="center"/>
    </xf>
    <xf numFmtId="1" fontId="0" fillId="0" borderId="83" xfId="0" applyNumberFormat="1" applyBorder="1" applyAlignment="1">
      <alignment horizontal="center"/>
    </xf>
    <xf numFmtId="1" fontId="0" fillId="0" borderId="128" xfId="0" applyNumberFormat="1" applyBorder="1" applyAlignment="1">
      <alignment horizontal="center"/>
    </xf>
    <xf numFmtId="0" fontId="13" fillId="32" borderId="131" xfId="0" applyFont="1" applyFill="1" applyBorder="1"/>
    <xf numFmtId="0" fontId="13" fillId="32" borderId="121" xfId="0" applyFont="1" applyFill="1" applyBorder="1"/>
    <xf numFmtId="4" fontId="130" fillId="36" borderId="146" xfId="197" applyNumberFormat="1" applyFont="1" applyFill="1" applyBorder="1" applyAlignment="1">
      <alignment horizontal="center" vertical="center" wrapText="1"/>
    </xf>
    <xf numFmtId="0" fontId="13" fillId="32" borderId="128" xfId="0" applyFont="1" applyFill="1" applyBorder="1"/>
    <xf numFmtId="0" fontId="13" fillId="32" borderId="145" xfId="0" applyFont="1" applyFill="1" applyBorder="1"/>
    <xf numFmtId="0" fontId="13" fillId="32" borderId="136" xfId="0" applyFont="1" applyFill="1" applyBorder="1"/>
    <xf numFmtId="0" fontId="0" fillId="32" borderId="132" xfId="0" applyFill="1" applyBorder="1"/>
    <xf numFmtId="0" fontId="0" fillId="32" borderId="121" xfId="0" applyFill="1" applyBorder="1"/>
    <xf numFmtId="4" fontId="133" fillId="32" borderId="146" xfId="197" applyNumberFormat="1" applyFont="1" applyFill="1" applyBorder="1" applyAlignment="1">
      <alignment horizontal="center" vertical="center" wrapText="1"/>
    </xf>
    <xf numFmtId="0" fontId="13" fillId="0" borderId="87" xfId="0" applyFont="1" applyBorder="1"/>
    <xf numFmtId="14" fontId="120" fillId="26" borderId="0" xfId="0" applyNumberFormat="1" applyFont="1" applyFill="1"/>
    <xf numFmtId="4" fontId="118" fillId="0" borderId="145" xfId="195" applyNumberFormat="1" applyFont="1" applyFill="1" applyBorder="1" applyAlignment="1">
      <alignment horizontal="center" wrapText="1"/>
    </xf>
    <xf numFmtId="4" fontId="118" fillId="0" borderId="121" xfId="195" applyNumberFormat="1" applyFont="1" applyFill="1" applyBorder="1" applyAlignment="1">
      <alignment horizontal="center" wrapText="1"/>
    </xf>
    <xf numFmtId="0" fontId="118" fillId="0" borderId="101" xfId="195" applyFont="1" applyFill="1" applyBorder="1" applyAlignment="1">
      <alignment horizontal="center" wrapText="1"/>
    </xf>
    <xf numFmtId="0" fontId="118" fillId="0" borderId="137" xfId="195" applyFont="1" applyFill="1" applyBorder="1" applyAlignment="1">
      <alignment horizontal="center" wrapText="1"/>
    </xf>
    <xf numFmtId="2" fontId="13" fillId="0" borderId="110" xfId="0" applyNumberFormat="1" applyFont="1" applyBorder="1" applyAlignment="1">
      <alignment horizontal="center"/>
    </xf>
    <xf numFmtId="0" fontId="36" fillId="0" borderId="31" xfId="0" applyFont="1" applyBorder="1" applyAlignment="1">
      <alignment horizontal="center" wrapText="1"/>
    </xf>
    <xf numFmtId="0" fontId="36" fillId="24" borderId="131" xfId="0" applyFont="1" applyFill="1" applyBorder="1" applyAlignment="1">
      <alignment horizontal="center" vertical="center"/>
    </xf>
    <xf numFmtId="0" fontId="36" fillId="24" borderId="101" xfId="0" applyFont="1" applyFill="1" applyBorder="1" applyAlignment="1">
      <alignment horizontal="center" vertical="center"/>
    </xf>
    <xf numFmtId="0" fontId="36" fillId="24" borderId="60" xfId="0" applyFont="1" applyFill="1" applyBorder="1" applyAlignment="1">
      <alignment horizontal="center" vertical="center"/>
    </xf>
    <xf numFmtId="3" fontId="62" fillId="24" borderId="21" xfId="173" applyNumberFormat="1" applyFont="1" applyFill="1" applyBorder="1" applyAlignment="1">
      <alignment horizontal="center" vertical="center"/>
    </xf>
    <xf numFmtId="4" fontId="5" fillId="24" borderId="18" xfId="0" applyNumberFormat="1" applyFont="1" applyFill="1" applyBorder="1" applyAlignment="1">
      <alignment horizontal="center" vertical="center"/>
    </xf>
    <xf numFmtId="0" fontId="7" fillId="26" borderId="77" xfId="0" applyFont="1" applyFill="1" applyBorder="1" applyAlignment="1">
      <alignment horizontal="center" vertical="center" wrapText="1"/>
    </xf>
    <xf numFmtId="0" fontId="7" fillId="26" borderId="13" xfId="0" applyFont="1" applyFill="1" applyBorder="1" applyAlignment="1">
      <alignment horizontal="center" vertical="center" wrapText="1"/>
    </xf>
    <xf numFmtId="0" fontId="7" fillId="26" borderId="102" xfId="0" applyFont="1" applyFill="1" applyBorder="1" applyAlignment="1">
      <alignment horizontal="center" vertical="center" wrapText="1"/>
    </xf>
    <xf numFmtId="0" fontId="7" fillId="30" borderId="140" xfId="0" applyFont="1" applyFill="1" applyBorder="1" applyAlignment="1">
      <alignment horizontal="center"/>
    </xf>
    <xf numFmtId="4" fontId="7" fillId="30" borderId="81" xfId="0" applyNumberFormat="1" applyFont="1" applyFill="1" applyBorder="1" applyAlignment="1">
      <alignment horizontal="center" vertical="center"/>
    </xf>
    <xf numFmtId="9" fontId="7" fillId="30" borderId="77" xfId="205" applyFont="1" applyFill="1" applyBorder="1" applyAlignment="1">
      <alignment horizontal="center"/>
    </xf>
    <xf numFmtId="0" fontId="7" fillId="30" borderId="78" xfId="0" applyFont="1" applyFill="1" applyBorder="1" applyAlignment="1">
      <alignment horizontal="center"/>
    </xf>
    <xf numFmtId="0" fontId="7" fillId="30" borderId="80" xfId="0" applyFont="1" applyFill="1" applyBorder="1" applyAlignment="1">
      <alignment horizontal="center" wrapText="1"/>
    </xf>
    <xf numFmtId="0" fontId="7" fillId="30" borderId="17" xfId="0" applyFont="1" applyFill="1" applyBorder="1" applyAlignment="1">
      <alignment horizontal="center"/>
    </xf>
    <xf numFmtId="4" fontId="7" fillId="30" borderId="80" xfId="0" applyNumberFormat="1" applyFont="1" applyFill="1" applyBorder="1" applyAlignment="1">
      <alignment horizontal="center" vertical="center"/>
    </xf>
    <xf numFmtId="4" fontId="7" fillId="30" borderId="13" xfId="0" applyNumberFormat="1" applyFont="1" applyFill="1" applyBorder="1" applyAlignment="1">
      <alignment horizontal="center" vertical="center"/>
    </xf>
    <xf numFmtId="9" fontId="7" fillId="30" borderId="13" xfId="205" applyFont="1" applyFill="1" applyBorder="1" applyAlignment="1">
      <alignment horizontal="center"/>
    </xf>
    <xf numFmtId="0" fontId="7" fillId="30" borderId="79" xfId="0" applyFont="1" applyFill="1" applyBorder="1" applyAlignment="1">
      <alignment horizontal="center"/>
    </xf>
    <xf numFmtId="4" fontId="7" fillId="30" borderId="143" xfId="0" applyNumberFormat="1" applyFont="1" applyFill="1" applyBorder="1" applyAlignment="1">
      <alignment horizontal="center" vertical="center"/>
    </xf>
    <xf numFmtId="4" fontId="7" fillId="30" borderId="144" xfId="0" applyNumberFormat="1" applyFont="1" applyFill="1" applyBorder="1" applyAlignment="1">
      <alignment horizontal="center" vertical="center"/>
    </xf>
    <xf numFmtId="181" fontId="109" fillId="30" borderId="103" xfId="0" applyNumberFormat="1" applyFont="1" applyFill="1" applyBorder="1" applyAlignment="1">
      <alignment horizontal="center"/>
    </xf>
    <xf numFmtId="181" fontId="109" fillId="30" borderId="78" xfId="0" applyNumberFormat="1" applyFont="1" applyFill="1" applyBorder="1" applyAlignment="1">
      <alignment horizontal="center"/>
    </xf>
    <xf numFmtId="4" fontId="7" fillId="30" borderId="20" xfId="0" applyNumberFormat="1" applyFont="1" applyFill="1" applyBorder="1" applyAlignment="1">
      <alignment horizontal="center"/>
    </xf>
    <xf numFmtId="4" fontId="7" fillId="30" borderId="13" xfId="0" applyNumberFormat="1" applyFont="1" applyFill="1" applyBorder="1" applyAlignment="1">
      <alignment horizontal="center"/>
    </xf>
    <xf numFmtId="181" fontId="47" fillId="30" borderId="79" xfId="0" applyNumberFormat="1" applyFont="1" applyFill="1" applyBorder="1" applyAlignment="1">
      <alignment horizontal="center"/>
    </xf>
    <xf numFmtId="181" fontId="47" fillId="30" borderId="130" xfId="0" applyNumberFormat="1" applyFont="1" applyFill="1" applyBorder="1" applyAlignment="1">
      <alignment horizontal="center"/>
    </xf>
    <xf numFmtId="3" fontId="5" fillId="0" borderId="21" xfId="0" applyNumberFormat="1" applyFont="1" applyFill="1" applyBorder="1" applyAlignment="1">
      <alignment horizontal="center"/>
    </xf>
    <xf numFmtId="3" fontId="5" fillId="0" borderId="21" xfId="0" applyNumberFormat="1" applyFont="1" applyBorder="1" applyAlignment="1">
      <alignment horizontal="center"/>
    </xf>
    <xf numFmtId="0" fontId="5" fillId="26" borderId="133" xfId="0" applyFont="1" applyFill="1" applyBorder="1" applyAlignment="1">
      <alignment horizontal="center"/>
    </xf>
    <xf numFmtId="4" fontId="13" fillId="0" borderId="136" xfId="0" applyNumberFormat="1" applyFont="1" applyBorder="1" applyAlignment="1">
      <alignment horizontal="center"/>
    </xf>
    <xf numFmtId="0" fontId="5" fillId="24" borderId="109" xfId="0" applyFont="1" applyFill="1" applyBorder="1" applyAlignment="1">
      <alignment horizontal="center"/>
    </xf>
    <xf numFmtId="0" fontId="48" fillId="0" borderId="21" xfId="0" applyFont="1" applyBorder="1" applyAlignment="1">
      <alignment horizontal="center"/>
    </xf>
    <xf numFmtId="3" fontId="36" fillId="24" borderId="0" xfId="0" applyNumberFormat="1" applyFont="1" applyFill="1" applyBorder="1"/>
    <xf numFmtId="3" fontId="120" fillId="0" borderId="124" xfId="0" applyNumberFormat="1" applyFont="1" applyBorder="1" applyAlignment="1">
      <alignment horizontal="center" vertical="center"/>
    </xf>
    <xf numFmtId="3" fontId="114" fillId="30" borderId="125" xfId="0" applyNumberFormat="1" applyFont="1" applyFill="1" applyBorder="1" applyAlignment="1">
      <alignment horizontal="center" vertical="center"/>
    </xf>
    <xf numFmtId="3" fontId="36" fillId="0" borderId="141" xfId="0" applyNumberFormat="1" applyFont="1" applyBorder="1" applyAlignment="1">
      <alignment horizontal="center" vertical="center"/>
    </xf>
    <xf numFmtId="3" fontId="36" fillId="0" borderId="123" xfId="0" applyNumberFormat="1" applyFont="1" applyBorder="1" applyAlignment="1">
      <alignment horizontal="center" vertical="center"/>
    </xf>
    <xf numFmtId="3" fontId="36" fillId="0" borderId="218" xfId="0" applyNumberFormat="1" applyFont="1" applyBorder="1" applyAlignment="1">
      <alignment horizontal="center" vertical="center"/>
    </xf>
    <xf numFmtId="186" fontId="57" fillId="24" borderId="219" xfId="0" applyNumberFormat="1" applyFont="1" applyFill="1" applyBorder="1" applyAlignment="1">
      <alignment horizontal="center" vertical="center"/>
    </xf>
    <xf numFmtId="168" fontId="5" fillId="24" borderId="12" xfId="205" applyNumberFormat="1" applyFont="1" applyFill="1" applyBorder="1" applyAlignment="1">
      <alignment horizontal="center" vertical="center"/>
    </xf>
    <xf numFmtId="186" fontId="57" fillId="24" borderId="94" xfId="0" applyNumberFormat="1" applyFont="1" applyFill="1" applyBorder="1" applyAlignment="1">
      <alignment horizontal="center" vertical="center"/>
    </xf>
    <xf numFmtId="4" fontId="7" fillId="24" borderId="0" xfId="0" applyNumberFormat="1" applyFont="1" applyFill="1" applyAlignment="1">
      <alignment horizontal="center"/>
    </xf>
    <xf numFmtId="0" fontId="118" fillId="0" borderId="0" xfId="196" applyFont="1" applyFill="1" applyBorder="1" applyAlignment="1">
      <alignment horizontal="center" vertical="center" wrapText="1"/>
    </xf>
    <xf numFmtId="9" fontId="5" fillId="24" borderId="0" xfId="205" applyFont="1" applyFill="1" applyBorder="1" applyAlignment="1">
      <alignment horizontal="center"/>
    </xf>
    <xf numFmtId="0" fontId="0" fillId="25" borderId="30" xfId="0" applyFill="1" applyBorder="1"/>
    <xf numFmtId="0" fontId="0" fillId="25" borderId="31" xfId="0" applyFill="1" applyBorder="1"/>
    <xf numFmtId="14" fontId="36" fillId="26" borderId="0" xfId="0" applyNumberFormat="1" applyFont="1" applyFill="1" applyAlignment="1">
      <alignment horizontal="center"/>
    </xf>
    <xf numFmtId="14" fontId="120" fillId="24" borderId="0" xfId="0" applyNumberFormat="1" applyFont="1" applyFill="1" applyBorder="1" applyAlignment="1">
      <alignment horizontal="center"/>
    </xf>
    <xf numFmtId="0" fontId="120" fillId="24" borderId="0" xfId="0" applyFont="1" applyFill="1" applyAlignment="1">
      <alignment horizontal="center"/>
    </xf>
    <xf numFmtId="0" fontId="36" fillId="24" borderId="0" xfId="0" applyFont="1" applyFill="1" applyAlignment="1">
      <alignment horizontal="center"/>
    </xf>
    <xf numFmtId="0" fontId="123" fillId="24" borderId="0" xfId="0" applyFont="1" applyFill="1" applyBorder="1" applyAlignment="1">
      <alignment horizontal="center"/>
    </xf>
    <xf numFmtId="2" fontId="105" fillId="0" borderId="13" xfId="0" applyNumberFormat="1" applyFont="1" applyFill="1" applyBorder="1" applyAlignment="1">
      <alignment horizontal="center"/>
    </xf>
    <xf numFmtId="188" fontId="134" fillId="26" borderId="137" xfId="0" applyNumberFormat="1" applyFont="1" applyFill="1" applyBorder="1" applyAlignment="1">
      <alignment horizontal="center"/>
    </xf>
    <xf numFmtId="169" fontId="4" fillId="25" borderId="18" xfId="0" applyNumberFormat="1" applyFont="1" applyFill="1" applyBorder="1" applyAlignment="1">
      <alignment horizontal="center"/>
    </xf>
    <xf numFmtId="0" fontId="11" fillId="24" borderId="0" xfId="177" applyFont="1" applyFill="1" applyBorder="1" applyAlignment="1">
      <alignment vertical="center" wrapText="1"/>
    </xf>
    <xf numFmtId="0" fontId="65" fillId="25" borderId="17" xfId="0" applyFont="1" applyFill="1" applyBorder="1"/>
    <xf numFmtId="0" fontId="65" fillId="25" borderId="19" xfId="0" applyFont="1" applyFill="1" applyBorder="1"/>
    <xf numFmtId="0" fontId="65" fillId="25" borderId="20" xfId="0" applyFont="1" applyFill="1" applyBorder="1"/>
    <xf numFmtId="0" fontId="36" fillId="0" borderId="81" xfId="0" applyFont="1" applyBorder="1" applyAlignment="1">
      <alignment horizontal="center" vertical="center"/>
    </xf>
    <xf numFmtId="0" fontId="118" fillId="0" borderId="78" xfId="196" applyFont="1" applyFill="1" applyBorder="1" applyAlignment="1">
      <alignment horizontal="center" vertical="center" wrapText="1"/>
    </xf>
    <xf numFmtId="0" fontId="36" fillId="0" borderId="80" xfId="0" applyFont="1" applyBorder="1" applyAlignment="1">
      <alignment horizontal="center" vertical="center"/>
    </xf>
    <xf numFmtId="0" fontId="118" fillId="0" borderId="79" xfId="196" applyFont="1" applyFill="1" applyBorder="1" applyAlignment="1">
      <alignment horizontal="center" vertical="center" wrapText="1"/>
    </xf>
    <xf numFmtId="0" fontId="36" fillId="35" borderId="13" xfId="0" applyFont="1" applyFill="1" applyBorder="1" applyAlignment="1">
      <alignment horizontal="center" vertical="center"/>
    </xf>
    <xf numFmtId="0" fontId="36" fillId="35" borderId="80" xfId="0" applyFont="1" applyFill="1" applyBorder="1" applyAlignment="1">
      <alignment horizontal="center" vertical="center"/>
    </xf>
    <xf numFmtId="0" fontId="36" fillId="35" borderId="79" xfId="0" applyFont="1" applyFill="1" applyBorder="1" applyAlignment="1">
      <alignment horizontal="center" vertical="center"/>
    </xf>
    <xf numFmtId="0" fontId="36" fillId="35" borderId="20" xfId="0" applyFont="1" applyFill="1" applyBorder="1" applyAlignment="1">
      <alignment horizontal="center" vertical="center"/>
    </xf>
    <xf numFmtId="16" fontId="36" fillId="0" borderId="13" xfId="0" applyNumberFormat="1" applyFont="1" applyBorder="1" applyAlignment="1">
      <alignment horizontal="center" vertical="center"/>
    </xf>
    <xf numFmtId="16" fontId="36" fillId="35" borderId="13" xfId="0" applyNumberFormat="1" applyFont="1" applyFill="1" applyBorder="1" applyAlignment="1">
      <alignment horizontal="center" vertical="center"/>
    </xf>
    <xf numFmtId="16" fontId="36" fillId="0" borderId="77" xfId="0" applyNumberFormat="1" applyFont="1" applyBorder="1" applyAlignment="1">
      <alignment horizontal="center" vertical="center"/>
    </xf>
    <xf numFmtId="0" fontId="113" fillId="24" borderId="109" xfId="0" applyFont="1" applyFill="1" applyBorder="1" applyAlignment="1">
      <alignment horizontal="center" vertical="center"/>
    </xf>
    <xf numFmtId="0" fontId="135" fillId="24" borderId="0" xfId="0" applyFont="1" applyFill="1"/>
    <xf numFmtId="0" fontId="118" fillId="30" borderId="178" xfId="195" applyFont="1" applyFill="1" applyBorder="1" applyAlignment="1">
      <alignment horizontal="center" wrapText="1"/>
    </xf>
    <xf numFmtId="0" fontId="118" fillId="30" borderId="179" xfId="195" applyFont="1" applyFill="1" applyBorder="1" applyAlignment="1">
      <alignment horizontal="center" wrapText="1"/>
    </xf>
    <xf numFmtId="0" fontId="118" fillId="30" borderId="4" xfId="195" applyFont="1" applyFill="1" applyBorder="1" applyAlignment="1">
      <alignment horizontal="center" wrapText="1"/>
    </xf>
    <xf numFmtId="0" fontId="118" fillId="30" borderId="180" xfId="195" applyFont="1" applyFill="1" applyBorder="1" applyAlignment="1">
      <alignment horizontal="center" wrapText="1"/>
    </xf>
    <xf numFmtId="0" fontId="118" fillId="30" borderId="181" xfId="195" applyFont="1" applyFill="1" applyBorder="1" applyAlignment="1">
      <alignment horizontal="center" wrapText="1"/>
    </xf>
    <xf numFmtId="0" fontId="118" fillId="30" borderId="182" xfId="195" applyFont="1" applyFill="1" applyBorder="1" applyAlignment="1">
      <alignment horizontal="center" wrapText="1"/>
    </xf>
    <xf numFmtId="4" fontId="125" fillId="30" borderId="135" xfId="195" applyNumberFormat="1" applyFont="1" applyFill="1" applyBorder="1" applyAlignment="1">
      <alignment horizontal="center" wrapText="1"/>
    </xf>
    <xf numFmtId="0" fontId="118" fillId="24" borderId="181" xfId="195" applyFont="1" applyFill="1" applyBorder="1" applyAlignment="1">
      <alignment horizontal="center" wrapText="1"/>
    </xf>
    <xf numFmtId="0" fontId="118" fillId="24" borderId="182" xfId="195" applyFont="1" applyFill="1" applyBorder="1" applyAlignment="1">
      <alignment horizontal="center" wrapText="1"/>
    </xf>
    <xf numFmtId="4" fontId="136" fillId="0" borderId="83" xfId="195" applyNumberFormat="1" applyFont="1" applyFill="1" applyBorder="1" applyAlignment="1">
      <alignment horizontal="center" wrapText="1"/>
    </xf>
    <xf numFmtId="4" fontId="136" fillId="30" borderId="83" xfId="195" applyNumberFormat="1" applyFont="1" applyFill="1" applyBorder="1" applyAlignment="1">
      <alignment horizontal="center" wrapText="1"/>
    </xf>
    <xf numFmtId="4" fontId="136" fillId="24" borderId="83" xfId="195" applyNumberFormat="1" applyFont="1" applyFill="1" applyBorder="1" applyAlignment="1">
      <alignment horizontal="center" wrapText="1"/>
    </xf>
    <xf numFmtId="0" fontId="0" fillId="30" borderId="13" xfId="0" applyFill="1" applyBorder="1"/>
    <xf numFmtId="174" fontId="11" fillId="25" borderId="13" xfId="0" applyNumberFormat="1" applyFont="1" applyFill="1" applyBorder="1" applyAlignment="1">
      <alignment horizontal="center"/>
    </xf>
    <xf numFmtId="2" fontId="5" fillId="24" borderId="13" xfId="0" applyNumberFormat="1" applyFont="1" applyFill="1" applyBorder="1" applyAlignment="1"/>
    <xf numFmtId="0" fontId="0" fillId="0" borderId="13" xfId="0" applyFill="1" applyBorder="1" applyAlignment="1"/>
    <xf numFmtId="0" fontId="0" fillId="0" borderId="18" xfId="0" applyBorder="1" applyAlignment="1"/>
    <xf numFmtId="0" fontId="24" fillId="0" borderId="20" xfId="0" applyFont="1" applyFill="1" applyBorder="1" applyAlignment="1"/>
    <xf numFmtId="14" fontId="36" fillId="24" borderId="0" xfId="0" applyNumberFormat="1" applyFont="1" applyFill="1" applyAlignment="1">
      <alignment horizontal="center"/>
    </xf>
    <xf numFmtId="2" fontId="7" fillId="26" borderId="13" xfId="0" applyNumberFormat="1" applyFont="1" applyFill="1" applyBorder="1" applyAlignment="1"/>
    <xf numFmtId="2" fontId="57" fillId="26" borderId="13" xfId="0" applyNumberFormat="1" applyFont="1" applyFill="1" applyBorder="1" applyAlignment="1">
      <alignment horizontal="center"/>
    </xf>
    <xf numFmtId="2" fontId="57" fillId="24" borderId="13" xfId="0" applyNumberFormat="1" applyFont="1" applyFill="1" applyBorder="1" applyAlignment="1">
      <alignment horizontal="center"/>
    </xf>
    <xf numFmtId="2" fontId="57" fillId="26" borderId="13" xfId="0" applyNumberFormat="1" applyFont="1" applyFill="1" applyBorder="1" applyAlignment="1"/>
    <xf numFmtId="0" fontId="24" fillId="0" borderId="132" xfId="0" applyFont="1" applyBorder="1" applyAlignment="1">
      <alignment horizontal="center"/>
    </xf>
    <xf numFmtId="0" fontId="113" fillId="0" borderId="31" xfId="0" applyFont="1" applyBorder="1" applyAlignment="1">
      <alignment horizontal="center"/>
    </xf>
    <xf numFmtId="174" fontId="5" fillId="0" borderId="13" xfId="0" applyNumberFormat="1" applyFont="1" applyBorder="1" applyAlignment="1"/>
    <xf numFmtId="174" fontId="107" fillId="0" borderId="13" xfId="0" applyNumberFormat="1" applyFont="1" applyFill="1" applyBorder="1" applyAlignment="1">
      <alignment horizontal="center"/>
    </xf>
    <xf numFmtId="0" fontId="126" fillId="30" borderId="220" xfId="0" applyFont="1" applyFill="1" applyBorder="1"/>
    <xf numFmtId="0" fontId="112" fillId="24" borderId="31" xfId="0" applyFont="1" applyFill="1" applyBorder="1" applyAlignment="1">
      <alignment horizontal="center"/>
    </xf>
    <xf numFmtId="0" fontId="113" fillId="0" borderId="101" xfId="0" applyFont="1" applyBorder="1"/>
    <xf numFmtId="0" fontId="120" fillId="24" borderId="77" xfId="0" applyFont="1" applyFill="1" applyBorder="1" applyAlignment="1">
      <alignment horizontal="center"/>
    </xf>
    <xf numFmtId="0" fontId="120" fillId="24" borderId="13" xfId="0" applyFont="1" applyFill="1" applyBorder="1" applyAlignment="1">
      <alignment horizontal="center"/>
    </xf>
    <xf numFmtId="0" fontId="120" fillId="24" borderId="102" xfId="0" applyFont="1" applyFill="1" applyBorder="1" applyAlignment="1">
      <alignment horizontal="center"/>
    </xf>
    <xf numFmtId="0" fontId="112" fillId="0" borderId="131" xfId="0" applyFont="1" applyBorder="1"/>
    <xf numFmtId="2" fontId="113" fillId="24" borderId="77" xfId="0" applyNumberFormat="1" applyFont="1" applyFill="1" applyBorder="1" applyAlignment="1">
      <alignment horizontal="center"/>
    </xf>
    <xf numFmtId="0" fontId="112" fillId="34" borderId="135" xfId="0" applyFont="1" applyFill="1" applyBorder="1" applyAlignment="1">
      <alignment horizontal="center"/>
    </xf>
    <xf numFmtId="0" fontId="112" fillId="34" borderId="0" xfId="0" applyFont="1" applyFill="1" applyBorder="1" applyAlignment="1">
      <alignment horizontal="center"/>
    </xf>
    <xf numFmtId="9" fontId="137" fillId="0" borderId="13" xfId="205" applyFont="1" applyFill="1" applyBorder="1" applyAlignment="1">
      <alignment horizontal="center"/>
    </xf>
    <xf numFmtId="0" fontId="36" fillId="0" borderId="30" xfId="0" applyFont="1" applyBorder="1" applyAlignment="1">
      <alignment horizontal="center" vertical="center"/>
    </xf>
    <xf numFmtId="186" fontId="57" fillId="24" borderId="21" xfId="0" applyNumberFormat="1" applyFont="1" applyFill="1" applyBorder="1" applyAlignment="1">
      <alignment horizontal="center" vertical="center"/>
    </xf>
    <xf numFmtId="0" fontId="36" fillId="0" borderId="56" xfId="0" applyFont="1" applyBorder="1" applyAlignment="1">
      <alignment horizontal="center" vertical="center"/>
    </xf>
    <xf numFmtId="0" fontId="114" fillId="24" borderId="81" xfId="0" applyFont="1" applyFill="1" applyBorder="1" applyAlignment="1">
      <alignment horizontal="center" vertical="center"/>
    </xf>
    <xf numFmtId="0" fontId="114" fillId="24" borderId="77" xfId="0" applyFont="1" applyFill="1" applyBorder="1" applyAlignment="1">
      <alignment horizontal="center" vertical="center"/>
    </xf>
    <xf numFmtId="0" fontId="114" fillId="24" borderId="140" xfId="0" applyFont="1" applyFill="1" applyBorder="1" applyAlignment="1">
      <alignment horizontal="center" vertical="center"/>
    </xf>
    <xf numFmtId="0" fontId="118" fillId="0" borderId="205" xfId="195" applyFont="1" applyFill="1" applyBorder="1" applyAlignment="1">
      <alignment horizontal="center" wrapText="1"/>
    </xf>
    <xf numFmtId="4" fontId="118" fillId="0" borderId="221" xfId="195" applyNumberFormat="1" applyFont="1" applyFill="1" applyBorder="1" applyAlignment="1">
      <alignment horizontal="center" wrapText="1"/>
    </xf>
    <xf numFmtId="0" fontId="118" fillId="0" borderId="87" xfId="195" applyFont="1" applyFill="1" applyBorder="1" applyAlignment="1">
      <alignment horizontal="center" wrapText="1"/>
    </xf>
    <xf numFmtId="4" fontId="118" fillId="0" borderId="222" xfId="195" applyNumberFormat="1" applyFont="1" applyFill="1" applyBorder="1" applyAlignment="1">
      <alignment horizontal="center" wrapText="1"/>
    </xf>
    <xf numFmtId="0" fontId="118" fillId="0" borderId="222" xfId="195" applyFont="1" applyFill="1" applyBorder="1" applyAlignment="1">
      <alignment horizontal="center" wrapText="1"/>
    </xf>
    <xf numFmtId="4" fontId="118" fillId="0" borderId="223" xfId="195" applyNumberFormat="1" applyFont="1" applyFill="1" applyBorder="1" applyAlignment="1">
      <alignment horizontal="center" wrapText="1"/>
    </xf>
    <xf numFmtId="0" fontId="118" fillId="0" borderId="224" xfId="195" applyFont="1" applyFill="1" applyBorder="1" applyAlignment="1">
      <alignment horizontal="center" wrapText="1"/>
    </xf>
    <xf numFmtId="0" fontId="118" fillId="0" borderId="225" xfId="195" applyFont="1" applyFill="1" applyBorder="1" applyAlignment="1">
      <alignment horizontal="center" wrapText="1"/>
    </xf>
    <xf numFmtId="3" fontId="7" fillId="24" borderId="13" xfId="0" applyNumberFormat="1" applyFont="1" applyFill="1" applyBorder="1" applyAlignment="1">
      <alignment horizontal="center"/>
    </xf>
    <xf numFmtId="181" fontId="36" fillId="26" borderId="0" xfId="0" applyNumberFormat="1" applyFont="1" applyFill="1" applyAlignment="1">
      <alignment horizontal="center"/>
    </xf>
    <xf numFmtId="0" fontId="36" fillId="30" borderId="31" xfId="0" applyFont="1" applyFill="1" applyBorder="1"/>
    <xf numFmtId="174" fontId="0" fillId="24" borderId="57" xfId="0" applyNumberFormat="1" applyFont="1" applyFill="1" applyBorder="1" applyAlignment="1">
      <alignment horizontal="center"/>
    </xf>
    <xf numFmtId="174" fontId="0" fillId="0" borderId="120" xfId="0" applyNumberFormat="1" applyFill="1" applyBorder="1" applyAlignment="1">
      <alignment horizontal="center"/>
    </xf>
    <xf numFmtId="2" fontId="0" fillId="0" borderId="57" xfId="0" applyNumberFormat="1" applyFill="1" applyBorder="1" applyAlignment="1">
      <alignment horizontal="center"/>
    </xf>
    <xf numFmtId="174" fontId="0" fillId="0" borderId="59" xfId="0" applyNumberFormat="1" applyFont="1" applyFill="1" applyBorder="1" applyAlignment="1">
      <alignment horizontal="center"/>
    </xf>
    <xf numFmtId="1" fontId="36" fillId="24" borderId="13" xfId="0" applyNumberFormat="1" applyFont="1" applyFill="1" applyBorder="1" applyAlignment="1">
      <alignment horizontal="center"/>
    </xf>
    <xf numFmtId="1" fontId="36" fillId="0" borderId="13" xfId="0" applyNumberFormat="1" applyFont="1" applyBorder="1" applyAlignment="1">
      <alignment horizontal="right"/>
    </xf>
    <xf numFmtId="1" fontId="36" fillId="0" borderId="13" xfId="0" applyNumberFormat="1" applyFont="1" applyFill="1" applyBorder="1" applyAlignment="1">
      <alignment horizontal="right"/>
    </xf>
    <xf numFmtId="0" fontId="38" fillId="24" borderId="154" xfId="179" applyFont="1" applyFill="1" applyBorder="1" applyAlignment="1">
      <alignment horizontal="center" wrapText="1"/>
    </xf>
    <xf numFmtId="174" fontId="41" fillId="0" borderId="57" xfId="0" applyNumberFormat="1" applyFont="1" applyBorder="1" applyAlignment="1">
      <alignment horizontal="center"/>
    </xf>
    <xf numFmtId="174" fontId="89" fillId="0" borderId="57" xfId="0" applyNumberFormat="1" applyFont="1" applyBorder="1" applyAlignment="1">
      <alignment horizontal="center"/>
    </xf>
    <xf numFmtId="174" fontId="7" fillId="0" borderId="57" xfId="0" applyNumberFormat="1" applyFont="1" applyBorder="1" applyAlignment="1">
      <alignment horizontal="center"/>
    </xf>
    <xf numFmtId="174" fontId="89" fillId="24" borderId="57" xfId="0" applyNumberFormat="1" applyFont="1" applyFill="1" applyBorder="1" applyAlignment="1">
      <alignment horizontal="center"/>
    </xf>
    <xf numFmtId="174" fontId="105" fillId="24" borderId="13" xfId="0" applyNumberFormat="1" applyFont="1" applyFill="1" applyBorder="1" applyAlignment="1">
      <alignment horizontal="center" vertical="center"/>
    </xf>
    <xf numFmtId="16" fontId="5" fillId="24" borderId="13" xfId="0" applyNumberFormat="1" applyFont="1" applyFill="1" applyBorder="1" applyAlignment="1">
      <alignment horizontal="center"/>
    </xf>
    <xf numFmtId="169" fontId="105" fillId="24" borderId="13" xfId="0" applyNumberFormat="1" applyFont="1" applyFill="1" applyBorder="1" applyAlignment="1">
      <alignment horizontal="center" vertical="center"/>
    </xf>
    <xf numFmtId="0" fontId="98" fillId="24" borderId="13" xfId="0" applyFont="1" applyFill="1" applyBorder="1" applyAlignment="1">
      <alignment horizontal="center"/>
    </xf>
    <xf numFmtId="174" fontId="36" fillId="0" borderId="13" xfId="0" applyNumberFormat="1" applyFont="1" applyFill="1" applyBorder="1" applyAlignment="1"/>
    <xf numFmtId="174" fontId="36" fillId="0" borderId="20" xfId="0" applyNumberFormat="1" applyFont="1" applyFill="1" applyBorder="1"/>
    <xf numFmtId="174" fontId="36" fillId="0" borderId="13" xfId="0" applyNumberFormat="1" applyFont="1" applyBorder="1" applyAlignment="1"/>
    <xf numFmtId="174" fontId="36" fillId="0" borderId="13" xfId="0" applyNumberFormat="1" applyFont="1" applyBorder="1" applyAlignment="1">
      <alignment horizontal="right"/>
    </xf>
    <xf numFmtId="0" fontId="36" fillId="0" borderId="13" xfId="0" applyFont="1" applyFill="1" applyBorder="1" applyAlignment="1">
      <alignment horizontal="right"/>
    </xf>
    <xf numFmtId="0" fontId="36" fillId="0" borderId="59" xfId="0" applyFont="1" applyBorder="1"/>
    <xf numFmtId="174" fontId="113" fillId="0" borderId="13" xfId="0" applyNumberFormat="1" applyFont="1" applyBorder="1" applyAlignment="1">
      <alignment horizontal="center"/>
    </xf>
    <xf numFmtId="174" fontId="113" fillId="0" borderId="108" xfId="0" applyNumberFormat="1" applyFont="1" applyBorder="1" applyAlignment="1">
      <alignment horizontal="center"/>
    </xf>
    <xf numFmtId="174" fontId="113" fillId="0" borderId="57" xfId="0" applyNumberFormat="1" applyFont="1" applyFill="1" applyBorder="1" applyAlignment="1">
      <alignment horizontal="center"/>
    </xf>
    <xf numFmtId="174" fontId="36" fillId="0" borderId="113" xfId="0" applyNumberFormat="1" applyFont="1" applyFill="1" applyBorder="1" applyAlignment="1">
      <alignment horizontal="center"/>
    </xf>
    <xf numFmtId="174" fontId="36" fillId="0" borderId="226" xfId="0" applyNumberFormat="1" applyFont="1" applyFill="1" applyBorder="1" applyAlignment="1">
      <alignment horizontal="center"/>
    </xf>
    <xf numFmtId="174" fontId="36" fillId="24" borderId="108" xfId="0" applyNumberFormat="1" applyFont="1" applyFill="1" applyBorder="1" applyAlignment="1">
      <alignment horizontal="center"/>
    </xf>
    <xf numFmtId="174" fontId="36" fillId="24" borderId="57" xfId="0" applyNumberFormat="1" applyFont="1" applyFill="1" applyBorder="1" applyAlignment="1">
      <alignment horizontal="center"/>
    </xf>
    <xf numFmtId="174" fontId="36" fillId="24" borderId="118" xfId="0" applyNumberFormat="1" applyFont="1" applyFill="1" applyBorder="1" applyAlignment="1">
      <alignment horizontal="center"/>
    </xf>
    <xf numFmtId="0" fontId="36" fillId="0" borderId="132" xfId="0" applyFont="1" applyBorder="1" applyAlignment="1">
      <alignment horizontal="center" vertical="center"/>
    </xf>
    <xf numFmtId="0" fontId="36" fillId="0" borderId="101" xfId="0" applyFont="1" applyBorder="1" applyAlignment="1">
      <alignment horizontal="center" vertical="center"/>
    </xf>
    <xf numFmtId="0" fontId="36" fillId="0" borderId="137" xfId="0" applyFont="1" applyBorder="1" applyAlignment="1">
      <alignment horizontal="center" vertical="center"/>
    </xf>
    <xf numFmtId="0" fontId="36" fillId="0" borderId="104" xfId="0" applyFont="1" applyBorder="1" applyAlignment="1">
      <alignment horizontal="center" vertical="center"/>
    </xf>
    <xf numFmtId="16" fontId="36" fillId="0" borderId="18" xfId="0" applyNumberFormat="1" applyFont="1" applyBorder="1" applyAlignment="1">
      <alignment horizontal="center" vertical="center"/>
    </xf>
    <xf numFmtId="0" fontId="118" fillId="0" borderId="130" xfId="196" applyFont="1" applyFill="1" applyBorder="1" applyAlignment="1">
      <alignment horizontal="center" vertical="center" wrapText="1"/>
    </xf>
    <xf numFmtId="0" fontId="36" fillId="0" borderId="136" xfId="0" applyFont="1" applyBorder="1" applyAlignment="1">
      <alignment horizontal="center" vertical="center"/>
    </xf>
    <xf numFmtId="178" fontId="36" fillId="24" borderId="101" xfId="179" applyNumberFormat="1" applyFont="1" applyFill="1" applyBorder="1" applyAlignment="1">
      <alignment horizontal="center" wrapText="1"/>
    </xf>
    <xf numFmtId="178" fontId="36" fillId="24" borderId="131" xfId="179" applyNumberFormat="1" applyFont="1" applyFill="1" applyBorder="1" applyAlignment="1">
      <alignment horizontal="center" wrapText="1"/>
    </xf>
    <xf numFmtId="178" fontId="82" fillId="24" borderId="138" xfId="179" applyNumberFormat="1" applyFont="1" applyFill="1" applyBorder="1" applyAlignment="1">
      <alignment horizontal="center" wrapText="1"/>
    </xf>
    <xf numFmtId="178" fontId="83" fillId="24" borderId="139" xfId="179" applyNumberFormat="1" applyFont="1" applyFill="1" applyBorder="1" applyAlignment="1">
      <alignment horizontal="center" wrapText="1"/>
    </xf>
    <xf numFmtId="178" fontId="116" fillId="24" borderId="87" xfId="187" applyNumberFormat="1" applyFont="1" applyFill="1" applyBorder="1" applyAlignment="1">
      <alignment horizontal="center"/>
    </xf>
    <xf numFmtId="178" fontId="136" fillId="24" borderId="205" xfId="187" applyNumberFormat="1" applyFont="1" applyFill="1" applyBorder="1" applyAlignment="1">
      <alignment horizontal="center"/>
    </xf>
    <xf numFmtId="178" fontId="136" fillId="0" borderId="83" xfId="187" applyNumberFormat="1" applyFont="1" applyBorder="1" applyAlignment="1">
      <alignment horizontal="center"/>
    </xf>
    <xf numFmtId="178" fontId="138" fillId="0" borderId="101" xfId="187" applyNumberFormat="1" applyFont="1" applyBorder="1" applyAlignment="1">
      <alignment horizontal="center"/>
    </xf>
    <xf numFmtId="178" fontId="136" fillId="24" borderId="137" xfId="187" applyNumberFormat="1" applyFont="1" applyFill="1" applyBorder="1" applyAlignment="1">
      <alignment horizontal="center"/>
    </xf>
    <xf numFmtId="178" fontId="116" fillId="0" borderId="87" xfId="187" applyNumberFormat="1" applyFont="1" applyBorder="1" applyAlignment="1">
      <alignment horizontal="center"/>
    </xf>
    <xf numFmtId="178" fontId="138" fillId="0" borderId="87" xfId="187" applyNumberFormat="1" applyFont="1" applyBorder="1" applyAlignment="1">
      <alignment horizontal="center"/>
    </xf>
    <xf numFmtId="178" fontId="24" fillId="0" borderId="87" xfId="0" applyNumberFormat="1" applyFont="1" applyBorder="1" applyAlignment="1">
      <alignment horizontal="center"/>
    </xf>
    <xf numFmtId="181" fontId="106" fillId="0" borderId="101" xfId="0" applyNumberFormat="1" applyFont="1" applyBorder="1" applyAlignment="1">
      <alignment horizontal="center"/>
    </xf>
    <xf numFmtId="169" fontId="5" fillId="24" borderId="10" xfId="0" applyNumberFormat="1" applyFont="1" applyFill="1" applyBorder="1" applyAlignment="1">
      <alignment horizontal="center"/>
    </xf>
    <xf numFmtId="169" fontId="57" fillId="24" borderId="63" xfId="0" applyNumberFormat="1" applyFont="1" applyFill="1" applyBorder="1" applyAlignment="1">
      <alignment horizontal="center"/>
    </xf>
    <xf numFmtId="169" fontId="5" fillId="24" borderId="227" xfId="0" applyNumberFormat="1" applyFont="1" applyFill="1" applyBorder="1" applyAlignment="1">
      <alignment horizontal="center"/>
    </xf>
    <xf numFmtId="169" fontId="5" fillId="24" borderId="15" xfId="0" applyNumberFormat="1" applyFont="1" applyFill="1" applyBorder="1" applyAlignment="1">
      <alignment horizontal="center"/>
    </xf>
    <xf numFmtId="169" fontId="57" fillId="24" borderId="216" xfId="0" applyNumberFormat="1" applyFont="1" applyFill="1" applyBorder="1" applyAlignment="1">
      <alignment horizontal="center"/>
    </xf>
    <xf numFmtId="169" fontId="57" fillId="24" borderId="117" xfId="0" applyNumberFormat="1" applyFont="1" applyFill="1" applyBorder="1" applyAlignment="1">
      <alignment horizontal="center"/>
    </xf>
    <xf numFmtId="169" fontId="5" fillId="24" borderId="12" xfId="0" applyNumberFormat="1" applyFont="1" applyFill="1" applyBorder="1" applyAlignment="1">
      <alignment horizontal="center"/>
    </xf>
    <xf numFmtId="4" fontId="4" fillId="24" borderId="74" xfId="0" applyNumberFormat="1" applyFont="1" applyFill="1" applyBorder="1" applyAlignment="1">
      <alignment horizontal="center"/>
    </xf>
    <xf numFmtId="169" fontId="5" fillId="24" borderId="228" xfId="0" applyNumberFormat="1" applyFont="1" applyFill="1" applyBorder="1" applyAlignment="1">
      <alignment horizontal="center"/>
    </xf>
    <xf numFmtId="4" fontId="24" fillId="24" borderId="74" xfId="151" applyNumberFormat="1" applyFont="1" applyFill="1" applyBorder="1" applyAlignment="1">
      <alignment horizontal="center"/>
    </xf>
    <xf numFmtId="14" fontId="106" fillId="24" borderId="0" xfId="0" applyNumberFormat="1" applyFont="1" applyFill="1" applyBorder="1" applyAlignment="1">
      <alignment horizontal="center"/>
    </xf>
    <xf numFmtId="14" fontId="106" fillId="30" borderId="18" xfId="0" applyNumberFormat="1" applyFont="1" applyFill="1" applyBorder="1" applyAlignment="1">
      <alignment horizontal="center"/>
    </xf>
    <xf numFmtId="0" fontId="48" fillId="0" borderId="0" xfId="0" applyFont="1" applyFill="1" applyBorder="1" applyAlignment="1">
      <alignment horizontal="center"/>
    </xf>
    <xf numFmtId="174" fontId="13" fillId="0" borderId="0" xfId="0" applyNumberFormat="1" applyFont="1" applyBorder="1" applyAlignment="1">
      <alignment horizontal="center"/>
    </xf>
    <xf numFmtId="188" fontId="134" fillId="24" borderId="0" xfId="0" applyNumberFormat="1" applyFont="1" applyFill="1" applyBorder="1" applyAlignment="1">
      <alignment horizontal="center"/>
    </xf>
    <xf numFmtId="174" fontId="4" fillId="36" borderId="13" xfId="0" applyNumberFormat="1" applyFont="1" applyFill="1" applyBorder="1" applyAlignment="1">
      <alignment horizontal="center"/>
    </xf>
    <xf numFmtId="4" fontId="7" fillId="26" borderId="13" xfId="0" applyNumberFormat="1" applyFont="1" applyFill="1" applyBorder="1" applyAlignment="1">
      <alignment horizontal="center"/>
    </xf>
    <xf numFmtId="174" fontId="36" fillId="37" borderId="57" xfId="196" applyNumberFormat="1" applyFont="1" applyFill="1" applyBorder="1" applyAlignment="1">
      <alignment horizontal="center"/>
    </xf>
    <xf numFmtId="0" fontId="48" fillId="26" borderId="87" xfId="177" applyFont="1" applyFill="1" applyBorder="1" applyAlignment="1"/>
    <xf numFmtId="0" fontId="5" fillId="26" borderId="30" xfId="177" applyFont="1" applyFill="1" applyBorder="1" applyAlignment="1"/>
    <xf numFmtId="174" fontId="5" fillId="26" borderId="31" xfId="177" applyNumberFormat="1" applyFont="1" applyFill="1" applyBorder="1" applyAlignment="1"/>
    <xf numFmtId="0" fontId="11" fillId="25" borderId="137" xfId="0" applyFont="1" applyFill="1" applyBorder="1" applyAlignment="1">
      <alignment horizontal="center"/>
    </xf>
    <xf numFmtId="174" fontId="13" fillId="0" borderId="31" xfId="0" applyNumberFormat="1" applyFont="1" applyBorder="1" applyAlignment="1">
      <alignment horizontal="center"/>
    </xf>
    <xf numFmtId="174" fontId="5" fillId="0" borderId="13" xfId="177" applyNumberFormat="1" applyFont="1" applyBorder="1" applyAlignment="1">
      <alignment horizontal="right"/>
    </xf>
    <xf numFmtId="0" fontId="38" fillId="24" borderId="229" xfId="0" applyFont="1" applyFill="1" applyBorder="1" applyAlignment="1">
      <alignment horizontal="center"/>
    </xf>
    <xf numFmtId="0" fontId="38" fillId="24" borderId="230" xfId="0" applyFont="1" applyFill="1" applyBorder="1" applyAlignment="1">
      <alignment horizontal="center" wrapText="1"/>
    </xf>
    <xf numFmtId="0" fontId="78" fillId="26" borderId="20" xfId="0" applyFont="1" applyFill="1" applyBorder="1"/>
    <xf numFmtId="0" fontId="78" fillId="30" borderId="20" xfId="0" applyFont="1" applyFill="1" applyBorder="1"/>
    <xf numFmtId="0" fontId="78" fillId="31" borderId="20" xfId="0" applyFont="1" applyFill="1" applyBorder="1"/>
    <xf numFmtId="0" fontId="38" fillId="32" borderId="231" xfId="0" applyFont="1" applyFill="1" applyBorder="1" applyAlignment="1">
      <alignment horizontal="center" wrapText="1"/>
    </xf>
    <xf numFmtId="0" fontId="139" fillId="24" borderId="231" xfId="0" applyFont="1" applyFill="1" applyBorder="1" applyAlignment="1">
      <alignment horizontal="center" wrapText="1"/>
    </xf>
    <xf numFmtId="174" fontId="38" fillId="24" borderId="232" xfId="0" applyNumberFormat="1" applyFont="1" applyFill="1" applyBorder="1" applyAlignment="1">
      <alignment horizontal="center"/>
    </xf>
    <xf numFmtId="1" fontId="38" fillId="24" borderId="145" xfId="0" applyNumberFormat="1" applyFont="1" applyFill="1" applyBorder="1" applyAlignment="1">
      <alignment horizontal="center" wrapText="1"/>
    </xf>
    <xf numFmtId="10" fontId="120" fillId="0" borderId="87" xfId="0" applyNumberFormat="1" applyFont="1" applyBorder="1" applyAlignment="1">
      <alignment horizontal="center"/>
    </xf>
    <xf numFmtId="14" fontId="120" fillId="26" borderId="0" xfId="0" applyNumberFormat="1" applyFont="1" applyFill="1" applyAlignment="1">
      <alignment horizontal="center"/>
    </xf>
    <xf numFmtId="4" fontId="5" fillId="0" borderId="14" xfId="205" applyNumberFormat="1" applyFont="1" applyFill="1" applyBorder="1" applyAlignment="1">
      <alignment horizontal="center" vertical="center"/>
    </xf>
    <xf numFmtId="0" fontId="0" fillId="0" borderId="17" xfId="0" applyBorder="1" applyAlignment="1">
      <alignment horizontal="center"/>
    </xf>
    <xf numFmtId="0" fontId="0" fillId="0" borderId="105" xfId="0" applyBorder="1" applyAlignment="1">
      <alignment horizontal="center"/>
    </xf>
    <xf numFmtId="0" fontId="38" fillId="25" borderId="18" xfId="0" applyFont="1" applyFill="1" applyBorder="1" applyAlignment="1">
      <alignment horizontal="center" wrapText="1"/>
    </xf>
    <xf numFmtId="2" fontId="0" fillId="24" borderId="19" xfId="0" applyNumberFormat="1" applyFill="1" applyBorder="1" applyAlignment="1">
      <alignment horizontal="center"/>
    </xf>
    <xf numFmtId="2" fontId="0" fillId="24" borderId="127" xfId="0" applyNumberFormat="1" applyFill="1" applyBorder="1" applyAlignment="1">
      <alignment horizontal="center"/>
    </xf>
    <xf numFmtId="0" fontId="36" fillId="24" borderId="60" xfId="0" applyFont="1" applyFill="1" applyBorder="1" applyAlignment="1">
      <alignment horizontal="center" wrapText="1"/>
    </xf>
    <xf numFmtId="3" fontId="7" fillId="26" borderId="0" xfId="0" applyNumberFormat="1" applyFont="1" applyFill="1" applyAlignment="1">
      <alignment horizontal="center" vertical="center"/>
    </xf>
    <xf numFmtId="4" fontId="7" fillId="26" borderId="0" xfId="0" applyNumberFormat="1" applyFont="1" applyFill="1" applyAlignment="1">
      <alignment horizontal="center"/>
    </xf>
    <xf numFmtId="0" fontId="11" fillId="24" borderId="13" xfId="0" applyFont="1" applyFill="1" applyBorder="1" applyAlignment="1">
      <alignment horizontal="center" wrapText="1"/>
    </xf>
    <xf numFmtId="174" fontId="7" fillId="24" borderId="13" xfId="0" applyNumberFormat="1" applyFont="1" applyFill="1" applyBorder="1" applyAlignment="1">
      <alignment horizontal="center" vertical="center"/>
    </xf>
    <xf numFmtId="181" fontId="7" fillId="24" borderId="13" xfId="0" applyNumberFormat="1" applyFont="1" applyFill="1" applyBorder="1" applyAlignment="1">
      <alignment horizontal="center" vertical="center"/>
    </xf>
    <xf numFmtId="0" fontId="11" fillId="24" borderId="13" xfId="0" applyFont="1" applyFill="1" applyBorder="1" applyAlignment="1">
      <alignment horizontal="center"/>
    </xf>
    <xf numFmtId="166" fontId="11" fillId="32" borderId="13" xfId="0" applyNumberFormat="1" applyFont="1" applyFill="1" applyBorder="1" applyAlignment="1">
      <alignment horizontal="center" vertical="center"/>
    </xf>
    <xf numFmtId="181" fontId="11" fillId="32" borderId="13" xfId="0" applyNumberFormat="1" applyFont="1" applyFill="1" applyBorder="1" applyAlignment="1">
      <alignment horizontal="center" vertical="center"/>
    </xf>
    <xf numFmtId="2" fontId="7" fillId="26" borderId="13" xfId="0" applyNumberFormat="1" applyFont="1" applyFill="1" applyBorder="1" applyAlignment="1">
      <alignment horizontal="right"/>
    </xf>
    <xf numFmtId="177" fontId="11" fillId="32" borderId="13" xfId="0" applyNumberFormat="1" applyFont="1" applyFill="1" applyBorder="1" applyAlignment="1">
      <alignment horizontal="center" vertical="center"/>
    </xf>
    <xf numFmtId="0" fontId="7" fillId="0" borderId="13" xfId="0" applyFont="1" applyBorder="1"/>
    <xf numFmtId="0" fontId="7" fillId="32" borderId="13" xfId="0" applyFont="1" applyFill="1" applyBorder="1" applyAlignment="1">
      <alignment horizontal="center"/>
    </xf>
    <xf numFmtId="174" fontId="36" fillId="0" borderId="57" xfId="0" applyNumberFormat="1" applyFont="1" applyBorder="1" applyAlignment="1">
      <alignment horizontal="center"/>
    </xf>
    <xf numFmtId="174" fontId="36" fillId="0" borderId="233" xfId="0" applyNumberFormat="1" applyFont="1" applyFill="1" applyBorder="1" applyAlignment="1">
      <alignment horizontal="center"/>
    </xf>
    <xf numFmtId="174" fontId="36" fillId="0" borderId="119" xfId="0" applyNumberFormat="1" applyFont="1" applyBorder="1" applyAlignment="1">
      <alignment horizontal="center"/>
    </xf>
    <xf numFmtId="174" fontId="36" fillId="0" borderId="119" xfId="0" applyNumberFormat="1" applyFont="1" applyFill="1" applyBorder="1" applyAlignment="1">
      <alignment horizontal="center"/>
    </xf>
    <xf numFmtId="2" fontId="7" fillId="26" borderId="13" xfId="0" applyNumberFormat="1" applyFont="1" applyFill="1" applyBorder="1"/>
    <xf numFmtId="0" fontId="5" fillId="0" borderId="17" xfId="0" applyFont="1" applyBorder="1" applyAlignment="1">
      <alignment horizontal="center"/>
    </xf>
    <xf numFmtId="0" fontId="5" fillId="0" borderId="20" xfId="0" applyFont="1" applyFill="1" applyBorder="1" applyAlignment="1">
      <alignment horizontal="center"/>
    </xf>
    <xf numFmtId="178" fontId="5" fillId="26" borderId="21" xfId="0" applyNumberFormat="1" applyFont="1" applyFill="1" applyBorder="1" applyAlignment="1">
      <alignment horizontal="center"/>
    </xf>
    <xf numFmtId="2" fontId="38" fillId="24" borderId="234" xfId="0" applyNumberFormat="1" applyFont="1" applyFill="1" applyBorder="1" applyAlignment="1">
      <alignment horizontal="center"/>
    </xf>
    <xf numFmtId="2" fontId="140" fillId="24" borderId="137" xfId="0" applyNumberFormat="1" applyFont="1" applyFill="1" applyBorder="1" applyAlignment="1">
      <alignment horizontal="center"/>
    </xf>
    <xf numFmtId="0" fontId="104" fillId="0" borderId="0" xfId="0" applyFont="1"/>
    <xf numFmtId="180" fontId="108" fillId="24" borderId="27" xfId="0" applyNumberFormat="1" applyFont="1" applyFill="1" applyBorder="1" applyAlignment="1">
      <alignment horizontal="center"/>
    </xf>
    <xf numFmtId="0" fontId="118" fillId="30" borderId="132" xfId="195" applyFont="1" applyFill="1" applyBorder="1" applyAlignment="1">
      <alignment horizontal="center" wrapText="1"/>
    </xf>
    <xf numFmtId="4" fontId="118" fillId="30" borderId="132" xfId="195" applyNumberFormat="1" applyFont="1" applyFill="1" applyBorder="1" applyAlignment="1">
      <alignment horizontal="center" wrapText="1"/>
    </xf>
    <xf numFmtId="0" fontId="118" fillId="30" borderId="136" xfId="195" applyFont="1" applyFill="1" applyBorder="1" applyAlignment="1">
      <alignment horizontal="center" wrapText="1"/>
    </xf>
    <xf numFmtId="4" fontId="118" fillId="30" borderId="136" xfId="195" applyNumberFormat="1" applyFont="1" applyFill="1" applyBorder="1" applyAlignment="1">
      <alignment horizontal="center" wrapText="1"/>
    </xf>
    <xf numFmtId="4" fontId="118" fillId="30" borderId="131" xfId="195" applyNumberFormat="1" applyFont="1" applyFill="1" applyBorder="1" applyAlignment="1">
      <alignment horizontal="center" wrapText="1"/>
    </xf>
    <xf numFmtId="4" fontId="118" fillId="30" borderId="128" xfId="195" applyNumberFormat="1" applyFont="1" applyFill="1" applyBorder="1" applyAlignment="1">
      <alignment horizontal="center" wrapText="1"/>
    </xf>
    <xf numFmtId="0" fontId="118" fillId="0" borderId="56" xfId="195" applyFont="1" applyFill="1" applyBorder="1" applyAlignment="1">
      <alignment horizontal="center" vertical="center" wrapText="1"/>
    </xf>
    <xf numFmtId="0" fontId="118" fillId="30" borderId="101" xfId="195" applyFont="1" applyFill="1" applyBorder="1" applyAlignment="1">
      <alignment horizontal="center" wrapText="1"/>
    </xf>
    <xf numFmtId="0" fontId="118" fillId="30" borderId="205" xfId="195" applyFont="1" applyFill="1" applyBorder="1" applyAlignment="1">
      <alignment horizontal="center" wrapText="1"/>
    </xf>
    <xf numFmtId="0" fontId="118" fillId="30" borderId="137" xfId="195" applyFont="1" applyFill="1" applyBorder="1" applyAlignment="1">
      <alignment horizontal="center" wrapText="1"/>
    </xf>
    <xf numFmtId="0" fontId="130" fillId="0" borderId="173" xfId="195" applyFont="1" applyFill="1" applyBorder="1" applyAlignment="1">
      <alignment horizontal="center" wrapText="1"/>
    </xf>
    <xf numFmtId="174" fontId="130" fillId="0" borderId="175" xfId="195" applyNumberFormat="1" applyFont="1" applyFill="1" applyBorder="1" applyAlignment="1">
      <alignment horizontal="center" wrapText="1"/>
    </xf>
    <xf numFmtId="0" fontId="130" fillId="0" borderId="179" xfId="195" applyFont="1" applyFill="1" applyBorder="1" applyAlignment="1">
      <alignment horizontal="center" wrapText="1"/>
    </xf>
    <xf numFmtId="174" fontId="130" fillId="0" borderId="180" xfId="195" applyNumberFormat="1" applyFont="1" applyFill="1" applyBorder="1" applyAlignment="1">
      <alignment horizontal="center" wrapText="1"/>
    </xf>
    <xf numFmtId="0" fontId="130" fillId="0" borderId="184" xfId="195" applyFont="1" applyFill="1" applyBorder="1" applyAlignment="1">
      <alignment horizontal="center" wrapText="1"/>
    </xf>
    <xf numFmtId="174" fontId="130" fillId="0" borderId="186" xfId="195" applyNumberFormat="1" applyFont="1" applyFill="1" applyBorder="1" applyAlignment="1">
      <alignment horizontal="center" wrapText="1"/>
    </xf>
    <xf numFmtId="0" fontId="130" fillId="0" borderId="190" xfId="195" applyFont="1" applyFill="1" applyBorder="1" applyAlignment="1">
      <alignment horizontal="center" wrapText="1"/>
    </xf>
    <xf numFmtId="174" fontId="130" fillId="0" borderId="192" xfId="195" applyNumberFormat="1" applyFont="1" applyFill="1" applyBorder="1" applyAlignment="1">
      <alignment horizontal="center" wrapText="1"/>
    </xf>
    <xf numFmtId="0" fontId="130" fillId="35" borderId="179" xfId="195" applyFont="1" applyFill="1" applyBorder="1" applyAlignment="1">
      <alignment horizontal="center" wrapText="1"/>
    </xf>
    <xf numFmtId="174" fontId="130" fillId="35" borderId="180" xfId="195" applyNumberFormat="1" applyFont="1" applyFill="1" applyBorder="1" applyAlignment="1">
      <alignment horizontal="center" wrapText="1"/>
    </xf>
    <xf numFmtId="0" fontId="130" fillId="0" borderId="196" xfId="195" applyFont="1" applyFill="1" applyBorder="1" applyAlignment="1">
      <alignment horizontal="center" wrapText="1"/>
    </xf>
    <xf numFmtId="174" fontId="130" fillId="0" borderId="198" xfId="195" applyNumberFormat="1" applyFont="1" applyFill="1" applyBorder="1" applyAlignment="1">
      <alignment horizontal="center" wrapText="1"/>
    </xf>
    <xf numFmtId="0" fontId="130" fillId="0" borderId="175" xfId="195" applyFont="1" applyFill="1" applyBorder="1" applyAlignment="1">
      <alignment horizontal="center" wrapText="1"/>
    </xf>
    <xf numFmtId="0" fontId="130" fillId="0" borderId="180" xfId="195" applyFont="1" applyFill="1" applyBorder="1" applyAlignment="1">
      <alignment horizontal="center" wrapText="1"/>
    </xf>
    <xf numFmtId="0" fontId="130" fillId="0" borderId="186" xfId="195" applyFont="1" applyFill="1" applyBorder="1" applyAlignment="1">
      <alignment horizontal="center" wrapText="1"/>
    </xf>
    <xf numFmtId="0" fontId="130" fillId="0" borderId="192" xfId="195" applyFont="1" applyFill="1" applyBorder="1" applyAlignment="1">
      <alignment horizontal="center" wrapText="1"/>
    </xf>
    <xf numFmtId="0" fontId="130" fillId="30" borderId="179" xfId="195" applyFont="1" applyFill="1" applyBorder="1" applyAlignment="1">
      <alignment horizontal="center" wrapText="1"/>
    </xf>
    <xf numFmtId="174" fontId="130" fillId="30" borderId="180" xfId="195" applyNumberFormat="1" applyFont="1" applyFill="1" applyBorder="1" applyAlignment="1">
      <alignment horizontal="center" wrapText="1"/>
    </xf>
    <xf numFmtId="0" fontId="130" fillId="24" borderId="179" xfId="195" applyFont="1" applyFill="1" applyBorder="1" applyAlignment="1">
      <alignment horizontal="center" wrapText="1"/>
    </xf>
    <xf numFmtId="174" fontId="130" fillId="24" borderId="180" xfId="195" applyNumberFormat="1" applyFont="1" applyFill="1" applyBorder="1" applyAlignment="1">
      <alignment horizontal="center" wrapText="1"/>
    </xf>
    <xf numFmtId="0" fontId="130" fillId="31" borderId="179" xfId="195" applyFont="1" applyFill="1" applyBorder="1" applyAlignment="1">
      <alignment horizontal="center" wrapText="1"/>
    </xf>
    <xf numFmtId="0" fontId="130" fillId="31" borderId="180" xfId="195" applyFont="1" applyFill="1" applyBorder="1" applyAlignment="1">
      <alignment horizontal="center" wrapText="1"/>
    </xf>
    <xf numFmtId="0" fontId="130" fillId="26" borderId="179" xfId="195" applyFont="1" applyFill="1" applyBorder="1" applyAlignment="1">
      <alignment horizontal="center" wrapText="1"/>
    </xf>
    <xf numFmtId="0" fontId="130" fillId="26" borderId="180" xfId="195" applyFont="1" applyFill="1" applyBorder="1" applyAlignment="1">
      <alignment horizontal="center" wrapText="1"/>
    </xf>
    <xf numFmtId="0" fontId="130" fillId="30" borderId="180" xfId="195" applyFont="1" applyFill="1" applyBorder="1" applyAlignment="1">
      <alignment horizontal="center" wrapText="1"/>
    </xf>
    <xf numFmtId="0" fontId="130" fillId="0" borderId="235" xfId="195" applyFont="1" applyFill="1" applyBorder="1" applyAlignment="1">
      <alignment horizontal="center" wrapText="1"/>
    </xf>
    <xf numFmtId="0" fontId="130" fillId="0" borderId="236" xfId="195" applyFont="1" applyFill="1" applyBorder="1" applyAlignment="1">
      <alignment horizontal="center" wrapText="1"/>
    </xf>
    <xf numFmtId="0" fontId="130" fillId="0" borderId="223" xfId="195" applyFont="1" applyFill="1" applyBorder="1" applyAlignment="1">
      <alignment horizontal="center" wrapText="1"/>
    </xf>
    <xf numFmtId="0" fontId="130" fillId="0" borderId="237" xfId="195" applyFont="1" applyFill="1" applyBorder="1" applyAlignment="1">
      <alignment horizontal="center" wrapText="1"/>
    </xf>
    <xf numFmtId="0" fontId="130" fillId="0" borderId="238" xfId="195" applyFont="1" applyFill="1" applyBorder="1" applyAlignment="1">
      <alignment horizontal="center" wrapText="1"/>
    </xf>
    <xf numFmtId="0" fontId="130" fillId="0" borderId="239" xfId="195" applyFont="1" applyFill="1" applyBorder="1" applyAlignment="1">
      <alignment horizontal="center" wrapText="1"/>
    </xf>
    <xf numFmtId="0" fontId="130" fillId="0" borderId="240" xfId="195" applyFont="1" applyFill="1" applyBorder="1" applyAlignment="1">
      <alignment horizontal="center" wrapText="1"/>
    </xf>
    <xf numFmtId="0" fontId="130" fillId="0" borderId="241" xfId="195" applyFont="1" applyFill="1" applyBorder="1" applyAlignment="1">
      <alignment horizontal="center" wrapText="1"/>
    </xf>
    <xf numFmtId="0" fontId="130" fillId="0" borderId="221" xfId="195" applyFont="1" applyFill="1" applyBorder="1" applyAlignment="1">
      <alignment horizontal="center" wrapText="1"/>
    </xf>
    <xf numFmtId="0" fontId="130" fillId="0" borderId="235" xfId="195" applyFont="1" applyFill="1" applyBorder="1" applyAlignment="1">
      <alignment horizontal="center" vertical="center" wrapText="1"/>
    </xf>
    <xf numFmtId="0" fontId="130" fillId="0" borderId="236" xfId="195" applyFont="1" applyFill="1" applyBorder="1" applyAlignment="1">
      <alignment horizontal="center" vertical="center" wrapText="1"/>
    </xf>
    <xf numFmtId="0" fontId="130" fillId="30" borderId="131" xfId="195" applyFont="1" applyFill="1" applyBorder="1" applyAlignment="1">
      <alignment horizontal="center" vertical="center" wrapText="1"/>
    </xf>
    <xf numFmtId="0" fontId="130" fillId="30" borderId="121" xfId="195" applyFont="1" applyFill="1" applyBorder="1" applyAlignment="1">
      <alignment horizontal="center" vertical="center" wrapText="1"/>
    </xf>
    <xf numFmtId="0" fontId="130" fillId="30" borderId="83" xfId="195" applyFont="1" applyFill="1" applyBorder="1" applyAlignment="1">
      <alignment horizontal="center" vertical="center" wrapText="1"/>
    </xf>
    <xf numFmtId="0" fontId="130" fillId="30" borderId="0" xfId="195" applyFont="1" applyFill="1" applyBorder="1" applyAlignment="1">
      <alignment horizontal="center" vertical="center" wrapText="1"/>
    </xf>
    <xf numFmtId="0" fontId="130" fillId="30" borderId="128" xfId="195" applyFont="1" applyFill="1" applyBorder="1" applyAlignment="1">
      <alignment horizontal="center" vertical="center" wrapText="1"/>
    </xf>
    <xf numFmtId="0" fontId="130" fillId="30" borderId="145" xfId="195" applyFont="1" applyFill="1" applyBorder="1" applyAlignment="1">
      <alignment horizontal="center" vertical="center" wrapText="1"/>
    </xf>
    <xf numFmtId="184" fontId="7" fillId="24" borderId="13" xfId="157" applyNumberFormat="1" applyFont="1" applyFill="1" applyBorder="1" applyAlignment="1">
      <alignment horizontal="center" vertical="center"/>
    </xf>
    <xf numFmtId="184" fontId="38" fillId="24" borderId="13" xfId="157" applyNumberFormat="1" applyFont="1" applyFill="1" applyBorder="1" applyAlignment="1">
      <alignment horizontal="center" vertical="center"/>
    </xf>
    <xf numFmtId="184" fontId="38" fillId="30" borderId="13" xfId="157" applyNumberFormat="1" applyFont="1" applyFill="1" applyBorder="1" applyAlignment="1">
      <alignment horizontal="center" vertical="center"/>
    </xf>
    <xf numFmtId="184" fontId="38" fillId="30" borderId="13" xfId="157" applyNumberFormat="1" applyFont="1" applyFill="1" applyBorder="1" applyAlignment="1">
      <alignment horizontal="center"/>
    </xf>
    <xf numFmtId="184" fontId="11" fillId="32" borderId="13" xfId="157" applyNumberFormat="1" applyFont="1" applyFill="1" applyBorder="1" applyAlignment="1">
      <alignment horizontal="center" vertical="center"/>
    </xf>
    <xf numFmtId="184" fontId="11" fillId="31" borderId="13" xfId="157" applyNumberFormat="1" applyFont="1" applyFill="1" applyBorder="1" applyAlignment="1">
      <alignment horizontal="center" vertical="center"/>
    </xf>
    <xf numFmtId="1" fontId="0" fillId="0" borderId="13" xfId="0" applyNumberFormat="1" applyBorder="1" applyAlignment="1"/>
    <xf numFmtId="1" fontId="24" fillId="0" borderId="13" xfId="0" applyNumberFormat="1" applyFont="1" applyFill="1" applyBorder="1" applyAlignment="1"/>
    <xf numFmtId="1" fontId="0" fillId="0" borderId="13" xfId="0" applyNumberFormat="1" applyFill="1" applyBorder="1" applyAlignment="1"/>
    <xf numFmtId="1" fontId="24" fillId="0" borderId="13" xfId="0" applyNumberFormat="1" applyFont="1" applyBorder="1" applyAlignment="1"/>
    <xf numFmtId="2" fontId="38" fillId="24" borderId="242" xfId="0" applyNumberFormat="1" applyFont="1" applyFill="1" applyBorder="1" applyAlignment="1">
      <alignment horizontal="center" wrapText="1"/>
    </xf>
    <xf numFmtId="168" fontId="5" fillId="24" borderId="12" xfId="0" applyNumberFormat="1" applyFont="1" applyFill="1" applyBorder="1" applyAlignment="1">
      <alignment horizontal="center" vertical="center"/>
    </xf>
    <xf numFmtId="2" fontId="73" fillId="24" borderId="13" xfId="157" applyNumberFormat="1" applyFont="1" applyFill="1" applyBorder="1" applyAlignment="1">
      <alignment horizontal="right"/>
    </xf>
    <xf numFmtId="2" fontId="73" fillId="24" borderId="13" xfId="0" applyNumberFormat="1" applyFont="1" applyFill="1" applyBorder="1" applyAlignment="1">
      <alignment horizontal="right"/>
    </xf>
    <xf numFmtId="2" fontId="140" fillId="24" borderId="101" xfId="0" applyNumberFormat="1" applyFont="1" applyFill="1" applyBorder="1" applyAlignment="1">
      <alignment horizontal="center" wrapText="1"/>
    </xf>
    <xf numFmtId="2" fontId="140" fillId="24" borderId="205" xfId="0" applyNumberFormat="1" applyFont="1" applyFill="1" applyBorder="1" applyAlignment="1">
      <alignment horizontal="center"/>
    </xf>
    <xf numFmtId="2" fontId="38" fillId="0" borderId="243" xfId="0" applyNumberFormat="1" applyFont="1" applyBorder="1" applyAlignment="1">
      <alignment horizontal="center"/>
    </xf>
    <xf numFmtId="169" fontId="36" fillId="0" borderId="13" xfId="0" applyNumberFormat="1" applyFont="1" applyBorder="1" applyAlignment="1">
      <alignment horizontal="center"/>
    </xf>
    <xf numFmtId="174" fontId="56" fillId="24" borderId="13" xfId="0" applyNumberFormat="1" applyFont="1" applyFill="1" applyBorder="1" applyAlignment="1">
      <alignment horizontal="center"/>
    </xf>
    <xf numFmtId="0" fontId="55" fillId="0" borderId="13" xfId="0" applyFont="1" applyFill="1" applyBorder="1" applyAlignment="1">
      <alignment horizontal="center"/>
    </xf>
    <xf numFmtId="174" fontId="90" fillId="0" borderId="20" xfId="0" applyNumberFormat="1" applyFont="1" applyBorder="1" applyAlignment="1">
      <alignment horizontal="center"/>
    </xf>
    <xf numFmtId="174" fontId="90" fillId="0" borderId="13" xfId="0" applyNumberFormat="1" applyFont="1" applyFill="1" applyBorder="1" applyAlignment="1">
      <alignment horizontal="center"/>
    </xf>
    <xf numFmtId="174" fontId="55" fillId="0" borderId="20" xfId="0" applyNumberFormat="1" applyFont="1" applyBorder="1" applyAlignment="1">
      <alignment horizontal="center"/>
    </xf>
    <xf numFmtId="174" fontId="55" fillId="0" borderId="13" xfId="0" applyNumberFormat="1" applyFont="1" applyFill="1" applyBorder="1" applyAlignment="1">
      <alignment horizontal="center"/>
    </xf>
    <xf numFmtId="174" fontId="55" fillId="0" borderId="17" xfId="0" applyNumberFormat="1" applyFont="1" applyFill="1" applyBorder="1" applyAlignment="1">
      <alignment horizontal="center"/>
    </xf>
    <xf numFmtId="174" fontId="90" fillId="0" borderId="17" xfId="0" applyNumberFormat="1" applyFont="1" applyFill="1" applyBorder="1" applyAlignment="1">
      <alignment horizontal="center"/>
    </xf>
    <xf numFmtId="174" fontId="90" fillId="24" borderId="20" xfId="0" applyNumberFormat="1" applyFont="1" applyFill="1" applyBorder="1" applyAlignment="1">
      <alignment horizontal="center"/>
    </xf>
    <xf numFmtId="174" fontId="90" fillId="24" borderId="13" xfId="0" applyNumberFormat="1" applyFont="1" applyFill="1" applyBorder="1" applyAlignment="1">
      <alignment horizontal="center"/>
    </xf>
    <xf numFmtId="174" fontId="90" fillId="24" borderId="17" xfId="0" applyNumberFormat="1" applyFont="1" applyFill="1" applyBorder="1" applyAlignment="1">
      <alignment horizontal="center"/>
    </xf>
    <xf numFmtId="2" fontId="55" fillId="0" borderId="13" xfId="0" applyNumberFormat="1" applyFont="1" applyFill="1" applyBorder="1" applyAlignment="1">
      <alignment horizontal="center"/>
    </xf>
    <xf numFmtId="2" fontId="5" fillId="24" borderId="13" xfId="0" applyNumberFormat="1" applyFont="1" applyFill="1" applyBorder="1" applyAlignment="1">
      <alignment horizontal="center" vertical="center"/>
    </xf>
    <xf numFmtId="174" fontId="90" fillId="24" borderId="20" xfId="0" applyNumberFormat="1" applyFont="1" applyFill="1" applyBorder="1" applyAlignment="1">
      <alignment horizontal="center" vertical="center"/>
    </xf>
    <xf numFmtId="174" fontId="90" fillId="24" borderId="13" xfId="0" applyNumberFormat="1" applyFont="1" applyFill="1" applyBorder="1" applyAlignment="1">
      <alignment horizontal="center" vertical="center"/>
    </xf>
    <xf numFmtId="174" fontId="90" fillId="24" borderId="17" xfId="0" applyNumberFormat="1" applyFont="1" applyFill="1" applyBorder="1" applyAlignment="1">
      <alignment horizontal="center" vertical="center"/>
    </xf>
    <xf numFmtId="174" fontId="36" fillId="24" borderId="244" xfId="0" applyNumberFormat="1" applyFont="1" applyFill="1" applyBorder="1" applyAlignment="1">
      <alignment horizontal="center"/>
    </xf>
    <xf numFmtId="174" fontId="36" fillId="24" borderId="59" xfId="0" applyNumberFormat="1" applyFont="1" applyFill="1" applyBorder="1" applyAlignment="1">
      <alignment horizontal="center"/>
    </xf>
    <xf numFmtId="174" fontId="36" fillId="24" borderId="245" xfId="0" applyNumberFormat="1" applyFont="1" applyFill="1" applyBorder="1" applyAlignment="1">
      <alignment horizontal="center"/>
    </xf>
    <xf numFmtId="174" fontId="56" fillId="24" borderId="246" xfId="0" applyNumberFormat="1" applyFont="1" applyFill="1" applyBorder="1" applyAlignment="1">
      <alignment horizontal="center"/>
    </xf>
    <xf numFmtId="174" fontId="56" fillId="24" borderId="58" xfId="0" applyNumberFormat="1" applyFont="1" applyFill="1" applyBorder="1" applyAlignment="1">
      <alignment horizontal="center"/>
    </xf>
    <xf numFmtId="174" fontId="56" fillId="24" borderId="226" xfId="0" applyNumberFormat="1" applyFont="1" applyFill="1" applyBorder="1" applyAlignment="1">
      <alignment horizontal="center"/>
    </xf>
    <xf numFmtId="169" fontId="91" fillId="0" borderId="13" xfId="198" applyNumberFormat="1" applyFont="1" applyFill="1" applyBorder="1" applyAlignment="1">
      <alignment horizontal="center" vertical="center" wrapText="1"/>
    </xf>
    <xf numFmtId="14" fontId="141" fillId="24" borderId="0" xfId="0" applyNumberFormat="1" applyFont="1" applyFill="1" applyBorder="1"/>
    <xf numFmtId="0" fontId="4" fillId="25" borderId="0" xfId="0" applyFont="1" applyFill="1" applyBorder="1" applyAlignment="1">
      <alignment horizontal="center"/>
    </xf>
    <xf numFmtId="0" fontId="38" fillId="24" borderId="247" xfId="0" applyFont="1" applyFill="1" applyBorder="1" applyAlignment="1">
      <alignment horizontal="center" wrapText="1"/>
    </xf>
    <xf numFmtId="2" fontId="36" fillId="0" borderId="0" xfId="0" applyNumberFormat="1" applyFont="1" applyFill="1"/>
    <xf numFmtId="0" fontId="36" fillId="26" borderId="13" xfId="0" applyFont="1" applyFill="1" applyBorder="1" applyAlignment="1">
      <alignment horizontal="center"/>
    </xf>
    <xf numFmtId="0" fontId="36" fillId="0" borderId="13" xfId="0" applyFont="1" applyFill="1" applyBorder="1" applyAlignment="1">
      <alignment horizontal="center"/>
    </xf>
    <xf numFmtId="0" fontId="38" fillId="0" borderId="13" xfId="0" applyFont="1" applyFill="1" applyBorder="1" applyAlignment="1">
      <alignment horizontal="center"/>
    </xf>
    <xf numFmtId="2" fontId="36" fillId="24" borderId="13" xfId="0" applyNumberFormat="1" applyFont="1" applyFill="1" applyBorder="1" applyAlignment="1">
      <alignment horizontal="center"/>
    </xf>
    <xf numFmtId="2" fontId="38" fillId="25" borderId="13" xfId="0" applyNumberFormat="1" applyFont="1" applyFill="1" applyBorder="1" applyAlignment="1">
      <alignment horizontal="center"/>
    </xf>
    <xf numFmtId="2" fontId="38" fillId="0" borderId="13" xfId="0" applyNumberFormat="1" applyFont="1" applyBorder="1" applyAlignment="1">
      <alignment horizontal="center"/>
    </xf>
    <xf numFmtId="174" fontId="36" fillId="39" borderId="57" xfId="0" applyNumberFormat="1" applyFont="1" applyFill="1" applyBorder="1" applyAlignment="1">
      <alignment horizontal="right"/>
    </xf>
    <xf numFmtId="174" fontId="36" fillId="39" borderId="59" xfId="0" applyNumberFormat="1" applyFont="1" applyFill="1" applyBorder="1" applyAlignment="1">
      <alignment horizontal="right"/>
    </xf>
    <xf numFmtId="174" fontId="36" fillId="39" borderId="118" xfId="0" applyNumberFormat="1" applyFont="1" applyFill="1" applyBorder="1" applyAlignment="1">
      <alignment horizontal="right"/>
    </xf>
    <xf numFmtId="2" fontId="36" fillId="0" borderId="17" xfId="0" applyNumberFormat="1" applyFont="1" applyFill="1" applyBorder="1" applyAlignment="1">
      <alignment horizontal="center"/>
    </xf>
    <xf numFmtId="2" fontId="7" fillId="24" borderId="13" xfId="177" applyNumberFormat="1" applyFont="1" applyFill="1" applyBorder="1" applyAlignment="1">
      <alignment horizontal="center"/>
    </xf>
    <xf numFmtId="2" fontId="7" fillId="0" borderId="13" xfId="177" applyNumberFormat="1" applyFont="1" applyBorder="1" applyAlignment="1">
      <alignment horizontal="right"/>
    </xf>
    <xf numFmtId="2" fontId="7" fillId="0" borderId="13" xfId="177" applyNumberFormat="1" applyFont="1" applyFill="1" applyBorder="1" applyAlignment="1">
      <alignment horizontal="right"/>
    </xf>
    <xf numFmtId="2" fontId="36" fillId="0" borderId="18" xfId="0" applyNumberFormat="1" applyFont="1" applyBorder="1" applyAlignment="1">
      <alignment horizontal="center"/>
    </xf>
    <xf numFmtId="2" fontId="38" fillId="25" borderId="17" xfId="0" applyNumberFormat="1" applyFont="1" applyFill="1" applyBorder="1" applyAlignment="1">
      <alignment horizontal="center"/>
    </xf>
    <xf numFmtId="2" fontId="36" fillId="0" borderId="17" xfId="0" applyNumberFormat="1" applyFont="1" applyBorder="1"/>
    <xf numFmtId="174" fontId="7" fillId="0" borderId="13" xfId="177" applyNumberFormat="1" applyFont="1" applyBorder="1" applyAlignment="1">
      <alignment horizontal="center" vertical="center"/>
    </xf>
    <xf numFmtId="174" fontId="7" fillId="0" borderId="13" xfId="177" applyNumberFormat="1" applyFont="1" applyFill="1" applyBorder="1" applyAlignment="1">
      <alignment horizontal="center" vertical="center"/>
    </xf>
    <xf numFmtId="0" fontId="36" fillId="41" borderId="57" xfId="0" applyFont="1" applyFill="1" applyBorder="1" applyAlignment="1">
      <alignment horizontal="center"/>
    </xf>
    <xf numFmtId="174" fontId="38" fillId="25" borderId="13" xfId="0" applyNumberFormat="1" applyFont="1" applyFill="1" applyBorder="1" applyAlignment="1">
      <alignment horizontal="center"/>
    </xf>
    <xf numFmtId="4" fontId="36" fillId="0" borderId="0" xfId="0" applyNumberFormat="1" applyFont="1" applyBorder="1" applyAlignment="1">
      <alignment horizontal="center"/>
    </xf>
    <xf numFmtId="4" fontId="36" fillId="0" borderId="13" xfId="0" applyNumberFormat="1" applyFont="1" applyBorder="1" applyAlignment="1">
      <alignment horizontal="center"/>
    </xf>
    <xf numFmtId="174" fontId="36" fillId="0" borderId="0" xfId="0" applyNumberFormat="1" applyFont="1" applyBorder="1"/>
    <xf numFmtId="4" fontId="82" fillId="0" borderId="0" xfId="0" applyNumberFormat="1" applyFont="1" applyBorder="1" applyAlignment="1">
      <alignment horizontal="center"/>
    </xf>
    <xf numFmtId="4" fontId="36" fillId="0" borderId="0" xfId="0" applyNumberFormat="1" applyFont="1" applyBorder="1"/>
    <xf numFmtId="2" fontId="7" fillId="24" borderId="17" xfId="177" applyNumberFormat="1" applyFont="1" applyFill="1" applyBorder="1" applyAlignment="1">
      <alignment horizontal="center"/>
    </xf>
    <xf numFmtId="2" fontId="7" fillId="0" borderId="13" xfId="177" applyNumberFormat="1" applyFont="1" applyBorder="1" applyAlignment="1">
      <alignment horizontal="center"/>
    </xf>
    <xf numFmtId="2" fontId="7" fillId="0" borderId="13" xfId="177" applyNumberFormat="1" applyFont="1" applyFill="1" applyBorder="1" applyAlignment="1">
      <alignment horizontal="center"/>
    </xf>
    <xf numFmtId="2" fontId="7" fillId="0" borderId="17" xfId="177" applyNumberFormat="1" applyFont="1" applyFill="1" applyBorder="1" applyAlignment="1">
      <alignment horizontal="center"/>
    </xf>
    <xf numFmtId="188" fontId="38" fillId="25" borderId="13" xfId="0" applyNumberFormat="1" applyFont="1" applyFill="1" applyBorder="1" applyAlignment="1">
      <alignment horizontal="center"/>
    </xf>
    <xf numFmtId="0" fontId="38" fillId="27" borderId="124" xfId="0" applyFont="1" applyFill="1" applyBorder="1" applyAlignment="1">
      <alignment horizontal="center"/>
    </xf>
    <xf numFmtId="0" fontId="38" fillId="27" borderId="126" xfId="0" applyFont="1" applyFill="1" applyBorder="1" applyAlignment="1">
      <alignment horizontal="center"/>
    </xf>
    <xf numFmtId="0" fontId="38" fillId="27" borderId="13" xfId="0" applyFont="1" applyFill="1" applyBorder="1" applyAlignment="1">
      <alignment horizontal="center"/>
    </xf>
    <xf numFmtId="0" fontId="38" fillId="27" borderId="158" xfId="0" applyFont="1" applyFill="1" applyBorder="1" applyAlignment="1">
      <alignment horizontal="center"/>
    </xf>
    <xf numFmtId="0" fontId="38" fillId="27" borderId="167" xfId="0" applyFont="1" applyFill="1" applyBorder="1" applyAlignment="1">
      <alignment horizontal="center"/>
    </xf>
    <xf numFmtId="170" fontId="36" fillId="0" borderId="13" xfId="0" applyNumberFormat="1" applyFont="1" applyBorder="1"/>
    <xf numFmtId="3" fontId="36" fillId="0" borderId="13" xfId="0" applyNumberFormat="1" applyFont="1" applyBorder="1"/>
    <xf numFmtId="0" fontId="7" fillId="0" borderId="0" xfId="177" applyFont="1" applyFill="1"/>
    <xf numFmtId="2" fontId="7" fillId="0" borderId="0" xfId="177" applyNumberFormat="1" applyFont="1" applyFill="1"/>
    <xf numFmtId="0" fontId="7" fillId="0" borderId="13" xfId="177" applyFont="1" applyBorder="1" applyAlignment="1">
      <alignment horizontal="center"/>
    </xf>
    <xf numFmtId="0" fontId="7" fillId="0" borderId="13" xfId="177" applyFont="1" applyFill="1" applyBorder="1" applyAlignment="1">
      <alignment horizontal="center"/>
    </xf>
    <xf numFmtId="0" fontId="7" fillId="24" borderId="13" xfId="177" applyFont="1" applyFill="1" applyBorder="1" applyAlignment="1">
      <alignment horizontal="center"/>
    </xf>
    <xf numFmtId="0" fontId="7" fillId="26" borderId="13" xfId="177" applyFont="1" applyFill="1" applyBorder="1" applyAlignment="1">
      <alignment horizontal="center"/>
    </xf>
    <xf numFmtId="3" fontId="73" fillId="24" borderId="13" xfId="177" applyNumberFormat="1" applyFont="1" applyFill="1" applyBorder="1" applyAlignment="1">
      <alignment horizontal="center"/>
    </xf>
    <xf numFmtId="0" fontId="7" fillId="36" borderId="13" xfId="177" applyFont="1" applyFill="1" applyBorder="1" applyAlignment="1">
      <alignment horizontal="center"/>
    </xf>
    <xf numFmtId="0" fontId="7" fillId="30" borderId="13" xfId="177" applyFont="1" applyFill="1" applyBorder="1" applyAlignment="1">
      <alignment horizontal="center"/>
    </xf>
    <xf numFmtId="2" fontId="11" fillId="25" borderId="13" xfId="177" applyNumberFormat="1" applyFont="1" applyFill="1" applyBorder="1" applyAlignment="1">
      <alignment horizontal="center"/>
    </xf>
    <xf numFmtId="3" fontId="73" fillId="0" borderId="13" xfId="177" applyNumberFormat="1" applyFont="1" applyBorder="1" applyAlignment="1">
      <alignment horizontal="center"/>
    </xf>
    <xf numFmtId="182" fontId="73" fillId="0" borderId="13" xfId="158" applyNumberFormat="1" applyFont="1" applyFill="1" applyBorder="1" applyAlignment="1">
      <alignment horizontal="center"/>
    </xf>
    <xf numFmtId="182" fontId="82" fillId="25" borderId="13" xfId="158" applyNumberFormat="1" applyFont="1" applyFill="1" applyBorder="1" applyAlignment="1">
      <alignment horizontal="center"/>
    </xf>
    <xf numFmtId="0" fontId="38" fillId="0" borderId="83" xfId="0" applyFont="1" applyBorder="1" applyAlignment="1"/>
    <xf numFmtId="0" fontId="38" fillId="0" borderId="0" xfId="0" applyFont="1" applyBorder="1" applyAlignment="1"/>
    <xf numFmtId="0" fontId="38" fillId="0" borderId="135" xfId="0" applyFont="1" applyBorder="1" applyAlignment="1"/>
    <xf numFmtId="0" fontId="36" fillId="0" borderId="143" xfId="0" applyFont="1" applyBorder="1"/>
    <xf numFmtId="0" fontId="36" fillId="0" borderId="121" xfId="0" applyFont="1" applyBorder="1" applyAlignment="1">
      <alignment horizontal="center"/>
    </xf>
    <xf numFmtId="0" fontId="36" fillId="0" borderId="132" xfId="0" applyFont="1" applyBorder="1" applyAlignment="1">
      <alignment horizontal="center"/>
    </xf>
    <xf numFmtId="0" fontId="36" fillId="0" borderId="114" xfId="0" applyFont="1" applyBorder="1" applyAlignment="1">
      <alignment horizontal="center"/>
    </xf>
    <xf numFmtId="0" fontId="36" fillId="0" borderId="154" xfId="0" applyFont="1" applyBorder="1" applyAlignment="1">
      <alignment horizontal="center"/>
    </xf>
    <xf numFmtId="0" fontId="36" fillId="0" borderId="144" xfId="0" applyFont="1" applyBorder="1"/>
    <xf numFmtId="2" fontId="36" fillId="0" borderId="81" xfId="0" applyNumberFormat="1" applyFont="1" applyBorder="1" applyAlignment="1">
      <alignment horizontal="center"/>
    </xf>
    <xf numFmtId="2" fontId="36" fillId="0" borderId="78" xfId="0" applyNumberFormat="1" applyFont="1" applyBorder="1" applyAlignment="1">
      <alignment horizontal="center"/>
    </xf>
    <xf numFmtId="2" fontId="36" fillId="0" borderId="80" xfId="0" applyNumberFormat="1" applyFont="1" applyBorder="1" applyAlignment="1">
      <alignment horizontal="center"/>
    </xf>
    <xf numFmtId="2" fontId="36" fillId="0" borderId="79" xfId="0" applyNumberFormat="1" applyFont="1" applyBorder="1" applyAlignment="1">
      <alignment horizontal="center"/>
    </xf>
    <xf numFmtId="0" fontId="36" fillId="0" borderId="115" xfId="0" applyFont="1" applyFill="1" applyBorder="1"/>
    <xf numFmtId="2" fontId="36" fillId="0" borderId="90" xfId="0" applyNumberFormat="1" applyFont="1" applyBorder="1" applyAlignment="1">
      <alignment horizontal="center"/>
    </xf>
    <xf numFmtId="2" fontId="36" fillId="0" borderId="103" xfId="0" applyNumberFormat="1" applyFont="1" applyBorder="1" applyAlignment="1">
      <alignment horizontal="center"/>
    </xf>
    <xf numFmtId="0" fontId="38" fillId="0" borderId="56" xfId="0" applyFont="1" applyFill="1" applyBorder="1"/>
    <xf numFmtId="2" fontId="38" fillId="0" borderId="128" xfId="0" applyNumberFormat="1" applyFont="1" applyFill="1" applyBorder="1" applyAlignment="1">
      <alignment horizontal="center"/>
    </xf>
    <xf numFmtId="2" fontId="38" fillId="0" borderId="145" xfId="0" applyNumberFormat="1" applyFont="1" applyFill="1" applyBorder="1" applyAlignment="1">
      <alignment horizontal="center"/>
    </xf>
    <xf numFmtId="2" fontId="38" fillId="0" borderId="56" xfId="0" applyNumberFormat="1" applyFont="1" applyFill="1" applyBorder="1" applyAlignment="1">
      <alignment horizontal="center"/>
    </xf>
    <xf numFmtId="2" fontId="38" fillId="0" borderId="31" xfId="0" applyNumberFormat="1" applyFont="1" applyFill="1" applyBorder="1" applyAlignment="1">
      <alignment horizontal="center"/>
    </xf>
    <xf numFmtId="0" fontId="36" fillId="31" borderId="101" xfId="0" applyFont="1" applyFill="1" applyBorder="1" applyAlignment="1">
      <alignment horizontal="center"/>
    </xf>
    <xf numFmtId="0" fontId="36" fillId="0" borderId="88" xfId="0" applyFont="1" applyBorder="1" applyAlignment="1">
      <alignment horizontal="center"/>
    </xf>
    <xf numFmtId="0" fontId="36" fillId="0" borderId="132" xfId="0" applyFont="1" applyFill="1" applyBorder="1" applyAlignment="1">
      <alignment horizontal="center"/>
    </xf>
    <xf numFmtId="2" fontId="36" fillId="0" borderId="143" xfId="0" applyNumberFormat="1" applyFont="1" applyBorder="1" applyAlignment="1">
      <alignment horizontal="center"/>
    </xf>
    <xf numFmtId="2" fontId="36" fillId="0" borderId="107" xfId="0" applyNumberFormat="1" applyFont="1" applyBorder="1" applyAlignment="1">
      <alignment horizontal="center"/>
    </xf>
    <xf numFmtId="2" fontId="36" fillId="0" borderId="144" xfId="0" applyNumberFormat="1" applyFont="1" applyBorder="1" applyAlignment="1">
      <alignment horizontal="center"/>
    </xf>
    <xf numFmtId="2" fontId="36" fillId="0" borderId="20" xfId="0" applyNumberFormat="1" applyFont="1" applyBorder="1" applyAlignment="1">
      <alignment horizontal="center"/>
    </xf>
    <xf numFmtId="2" fontId="36" fillId="0" borderId="115" xfId="0" applyNumberFormat="1" applyFont="1" applyBorder="1" applyAlignment="1">
      <alignment horizontal="center"/>
    </xf>
    <xf numFmtId="2" fontId="36" fillId="0" borderId="136" xfId="0" applyNumberFormat="1" applyFont="1" applyBorder="1"/>
    <xf numFmtId="0" fontId="38" fillId="0" borderId="0" xfId="0" applyFont="1" applyFill="1" applyBorder="1"/>
    <xf numFmtId="0" fontId="38" fillId="0" borderId="0" xfId="0" applyFont="1" applyFill="1" applyBorder="1" applyAlignment="1">
      <alignment horizontal="center"/>
    </xf>
    <xf numFmtId="0" fontId="38" fillId="36" borderId="131" xfId="0" applyFont="1" applyFill="1" applyBorder="1" applyAlignment="1"/>
    <xf numFmtId="0" fontId="38" fillId="36" borderId="121" xfId="0" applyFont="1" applyFill="1" applyBorder="1" applyAlignment="1"/>
    <xf numFmtId="0" fontId="38" fillId="36" borderId="132" xfId="0" applyFont="1" applyFill="1" applyBorder="1" applyAlignment="1"/>
    <xf numFmtId="0" fontId="38" fillId="24" borderId="83" xfId="0" applyFont="1" applyFill="1" applyBorder="1" applyAlignment="1"/>
    <xf numFmtId="0" fontId="38" fillId="24" borderId="135" xfId="0" applyFont="1" applyFill="1" applyBorder="1" applyAlignment="1"/>
    <xf numFmtId="0" fontId="63" fillId="0" borderId="0" xfId="0" applyFont="1" applyBorder="1" applyAlignment="1"/>
    <xf numFmtId="0" fontId="36" fillId="0" borderId="31" xfId="0" applyFont="1" applyBorder="1" applyAlignment="1">
      <alignment horizontal="center"/>
    </xf>
    <xf numFmtId="0" fontId="38" fillId="0" borderId="83" xfId="0" applyFont="1" applyFill="1" applyBorder="1"/>
    <xf numFmtId="2" fontId="38" fillId="0" borderId="0" xfId="0" applyNumberFormat="1" applyFont="1" applyFill="1" applyBorder="1" applyAlignment="1">
      <alignment horizontal="center"/>
    </xf>
    <xf numFmtId="2" fontId="38" fillId="0" borderId="135" xfId="0" applyNumberFormat="1" applyFont="1" applyFill="1" applyBorder="1" applyAlignment="1">
      <alignment horizontal="center"/>
    </xf>
    <xf numFmtId="2" fontId="36" fillId="0" borderId="0" xfId="0" applyNumberFormat="1" applyFont="1"/>
    <xf numFmtId="0" fontId="38" fillId="31" borderId="131" xfId="0" applyFont="1" applyFill="1" applyBorder="1" applyAlignment="1"/>
    <xf numFmtId="2" fontId="38" fillId="31" borderId="121" xfId="0" applyNumberFormat="1" applyFont="1" applyFill="1" applyBorder="1" applyAlignment="1"/>
    <xf numFmtId="2" fontId="38" fillId="31" borderId="132" xfId="0" applyNumberFormat="1" applyFont="1" applyFill="1" applyBorder="1" applyAlignment="1"/>
    <xf numFmtId="2" fontId="38" fillId="24" borderId="0" xfId="0" applyNumberFormat="1" applyFont="1" applyFill="1" applyBorder="1" applyAlignment="1"/>
    <xf numFmtId="2" fontId="38" fillId="24" borderId="135" xfId="0" applyNumberFormat="1" applyFont="1" applyFill="1" applyBorder="1" applyAlignment="1"/>
    <xf numFmtId="0" fontId="36" fillId="0" borderId="83" xfId="0" applyFont="1" applyBorder="1" applyAlignment="1"/>
    <xf numFmtId="2" fontId="36" fillId="0" borderId="60" xfId="0" applyNumberFormat="1" applyFont="1" applyBorder="1" applyAlignment="1">
      <alignment horizontal="center"/>
    </xf>
    <xf numFmtId="0" fontId="36" fillId="0" borderId="109" xfId="0" applyFont="1" applyBorder="1" applyAlignment="1">
      <alignment horizontal="center"/>
    </xf>
    <xf numFmtId="0" fontId="36" fillId="0" borderId="110" xfId="0" applyFont="1" applyBorder="1" applyAlignment="1">
      <alignment horizontal="center"/>
    </xf>
    <xf numFmtId="0" fontId="63" fillId="0" borderId="56" xfId="0" applyFont="1" applyBorder="1" applyAlignment="1"/>
    <xf numFmtId="0" fontId="63" fillId="0" borderId="30" xfId="0" applyFont="1" applyBorder="1" applyAlignment="1"/>
    <xf numFmtId="0" fontId="63" fillId="0" borderId="31" xfId="0" applyFont="1" applyBorder="1" applyAlignment="1"/>
    <xf numFmtId="2" fontId="63" fillId="0" borderId="56" xfId="0" applyNumberFormat="1" applyFont="1" applyBorder="1" applyAlignment="1"/>
    <xf numFmtId="2" fontId="63" fillId="0" borderId="30" xfId="0" applyNumberFormat="1" applyFont="1" applyBorder="1" applyAlignment="1"/>
    <xf numFmtId="2" fontId="63" fillId="0" borderId="31" xfId="0" applyNumberFormat="1" applyFont="1" applyBorder="1" applyAlignment="1"/>
    <xf numFmtId="2" fontId="36" fillId="0" borderId="140" xfId="0" applyNumberFormat="1" applyFont="1" applyBorder="1" applyAlignment="1">
      <alignment horizontal="center"/>
    </xf>
    <xf numFmtId="2" fontId="36" fillId="0" borderId="17" xfId="0" applyNumberFormat="1" applyFont="1" applyBorder="1" applyAlignment="1">
      <alignment horizontal="center"/>
    </xf>
    <xf numFmtId="2" fontId="36" fillId="0" borderId="105" xfId="0" applyNumberFormat="1" applyFont="1" applyBorder="1" applyAlignment="1">
      <alignment horizontal="center"/>
    </xf>
    <xf numFmtId="2" fontId="36" fillId="0" borderId="121" xfId="0" applyNumberFormat="1" applyFont="1" applyBorder="1" applyAlignment="1">
      <alignment horizontal="center"/>
    </xf>
    <xf numFmtId="2" fontId="36" fillId="0" borderId="158" xfId="0" applyNumberFormat="1" applyFont="1" applyBorder="1" applyAlignment="1">
      <alignment horizontal="center"/>
    </xf>
    <xf numFmtId="2" fontId="36" fillId="0" borderId="164" xfId="0" applyNumberFormat="1" applyFont="1" applyBorder="1" applyAlignment="1">
      <alignment horizontal="center"/>
    </xf>
    <xf numFmtId="2" fontId="36" fillId="0" borderId="129" xfId="0" applyNumberFormat="1" applyFont="1" applyBorder="1" applyAlignment="1">
      <alignment horizontal="center"/>
    </xf>
    <xf numFmtId="2" fontId="36" fillId="31" borderId="101" xfId="0" applyNumberFormat="1" applyFont="1" applyFill="1" applyBorder="1" applyAlignment="1">
      <alignment horizontal="center"/>
    </xf>
    <xf numFmtId="2" fontId="36" fillId="0" borderId="114" xfId="0" applyNumberFormat="1" applyFont="1" applyBorder="1" applyAlignment="1">
      <alignment horizontal="center"/>
    </xf>
    <xf numFmtId="2" fontId="36" fillId="0" borderId="154" xfId="0" applyNumberFormat="1" applyFont="1" applyBorder="1" applyAlignment="1">
      <alignment horizontal="center"/>
    </xf>
    <xf numFmtId="2" fontId="7" fillId="0" borderId="0" xfId="177" applyNumberFormat="1" applyFont="1"/>
    <xf numFmtId="2" fontId="11" fillId="0" borderId="13" xfId="177" applyNumberFormat="1" applyFont="1" applyFill="1" applyBorder="1" applyAlignment="1">
      <alignment horizontal="center"/>
    </xf>
    <xf numFmtId="2" fontId="73" fillId="0" borderId="13" xfId="158" applyNumberFormat="1" applyFont="1" applyBorder="1" applyAlignment="1">
      <alignment horizontal="center"/>
    </xf>
    <xf numFmtId="2" fontId="82" fillId="0" borderId="13" xfId="158" applyNumberFormat="1" applyFont="1" applyBorder="1" applyAlignment="1">
      <alignment horizontal="center"/>
    </xf>
    <xf numFmtId="43" fontId="11" fillId="24" borderId="0" xfId="157" applyFont="1" applyFill="1" applyBorder="1" applyAlignment="1">
      <alignment horizontal="left"/>
    </xf>
    <xf numFmtId="43" fontId="72" fillId="24" borderId="0" xfId="157" applyFont="1" applyFill="1" applyBorder="1"/>
    <xf numFmtId="0" fontId="118" fillId="24" borderId="0" xfId="195" applyFont="1" applyFill="1" applyBorder="1" applyAlignment="1">
      <alignment horizontal="center" vertical="center" wrapText="1"/>
    </xf>
    <xf numFmtId="0" fontId="130" fillId="24" borderId="0" xfId="195" applyFont="1" applyFill="1" applyBorder="1" applyAlignment="1">
      <alignment horizontal="center" vertical="center" wrapText="1"/>
    </xf>
    <xf numFmtId="4" fontId="118" fillId="24" borderId="0" xfId="195" applyNumberFormat="1" applyFont="1" applyFill="1" applyBorder="1" applyAlignment="1">
      <alignment horizontal="center" wrapText="1"/>
    </xf>
    <xf numFmtId="0" fontId="118" fillId="24" borderId="121" xfId="195" applyFont="1" applyFill="1" applyBorder="1" applyAlignment="1">
      <alignment horizontal="center" wrapText="1"/>
    </xf>
    <xf numFmtId="4" fontId="118" fillId="24" borderId="121" xfId="195" applyNumberFormat="1" applyFont="1" applyFill="1" applyBorder="1" applyAlignment="1">
      <alignment horizontal="center" wrapText="1"/>
    </xf>
    <xf numFmtId="4" fontId="118" fillId="24" borderId="132" xfId="195" applyNumberFormat="1" applyFont="1" applyFill="1" applyBorder="1" applyAlignment="1">
      <alignment horizontal="center" wrapText="1"/>
    </xf>
    <xf numFmtId="4" fontId="118" fillId="24" borderId="135" xfId="195" applyNumberFormat="1" applyFont="1" applyFill="1" applyBorder="1" applyAlignment="1">
      <alignment horizontal="center" wrapText="1"/>
    </xf>
    <xf numFmtId="4" fontId="118" fillId="24" borderId="136" xfId="195" applyNumberFormat="1" applyFont="1" applyFill="1" applyBorder="1" applyAlignment="1">
      <alignment horizontal="center" wrapText="1"/>
    </xf>
    <xf numFmtId="0" fontId="118" fillId="24" borderId="131" xfId="195" applyFont="1" applyFill="1" applyBorder="1" applyAlignment="1">
      <alignment horizontal="center" wrapText="1"/>
    </xf>
    <xf numFmtId="0" fontId="118" fillId="24" borderId="132" xfId="195" applyFont="1" applyFill="1" applyBorder="1" applyAlignment="1">
      <alignment horizontal="center" wrapText="1"/>
    </xf>
    <xf numFmtId="0" fontId="118" fillId="24" borderId="83" xfId="195" applyFont="1" applyFill="1" applyBorder="1" applyAlignment="1">
      <alignment horizontal="center" wrapText="1"/>
    </xf>
    <xf numFmtId="0" fontId="118" fillId="24" borderId="135" xfId="195" applyFont="1" applyFill="1" applyBorder="1" applyAlignment="1">
      <alignment horizontal="center" wrapText="1"/>
    </xf>
    <xf numFmtId="0" fontId="118" fillId="24" borderId="128" xfId="195" applyFont="1" applyFill="1" applyBorder="1" applyAlignment="1">
      <alignment horizontal="center" wrapText="1"/>
    </xf>
    <xf numFmtId="0" fontId="130" fillId="24" borderId="131" xfId="195" applyFont="1" applyFill="1" applyBorder="1" applyAlignment="1">
      <alignment horizontal="center" vertical="center" wrapText="1"/>
    </xf>
    <xf numFmtId="0" fontId="130" fillId="24" borderId="132" xfId="195" applyFont="1" applyFill="1" applyBorder="1" applyAlignment="1">
      <alignment horizontal="center" vertical="center" wrapText="1"/>
    </xf>
    <xf numFmtId="0" fontId="130" fillId="24" borderId="83" xfId="195" applyFont="1" applyFill="1" applyBorder="1" applyAlignment="1">
      <alignment horizontal="center" vertical="center" wrapText="1"/>
    </xf>
    <xf numFmtId="0" fontId="130" fillId="24" borderId="135" xfId="195" applyFont="1" applyFill="1" applyBorder="1" applyAlignment="1">
      <alignment horizontal="center" vertical="center" wrapText="1"/>
    </xf>
    <xf numFmtId="0" fontId="130" fillId="24" borderId="136" xfId="195" applyFont="1" applyFill="1" applyBorder="1" applyAlignment="1">
      <alignment horizontal="center" vertical="center" wrapText="1"/>
    </xf>
    <xf numFmtId="2" fontId="5" fillId="0" borderId="15" xfId="0" applyNumberFormat="1" applyFont="1" applyFill="1" applyBorder="1" applyAlignment="1">
      <alignment horizontal="center" vertical="center"/>
    </xf>
    <xf numFmtId="2" fontId="5" fillId="0" borderId="14" xfId="0" applyNumberFormat="1" applyFont="1" applyFill="1" applyBorder="1" applyAlignment="1">
      <alignment horizontal="center" vertical="center"/>
    </xf>
    <xf numFmtId="14" fontId="106" fillId="26" borderId="0" xfId="0" applyNumberFormat="1" applyFont="1" applyFill="1" applyAlignment="1">
      <alignment horizontal="center"/>
    </xf>
    <xf numFmtId="0" fontId="0" fillId="26" borderId="0" xfId="0" applyFill="1"/>
    <xf numFmtId="0" fontId="13" fillId="24" borderId="0" xfId="0" applyFont="1" applyFill="1" applyBorder="1"/>
    <xf numFmtId="0" fontId="0" fillId="0" borderId="31" xfId="0" applyBorder="1" applyAlignment="1">
      <alignment horizontal="center"/>
    </xf>
    <xf numFmtId="0" fontId="13" fillId="24" borderId="87" xfId="0" applyFont="1" applyFill="1" applyBorder="1" applyAlignment="1">
      <alignment horizontal="center"/>
    </xf>
    <xf numFmtId="0" fontId="0" fillId="24" borderId="87" xfId="0" applyFill="1" applyBorder="1" applyAlignment="1">
      <alignment horizontal="center"/>
    </xf>
    <xf numFmtId="0" fontId="0" fillId="0" borderId="87" xfId="0" applyBorder="1" applyAlignment="1">
      <alignment horizontal="center"/>
    </xf>
    <xf numFmtId="0" fontId="38" fillId="24" borderId="87" xfId="0" applyFont="1" applyFill="1" applyBorder="1" applyAlignment="1">
      <alignment horizontal="center"/>
    </xf>
    <xf numFmtId="0" fontId="36" fillId="24" borderId="87" xfId="0" applyFont="1" applyFill="1" applyBorder="1" applyAlignment="1">
      <alignment horizontal="center"/>
    </xf>
    <xf numFmtId="0" fontId="36" fillId="24" borderId="31" xfId="0" applyFont="1" applyFill="1" applyBorder="1" applyAlignment="1">
      <alignment horizontal="center"/>
    </xf>
    <xf numFmtId="0" fontId="13" fillId="25" borderId="0" xfId="0" applyFont="1" applyFill="1" applyBorder="1"/>
    <xf numFmtId="174" fontId="0" fillId="24" borderId="30" xfId="0" applyNumberFormat="1" applyFill="1" applyBorder="1" applyAlignment="1">
      <alignment horizontal="center"/>
    </xf>
    <xf numFmtId="0" fontId="36" fillId="26" borderId="87" xfId="0" applyFont="1" applyFill="1" applyBorder="1" applyAlignment="1">
      <alignment horizontal="center"/>
    </xf>
    <xf numFmtId="0" fontId="13" fillId="26" borderId="131" xfId="0" applyFont="1" applyFill="1" applyBorder="1"/>
    <xf numFmtId="0" fontId="13" fillId="26" borderId="121" xfId="0" applyFont="1" applyFill="1" applyBorder="1"/>
    <xf numFmtId="174" fontId="32" fillId="26" borderId="13" xfId="0" applyNumberFormat="1" applyFont="1" applyFill="1" applyBorder="1" applyAlignment="1">
      <alignment horizontal="center"/>
    </xf>
    <xf numFmtId="174" fontId="24" fillId="32" borderId="13" xfId="0" applyNumberFormat="1" applyFont="1" applyFill="1" applyBorder="1" applyAlignment="1">
      <alignment horizontal="right"/>
    </xf>
    <xf numFmtId="2" fontId="5" fillId="32" borderId="13" xfId="0" applyNumberFormat="1" applyFont="1" applyFill="1" applyBorder="1" applyAlignment="1">
      <alignment horizontal="right"/>
    </xf>
    <xf numFmtId="0" fontId="0" fillId="0" borderId="141" xfId="0" applyBorder="1" applyAlignment="1">
      <alignment horizontal="center"/>
    </xf>
    <xf numFmtId="0" fontId="0" fillId="31" borderId="141" xfId="0" applyFill="1" applyBorder="1" applyAlignment="1">
      <alignment horizontal="center"/>
    </xf>
    <xf numFmtId="0" fontId="0" fillId="0" borderId="125" xfId="0" applyBorder="1" applyAlignment="1">
      <alignment horizontal="center"/>
    </xf>
    <xf numFmtId="174" fontId="13" fillId="26" borderId="13" xfId="0" applyNumberFormat="1" applyFont="1" applyFill="1" applyBorder="1" applyAlignment="1">
      <alignment horizontal="center"/>
    </xf>
    <xf numFmtId="2" fontId="36" fillId="26" borderId="77" xfId="0" applyNumberFormat="1" applyFont="1" applyFill="1" applyBorder="1" applyAlignment="1">
      <alignment horizontal="center"/>
    </xf>
    <xf numFmtId="0" fontId="36" fillId="26" borderId="77" xfId="0" applyFont="1" applyFill="1" applyBorder="1" applyAlignment="1">
      <alignment horizontal="center"/>
    </xf>
    <xf numFmtId="174" fontId="66" fillId="24" borderId="0" xfId="0" applyNumberFormat="1" applyFont="1" applyFill="1" applyBorder="1" applyAlignment="1">
      <alignment horizontal="center"/>
    </xf>
    <xf numFmtId="174" fontId="0" fillId="24" borderId="0" xfId="0" applyNumberFormat="1" applyFill="1" applyBorder="1"/>
    <xf numFmtId="3" fontId="48" fillId="26" borderId="111" xfId="0" applyNumberFormat="1" applyFont="1" applyFill="1" applyBorder="1" applyAlignment="1">
      <alignment horizontal="center" vertical="center"/>
    </xf>
    <xf numFmtId="3" fontId="105" fillId="26" borderId="111" xfId="0" applyNumberFormat="1" applyFont="1" applyFill="1" applyBorder="1" applyAlignment="1">
      <alignment horizontal="center" vertical="center"/>
    </xf>
    <xf numFmtId="170" fontId="4" fillId="26" borderId="111" xfId="0" applyNumberFormat="1" applyFont="1" applyFill="1" applyBorder="1" applyAlignment="1">
      <alignment horizontal="center" vertical="center"/>
    </xf>
    <xf numFmtId="4" fontId="48" fillId="26" borderId="111" xfId="0" applyNumberFormat="1" applyFont="1" applyFill="1" applyBorder="1" applyAlignment="1">
      <alignment horizontal="center"/>
    </xf>
    <xf numFmtId="2" fontId="120" fillId="24" borderId="102" xfId="0" applyNumberFormat="1" applyFont="1" applyFill="1" applyBorder="1" applyAlignment="1">
      <alignment horizontal="center"/>
    </xf>
    <xf numFmtId="0" fontId="135" fillId="24" borderId="0" xfId="0" applyFont="1" applyFill="1" applyAlignment="1">
      <alignment horizontal="center"/>
    </xf>
    <xf numFmtId="0" fontId="106" fillId="0" borderId="0" xfId="0" applyFont="1"/>
    <xf numFmtId="14" fontId="0" fillId="26" borderId="0" xfId="0" applyNumberFormat="1" applyFill="1"/>
    <xf numFmtId="0" fontId="36" fillId="26" borderId="101" xfId="0" applyFont="1" applyFill="1" applyBorder="1" applyAlignment="1">
      <alignment horizontal="center"/>
    </xf>
    <xf numFmtId="2" fontId="36" fillId="26" borderId="101" xfId="0" applyNumberFormat="1" applyFont="1" applyFill="1" applyBorder="1" applyAlignment="1">
      <alignment horizontal="center"/>
    </xf>
    <xf numFmtId="2" fontId="36" fillId="25" borderId="101" xfId="0" applyNumberFormat="1" applyFont="1" applyFill="1" applyBorder="1" applyAlignment="1">
      <alignment horizontal="center"/>
    </xf>
    <xf numFmtId="0" fontId="38" fillId="30" borderId="121" xfId="0" applyFont="1" applyFill="1" applyBorder="1" applyAlignment="1"/>
    <xf numFmtId="0" fontId="38" fillId="30" borderId="132" xfId="0" applyFont="1" applyFill="1" applyBorder="1" applyAlignment="1"/>
    <xf numFmtId="0" fontId="36" fillId="30" borderId="101" xfId="0" applyFont="1" applyFill="1" applyBorder="1" applyAlignment="1">
      <alignment horizontal="center"/>
    </xf>
    <xf numFmtId="2" fontId="36" fillId="30" borderId="101" xfId="0" applyNumberFormat="1" applyFont="1" applyFill="1" applyBorder="1" applyAlignment="1">
      <alignment horizontal="center"/>
    </xf>
    <xf numFmtId="2" fontId="38" fillId="35" borderId="121" xfId="0" applyNumberFormat="1" applyFont="1" applyFill="1" applyBorder="1" applyAlignment="1"/>
    <xf numFmtId="2" fontId="38" fillId="35" borderId="132" xfId="0" applyNumberFormat="1" applyFont="1" applyFill="1" applyBorder="1" applyAlignment="1"/>
    <xf numFmtId="2" fontId="36" fillId="35" borderId="101" xfId="0" applyNumberFormat="1" applyFont="1" applyFill="1" applyBorder="1" applyAlignment="1">
      <alignment horizontal="center"/>
    </xf>
    <xf numFmtId="0" fontId="38" fillId="24" borderId="83" xfId="0" applyFont="1" applyFill="1" applyBorder="1" applyAlignment="1">
      <alignment horizontal="center"/>
    </xf>
    <xf numFmtId="0" fontId="36" fillId="0" borderId="83" xfId="0" applyFont="1" applyBorder="1" applyAlignment="1">
      <alignment horizontal="center"/>
    </xf>
    <xf numFmtId="0" fontId="36" fillId="0" borderId="143" xfId="0" applyFont="1" applyBorder="1" applyAlignment="1">
      <alignment horizontal="center"/>
    </xf>
    <xf numFmtId="16" fontId="36" fillId="0" borderId="144" xfId="0" applyNumberFormat="1" applyFont="1" applyBorder="1" applyAlignment="1">
      <alignment horizontal="center"/>
    </xf>
    <xf numFmtId="0" fontId="38" fillId="0" borderId="56" xfId="0" applyFont="1" applyFill="1" applyBorder="1" applyAlignment="1">
      <alignment horizontal="center"/>
    </xf>
    <xf numFmtId="0" fontId="38" fillId="0" borderId="83" xfId="0" applyFont="1" applyFill="1" applyBorder="1" applyAlignment="1">
      <alignment horizontal="center"/>
    </xf>
    <xf numFmtId="0" fontId="38" fillId="30" borderId="131" xfId="0" applyFont="1" applyFill="1" applyBorder="1" applyAlignment="1">
      <alignment horizontal="center"/>
    </xf>
    <xf numFmtId="0" fontId="38" fillId="35" borderId="131" xfId="0" applyFont="1" applyFill="1" applyBorder="1" applyAlignment="1">
      <alignment horizontal="center"/>
    </xf>
    <xf numFmtId="0" fontId="38" fillId="26" borderId="56" xfId="0" applyFont="1" applyFill="1" applyBorder="1" applyAlignment="1">
      <alignment horizontal="center"/>
    </xf>
    <xf numFmtId="0" fontId="38" fillId="26" borderId="30" xfId="0" applyFont="1" applyFill="1" applyBorder="1" applyAlignment="1"/>
    <xf numFmtId="0" fontId="38" fillId="26" borderId="31" xfId="0" applyFont="1" applyFill="1" applyBorder="1" applyAlignment="1"/>
    <xf numFmtId="2" fontId="36" fillId="0" borderId="132" xfId="0" applyNumberFormat="1" applyFont="1" applyBorder="1" applyAlignment="1">
      <alignment horizontal="center"/>
    </xf>
    <xf numFmtId="2" fontId="38" fillId="0" borderId="90" xfId="0" applyNumberFormat="1" applyFont="1" applyFill="1" applyBorder="1" applyAlignment="1">
      <alignment horizontal="center"/>
    </xf>
    <xf numFmtId="2" fontId="38" fillId="0" borderId="102" xfId="0" applyNumberFormat="1" applyFont="1" applyFill="1" applyBorder="1" applyAlignment="1">
      <alignment horizontal="center"/>
    </xf>
    <xf numFmtId="2" fontId="38" fillId="0" borderId="103" xfId="0" applyNumberFormat="1" applyFont="1" applyFill="1" applyBorder="1" applyAlignment="1">
      <alignment horizontal="center"/>
    </xf>
    <xf numFmtId="0" fontId="36" fillId="0" borderId="163" xfId="0" applyFont="1" applyBorder="1" applyAlignment="1">
      <alignment horizontal="center"/>
    </xf>
    <xf numFmtId="0" fontId="36" fillId="0" borderId="107" xfId="0" applyFont="1" applyBorder="1" applyAlignment="1">
      <alignment horizontal="center"/>
    </xf>
    <xf numFmtId="173" fontId="5" fillId="0" borderId="13" xfId="0" applyNumberFormat="1" applyFont="1" applyFill="1" applyBorder="1" applyAlignment="1">
      <alignment horizontal="center"/>
    </xf>
    <xf numFmtId="0" fontId="118" fillId="0" borderId="248" xfId="195" applyFont="1" applyFill="1" applyBorder="1" applyAlignment="1">
      <alignment horizontal="center" wrapText="1"/>
    </xf>
    <xf numFmtId="0" fontId="118" fillId="0" borderId="221" xfId="195" applyFont="1" applyFill="1" applyBorder="1" applyAlignment="1">
      <alignment horizontal="center" wrapText="1"/>
    </xf>
    <xf numFmtId="0" fontId="118" fillId="0" borderId="249" xfId="195" applyFont="1" applyFill="1" applyBorder="1" applyAlignment="1">
      <alignment horizontal="center" wrapText="1"/>
    </xf>
    <xf numFmtId="0" fontId="118" fillId="0" borderId="250" xfId="195" applyFont="1" applyFill="1" applyBorder="1" applyAlignment="1">
      <alignment horizontal="center" wrapText="1"/>
    </xf>
    <xf numFmtId="4" fontId="118" fillId="0" borderId="235" xfId="195" applyNumberFormat="1" applyFont="1" applyFill="1" applyBorder="1" applyAlignment="1">
      <alignment horizontal="center" vertical="center" wrapText="1"/>
    </xf>
    <xf numFmtId="4" fontId="118" fillId="0" borderId="236" xfId="195" applyNumberFormat="1" applyFont="1" applyFill="1" applyBorder="1" applyAlignment="1">
      <alignment horizontal="center" vertical="center" wrapText="1"/>
    </xf>
    <xf numFmtId="0" fontId="38" fillId="27" borderId="218" xfId="0" applyFont="1" applyFill="1" applyBorder="1" applyAlignment="1">
      <alignment horizontal="center"/>
    </xf>
    <xf numFmtId="0" fontId="38" fillId="27" borderId="28" xfId="0" applyFont="1" applyFill="1" applyBorder="1" applyAlignment="1">
      <alignment horizontal="center"/>
    </xf>
    <xf numFmtId="0" fontId="38" fillId="27" borderId="18" xfId="0" applyFont="1" applyFill="1" applyBorder="1" applyAlignment="1">
      <alignment horizontal="center"/>
    </xf>
    <xf numFmtId="0" fontId="36" fillId="0" borderId="29" xfId="0" applyFont="1" applyBorder="1"/>
    <xf numFmtId="181" fontId="120" fillId="0" borderId="137" xfId="0" applyNumberFormat="1" applyFont="1" applyBorder="1" applyAlignment="1">
      <alignment horizontal="center"/>
    </xf>
    <xf numFmtId="0" fontId="48" fillId="0" borderId="13" xfId="0" applyFont="1" applyBorder="1" applyAlignment="1">
      <alignment horizontal="center"/>
    </xf>
    <xf numFmtId="169" fontId="73" fillId="24" borderId="13" xfId="177" applyNumberFormat="1" applyFont="1" applyFill="1" applyBorder="1" applyAlignment="1">
      <alignment horizontal="center"/>
    </xf>
    <xf numFmtId="174" fontId="36" fillId="0" borderId="77" xfId="0" applyNumberFormat="1" applyFont="1" applyBorder="1" applyAlignment="1">
      <alignment horizontal="center"/>
    </xf>
    <xf numFmtId="174" fontId="36" fillId="0" borderId="18" xfId="0" applyNumberFormat="1" applyFont="1" applyBorder="1" applyAlignment="1">
      <alignment horizontal="center"/>
    </xf>
    <xf numFmtId="174" fontId="36" fillId="30" borderId="13" xfId="0" applyNumberFormat="1" applyFont="1" applyFill="1" applyBorder="1" applyAlignment="1">
      <alignment horizontal="center"/>
    </xf>
    <xf numFmtId="0" fontId="36" fillId="30" borderId="144" xfId="0" applyFont="1" applyFill="1" applyBorder="1"/>
    <xf numFmtId="0" fontId="13" fillId="24" borderId="121" xfId="0" applyFont="1" applyFill="1" applyBorder="1" applyAlignment="1"/>
    <xf numFmtId="0" fontId="13" fillId="24" borderId="145" xfId="0" applyFont="1" applyFill="1" applyBorder="1" applyAlignment="1"/>
    <xf numFmtId="181" fontId="36" fillId="0" borderId="78" xfId="0" applyNumberFormat="1" applyFont="1" applyBorder="1" applyAlignment="1">
      <alignment horizontal="center"/>
    </xf>
    <xf numFmtId="0" fontId="36" fillId="26" borderId="121" xfId="0" applyFont="1" applyFill="1" applyBorder="1" applyAlignment="1">
      <alignment horizontal="center"/>
    </xf>
    <xf numFmtId="2" fontId="38" fillId="0" borderId="163" xfId="0" applyNumberFormat="1" applyFont="1" applyFill="1" applyBorder="1" applyAlignment="1">
      <alignment horizontal="center"/>
    </xf>
    <xf numFmtId="2" fontId="36" fillId="26" borderId="121" xfId="0" applyNumberFormat="1" applyFont="1" applyFill="1" applyBorder="1" applyAlignment="1">
      <alignment horizontal="center"/>
    </xf>
    <xf numFmtId="2" fontId="36" fillId="25" borderId="121" xfId="0" applyNumberFormat="1" applyFont="1" applyFill="1" applyBorder="1" applyAlignment="1">
      <alignment horizontal="center"/>
    </xf>
    <xf numFmtId="0" fontId="36" fillId="30" borderId="121" xfId="0" applyFont="1" applyFill="1" applyBorder="1" applyAlignment="1">
      <alignment horizontal="center"/>
    </xf>
    <xf numFmtId="2" fontId="36" fillId="30" borderId="121" xfId="0" applyNumberFormat="1" applyFont="1" applyFill="1" applyBorder="1" applyAlignment="1">
      <alignment horizontal="center"/>
    </xf>
    <xf numFmtId="2" fontId="36" fillId="35" borderId="121" xfId="0" applyNumberFormat="1" applyFont="1" applyFill="1" applyBorder="1" applyAlignment="1">
      <alignment horizontal="center"/>
    </xf>
    <xf numFmtId="2" fontId="36" fillId="0" borderId="163" xfId="0" applyNumberFormat="1" applyFont="1" applyBorder="1" applyAlignment="1">
      <alignment horizontal="center"/>
    </xf>
    <xf numFmtId="0" fontId="38" fillId="31" borderId="87" xfId="0" applyFont="1" applyFill="1" applyBorder="1" applyAlignment="1">
      <alignment horizontal="center"/>
    </xf>
    <xf numFmtId="181" fontId="36" fillId="0" borderId="78" xfId="0" applyNumberFormat="1" applyFont="1" applyBorder="1"/>
    <xf numFmtId="181" fontId="36" fillId="0" borderId="79" xfId="0" applyNumberFormat="1" applyFont="1" applyBorder="1"/>
    <xf numFmtId="181" fontId="36" fillId="0" borderId="103" xfId="0" applyNumberFormat="1" applyFont="1" applyBorder="1"/>
    <xf numFmtId="174" fontId="73" fillId="24" borderId="13" xfId="177" applyNumberFormat="1" applyFont="1" applyFill="1" applyBorder="1" applyAlignment="1">
      <alignment horizontal="center"/>
    </xf>
    <xf numFmtId="2" fontId="38" fillId="0" borderId="77" xfId="0" applyNumberFormat="1" applyFont="1" applyBorder="1" applyAlignment="1">
      <alignment horizontal="center"/>
    </xf>
    <xf numFmtId="0" fontId="120" fillId="24" borderId="0" xfId="0" applyFont="1" applyFill="1"/>
    <xf numFmtId="2" fontId="38" fillId="0" borderId="78" xfId="0" applyNumberFormat="1" applyFont="1" applyBorder="1" applyAlignment="1">
      <alignment horizontal="center"/>
    </xf>
    <xf numFmtId="2" fontId="38" fillId="0" borderId="103" xfId="0" applyNumberFormat="1" applyFont="1" applyBorder="1" applyAlignment="1">
      <alignment horizontal="center"/>
    </xf>
    <xf numFmtId="2" fontId="120" fillId="0" borderId="13" xfId="0" applyNumberFormat="1" applyFont="1" applyBorder="1" applyAlignment="1">
      <alignment horizontal="center"/>
    </xf>
    <xf numFmtId="2" fontId="36" fillId="0" borderId="21" xfId="0" applyNumberFormat="1" applyFont="1" applyBorder="1" applyAlignment="1">
      <alignment horizontal="center"/>
    </xf>
    <xf numFmtId="2" fontId="38" fillId="0" borderId="87" xfId="0" applyNumberFormat="1" applyFont="1" applyFill="1" applyBorder="1" applyAlignment="1">
      <alignment horizontal="center"/>
    </xf>
    <xf numFmtId="181" fontId="120" fillId="0" borderId="79" xfId="0" applyNumberFormat="1" applyFont="1" applyBorder="1" applyAlignment="1">
      <alignment horizontal="center"/>
    </xf>
    <xf numFmtId="180" fontId="105" fillId="24" borderId="13" xfId="0" applyNumberFormat="1" applyFont="1" applyFill="1" applyBorder="1" applyAlignment="1">
      <alignment horizontal="center"/>
    </xf>
    <xf numFmtId="2" fontId="13" fillId="0" borderId="116" xfId="0" applyNumberFormat="1" applyFont="1" applyBorder="1" applyAlignment="1">
      <alignment horizontal="center"/>
    </xf>
    <xf numFmtId="173" fontId="0" fillId="0" borderId="13" xfId="0" applyNumberFormat="1" applyBorder="1" applyAlignment="1">
      <alignment horizontal="center"/>
    </xf>
    <xf numFmtId="174" fontId="0" fillId="0" borderId="13" xfId="0" applyNumberFormat="1" applyBorder="1" applyAlignment="1">
      <alignment horizontal="center"/>
    </xf>
    <xf numFmtId="0" fontId="0" fillId="0" borderId="21" xfId="0" applyBorder="1" applyAlignment="1">
      <alignment horizontal="center"/>
    </xf>
    <xf numFmtId="173" fontId="0" fillId="0" borderId="21" xfId="0" applyNumberFormat="1" applyBorder="1" applyAlignment="1">
      <alignment horizontal="center"/>
    </xf>
    <xf numFmtId="174" fontId="0" fillId="0" borderId="21" xfId="0" applyNumberFormat="1" applyBorder="1" applyAlignment="1">
      <alignment horizontal="center"/>
    </xf>
    <xf numFmtId="2" fontId="24" fillId="30" borderId="13" xfId="0" applyNumberFormat="1" applyFont="1" applyFill="1" applyBorder="1" applyAlignment="1">
      <alignment horizontal="center"/>
    </xf>
    <xf numFmtId="0" fontId="142" fillId="30" borderId="16" xfId="0" applyFont="1" applyFill="1" applyBorder="1" applyAlignment="1">
      <alignment horizontal="center"/>
    </xf>
    <xf numFmtId="0" fontId="24" fillId="30" borderId="109" xfId="0" applyFont="1" applyFill="1" applyBorder="1" applyAlignment="1">
      <alignment horizontal="center"/>
    </xf>
    <xf numFmtId="0" fontId="24" fillId="30" borderId="111" xfId="0" applyFont="1" applyFill="1" applyBorder="1" applyAlignment="1">
      <alignment horizontal="center"/>
    </xf>
    <xf numFmtId="2" fontId="24" fillId="30" borderId="111" xfId="0" applyNumberFormat="1" applyFont="1" applyFill="1" applyBorder="1" applyAlignment="1">
      <alignment horizontal="center"/>
    </xf>
    <xf numFmtId="173" fontId="134" fillId="30" borderId="112" xfId="0" applyNumberFormat="1" applyFont="1" applyFill="1" applyBorder="1" applyAlignment="1">
      <alignment horizontal="center"/>
    </xf>
    <xf numFmtId="0" fontId="0" fillId="0" borderId="18" xfId="0" applyBorder="1" applyAlignment="1">
      <alignment horizontal="center"/>
    </xf>
    <xf numFmtId="173" fontId="0" fillId="0" borderId="18" xfId="0" applyNumberFormat="1" applyBorder="1" applyAlignment="1">
      <alignment horizontal="center"/>
    </xf>
    <xf numFmtId="174" fontId="0" fillId="0" borderId="18" xfId="0" applyNumberFormat="1" applyBorder="1" applyAlignment="1">
      <alignment horizontal="center"/>
    </xf>
    <xf numFmtId="0" fontId="36" fillId="0" borderId="13" xfId="0" applyFont="1" applyBorder="1" applyAlignment="1">
      <alignment horizontal="center" wrapText="1"/>
    </xf>
    <xf numFmtId="0" fontId="36" fillId="0" borderId="18" xfId="0" applyFont="1" applyBorder="1" applyAlignment="1">
      <alignment horizontal="center" wrapText="1"/>
    </xf>
    <xf numFmtId="0" fontId="106" fillId="30" borderId="251" xfId="0" applyFont="1" applyFill="1" applyBorder="1" applyAlignment="1">
      <alignment horizontal="center"/>
    </xf>
    <xf numFmtId="0" fontId="36" fillId="0" borderId="21" xfId="0" applyFont="1" applyBorder="1" applyAlignment="1">
      <alignment horizontal="center" wrapText="1"/>
    </xf>
    <xf numFmtId="0" fontId="36" fillId="30" borderId="87" xfId="0" applyFont="1" applyFill="1" applyBorder="1" applyAlignment="1">
      <alignment horizontal="center" wrapText="1"/>
    </xf>
    <xf numFmtId="0" fontId="0" fillId="30" borderId="31" xfId="0" applyFill="1" applyBorder="1"/>
    <xf numFmtId="0" fontId="131" fillId="26" borderId="116" xfId="0" applyFont="1" applyFill="1" applyBorder="1" applyAlignment="1">
      <alignment horizontal="center"/>
    </xf>
    <xf numFmtId="0" fontId="13" fillId="26" borderId="116" xfId="0" applyFont="1" applyFill="1" applyBorder="1" applyAlignment="1">
      <alignment horizontal="center"/>
    </xf>
    <xf numFmtId="0" fontId="13" fillId="26" borderId="157" xfId="0" applyFont="1" applyFill="1" applyBorder="1" applyAlignment="1">
      <alignment horizontal="center"/>
    </xf>
    <xf numFmtId="0" fontId="0" fillId="0" borderId="104" xfId="0" applyBorder="1"/>
    <xf numFmtId="0" fontId="0" fillId="0" borderId="133" xfId="0" applyFont="1" applyFill="1" applyBorder="1" applyAlignment="1"/>
    <xf numFmtId="0" fontId="36" fillId="0" borderId="136" xfId="0" applyFont="1" applyBorder="1" applyAlignment="1">
      <alignment horizontal="center" wrapText="1"/>
    </xf>
    <xf numFmtId="0" fontId="143" fillId="30" borderId="56" xfId="0" applyFont="1" applyFill="1" applyBorder="1" applyAlignment="1">
      <alignment horizontal="center"/>
    </xf>
    <xf numFmtId="0" fontId="143" fillId="30" borderId="111" xfId="0" applyFont="1" applyFill="1" applyBorder="1" applyAlignment="1">
      <alignment horizontal="center"/>
    </xf>
    <xf numFmtId="2" fontId="143" fillId="30" borderId="111" xfId="0" applyNumberFormat="1" applyFont="1" applyFill="1" applyBorder="1" applyAlignment="1">
      <alignment horizontal="center"/>
    </xf>
    <xf numFmtId="0" fontId="0" fillId="30" borderId="61" xfId="0" applyFill="1" applyBorder="1"/>
    <xf numFmtId="2" fontId="13" fillId="26" borderId="157" xfId="0" applyNumberFormat="1" applyFont="1" applyFill="1" applyBorder="1" applyAlignment="1">
      <alignment horizontal="center"/>
    </xf>
    <xf numFmtId="2" fontId="24" fillId="30" borderId="21" xfId="0" applyNumberFormat="1" applyFont="1" applyFill="1" applyBorder="1" applyAlignment="1">
      <alignment horizontal="center"/>
    </xf>
    <xf numFmtId="174" fontId="24" fillId="30" borderId="13" xfId="0" applyNumberFormat="1" applyFont="1" applyFill="1" applyBorder="1" applyAlignment="1">
      <alignment horizontal="center"/>
    </xf>
    <xf numFmtId="2" fontId="13" fillId="0" borderId="19" xfId="0" applyNumberFormat="1" applyFont="1" applyBorder="1" applyAlignment="1">
      <alignment horizontal="center"/>
    </xf>
    <xf numFmtId="2" fontId="13" fillId="0" borderId="87" xfId="0" applyNumberFormat="1" applyFont="1" applyBorder="1" applyAlignment="1">
      <alignment horizontal="center"/>
    </xf>
    <xf numFmtId="2" fontId="5" fillId="0" borderId="21" xfId="0" applyNumberFormat="1" applyFont="1" applyBorder="1" applyAlignment="1">
      <alignment horizontal="right"/>
    </xf>
    <xf numFmtId="2" fontId="7" fillId="0" borderId="20" xfId="0" applyNumberFormat="1" applyFont="1" applyBorder="1" applyAlignment="1">
      <alignment horizontal="center"/>
    </xf>
    <xf numFmtId="2" fontId="7" fillId="0" borderId="21" xfId="0" applyNumberFormat="1" applyFont="1" applyBorder="1" applyAlignment="1">
      <alignment horizontal="right"/>
    </xf>
    <xf numFmtId="2" fontId="7" fillId="0" borderId="21" xfId="0" applyNumberFormat="1" applyFont="1" applyFill="1" applyBorder="1" applyAlignment="1">
      <alignment horizontal="right"/>
    </xf>
    <xf numFmtId="0" fontId="130" fillId="24" borderId="121" xfId="195" applyFont="1" applyFill="1" applyBorder="1" applyAlignment="1">
      <alignment horizontal="center" vertical="center" wrapText="1"/>
    </xf>
    <xf numFmtId="0" fontId="130" fillId="24" borderId="145" xfId="195" applyFont="1" applyFill="1" applyBorder="1" applyAlignment="1">
      <alignment horizontal="center" vertical="center" wrapText="1"/>
    </xf>
    <xf numFmtId="0" fontId="118" fillId="24" borderId="101" xfId="195" applyFont="1" applyFill="1" applyBorder="1" applyAlignment="1">
      <alignment horizontal="center" wrapText="1"/>
    </xf>
    <xf numFmtId="0" fontId="118" fillId="24" borderId="205" xfId="195" applyFont="1" applyFill="1" applyBorder="1" applyAlignment="1">
      <alignment horizontal="center" wrapText="1"/>
    </xf>
    <xf numFmtId="0" fontId="118" fillId="24" borderId="137" xfId="195" applyFont="1" applyFill="1" applyBorder="1" applyAlignment="1">
      <alignment horizontal="center" wrapText="1"/>
    </xf>
    <xf numFmtId="0" fontId="118" fillId="0" borderId="87" xfId="195" applyFont="1" applyFill="1" applyBorder="1" applyAlignment="1">
      <alignment horizontal="center" vertical="center" wrapText="1"/>
    </xf>
    <xf numFmtId="0" fontId="38" fillId="0" borderId="128" xfId="0" applyFont="1" applyBorder="1" applyAlignment="1">
      <alignment horizontal="center"/>
    </xf>
    <xf numFmtId="0" fontId="38" fillId="0" borderId="137" xfId="0" applyFont="1" applyBorder="1" applyAlignment="1">
      <alignment horizontal="center"/>
    </xf>
    <xf numFmtId="0" fontId="36" fillId="0" borderId="158" xfId="0" applyFont="1" applyBorder="1"/>
    <xf numFmtId="0" fontId="120" fillId="26" borderId="129" xfId="0" applyFont="1" applyFill="1" applyBorder="1"/>
    <xf numFmtId="174" fontId="73" fillId="0" borderId="13" xfId="158" applyNumberFormat="1" applyFont="1" applyFill="1" applyBorder="1" applyAlignment="1">
      <alignment horizontal="center"/>
    </xf>
    <xf numFmtId="174" fontId="82" fillId="25" borderId="13" xfId="158" applyNumberFormat="1" applyFont="1" applyFill="1" applyBorder="1" applyAlignment="1">
      <alignment horizontal="center"/>
    </xf>
    <xf numFmtId="174" fontId="73" fillId="0" borderId="13" xfId="177" applyNumberFormat="1" applyFont="1" applyBorder="1" applyAlignment="1">
      <alignment horizontal="center"/>
    </xf>
    <xf numFmtId="0" fontId="113" fillId="26" borderId="136" xfId="0" applyFont="1" applyFill="1" applyBorder="1" applyAlignment="1">
      <alignment horizontal="center"/>
    </xf>
    <xf numFmtId="0" fontId="36" fillId="26" borderId="0" xfId="0" applyFont="1" applyFill="1" applyAlignment="1">
      <alignment horizontal="center"/>
    </xf>
    <xf numFmtId="170" fontId="36" fillId="0" borderId="13" xfId="0" applyNumberFormat="1" applyFont="1" applyBorder="1" applyAlignment="1">
      <alignment horizontal="center"/>
    </xf>
    <xf numFmtId="170" fontId="36" fillId="0" borderId="13" xfId="0" applyNumberFormat="1" applyFont="1" applyFill="1" applyBorder="1" applyAlignment="1">
      <alignment horizontal="center"/>
    </xf>
    <xf numFmtId="170" fontId="38" fillId="33" borderId="116" xfId="0" applyNumberFormat="1" applyFont="1" applyFill="1" applyBorder="1" applyAlignment="1">
      <alignment horizontal="center"/>
    </xf>
    <xf numFmtId="170" fontId="38" fillId="26" borderId="111" xfId="0" applyNumberFormat="1" applyFont="1" applyFill="1" applyBorder="1" applyAlignment="1">
      <alignment horizontal="center"/>
    </xf>
    <xf numFmtId="0" fontId="117" fillId="24" borderId="0" xfId="0" applyFont="1" applyFill="1" applyAlignment="1">
      <alignment horizontal="center"/>
    </xf>
    <xf numFmtId="0" fontId="106" fillId="24" borderId="0" xfId="0" applyFont="1" applyFill="1" applyAlignment="1">
      <alignment horizontal="center"/>
    </xf>
    <xf numFmtId="0" fontId="106" fillId="0" borderId="0" xfId="0" applyFont="1" applyAlignment="1">
      <alignment horizontal="center"/>
    </xf>
    <xf numFmtId="14" fontId="24" fillId="26" borderId="87" xfId="0" applyNumberFormat="1" applyFont="1" applyFill="1" applyBorder="1" applyAlignment="1">
      <alignment horizontal="center"/>
    </xf>
    <xf numFmtId="14" fontId="24" fillId="24" borderId="0" xfId="0" applyNumberFormat="1" applyFont="1" applyFill="1" applyBorder="1" applyAlignment="1">
      <alignment horizontal="center"/>
    </xf>
    <xf numFmtId="0" fontId="145" fillId="31" borderId="87" xfId="187" applyFont="1" applyFill="1" applyBorder="1" applyAlignment="1">
      <alignment horizontal="center"/>
    </xf>
    <xf numFmtId="2" fontId="120" fillId="0" borderId="102" xfId="0" applyNumberFormat="1" applyFont="1" applyBorder="1" applyAlignment="1">
      <alignment horizontal="center"/>
    </xf>
    <xf numFmtId="2" fontId="120" fillId="0" borderId="87" xfId="0" applyNumberFormat="1" applyFont="1" applyFill="1" applyBorder="1" applyAlignment="1">
      <alignment horizontal="center"/>
    </xf>
    <xf numFmtId="0" fontId="38" fillId="31" borderId="101" xfId="0" applyFont="1" applyFill="1" applyBorder="1" applyAlignment="1">
      <alignment horizontal="center"/>
    </xf>
    <xf numFmtId="181" fontId="120" fillId="24" borderId="79" xfId="0" applyNumberFormat="1" applyFont="1" applyFill="1" applyBorder="1" applyAlignment="1">
      <alignment horizontal="center"/>
    </xf>
    <xf numFmtId="2" fontId="120" fillId="24" borderId="60" xfId="0" applyNumberFormat="1" applyFont="1" applyFill="1" applyBorder="1" applyAlignment="1">
      <alignment horizontal="center"/>
    </xf>
    <xf numFmtId="14" fontId="120" fillId="24" borderId="78" xfId="0" applyNumberFormat="1" applyFont="1" applyFill="1" applyBorder="1" applyAlignment="1">
      <alignment horizontal="center"/>
    </xf>
    <xf numFmtId="4" fontId="118" fillId="24" borderId="131" xfId="195" applyNumberFormat="1" applyFont="1" applyFill="1" applyBorder="1" applyAlignment="1">
      <alignment horizontal="center" wrapText="1"/>
    </xf>
    <xf numFmtId="4" fontId="118" fillId="24" borderId="83" xfId="195" applyNumberFormat="1" applyFont="1" applyFill="1" applyBorder="1" applyAlignment="1">
      <alignment horizontal="center" wrapText="1"/>
    </xf>
    <xf numFmtId="14" fontId="38" fillId="26" borderId="0" xfId="0" applyNumberFormat="1" applyFont="1" applyFill="1" applyBorder="1" applyAlignment="1">
      <alignment horizontal="center"/>
    </xf>
    <xf numFmtId="14" fontId="38" fillId="26" borderId="0" xfId="0" applyNumberFormat="1" applyFont="1" applyFill="1"/>
    <xf numFmtId="180" fontId="105" fillId="0" borderId="25" xfId="0" applyNumberFormat="1" applyFont="1" applyFill="1" applyBorder="1" applyAlignment="1">
      <alignment horizontal="center"/>
    </xf>
    <xf numFmtId="4" fontId="7" fillId="30" borderId="77" xfId="0" applyNumberFormat="1" applyFont="1" applyFill="1" applyBorder="1" applyAlignment="1">
      <alignment horizontal="center"/>
    </xf>
    <xf numFmtId="181" fontId="47" fillId="30" borderId="78" xfId="0" applyNumberFormat="1" applyFont="1" applyFill="1" applyBorder="1" applyAlignment="1">
      <alignment horizontal="center"/>
    </xf>
    <xf numFmtId="4" fontId="7" fillId="30" borderId="21" xfId="0" applyNumberFormat="1" applyFont="1" applyFill="1" applyBorder="1" applyAlignment="1">
      <alignment horizontal="center" vertical="center"/>
    </xf>
    <xf numFmtId="9" fontId="7" fillId="30" borderId="21" xfId="205" applyFont="1" applyFill="1" applyBorder="1" applyAlignment="1">
      <alignment horizontal="center"/>
    </xf>
    <xf numFmtId="181" fontId="109" fillId="30" borderId="165" xfId="0" applyNumberFormat="1" applyFont="1" applyFill="1" applyBorder="1" applyAlignment="1">
      <alignment horizontal="center"/>
    </xf>
    <xf numFmtId="4" fontId="109" fillId="30" borderId="77" xfId="0" applyNumberFormat="1" applyFont="1" applyFill="1" applyBorder="1" applyAlignment="1">
      <alignment horizontal="center" vertical="center"/>
    </xf>
    <xf numFmtId="0" fontId="7" fillId="24" borderId="90" xfId="0" applyFont="1" applyFill="1" applyBorder="1" applyAlignment="1">
      <alignment horizontal="center" wrapText="1"/>
    </xf>
    <xf numFmtId="0" fontId="7" fillId="24" borderId="102" xfId="0" applyFont="1" applyFill="1" applyBorder="1" applyAlignment="1">
      <alignment horizontal="center" vertical="center" wrapText="1"/>
    </xf>
    <xf numFmtId="4" fontId="7" fillId="24" borderId="102" xfId="0" applyNumberFormat="1" applyFont="1" applyFill="1" applyBorder="1" applyAlignment="1">
      <alignment horizontal="center" vertical="center"/>
    </xf>
    <xf numFmtId="9" fontId="7" fillId="24" borderId="102" xfId="205" applyFont="1" applyFill="1" applyBorder="1" applyAlignment="1">
      <alignment horizontal="center"/>
    </xf>
    <xf numFmtId="0" fontId="7" fillId="24" borderId="103" xfId="0" applyFont="1" applyFill="1" applyBorder="1" applyAlignment="1">
      <alignment horizontal="center"/>
    </xf>
    <xf numFmtId="180" fontId="10" fillId="24" borderId="215" xfId="0" applyNumberFormat="1" applyFont="1" applyFill="1" applyBorder="1" applyAlignment="1">
      <alignment horizontal="center"/>
    </xf>
    <xf numFmtId="14" fontId="36" fillId="24" borderId="0" xfId="0" applyNumberFormat="1" applyFont="1" applyFill="1"/>
    <xf numFmtId="0" fontId="4" fillId="25" borderId="82" xfId="0" applyFont="1" applyFill="1" applyBorder="1" applyAlignment="1">
      <alignment horizontal="center"/>
    </xf>
    <xf numFmtId="181" fontId="105" fillId="0" borderId="13" xfId="205" applyNumberFormat="1" applyFont="1" applyFill="1" applyBorder="1" applyAlignment="1">
      <alignment horizontal="center"/>
    </xf>
    <xf numFmtId="170" fontId="5" fillId="24" borderId="13" xfId="0" applyNumberFormat="1" applyFont="1" applyFill="1" applyBorder="1" applyAlignment="1">
      <alignment horizontal="center"/>
    </xf>
    <xf numFmtId="0" fontId="36" fillId="24" borderId="83" xfId="0" applyFont="1" applyFill="1" applyBorder="1"/>
    <xf numFmtId="4" fontId="146" fillId="24" borderId="87" xfId="0" applyNumberFormat="1" applyFont="1" applyFill="1" applyBorder="1" applyAlignment="1">
      <alignment horizontal="center" vertical="center"/>
    </xf>
    <xf numFmtId="9" fontId="146" fillId="24" borderId="87" xfId="205" applyFont="1" applyFill="1" applyBorder="1" applyAlignment="1">
      <alignment horizontal="center" vertical="center"/>
    </xf>
    <xf numFmtId="0" fontId="93" fillId="0" borderId="109" xfId="0" applyFont="1" applyBorder="1"/>
    <xf numFmtId="0" fontId="93" fillId="24" borderId="83" xfId="0" applyFont="1" applyFill="1" applyBorder="1"/>
    <xf numFmtId="0" fontId="24" fillId="0" borderId="111" xfId="0" applyFont="1" applyBorder="1" applyAlignment="1">
      <alignment horizontal="center"/>
    </xf>
    <xf numFmtId="177" fontId="24" fillId="24" borderId="111" xfId="0" applyNumberFormat="1" applyFont="1" applyFill="1" applyBorder="1" applyAlignment="1">
      <alignment horizontal="center"/>
    </xf>
    <xf numFmtId="0" fontId="24" fillId="24" borderId="0" xfId="0" applyFont="1" applyFill="1" applyBorder="1" applyAlignment="1">
      <alignment horizontal="center"/>
    </xf>
    <xf numFmtId="177" fontId="24" fillId="24" borderId="0" xfId="0" applyNumberFormat="1" applyFont="1" applyFill="1" applyBorder="1" applyAlignment="1">
      <alignment horizontal="center"/>
    </xf>
    <xf numFmtId="0" fontId="13" fillId="0" borderId="30" xfId="0" applyFont="1" applyBorder="1"/>
    <xf numFmtId="4" fontId="133" fillId="32" borderId="87" xfId="197" applyNumberFormat="1" applyFont="1" applyFill="1" applyBorder="1" applyAlignment="1">
      <alignment horizontal="center" vertical="center" wrapText="1"/>
    </xf>
    <xf numFmtId="0" fontId="120" fillId="0" borderId="83" xfId="0" applyFont="1" applyBorder="1"/>
    <xf numFmtId="0" fontId="120" fillId="0" borderId="87" xfId="0" applyFont="1" applyBorder="1"/>
    <xf numFmtId="181" fontId="4" fillId="25" borderId="13" xfId="0" applyNumberFormat="1" applyFont="1" applyFill="1" applyBorder="1" applyAlignment="1">
      <alignment horizontal="center" vertical="center"/>
    </xf>
    <xf numFmtId="9" fontId="105" fillId="24" borderId="13" xfId="205" applyFont="1" applyFill="1" applyBorder="1" applyAlignment="1">
      <alignment horizontal="center"/>
    </xf>
    <xf numFmtId="9" fontId="137" fillId="24" borderId="13" xfId="205" applyFont="1" applyFill="1" applyBorder="1" applyAlignment="1">
      <alignment horizontal="center"/>
    </xf>
    <xf numFmtId="4" fontId="125" fillId="0" borderId="83" xfId="195" applyNumberFormat="1" applyFont="1" applyFill="1" applyBorder="1" applyAlignment="1">
      <alignment horizontal="center" wrapText="1"/>
    </xf>
    <xf numFmtId="2" fontId="5" fillId="26" borderId="13" xfId="0" applyNumberFormat="1" applyFont="1" applyFill="1" applyBorder="1"/>
    <xf numFmtId="174" fontId="7" fillId="0" borderId="13" xfId="0" applyNumberFormat="1" applyFont="1" applyFill="1" applyBorder="1" applyAlignment="1">
      <alignment horizontal="center"/>
    </xf>
    <xf numFmtId="174" fontId="36" fillId="24" borderId="13" xfId="0" applyNumberFormat="1" applyFont="1" applyFill="1" applyBorder="1" applyAlignment="1">
      <alignment horizontal="center"/>
    </xf>
    <xf numFmtId="174" fontId="36" fillId="26" borderId="13" xfId="0" applyNumberFormat="1" applyFont="1" applyFill="1" applyBorder="1" applyAlignment="1">
      <alignment horizontal="center"/>
    </xf>
    <xf numFmtId="174" fontId="36" fillId="0" borderId="23" xfId="0" applyNumberFormat="1" applyFont="1" applyBorder="1" applyAlignment="1">
      <alignment horizontal="center"/>
    </xf>
    <xf numFmtId="174" fontId="7" fillId="0" borderId="13" xfId="177" applyNumberFormat="1" applyFont="1" applyBorder="1" applyAlignment="1">
      <alignment horizontal="right"/>
    </xf>
    <xf numFmtId="174" fontId="7" fillId="0" borderId="13" xfId="177" applyNumberFormat="1" applyFont="1" applyFill="1" applyBorder="1" applyAlignment="1">
      <alignment horizontal="right"/>
    </xf>
    <xf numFmtId="0" fontId="5" fillId="26" borderId="21" xfId="177" applyFont="1" applyFill="1" applyBorder="1" applyAlignment="1">
      <alignment horizontal="center"/>
    </xf>
    <xf numFmtId="0" fontId="118" fillId="26" borderId="83" xfId="195" applyFont="1" applyFill="1" applyBorder="1" applyAlignment="1">
      <alignment horizontal="center" wrapText="1"/>
    </xf>
    <xf numFmtId="0" fontId="123" fillId="26" borderId="205" xfId="195" applyFont="1" applyFill="1" applyBorder="1" applyAlignment="1">
      <alignment horizontal="center" wrapText="1"/>
    </xf>
    <xf numFmtId="0" fontId="118" fillId="26" borderId="205" xfId="195" applyFont="1" applyFill="1" applyBorder="1" applyAlignment="1">
      <alignment horizontal="center" wrapText="1"/>
    </xf>
    <xf numFmtId="0" fontId="118" fillId="26" borderId="0" xfId="195" applyFont="1" applyFill="1" applyBorder="1" applyAlignment="1">
      <alignment horizontal="center" wrapText="1"/>
    </xf>
    <xf numFmtId="0" fontId="130" fillId="26" borderId="83" xfId="195" applyFont="1" applyFill="1" applyBorder="1" applyAlignment="1">
      <alignment horizontal="center" vertical="center" wrapText="1"/>
    </xf>
    <xf numFmtId="0" fontId="130" fillId="26" borderId="0" xfId="195" applyFont="1" applyFill="1" applyBorder="1" applyAlignment="1">
      <alignment horizontal="center" vertical="center" wrapText="1"/>
    </xf>
    <xf numFmtId="4" fontId="118" fillId="26" borderId="83" xfId="195" applyNumberFormat="1" applyFont="1" applyFill="1" applyBorder="1" applyAlignment="1">
      <alignment horizontal="center" wrapText="1"/>
    </xf>
    <xf numFmtId="4" fontId="118" fillId="26" borderId="135" xfId="195" applyNumberFormat="1" applyFont="1" applyFill="1" applyBorder="1" applyAlignment="1">
      <alignment horizontal="center" wrapText="1"/>
    </xf>
    <xf numFmtId="4" fontId="120" fillId="26" borderId="0" xfId="0" applyNumberFormat="1" applyFont="1" applyFill="1"/>
    <xf numFmtId="1" fontId="0" fillId="24" borderId="131" xfId="0" applyNumberFormat="1" applyFill="1" applyBorder="1" applyAlignment="1">
      <alignment horizontal="center"/>
    </xf>
    <xf numFmtId="4" fontId="133" fillId="36" borderId="217" xfId="197" applyNumberFormat="1" applyFont="1" applyFill="1" applyBorder="1" applyAlignment="1">
      <alignment horizontal="center" vertical="center" wrapText="1"/>
    </xf>
    <xf numFmtId="0" fontId="24" fillId="26" borderId="87" xfId="0" applyFont="1" applyFill="1" applyBorder="1" applyAlignment="1">
      <alignment horizontal="center"/>
    </xf>
    <xf numFmtId="3" fontId="38" fillId="26" borderId="158" xfId="0" applyNumberFormat="1" applyFont="1" applyFill="1" applyBorder="1" applyAlignment="1">
      <alignment horizontal="center" vertical="center"/>
    </xf>
    <xf numFmtId="4" fontId="118" fillId="24" borderId="31" xfId="195" applyNumberFormat="1" applyFont="1" applyFill="1" applyBorder="1" applyAlignment="1">
      <alignment horizontal="center" wrapText="1"/>
    </xf>
    <xf numFmtId="171" fontId="7" fillId="24" borderId="27" xfId="0" applyNumberFormat="1" applyFont="1" applyFill="1" applyBorder="1" applyAlignment="1">
      <alignment horizontal="center"/>
    </xf>
    <xf numFmtId="169" fontId="7" fillId="0" borderId="94" xfId="0" applyNumberFormat="1" applyFont="1" applyFill="1" applyBorder="1" applyAlignment="1">
      <alignment horizontal="center"/>
    </xf>
    <xf numFmtId="169" fontId="99" fillId="0" borderId="94" xfId="0" applyNumberFormat="1" applyFont="1" applyFill="1" applyBorder="1" applyAlignment="1">
      <alignment horizontal="center"/>
    </xf>
    <xf numFmtId="171" fontId="7" fillId="0" borderId="94" xfId="0" applyNumberFormat="1" applyFont="1" applyFill="1" applyBorder="1" applyAlignment="1">
      <alignment horizontal="center"/>
    </xf>
    <xf numFmtId="171" fontId="7" fillId="24" borderId="94" xfId="0" applyNumberFormat="1" applyFont="1" applyFill="1" applyBorder="1" applyAlignment="1">
      <alignment horizontal="center"/>
    </xf>
    <xf numFmtId="171" fontId="7" fillId="24" borderId="215" xfId="0" applyNumberFormat="1" applyFont="1" applyFill="1" applyBorder="1" applyAlignment="1">
      <alignment horizontal="center"/>
    </xf>
    <xf numFmtId="3" fontId="98" fillId="0" borderId="11" xfId="0" applyNumberFormat="1" applyFont="1" applyFill="1" applyBorder="1" applyAlignment="1">
      <alignment horizontal="center" vertical="center"/>
    </xf>
    <xf numFmtId="4" fontId="98" fillId="0" borderId="11" xfId="0" applyNumberFormat="1" applyFont="1" applyFill="1" applyBorder="1" applyAlignment="1">
      <alignment horizontal="center" vertical="center"/>
    </xf>
    <xf numFmtId="4" fontId="98" fillId="0" borderId="92" xfId="0" applyNumberFormat="1" applyFont="1" applyFill="1" applyBorder="1" applyAlignment="1">
      <alignment horizontal="center" vertical="center"/>
    </xf>
    <xf numFmtId="4" fontId="48" fillId="26" borderId="13" xfId="0" applyNumberFormat="1" applyFont="1" applyFill="1" applyBorder="1" applyAlignment="1">
      <alignment horizontal="center"/>
    </xf>
    <xf numFmtId="14" fontId="120" fillId="0" borderId="78" xfId="0" applyNumberFormat="1" applyFont="1" applyBorder="1" applyAlignment="1">
      <alignment horizontal="center"/>
    </xf>
    <xf numFmtId="10" fontId="0" fillId="0" borderId="101" xfId="0" applyNumberFormat="1" applyBorder="1" applyAlignment="1">
      <alignment horizontal="center"/>
    </xf>
    <xf numFmtId="10" fontId="0" fillId="0" borderId="137" xfId="0" applyNumberFormat="1" applyBorder="1" applyAlignment="1">
      <alignment horizontal="center"/>
    </xf>
    <xf numFmtId="10" fontId="0" fillId="0" borderId="87" xfId="0" applyNumberFormat="1" applyBorder="1" applyAlignment="1">
      <alignment horizontal="center"/>
    </xf>
    <xf numFmtId="0" fontId="130" fillId="0" borderId="109" xfId="195" applyFont="1" applyFill="1" applyBorder="1" applyAlignment="1">
      <alignment horizontal="center" wrapText="1"/>
    </xf>
    <xf numFmtId="0" fontId="130" fillId="0" borderId="111" xfId="195" applyFont="1" applyFill="1" applyBorder="1" applyAlignment="1">
      <alignment horizontal="center" wrapText="1"/>
    </xf>
    <xf numFmtId="0" fontId="130" fillId="0" borderId="110" xfId="195" applyFont="1" applyFill="1" applyBorder="1" applyAlignment="1">
      <alignment horizontal="center" wrapText="1"/>
    </xf>
    <xf numFmtId="0" fontId="130" fillId="0" borderId="56" xfId="195" applyFont="1" applyFill="1" applyBorder="1" applyAlignment="1">
      <alignment horizontal="center" wrapText="1"/>
    </xf>
    <xf numFmtId="0" fontId="130" fillId="0" borderId="31" xfId="195" applyFont="1" applyFill="1" applyBorder="1" applyAlignment="1">
      <alignment horizontal="center" wrapText="1"/>
    </xf>
    <xf numFmtId="4" fontId="125" fillId="24" borderId="30" xfId="195" applyNumberFormat="1" applyFont="1" applyFill="1" applyBorder="1" applyAlignment="1">
      <alignment horizontal="center" wrapText="1"/>
    </xf>
    <xf numFmtId="4" fontId="125" fillId="24" borderId="145" xfId="195" applyNumberFormat="1" applyFont="1" applyFill="1" applyBorder="1" applyAlignment="1">
      <alignment horizontal="center" wrapText="1"/>
    </xf>
    <xf numFmtId="174" fontId="36" fillId="0" borderId="57" xfId="0" applyNumberFormat="1" applyFont="1" applyFill="1" applyBorder="1" applyAlignment="1">
      <alignment horizontal="center" vertical="center"/>
    </xf>
    <xf numFmtId="174" fontId="38" fillId="0" borderId="57" xfId="0" applyNumberFormat="1" applyFont="1" applyFill="1" applyBorder="1" applyAlignment="1">
      <alignment horizontal="center" vertical="center"/>
    </xf>
    <xf numFmtId="174" fontId="36" fillId="0" borderId="252" xfId="0" applyNumberFormat="1" applyFont="1" applyFill="1" applyBorder="1" applyAlignment="1">
      <alignment horizontal="center" vertical="center"/>
    </xf>
    <xf numFmtId="0" fontId="24" fillId="26" borderId="0" xfId="0" applyFont="1" applyFill="1" applyBorder="1"/>
    <xf numFmtId="0" fontId="118" fillId="24" borderId="131" xfId="195" applyFont="1" applyFill="1" applyBorder="1" applyAlignment="1">
      <alignment horizontal="center" vertical="center" wrapText="1"/>
    </xf>
    <xf numFmtId="0" fontId="118" fillId="24" borderId="83" xfId="195" applyFont="1" applyFill="1" applyBorder="1" applyAlignment="1">
      <alignment horizontal="center" vertical="center" wrapText="1"/>
    </xf>
    <xf numFmtId="174" fontId="24" fillId="0" borderId="13" xfId="177" applyNumberFormat="1" applyFont="1" applyBorder="1" applyAlignment="1">
      <alignment horizontal="center" vertical="center"/>
    </xf>
    <xf numFmtId="174" fontId="24" fillId="0" borderId="13" xfId="177" applyNumberFormat="1" applyFont="1" applyFill="1" applyBorder="1" applyAlignment="1">
      <alignment horizontal="center" vertical="center"/>
    </xf>
    <xf numFmtId="4" fontId="0" fillId="0" borderId="0" xfId="0" applyNumberFormat="1" applyBorder="1"/>
    <xf numFmtId="3" fontId="0" fillId="0" borderId="0" xfId="0" applyNumberFormat="1" applyBorder="1" applyAlignment="1">
      <alignment horizontal="center" vertical="center"/>
    </xf>
    <xf numFmtId="0" fontId="0" fillId="0" borderId="0" xfId="0" applyBorder="1" applyAlignment="1">
      <alignment horizontal="center" vertical="center"/>
    </xf>
    <xf numFmtId="16" fontId="0" fillId="0" borderId="0" xfId="0" applyNumberFormat="1" applyBorder="1" applyAlignment="1">
      <alignment horizontal="center" vertical="center"/>
    </xf>
    <xf numFmtId="3" fontId="50" fillId="0" borderId="0" xfId="196" applyNumberFormat="1" applyFont="1" applyFill="1" applyBorder="1" applyAlignment="1">
      <alignment horizontal="center" vertical="center" wrapText="1"/>
    </xf>
    <xf numFmtId="4" fontId="123" fillId="31" borderId="83" xfId="195" applyNumberFormat="1" applyFont="1" applyFill="1" applyBorder="1" applyAlignment="1">
      <alignment horizontal="center" wrapText="1"/>
    </xf>
    <xf numFmtId="14" fontId="77" fillId="26" borderId="0" xfId="0" applyNumberFormat="1" applyFont="1" applyFill="1" applyAlignment="1">
      <alignment horizontal="center"/>
    </xf>
    <xf numFmtId="0" fontId="94" fillId="0" borderId="0" xfId="0" applyFont="1" applyFill="1" applyBorder="1" applyAlignment="1">
      <alignment horizontal="center"/>
    </xf>
    <xf numFmtId="3" fontId="7" fillId="0" borderId="0" xfId="0" applyNumberFormat="1" applyFont="1" applyAlignment="1">
      <alignment horizontal="center" vertical="center"/>
    </xf>
    <xf numFmtId="0" fontId="7" fillId="0" borderId="0" xfId="0" applyFont="1" applyAlignment="1">
      <alignment horizontal="center"/>
    </xf>
    <xf numFmtId="0" fontId="7" fillId="0" borderId="13" xfId="0" applyFont="1" applyFill="1" applyBorder="1" applyAlignment="1">
      <alignment wrapText="1"/>
    </xf>
    <xf numFmtId="0" fontId="7" fillId="24" borderId="13" xfId="0" applyFont="1" applyFill="1" applyBorder="1" applyAlignment="1">
      <alignment horizontal="center" wrapText="1"/>
    </xf>
    <xf numFmtId="3" fontId="7" fillId="0" borderId="13" xfId="0" applyNumberFormat="1" applyFont="1" applyFill="1" applyBorder="1" applyAlignment="1">
      <alignment horizontal="center" vertical="center"/>
    </xf>
    <xf numFmtId="164" fontId="7" fillId="0" borderId="13" xfId="0" applyNumberFormat="1" applyFont="1" applyFill="1" applyBorder="1" applyAlignment="1">
      <alignment horizontal="center"/>
    </xf>
    <xf numFmtId="9" fontId="7" fillId="24" borderId="13" xfId="205" applyFont="1" applyFill="1" applyBorder="1" applyAlignment="1">
      <alignment horizontal="center"/>
    </xf>
    <xf numFmtId="16" fontId="7" fillId="0" borderId="13" xfId="0" applyNumberFormat="1" applyFont="1" applyFill="1" applyBorder="1" applyAlignment="1">
      <alignment horizontal="center"/>
    </xf>
    <xf numFmtId="16" fontId="7" fillId="0" borderId="13" xfId="0" applyNumberFormat="1" applyFont="1" applyBorder="1" applyAlignment="1">
      <alignment horizontal="center"/>
    </xf>
    <xf numFmtId="3" fontId="11" fillId="0" borderId="13" xfId="0" applyNumberFormat="1" applyFont="1" applyFill="1" applyBorder="1" applyAlignment="1">
      <alignment horizontal="center" vertical="center"/>
    </xf>
    <xf numFmtId="4" fontId="11" fillId="0" borderId="13" xfId="0" applyNumberFormat="1" applyFont="1" applyFill="1" applyBorder="1" applyAlignment="1">
      <alignment horizontal="center"/>
    </xf>
    <xf numFmtId="3" fontId="7" fillId="0" borderId="0" xfId="0" applyNumberFormat="1" applyFont="1" applyFill="1" applyBorder="1" applyAlignment="1">
      <alignment horizontal="center" vertical="center"/>
    </xf>
    <xf numFmtId="16" fontId="47" fillId="0" borderId="13" xfId="0" applyNumberFormat="1" applyFont="1" applyFill="1" applyBorder="1" applyAlignment="1">
      <alignment horizontal="center"/>
    </xf>
    <xf numFmtId="1" fontId="47" fillId="0" borderId="13" xfId="205" applyNumberFormat="1" applyFont="1" applyFill="1" applyBorder="1" applyAlignment="1">
      <alignment horizontal="center"/>
    </xf>
    <xf numFmtId="0" fontId="11" fillId="0" borderId="13" xfId="0" applyFont="1" applyFill="1" applyBorder="1" applyAlignment="1">
      <alignment horizontal="center" wrapText="1"/>
    </xf>
    <xf numFmtId="4" fontId="11" fillId="0" borderId="13" xfId="0" applyNumberFormat="1" applyFont="1" applyFill="1" applyBorder="1" applyAlignment="1">
      <alignment horizontal="center" vertical="center"/>
    </xf>
    <xf numFmtId="164" fontId="11" fillId="0" borderId="13" xfId="0" applyNumberFormat="1" applyFont="1" applyFill="1" applyBorder="1" applyAlignment="1">
      <alignment horizontal="center"/>
    </xf>
    <xf numFmtId="179" fontId="47" fillId="0" borderId="13" xfId="0" applyNumberFormat="1" applyFont="1" applyBorder="1" applyAlignment="1">
      <alignment horizontal="center"/>
    </xf>
    <xf numFmtId="0" fontId="11" fillId="0" borderId="0" xfId="0" applyFont="1" applyFill="1" applyBorder="1" applyAlignment="1">
      <alignment horizontal="center" wrapText="1"/>
    </xf>
    <xf numFmtId="3" fontId="11" fillId="0" borderId="0" xfId="0" applyNumberFormat="1" applyFont="1" applyFill="1" applyBorder="1" applyAlignment="1">
      <alignment horizontal="center" vertical="center"/>
    </xf>
    <xf numFmtId="4" fontId="11" fillId="0" borderId="0" xfId="0" applyNumberFormat="1" applyFont="1" applyFill="1" applyBorder="1" applyAlignment="1">
      <alignment horizontal="center" vertical="center"/>
    </xf>
    <xf numFmtId="0" fontId="7" fillId="24" borderId="13" xfId="0" applyFont="1" applyFill="1" applyBorder="1" applyAlignment="1">
      <alignment vertical="center" wrapText="1"/>
    </xf>
    <xf numFmtId="3" fontId="109" fillId="0" borderId="13" xfId="0" applyNumberFormat="1" applyFont="1" applyFill="1" applyBorder="1" applyAlignment="1">
      <alignment horizontal="center" vertical="center"/>
    </xf>
    <xf numFmtId="3" fontId="7" fillId="26" borderId="13" xfId="0" applyNumberFormat="1" applyFont="1" applyFill="1" applyBorder="1" applyAlignment="1">
      <alignment horizontal="center" vertical="center"/>
    </xf>
    <xf numFmtId="2" fontId="7" fillId="0" borderId="13" xfId="0" applyNumberFormat="1" applyFont="1" applyFill="1" applyBorder="1" applyAlignment="1">
      <alignment horizontal="center" vertical="center"/>
    </xf>
    <xf numFmtId="164" fontId="7" fillId="0" borderId="13" xfId="0" applyNumberFormat="1" applyFont="1" applyFill="1" applyBorder="1" applyAlignment="1">
      <alignment horizontal="center" vertical="center"/>
    </xf>
    <xf numFmtId="181" fontId="7" fillId="0" borderId="13" xfId="0" applyNumberFormat="1" applyFont="1" applyFill="1" applyBorder="1" applyAlignment="1">
      <alignment vertical="center"/>
    </xf>
    <xf numFmtId="181" fontId="109" fillId="0" borderId="13" xfId="0" applyNumberFormat="1" applyFont="1" applyBorder="1" applyAlignment="1">
      <alignment horizontal="center" vertical="center"/>
    </xf>
    <xf numFmtId="181" fontId="7" fillId="0" borderId="0" xfId="0" applyNumberFormat="1" applyFont="1" applyAlignment="1">
      <alignment horizontal="center"/>
    </xf>
    <xf numFmtId="181" fontId="11" fillId="25" borderId="18" xfId="0" applyNumberFormat="1" applyFont="1" applyFill="1" applyBorder="1" applyAlignment="1">
      <alignment horizontal="center" vertical="center"/>
    </xf>
    <xf numFmtId="181" fontId="47" fillId="0" borderId="13" xfId="0" applyNumberFormat="1" applyFont="1" applyFill="1" applyBorder="1" applyAlignment="1">
      <alignment horizontal="center" vertical="center"/>
    </xf>
    <xf numFmtId="164" fontId="109" fillId="0" borderId="13" xfId="0" applyNumberFormat="1" applyFont="1" applyFill="1" applyBorder="1" applyAlignment="1">
      <alignment horizontal="center"/>
    </xf>
    <xf numFmtId="181" fontId="47" fillId="0" borderId="13" xfId="205" applyNumberFormat="1" applyFont="1" applyFill="1" applyBorder="1" applyAlignment="1">
      <alignment horizontal="center"/>
    </xf>
    <xf numFmtId="181" fontId="7" fillId="0" borderId="13" xfId="0" applyNumberFormat="1" applyFont="1" applyFill="1" applyBorder="1" applyAlignment="1">
      <alignment horizontal="center"/>
    </xf>
    <xf numFmtId="164" fontId="60" fillId="0" borderId="13" xfId="0" applyNumberFormat="1" applyFont="1" applyFill="1" applyBorder="1" applyAlignment="1">
      <alignment horizontal="center"/>
    </xf>
    <xf numFmtId="181" fontId="47" fillId="0" borderId="13" xfId="0" applyNumberFormat="1" applyFont="1" applyBorder="1" applyAlignment="1">
      <alignment horizontal="center"/>
    </xf>
    <xf numFmtId="0" fontId="7" fillId="0" borderId="17" xfId="0" applyFont="1" applyFill="1" applyBorder="1" applyAlignment="1">
      <alignment horizontal="left"/>
    </xf>
    <xf numFmtId="0" fontId="7" fillId="24" borderId="17" xfId="0" applyFont="1" applyFill="1" applyBorder="1" applyAlignment="1">
      <alignment horizontal="center"/>
    </xf>
    <xf numFmtId="3" fontId="41" fillId="24" borderId="13" xfId="0" applyNumberFormat="1" applyFont="1" applyFill="1" applyBorder="1" applyAlignment="1">
      <alignment horizontal="center" vertical="center"/>
    </xf>
    <xf numFmtId="4" fontId="95" fillId="0" borderId="77" xfId="184" applyNumberFormat="1" applyFont="1" applyFill="1" applyBorder="1" applyAlignment="1">
      <alignment horizontal="center" vertical="center"/>
    </xf>
    <xf numFmtId="165" fontId="7" fillId="0" borderId="13" xfId="0" applyNumberFormat="1" applyFont="1" applyFill="1" applyBorder="1" applyAlignment="1">
      <alignment horizontal="center"/>
    </xf>
    <xf numFmtId="0" fontId="7" fillId="24" borderId="17" xfId="0" applyFont="1" applyFill="1" applyBorder="1" applyAlignment="1">
      <alignment horizontal="left"/>
    </xf>
    <xf numFmtId="4" fontId="95" fillId="0" borderId="21" xfId="184" applyNumberFormat="1" applyFont="1" applyFill="1" applyBorder="1" applyAlignment="1">
      <alignment horizontal="center" vertical="center"/>
    </xf>
    <xf numFmtId="181" fontId="47" fillId="24" borderId="13" xfId="0" applyNumberFormat="1" applyFont="1" applyFill="1" applyBorder="1" applyAlignment="1">
      <alignment horizontal="center"/>
    </xf>
    <xf numFmtId="181" fontId="109" fillId="24" borderId="13" xfId="0" applyNumberFormat="1" applyFont="1" applyFill="1" applyBorder="1" applyAlignment="1">
      <alignment horizontal="center"/>
    </xf>
    <xf numFmtId="181" fontId="47" fillId="24" borderId="13" xfId="205" applyNumberFormat="1" applyFont="1" applyFill="1" applyBorder="1" applyAlignment="1">
      <alignment horizontal="center"/>
    </xf>
    <xf numFmtId="0" fontId="7" fillId="24" borderId="13" xfId="0" applyFont="1" applyFill="1" applyBorder="1" applyAlignment="1">
      <alignment horizontal="left"/>
    </xf>
    <xf numFmtId="181" fontId="7" fillId="24" borderId="13" xfId="0" applyNumberFormat="1" applyFont="1" applyFill="1" applyBorder="1" applyAlignment="1">
      <alignment horizontal="center"/>
    </xf>
    <xf numFmtId="181" fontId="7" fillId="0" borderId="13" xfId="0" applyNumberFormat="1" applyFont="1" applyFill="1" applyBorder="1" applyAlignment="1">
      <alignment horizontal="center" vertical="center" wrapText="1"/>
    </xf>
    <xf numFmtId="3" fontId="109" fillId="24" borderId="13" xfId="0" applyNumberFormat="1" applyFont="1" applyFill="1" applyBorder="1" applyAlignment="1">
      <alignment horizontal="center" vertical="center"/>
    </xf>
    <xf numFmtId="3" fontId="7" fillId="24" borderId="13" xfId="0" applyNumberFormat="1" applyFont="1" applyFill="1" applyBorder="1" applyAlignment="1">
      <alignment horizontal="center" vertical="center"/>
    </xf>
    <xf numFmtId="169" fontId="41" fillId="24" borderId="13" xfId="0" applyNumberFormat="1" applyFont="1" applyFill="1" applyBorder="1" applyAlignment="1">
      <alignment horizontal="center" vertical="center"/>
    </xf>
    <xf numFmtId="181" fontId="47" fillId="0" borderId="13" xfId="0" applyNumberFormat="1" applyFont="1" applyFill="1" applyBorder="1" applyAlignment="1">
      <alignment horizontal="center"/>
    </xf>
    <xf numFmtId="4" fontId="95" fillId="0" borderId="13" xfId="184" applyNumberFormat="1" applyFont="1" applyFill="1" applyBorder="1" applyAlignment="1">
      <alignment horizontal="center" vertical="center"/>
    </xf>
    <xf numFmtId="165" fontId="60" fillId="24" borderId="13" xfId="0" applyNumberFormat="1" applyFont="1" applyFill="1" applyBorder="1" applyAlignment="1">
      <alignment horizontal="center"/>
    </xf>
    <xf numFmtId="0" fontId="7" fillId="24" borderId="13" xfId="0" applyFont="1" applyFill="1" applyBorder="1"/>
    <xf numFmtId="181" fontId="109" fillId="0" borderId="13" xfId="0" applyNumberFormat="1" applyFont="1" applyFill="1" applyBorder="1" applyAlignment="1">
      <alignment horizontal="center"/>
    </xf>
    <xf numFmtId="165" fontId="7" fillId="24" borderId="13" xfId="0" applyNumberFormat="1" applyFont="1" applyFill="1" applyBorder="1" applyAlignment="1">
      <alignment horizontal="center"/>
    </xf>
    <xf numFmtId="181" fontId="7" fillId="24" borderId="13" xfId="0" applyNumberFormat="1" applyFont="1" applyFill="1" applyBorder="1" applyAlignment="1">
      <alignment horizontal="center" vertical="center" wrapText="1"/>
    </xf>
    <xf numFmtId="181" fontId="7" fillId="0" borderId="13" xfId="205" applyNumberFormat="1" applyFont="1" applyFill="1" applyBorder="1" applyAlignment="1">
      <alignment horizontal="center"/>
    </xf>
    <xf numFmtId="0" fontId="69" fillId="24" borderId="13" xfId="173" applyFont="1" applyFill="1" applyBorder="1" applyAlignment="1">
      <alignment vertical="center" wrapText="1"/>
    </xf>
    <xf numFmtId="165" fontId="49" fillId="0" borderId="13" xfId="0" applyNumberFormat="1" applyFont="1" applyFill="1" applyBorder="1" applyAlignment="1">
      <alignment horizontal="center"/>
    </xf>
    <xf numFmtId="4" fontId="95" fillId="0" borderId="116" xfId="184" applyNumberFormat="1" applyFont="1" applyFill="1" applyBorder="1" applyAlignment="1">
      <alignment horizontal="center" vertical="center"/>
    </xf>
    <xf numFmtId="165" fontId="60" fillId="0" borderId="13" xfId="0" applyNumberFormat="1" applyFont="1" applyFill="1" applyBorder="1" applyAlignment="1">
      <alignment horizontal="center"/>
    </xf>
    <xf numFmtId="0" fontId="11" fillId="0" borderId="17" xfId="0" applyFont="1" applyFill="1" applyBorder="1" applyAlignment="1">
      <alignment horizontal="center"/>
    </xf>
    <xf numFmtId="170" fontId="11" fillId="0" borderId="13" xfId="0" applyNumberFormat="1" applyFont="1" applyFill="1" applyBorder="1" applyAlignment="1">
      <alignment horizontal="center"/>
    </xf>
    <xf numFmtId="1" fontId="7" fillId="0" borderId="13" xfId="205" applyNumberFormat="1" applyFont="1" applyFill="1" applyBorder="1" applyAlignment="1">
      <alignment horizontal="center"/>
    </xf>
    <xf numFmtId="9" fontId="7" fillId="0" borderId="0" xfId="205" applyFont="1" applyFill="1" applyBorder="1" applyAlignment="1">
      <alignment horizontal="center"/>
    </xf>
    <xf numFmtId="181" fontId="7" fillId="0" borderId="18" xfId="0" applyNumberFormat="1" applyFont="1" applyFill="1" applyBorder="1" applyAlignment="1">
      <alignment horizontal="center" vertical="center"/>
    </xf>
    <xf numFmtId="181" fontId="7" fillId="24" borderId="13" xfId="205" applyNumberFormat="1" applyFont="1" applyFill="1" applyBorder="1" applyAlignment="1">
      <alignment horizontal="center"/>
    </xf>
    <xf numFmtId="181" fontId="7" fillId="24" borderId="18" xfId="205" applyNumberFormat="1" applyFont="1" applyFill="1" applyBorder="1" applyAlignment="1">
      <alignment horizontal="center"/>
    </xf>
    <xf numFmtId="181" fontId="7" fillId="0" borderId="18" xfId="205" applyNumberFormat="1" applyFont="1" applyFill="1" applyBorder="1" applyAlignment="1">
      <alignment horizontal="center"/>
    </xf>
    <xf numFmtId="181" fontId="47" fillId="0" borderId="18" xfId="205" applyNumberFormat="1" applyFont="1" applyFill="1" applyBorder="1" applyAlignment="1">
      <alignment horizontal="center"/>
    </xf>
    <xf numFmtId="181" fontId="109" fillId="0" borderId="13" xfId="205" applyNumberFormat="1" applyFont="1" applyFill="1" applyBorder="1" applyAlignment="1">
      <alignment horizontal="center"/>
    </xf>
    <xf numFmtId="181" fontId="47" fillId="0" borderId="18" xfId="0" applyNumberFormat="1" applyFont="1" applyFill="1" applyBorder="1" applyAlignment="1">
      <alignment horizontal="center" vertical="center"/>
    </xf>
    <xf numFmtId="181" fontId="109" fillId="0" borderId="18" xfId="0" applyNumberFormat="1" applyFont="1" applyFill="1" applyBorder="1" applyAlignment="1">
      <alignment horizontal="center" vertical="center"/>
    </xf>
    <xf numFmtId="181" fontId="47" fillId="24" borderId="18" xfId="0" applyNumberFormat="1" applyFont="1" applyFill="1" applyBorder="1" applyAlignment="1">
      <alignment horizontal="center" vertical="center"/>
    </xf>
    <xf numFmtId="0" fontId="47" fillId="0" borderId="13" xfId="0" applyFont="1" applyFill="1" applyBorder="1" applyAlignment="1">
      <alignment horizontal="center"/>
    </xf>
    <xf numFmtId="3" fontId="60" fillId="26" borderId="18" xfId="0" applyNumberFormat="1" applyFont="1" applyFill="1" applyBorder="1" applyAlignment="1">
      <alignment horizontal="center" vertical="center"/>
    </xf>
    <xf numFmtId="170" fontId="11" fillId="26" borderId="13" xfId="0" applyNumberFormat="1" applyFont="1" applyFill="1" applyBorder="1" applyAlignment="1">
      <alignment horizontal="center"/>
    </xf>
    <xf numFmtId="3" fontId="120" fillId="24" borderId="87" xfId="0" applyNumberFormat="1" applyFont="1" applyFill="1" applyBorder="1" applyAlignment="1">
      <alignment horizontal="center"/>
    </xf>
    <xf numFmtId="0" fontId="7" fillId="24" borderId="13" xfId="0" applyFont="1" applyFill="1" applyBorder="1" applyAlignment="1">
      <alignment wrapText="1"/>
    </xf>
    <xf numFmtId="1" fontId="7" fillId="24" borderId="13" xfId="0" applyNumberFormat="1" applyFont="1" applyFill="1" applyBorder="1" applyAlignment="1">
      <alignment horizontal="center" vertical="center"/>
    </xf>
    <xf numFmtId="43" fontId="7" fillId="24" borderId="13" xfId="157" applyNumberFormat="1" applyFont="1" applyFill="1" applyBorder="1" applyAlignment="1">
      <alignment horizontal="center" vertical="center"/>
    </xf>
    <xf numFmtId="43" fontId="7" fillId="24" borderId="13" xfId="157" applyNumberFormat="1" applyFont="1" applyFill="1" applyBorder="1" applyAlignment="1">
      <alignment horizontal="center"/>
    </xf>
    <xf numFmtId="43" fontId="49" fillId="0" borderId="13" xfId="157" applyNumberFormat="1" applyFont="1" applyFill="1" applyBorder="1" applyAlignment="1">
      <alignment horizontal="center"/>
    </xf>
    <xf numFmtId="43" fontId="49" fillId="0" borderId="13" xfId="157" applyNumberFormat="1" applyFont="1" applyFill="1" applyBorder="1" applyAlignment="1">
      <alignment horizontal="center" vertical="center"/>
    </xf>
    <xf numFmtId="1" fontId="60" fillId="0" borderId="13" xfId="0" applyNumberFormat="1" applyFont="1" applyFill="1" applyBorder="1" applyAlignment="1">
      <alignment horizontal="center" vertical="center"/>
    </xf>
    <xf numFmtId="1" fontId="7" fillId="0" borderId="13" xfId="0" applyNumberFormat="1" applyFont="1" applyFill="1" applyBorder="1" applyAlignment="1">
      <alignment horizontal="center" vertical="center"/>
    </xf>
    <xf numFmtId="43" fontId="11" fillId="0" borderId="13" xfId="157" applyNumberFormat="1" applyFont="1" applyFill="1" applyBorder="1" applyAlignment="1">
      <alignment horizontal="center" vertical="center"/>
    </xf>
    <xf numFmtId="43" fontId="11" fillId="0" borderId="13" xfId="157" applyNumberFormat="1" applyFont="1" applyFill="1" applyBorder="1" applyAlignment="1">
      <alignment horizontal="center"/>
    </xf>
    <xf numFmtId="2" fontId="49" fillId="0" borderId="13" xfId="0" applyNumberFormat="1" applyFont="1" applyFill="1" applyBorder="1" applyAlignment="1">
      <alignment horizontal="center"/>
    </xf>
    <xf numFmtId="174" fontId="7" fillId="0" borderId="13" xfId="0" applyNumberFormat="1" applyFont="1" applyFill="1" applyBorder="1" applyAlignment="1">
      <alignment horizontal="center" vertical="center"/>
    </xf>
    <xf numFmtId="0" fontId="11" fillId="0" borderId="13" xfId="0" applyFont="1" applyFill="1" applyBorder="1" applyAlignment="1">
      <alignment horizontal="center" vertical="center" wrapText="1"/>
    </xf>
    <xf numFmtId="2" fontId="11" fillId="0" borderId="13" xfId="0" applyNumberFormat="1" applyFont="1" applyFill="1" applyBorder="1" applyAlignment="1">
      <alignment horizontal="center" vertical="center"/>
    </xf>
    <xf numFmtId="174" fontId="7" fillId="24" borderId="13" xfId="0" applyNumberFormat="1" applyFont="1" applyFill="1" applyBorder="1" applyAlignment="1">
      <alignment horizontal="center"/>
    </xf>
    <xf numFmtId="1" fontId="7" fillId="24" borderId="13" xfId="0" applyNumberFormat="1" applyFont="1" applyFill="1" applyBorder="1" applyAlignment="1">
      <alignment horizontal="center"/>
    </xf>
    <xf numFmtId="3" fontId="11" fillId="0" borderId="13" xfId="0" applyNumberFormat="1" applyFont="1" applyFill="1" applyBorder="1" applyAlignment="1">
      <alignment horizontal="center"/>
    </xf>
    <xf numFmtId="2" fontId="109" fillId="0" borderId="13" xfId="0" applyNumberFormat="1" applyFont="1" applyFill="1" applyBorder="1" applyAlignment="1">
      <alignment horizontal="center" vertical="center"/>
    </xf>
    <xf numFmtId="9" fontId="49" fillId="24" borderId="13" xfId="205" applyFont="1" applyFill="1" applyBorder="1" applyAlignment="1">
      <alignment horizontal="center"/>
    </xf>
    <xf numFmtId="174" fontId="49" fillId="0" borderId="13" xfId="0" applyNumberFormat="1" applyFont="1" applyFill="1" applyBorder="1" applyAlignment="1">
      <alignment horizontal="center" vertical="center"/>
    </xf>
    <xf numFmtId="0" fontId="47" fillId="24" borderId="13" xfId="0" applyFont="1" applyFill="1" applyBorder="1" applyAlignment="1">
      <alignment horizontal="center"/>
    </xf>
    <xf numFmtId="2" fontId="60" fillId="0" borderId="13" xfId="0" applyNumberFormat="1" applyFont="1" applyFill="1" applyBorder="1" applyAlignment="1">
      <alignment horizontal="center" vertical="center"/>
    </xf>
    <xf numFmtId="1" fontId="7" fillId="0" borderId="0" xfId="0" applyNumberFormat="1" applyFont="1" applyFill="1" applyBorder="1" applyAlignment="1">
      <alignment horizontal="center" vertical="center"/>
    </xf>
    <xf numFmtId="1" fontId="7" fillId="0" borderId="0" xfId="0" applyNumberFormat="1" applyFont="1" applyFill="1" applyBorder="1" applyAlignment="1">
      <alignment horizontal="center"/>
    </xf>
    <xf numFmtId="1" fontId="11" fillId="25" borderId="13" xfId="0" applyNumberFormat="1" applyFont="1" applyFill="1" applyBorder="1" applyAlignment="1">
      <alignment horizontal="center" vertical="center"/>
    </xf>
    <xf numFmtId="1" fontId="11" fillId="25" borderId="13" xfId="0" applyNumberFormat="1" applyFont="1" applyFill="1" applyBorder="1" applyAlignment="1">
      <alignment horizontal="center"/>
    </xf>
    <xf numFmtId="1" fontId="36" fillId="0" borderId="0" xfId="0" applyNumberFormat="1" applyFont="1"/>
    <xf numFmtId="174" fontId="4" fillId="0" borderId="13" xfId="0" applyNumberFormat="1" applyFont="1" applyBorder="1" applyAlignment="1">
      <alignment horizontal="center"/>
    </xf>
    <xf numFmtId="0" fontId="106" fillId="26" borderId="0" xfId="0" applyFont="1" applyFill="1" applyBorder="1" applyAlignment="1">
      <alignment horizontal="center"/>
    </xf>
    <xf numFmtId="1" fontId="109" fillId="0" borderId="13" xfId="0" applyNumberFormat="1" applyFont="1" applyFill="1" applyBorder="1" applyAlignment="1">
      <alignment horizontal="center" vertical="center"/>
    </xf>
    <xf numFmtId="3" fontId="4" fillId="24" borderId="13" xfId="0" applyNumberFormat="1" applyFont="1" applyFill="1" applyBorder="1" applyAlignment="1">
      <alignment horizontal="center" vertical="center"/>
    </xf>
    <xf numFmtId="0" fontId="115" fillId="24" borderId="218" xfId="187" applyFont="1" applyFill="1" applyBorder="1" applyAlignment="1">
      <alignment horizontal="center"/>
    </xf>
    <xf numFmtId="0" fontId="0" fillId="24" borderId="135" xfId="0" applyFill="1" applyBorder="1" applyAlignment="1">
      <alignment horizontal="center"/>
    </xf>
    <xf numFmtId="0" fontId="115" fillId="24" borderId="19" xfId="187" applyFont="1" applyFill="1" applyBorder="1" applyAlignment="1">
      <alignment horizontal="center"/>
    </xf>
    <xf numFmtId="0" fontId="115" fillId="24" borderId="126" xfId="187" applyFont="1" applyFill="1" applyBorder="1" applyAlignment="1">
      <alignment horizontal="center"/>
    </xf>
    <xf numFmtId="0" fontId="115" fillId="24" borderId="137" xfId="187" applyFont="1" applyFill="1" applyBorder="1" applyAlignment="1">
      <alignment horizontal="center"/>
    </xf>
    <xf numFmtId="0" fontId="115" fillId="24" borderId="28" xfId="187" applyFont="1" applyFill="1" applyBorder="1" applyAlignment="1">
      <alignment horizontal="center"/>
    </xf>
    <xf numFmtId="0" fontId="82" fillId="24" borderId="253" xfId="179" applyFont="1" applyFill="1" applyBorder="1" applyAlignment="1">
      <alignment horizontal="center" wrapText="1"/>
    </xf>
    <xf numFmtId="2" fontId="36" fillId="0" borderId="0" xfId="0" applyNumberFormat="1" applyFont="1" applyBorder="1" applyAlignment="1">
      <alignment horizontal="center"/>
    </xf>
    <xf numFmtId="0" fontId="0" fillId="32" borderId="0" xfId="0" applyFill="1"/>
    <xf numFmtId="0" fontId="103" fillId="32" borderId="0" xfId="0" applyFont="1" applyFill="1"/>
    <xf numFmtId="1" fontId="0" fillId="24" borderId="56" xfId="0" applyNumberFormat="1" applyFill="1" applyBorder="1" applyAlignment="1">
      <alignment horizontal="center"/>
    </xf>
    <xf numFmtId="2" fontId="0" fillId="26" borderId="128" xfId="0" applyNumberFormat="1" applyFill="1" applyBorder="1" applyAlignment="1">
      <alignment horizontal="center"/>
    </xf>
    <xf numFmtId="181" fontId="5" fillId="26" borderId="18" xfId="0" applyNumberFormat="1" applyFont="1" applyFill="1" applyBorder="1" applyAlignment="1">
      <alignment horizontal="center" vertical="center"/>
    </xf>
    <xf numFmtId="0" fontId="36" fillId="26" borderId="0" xfId="0" applyFont="1" applyFill="1"/>
    <xf numFmtId="14" fontId="0" fillId="26" borderId="0" xfId="0" applyNumberFormat="1" applyFill="1" applyAlignment="1">
      <alignment horizontal="center"/>
    </xf>
    <xf numFmtId="0" fontId="132" fillId="26" borderId="144" xfId="189" applyFont="1" applyFill="1" applyBorder="1" applyAlignment="1">
      <alignment horizontal="center"/>
    </xf>
    <xf numFmtId="0" fontId="115" fillId="26" borderId="148" xfId="187" applyFont="1" applyFill="1" applyBorder="1" applyAlignment="1">
      <alignment horizontal="center"/>
    </xf>
    <xf numFmtId="0" fontId="38" fillId="24" borderId="131" xfId="179" applyFont="1" applyFill="1" applyBorder="1" applyAlignment="1">
      <alignment horizontal="center" wrapText="1"/>
    </xf>
    <xf numFmtId="0" fontId="154" fillId="0" borderId="144" xfId="189" applyBorder="1" applyAlignment="1">
      <alignment horizontal="center"/>
    </xf>
    <xf numFmtId="0" fontId="154" fillId="0" borderId="115" xfId="189" applyBorder="1" applyAlignment="1">
      <alignment horizontal="center"/>
    </xf>
    <xf numFmtId="0" fontId="154" fillId="0" borderId="143" xfId="189" applyBorder="1" applyAlignment="1">
      <alignment horizontal="center"/>
    </xf>
    <xf numFmtId="0" fontId="154" fillId="0" borderId="158" xfId="193" applyBorder="1" applyAlignment="1">
      <alignment horizontal="center"/>
    </xf>
    <xf numFmtId="0" fontId="154" fillId="0" borderId="164" xfId="193" applyBorder="1" applyAlignment="1">
      <alignment horizontal="center"/>
    </xf>
    <xf numFmtId="0" fontId="154" fillId="0" borderId="129" xfId="193" applyBorder="1" applyAlignment="1">
      <alignment horizontal="center"/>
    </xf>
    <xf numFmtId="0" fontId="154" fillId="0" borderId="124" xfId="191" applyBorder="1" applyAlignment="1">
      <alignment horizontal="center"/>
    </xf>
    <xf numFmtId="0" fontId="154" fillId="0" borderId="141" xfId="191" applyBorder="1" applyAlignment="1">
      <alignment horizontal="center"/>
    </xf>
    <xf numFmtId="0" fontId="154" fillId="0" borderId="125" xfId="191" applyBorder="1" applyAlignment="1">
      <alignment horizontal="center"/>
    </xf>
    <xf numFmtId="181" fontId="106" fillId="0" borderId="18" xfId="0" applyNumberFormat="1" applyFont="1" applyFill="1" applyBorder="1" applyAlignment="1">
      <alignment horizontal="center" vertical="center"/>
    </xf>
    <xf numFmtId="0" fontId="117" fillId="26" borderId="0" xfId="0" applyFont="1" applyFill="1" applyAlignment="1">
      <alignment horizontal="center"/>
    </xf>
    <xf numFmtId="0" fontId="38" fillId="31" borderId="31" xfId="0" applyFont="1" applyFill="1" applyBorder="1" applyAlignment="1">
      <alignment horizontal="center"/>
    </xf>
    <xf numFmtId="181" fontId="5" fillId="24" borderId="18" xfId="0" applyNumberFormat="1" applyFont="1" applyFill="1" applyBorder="1" applyAlignment="1">
      <alignment horizontal="center" vertical="center"/>
    </xf>
    <xf numFmtId="0" fontId="36" fillId="24" borderId="56" xfId="179" applyFont="1" applyFill="1" applyBorder="1" applyAlignment="1">
      <alignment horizontal="center" wrapText="1"/>
    </xf>
    <xf numFmtId="0" fontId="143" fillId="0" borderId="56" xfId="189" applyFont="1" applyBorder="1" applyAlignment="1">
      <alignment horizontal="center"/>
    </xf>
    <xf numFmtId="0" fontId="154" fillId="0" borderId="87" xfId="191" applyBorder="1" applyAlignment="1">
      <alignment horizontal="center"/>
    </xf>
    <xf numFmtId="0" fontId="154" fillId="0" borderId="31" xfId="193" applyBorder="1" applyAlignment="1">
      <alignment horizontal="center"/>
    </xf>
    <xf numFmtId="0" fontId="115" fillId="24" borderId="87" xfId="187" applyFont="1" applyFill="1" applyBorder="1" applyAlignment="1">
      <alignment horizontal="center"/>
    </xf>
    <xf numFmtId="0" fontId="115" fillId="24" borderId="31" xfId="187" applyFont="1" applyFill="1" applyBorder="1" applyAlignment="1">
      <alignment horizontal="center"/>
    </xf>
    <xf numFmtId="2" fontId="38" fillId="0" borderId="116" xfId="0" applyNumberFormat="1" applyFont="1" applyBorder="1" applyAlignment="1">
      <alignment horizontal="center"/>
    </xf>
    <xf numFmtId="180" fontId="24" fillId="0" borderId="251" xfId="0" applyNumberFormat="1" applyFont="1" applyBorder="1" applyAlignment="1">
      <alignment horizontal="center"/>
    </xf>
    <xf numFmtId="180" fontId="106" fillId="0" borderId="24" xfId="0" applyNumberFormat="1" applyFont="1" applyBorder="1" applyAlignment="1">
      <alignment horizontal="center"/>
    </xf>
    <xf numFmtId="180" fontId="148" fillId="24" borderId="13" xfId="0" applyNumberFormat="1" applyFont="1" applyFill="1" applyBorder="1" applyAlignment="1">
      <alignment horizontal="center"/>
    </xf>
    <xf numFmtId="0" fontId="12" fillId="26" borderId="0" xfId="0" applyFont="1" applyFill="1"/>
    <xf numFmtId="0" fontId="46" fillId="26" borderId="13" xfId="0" applyFont="1" applyFill="1" applyBorder="1" applyAlignment="1">
      <alignment horizontal="center"/>
    </xf>
    <xf numFmtId="2" fontId="24" fillId="0" borderId="0" xfId="0" applyNumberFormat="1" applyFont="1"/>
    <xf numFmtId="174" fontId="5" fillId="0" borderId="0" xfId="0" applyNumberFormat="1" applyFont="1" applyFill="1"/>
    <xf numFmtId="0" fontId="116" fillId="26" borderId="141" xfId="187" applyFont="1" applyFill="1" applyBorder="1" applyAlignment="1">
      <alignment horizontal="center"/>
    </xf>
    <xf numFmtId="0" fontId="147" fillId="26" borderId="0" xfId="0" applyFont="1" applyFill="1" applyAlignment="1">
      <alignment horizontal="center"/>
    </xf>
    <xf numFmtId="0" fontId="123" fillId="26" borderId="141" xfId="187" applyFont="1" applyFill="1" applyBorder="1" applyAlignment="1">
      <alignment horizontal="center"/>
    </xf>
    <xf numFmtId="174" fontId="36" fillId="0" borderId="13" xfId="0" applyNumberFormat="1" applyFont="1" applyFill="1" applyBorder="1" applyAlignment="1">
      <alignment horizontal="right"/>
    </xf>
    <xf numFmtId="174" fontId="66" fillId="0" borderId="13" xfId="0" applyNumberFormat="1" applyFont="1" applyFill="1" applyBorder="1" applyAlignment="1">
      <alignment horizontal="right"/>
    </xf>
    <xf numFmtId="174" fontId="66" fillId="0" borderId="13" xfId="0" applyNumberFormat="1" applyFont="1" applyBorder="1"/>
    <xf numFmtId="0" fontId="36" fillId="26" borderId="148" xfId="179" applyFont="1" applyFill="1" applyBorder="1" applyAlignment="1">
      <alignment horizontal="center" wrapText="1"/>
    </xf>
    <xf numFmtId="0" fontId="154" fillId="26" borderId="144" xfId="189" applyFill="1" applyBorder="1" applyAlignment="1">
      <alignment horizontal="center"/>
    </xf>
    <xf numFmtId="0" fontId="154" fillId="26" borderId="141" xfId="191" applyFill="1" applyBorder="1" applyAlignment="1">
      <alignment horizontal="center"/>
    </xf>
    <xf numFmtId="0" fontId="154" fillId="26" borderId="164" xfId="193" applyFill="1" applyBorder="1" applyAlignment="1">
      <alignment horizontal="center"/>
    </xf>
    <xf numFmtId="0" fontId="115" fillId="26" borderId="123" xfId="187" applyFont="1" applyFill="1" applyBorder="1" applyAlignment="1">
      <alignment horizontal="center"/>
    </xf>
    <xf numFmtId="0" fontId="115" fillId="26" borderId="159" xfId="187" applyFont="1" applyFill="1" applyBorder="1" applyAlignment="1">
      <alignment horizontal="center"/>
    </xf>
    <xf numFmtId="0" fontId="115" fillId="26" borderId="19" xfId="187" applyFont="1" applyFill="1" applyBorder="1" applyAlignment="1">
      <alignment horizontal="center"/>
    </xf>
    <xf numFmtId="0" fontId="36" fillId="26" borderId="17" xfId="179" applyFont="1" applyFill="1" applyBorder="1" applyAlignment="1">
      <alignment horizontal="center" wrapText="1"/>
    </xf>
    <xf numFmtId="0" fontId="115" fillId="26" borderId="164" xfId="187" applyFont="1" applyFill="1" applyBorder="1" applyAlignment="1">
      <alignment horizontal="center"/>
    </xf>
    <xf numFmtId="0" fontId="0" fillId="0" borderId="101" xfId="0" applyBorder="1"/>
    <xf numFmtId="184" fontId="72" fillId="0" borderId="13" xfId="157" applyNumberFormat="1" applyFont="1" applyBorder="1" applyAlignment="1">
      <alignment horizontal="center"/>
    </xf>
    <xf numFmtId="2" fontId="11" fillId="25" borderId="18" xfId="0" applyNumberFormat="1" applyFont="1" applyFill="1" applyBorder="1" applyAlignment="1">
      <alignment horizontal="center"/>
    </xf>
    <xf numFmtId="2" fontId="72" fillId="25" borderId="18" xfId="0" applyNumberFormat="1" applyFont="1" applyFill="1" applyBorder="1" applyAlignment="1">
      <alignment horizontal="center"/>
    </xf>
    <xf numFmtId="43" fontId="11" fillId="0" borderId="81" xfId="157" applyFont="1" applyFill="1" applyBorder="1" applyAlignment="1">
      <alignment horizontal="left"/>
    </xf>
    <xf numFmtId="184" fontId="72" fillId="0" borderId="78" xfId="157" applyNumberFormat="1" applyFont="1" applyBorder="1" applyAlignment="1">
      <alignment horizontal="center"/>
    </xf>
    <xf numFmtId="43" fontId="11" fillId="0" borderId="90" xfId="157" applyFont="1" applyFill="1" applyBorder="1" applyAlignment="1">
      <alignment horizontal="left"/>
    </xf>
    <xf numFmtId="2" fontId="72" fillId="0" borderId="78" xfId="157" applyNumberFormat="1" applyFont="1" applyBorder="1" applyAlignment="1">
      <alignment horizontal="center"/>
    </xf>
    <xf numFmtId="184" fontId="149" fillId="0" borderId="103" xfId="157" applyNumberFormat="1" applyFont="1" applyBorder="1" applyAlignment="1">
      <alignment horizontal="center"/>
    </xf>
    <xf numFmtId="4" fontId="73" fillId="24" borderId="13" xfId="177" applyNumberFormat="1" applyFont="1" applyFill="1" applyBorder="1" applyAlignment="1">
      <alignment horizontal="center"/>
    </xf>
    <xf numFmtId="0" fontId="150" fillId="26" borderId="0" xfId="0" applyFont="1" applyFill="1" applyAlignment="1">
      <alignment horizontal="center"/>
    </xf>
    <xf numFmtId="0" fontId="85" fillId="26" borderId="56" xfId="187" applyFont="1" applyFill="1" applyBorder="1"/>
    <xf numFmtId="0" fontId="115" fillId="24" borderId="30" xfId="187" applyFont="1" applyFill="1" applyBorder="1" applyAlignment="1">
      <alignment horizontal="center"/>
    </xf>
    <xf numFmtId="0" fontId="0" fillId="0" borderId="87" xfId="0" applyBorder="1"/>
    <xf numFmtId="0" fontId="48" fillId="25" borderId="13" xfId="177" applyFont="1" applyFill="1" applyBorder="1"/>
    <xf numFmtId="0" fontId="50" fillId="32" borderId="0" xfId="0" applyFont="1" applyFill="1"/>
    <xf numFmtId="181" fontId="47" fillId="0" borderId="0" xfId="0" applyNumberFormat="1" applyFont="1" applyFill="1" applyBorder="1" applyAlignment="1">
      <alignment horizontal="center"/>
    </xf>
    <xf numFmtId="3" fontId="11" fillId="25" borderId="111" xfId="0" applyNumberFormat="1" applyFont="1" applyFill="1" applyBorder="1" applyAlignment="1">
      <alignment horizontal="center" vertical="center"/>
    </xf>
    <xf numFmtId="3" fontId="11" fillId="25" borderId="112" xfId="0" applyNumberFormat="1" applyFont="1" applyFill="1" applyBorder="1" applyAlignment="1">
      <alignment horizontal="center" vertical="center"/>
    </xf>
    <xf numFmtId="0" fontId="49" fillId="0" borderId="81" xfId="0" applyNumberFormat="1" applyFont="1" applyFill="1" applyBorder="1" applyAlignment="1">
      <alignment horizontal="center"/>
    </xf>
    <xf numFmtId="0" fontId="11" fillId="0" borderId="78" xfId="0" applyNumberFormat="1" applyFont="1" applyFill="1" applyBorder="1" applyAlignment="1">
      <alignment horizontal="center"/>
    </xf>
    <xf numFmtId="0" fontId="49" fillId="0" borderId="80" xfId="0" applyNumberFormat="1" applyFont="1" applyFill="1" applyBorder="1" applyAlignment="1">
      <alignment horizontal="center"/>
    </xf>
    <xf numFmtId="0" fontId="11" fillId="0" borderId="79" xfId="0" applyNumberFormat="1" applyFont="1" applyFill="1" applyBorder="1" applyAlignment="1">
      <alignment horizontal="center"/>
    </xf>
    <xf numFmtId="0" fontId="49" fillId="0" borderId="90" xfId="0" applyNumberFormat="1" applyFont="1" applyFill="1" applyBorder="1" applyAlignment="1">
      <alignment horizontal="center"/>
    </xf>
    <xf numFmtId="0" fontId="11" fillId="0" borderId="103" xfId="0" applyNumberFormat="1" applyFont="1" applyFill="1" applyBorder="1" applyAlignment="1">
      <alignment horizontal="center"/>
    </xf>
    <xf numFmtId="0" fontId="11" fillId="0" borderId="0" xfId="0" applyNumberFormat="1" applyFont="1" applyFill="1" applyBorder="1" applyAlignment="1">
      <alignment horizontal="center"/>
    </xf>
    <xf numFmtId="3" fontId="11" fillId="24" borderId="0" xfId="0" applyNumberFormat="1" applyFont="1" applyFill="1" applyBorder="1" applyAlignment="1">
      <alignment horizontal="center" vertical="center"/>
    </xf>
    <xf numFmtId="0" fontId="13" fillId="0" borderId="16" xfId="0" applyFont="1" applyBorder="1" applyAlignment="1"/>
    <xf numFmtId="0" fontId="13" fillId="0" borderId="28" xfId="0" applyFont="1" applyBorder="1" applyAlignment="1"/>
    <xf numFmtId="0" fontId="13" fillId="0" borderId="60" xfId="0" applyFont="1" applyBorder="1" applyAlignment="1"/>
    <xf numFmtId="169" fontId="5" fillId="0" borderId="12" xfId="205" applyNumberFormat="1" applyFont="1" applyFill="1" applyBorder="1" applyAlignment="1">
      <alignment horizontal="center" vertical="center"/>
    </xf>
    <xf numFmtId="2" fontId="152" fillId="0" borderId="13" xfId="0" applyNumberFormat="1" applyFont="1" applyFill="1" applyBorder="1" applyAlignment="1">
      <alignment horizontal="right"/>
    </xf>
    <xf numFmtId="2" fontId="152" fillId="0" borderId="13" xfId="0" applyNumberFormat="1" applyFont="1" applyBorder="1"/>
    <xf numFmtId="4" fontId="57" fillId="24" borderId="14" xfId="0" applyNumberFormat="1" applyFont="1" applyFill="1" applyBorder="1" applyAlignment="1">
      <alignment horizontal="center" vertical="center"/>
    </xf>
    <xf numFmtId="14" fontId="38" fillId="26" borderId="0" xfId="0" applyNumberFormat="1" applyFont="1" applyFill="1" applyAlignment="1">
      <alignment horizontal="center"/>
    </xf>
    <xf numFmtId="2" fontId="36" fillId="0" borderId="159" xfId="0" applyNumberFormat="1" applyFont="1" applyBorder="1" applyAlignment="1">
      <alignment horizontal="center"/>
    </xf>
    <xf numFmtId="2" fontId="36" fillId="0" borderId="56" xfId="0" applyNumberFormat="1" applyFont="1" applyBorder="1" applyAlignment="1">
      <alignment horizontal="center"/>
    </xf>
    <xf numFmtId="2" fontId="36" fillId="0" borderId="30" xfId="0" applyNumberFormat="1" applyFont="1" applyBorder="1" applyAlignment="1">
      <alignment horizontal="center"/>
    </xf>
    <xf numFmtId="169" fontId="62" fillId="0" borderId="21" xfId="173" applyNumberFormat="1" applyFont="1" applyFill="1" applyBorder="1" applyAlignment="1">
      <alignment horizontal="center" vertical="center"/>
    </xf>
    <xf numFmtId="3" fontId="43" fillId="26" borderId="21" xfId="173" applyNumberFormat="1" applyFont="1" applyFill="1" applyBorder="1" applyAlignment="1">
      <alignment horizontal="center" vertical="center"/>
    </xf>
    <xf numFmtId="4" fontId="57" fillId="24" borderId="13" xfId="0" applyNumberFormat="1" applyFont="1" applyFill="1" applyBorder="1" applyAlignment="1">
      <alignment horizontal="center"/>
    </xf>
    <xf numFmtId="169" fontId="57" fillId="24" borderId="13" xfId="0" applyNumberFormat="1" applyFont="1" applyFill="1" applyBorder="1" applyAlignment="1">
      <alignment horizontal="center"/>
    </xf>
    <xf numFmtId="0" fontId="5" fillId="24" borderId="255" xfId="0" applyFont="1" applyFill="1" applyBorder="1" applyAlignment="1">
      <alignment horizontal="center"/>
    </xf>
    <xf numFmtId="4" fontId="4" fillId="24" borderId="256" xfId="0" applyNumberFormat="1" applyFont="1" applyFill="1" applyBorder="1" applyAlignment="1">
      <alignment horizontal="center"/>
    </xf>
    <xf numFmtId="169" fontId="57" fillId="24" borderId="257" xfId="0" applyNumberFormat="1" applyFont="1" applyFill="1" applyBorder="1" applyAlignment="1">
      <alignment horizontal="center"/>
    </xf>
    <xf numFmtId="4" fontId="57" fillId="24" borderId="258" xfId="0" applyNumberFormat="1" applyFont="1" applyFill="1" applyBorder="1" applyAlignment="1">
      <alignment horizontal="center"/>
    </xf>
    <xf numFmtId="4" fontId="57" fillId="24" borderId="77" xfId="0" applyNumberFormat="1" applyFont="1" applyFill="1" applyBorder="1" applyAlignment="1">
      <alignment horizontal="center"/>
    </xf>
    <xf numFmtId="0" fontId="5" fillId="24" borderId="259" xfId="0" applyFont="1" applyFill="1" applyBorder="1" applyAlignment="1">
      <alignment horizontal="center"/>
    </xf>
    <xf numFmtId="0" fontId="5" fillId="24" borderId="260" xfId="0" applyFont="1" applyFill="1" applyBorder="1" applyAlignment="1">
      <alignment horizontal="center"/>
    </xf>
    <xf numFmtId="174" fontId="0" fillId="0" borderId="78" xfId="0" applyNumberFormat="1" applyBorder="1" applyAlignment="1">
      <alignment horizontal="center"/>
    </xf>
    <xf numFmtId="174" fontId="0" fillId="0" borderId="79" xfId="0" applyNumberFormat="1" applyBorder="1" applyAlignment="1">
      <alignment horizontal="center"/>
    </xf>
    <xf numFmtId="16" fontId="36" fillId="30" borderId="137" xfId="0" applyNumberFormat="1" applyFont="1" applyFill="1" applyBorder="1" applyAlignment="1">
      <alignment horizontal="center" vertical="center"/>
    </xf>
    <xf numFmtId="16" fontId="36" fillId="31" borderId="137" xfId="0" applyNumberFormat="1" applyFont="1" applyFill="1" applyBorder="1" applyAlignment="1">
      <alignment horizontal="center" vertical="center"/>
    </xf>
    <xf numFmtId="16" fontId="36" fillId="0" borderId="137" xfId="0" applyNumberFormat="1" applyFont="1" applyBorder="1" applyAlignment="1">
      <alignment horizontal="center" vertical="center"/>
    </xf>
    <xf numFmtId="16" fontId="36" fillId="0" borderId="87" xfId="0" applyNumberFormat="1" applyFont="1" applyBorder="1" applyAlignment="1">
      <alignment horizontal="center" vertical="center"/>
    </xf>
    <xf numFmtId="0" fontId="38" fillId="30" borderId="137" xfId="0" applyFont="1" applyFill="1" applyBorder="1" applyAlignment="1">
      <alignment horizontal="center" vertical="center"/>
    </xf>
    <xf numFmtId="0" fontId="38" fillId="31" borderId="137" xfId="0" applyFont="1" applyFill="1" applyBorder="1" applyAlignment="1">
      <alignment horizontal="center" vertical="center"/>
    </xf>
    <xf numFmtId="0" fontId="38" fillId="0" borderId="137" xfId="0" applyFont="1" applyBorder="1" applyAlignment="1">
      <alignment horizontal="center" vertical="center"/>
    </xf>
    <xf numFmtId="0" fontId="155" fillId="0" borderId="0" xfId="0" applyFont="1" applyAlignment="1"/>
    <xf numFmtId="0" fontId="156" fillId="0" borderId="0" xfId="0" applyFont="1" applyAlignment="1"/>
    <xf numFmtId="0" fontId="157" fillId="0" borderId="0" xfId="0" applyFont="1"/>
    <xf numFmtId="0" fontId="158" fillId="45" borderId="13" xfId="0" applyFont="1" applyFill="1" applyBorder="1" applyAlignment="1">
      <alignment horizontal="center"/>
    </xf>
    <xf numFmtId="0" fontId="158" fillId="45" borderId="13" xfId="0" applyFont="1" applyFill="1" applyBorder="1" applyAlignment="1">
      <alignment horizontal="center" vertical="justify"/>
    </xf>
    <xf numFmtId="0" fontId="160" fillId="0" borderId="13" xfId="0" applyFont="1" applyBorder="1" applyAlignment="1">
      <alignment horizontal="center"/>
    </xf>
    <xf numFmtId="0" fontId="158" fillId="0" borderId="13" xfId="0" applyFont="1" applyBorder="1" applyAlignment="1">
      <alignment horizontal="center"/>
    </xf>
    <xf numFmtId="4" fontId="158" fillId="0" borderId="13" xfId="0" applyNumberFormat="1" applyFont="1" applyBorder="1" applyAlignment="1">
      <alignment horizontal="center"/>
    </xf>
    <xf numFmtId="4" fontId="161" fillId="0" borderId="13" xfId="0" applyNumberFormat="1" applyFont="1" applyBorder="1" applyAlignment="1">
      <alignment horizontal="center"/>
    </xf>
    <xf numFmtId="14" fontId="0" fillId="46" borderId="0" xfId="0" applyNumberFormat="1" applyFill="1"/>
    <xf numFmtId="0" fontId="0" fillId="0" borderId="0" xfId="0"/>
    <xf numFmtId="0" fontId="114" fillId="47" borderId="56" xfId="187" applyFont="1" applyFill="1" applyBorder="1"/>
    <xf numFmtId="0" fontId="115" fillId="47" borderId="30" xfId="187" applyFont="1" applyFill="1" applyBorder="1"/>
    <xf numFmtId="0" fontId="154" fillId="47" borderId="30" xfId="187" applyFill="1" applyBorder="1" applyAlignment="1">
      <alignment horizontal="center"/>
    </xf>
    <xf numFmtId="0" fontId="0" fillId="47" borderId="31" xfId="0" applyFill="1" applyBorder="1"/>
    <xf numFmtId="0" fontId="66" fillId="47" borderId="31" xfId="0" applyFont="1" applyFill="1" applyBorder="1"/>
    <xf numFmtId="0" fontId="85" fillId="47" borderId="56" xfId="187" applyFont="1" applyFill="1" applyBorder="1"/>
    <xf numFmtId="0" fontId="36" fillId="48" borderId="148" xfId="179" applyFont="1" applyFill="1" applyBorder="1" applyAlignment="1">
      <alignment horizontal="center" wrapText="1"/>
    </xf>
    <xf numFmtId="0" fontId="154" fillId="48" borderId="144" xfId="189" applyFill="1" applyBorder="1" applyAlignment="1">
      <alignment horizontal="center"/>
    </xf>
    <xf numFmtId="0" fontId="154" fillId="48" borderId="124" xfId="191" applyFill="1" applyBorder="1" applyAlignment="1">
      <alignment horizontal="center"/>
    </xf>
    <xf numFmtId="0" fontId="154" fillId="48" borderId="158" xfId="193" applyFill="1" applyBorder="1" applyAlignment="1">
      <alignment horizontal="center"/>
    </xf>
    <xf numFmtId="0" fontId="115" fillId="48" borderId="124" xfId="187" applyFont="1" applyFill="1" applyBorder="1" applyAlignment="1">
      <alignment horizontal="center"/>
    </xf>
    <xf numFmtId="0" fontId="115" fillId="48" borderId="158" xfId="187" applyFont="1" applyFill="1" applyBorder="1" applyAlignment="1">
      <alignment horizontal="center"/>
    </xf>
    <xf numFmtId="0" fontId="115" fillId="48" borderId="126" xfId="187" applyFont="1" applyFill="1" applyBorder="1" applyAlignment="1">
      <alignment horizontal="center"/>
    </xf>
    <xf numFmtId="0" fontId="36" fillId="48" borderId="17" xfId="179" applyFont="1" applyFill="1" applyBorder="1" applyAlignment="1">
      <alignment horizontal="center" wrapText="1"/>
    </xf>
    <xf numFmtId="0" fontId="154" fillId="48" borderId="141" xfId="191" applyFill="1" applyBorder="1" applyAlignment="1">
      <alignment horizontal="center"/>
    </xf>
    <xf numFmtId="0" fontId="154" fillId="48" borderId="164" xfId="193" applyFill="1" applyBorder="1" applyAlignment="1">
      <alignment horizontal="center"/>
    </xf>
    <xf numFmtId="0" fontId="115" fillId="48" borderId="123" xfId="187" applyFont="1" applyFill="1" applyBorder="1" applyAlignment="1">
      <alignment horizontal="center"/>
    </xf>
    <xf numFmtId="0" fontId="115" fillId="48" borderId="159" xfId="187" applyFont="1" applyFill="1" applyBorder="1" applyAlignment="1">
      <alignment horizontal="center"/>
    </xf>
    <xf numFmtId="0" fontId="115" fillId="48" borderId="19" xfId="187" applyFont="1" applyFill="1" applyBorder="1" applyAlignment="1">
      <alignment horizontal="center"/>
    </xf>
    <xf numFmtId="0" fontId="115" fillId="48" borderId="141" xfId="187" applyFont="1" applyFill="1" applyBorder="1" applyAlignment="1">
      <alignment horizontal="center"/>
    </xf>
    <xf numFmtId="0" fontId="1" fillId="48" borderId="144" xfId="189" applyFont="1" applyFill="1" applyBorder="1" applyAlignment="1">
      <alignment horizontal="center"/>
    </xf>
    <xf numFmtId="0" fontId="115" fillId="48" borderId="164" xfId="187" applyFont="1" applyFill="1" applyBorder="1" applyAlignment="1">
      <alignment horizontal="center"/>
    </xf>
    <xf numFmtId="0" fontId="0" fillId="24" borderId="125" xfId="0" applyFill="1" applyBorder="1" applyAlignment="1">
      <alignment horizontal="center"/>
    </xf>
    <xf numFmtId="0" fontId="72" fillId="25" borderId="131" xfId="0" applyFont="1" applyFill="1" applyBorder="1"/>
    <xf numFmtId="0" fontId="72" fillId="25" borderId="121" xfId="0" applyFont="1" applyFill="1" applyBorder="1"/>
    <xf numFmtId="0" fontId="66" fillId="25" borderId="132" xfId="0" applyFont="1" applyFill="1" applyBorder="1"/>
    <xf numFmtId="14" fontId="66" fillId="0" borderId="0" xfId="0" applyNumberFormat="1" applyFont="1"/>
    <xf numFmtId="0" fontId="66" fillId="25" borderId="128" xfId="0" applyFont="1" applyFill="1" applyBorder="1"/>
    <xf numFmtId="0" fontId="66" fillId="25" borderId="145" xfId="0" applyFont="1" applyFill="1" applyBorder="1"/>
    <xf numFmtId="0" fontId="66" fillId="25" borderId="136" xfId="0" applyFont="1" applyFill="1" applyBorder="1"/>
    <xf numFmtId="0" fontId="72" fillId="0" borderId="109" xfId="0" applyFont="1" applyBorder="1" applyAlignment="1">
      <alignment horizontal="center"/>
    </xf>
    <xf numFmtId="0" fontId="72" fillId="0" borderId="111" xfId="0" applyFont="1" applyBorder="1" applyAlignment="1">
      <alignment horizontal="center"/>
    </xf>
    <xf numFmtId="0" fontId="72" fillId="0" borderId="112" xfId="0" applyFont="1" applyBorder="1" applyAlignment="1">
      <alignment horizontal="center"/>
    </xf>
    <xf numFmtId="0" fontId="72" fillId="0" borderId="87" xfId="0" applyFont="1" applyFill="1" applyBorder="1" applyAlignment="1">
      <alignment horizontal="center"/>
    </xf>
    <xf numFmtId="0" fontId="72" fillId="0" borderId="166" xfId="0" applyFont="1" applyBorder="1" applyAlignment="1">
      <alignment horizontal="center"/>
    </xf>
    <xf numFmtId="0" fontId="66" fillId="0" borderId="101" xfId="0" applyFont="1" applyBorder="1"/>
    <xf numFmtId="0" fontId="72" fillId="0" borderId="80" xfId="0" applyFont="1" applyBorder="1" applyAlignment="1">
      <alignment horizontal="center"/>
    </xf>
    <xf numFmtId="0" fontId="66" fillId="0" borderId="205" xfId="0" applyFont="1" applyBorder="1"/>
    <xf numFmtId="0" fontId="72" fillId="0" borderId="104" xfId="0" applyFont="1" applyBorder="1" applyAlignment="1">
      <alignment horizontal="center"/>
    </xf>
    <xf numFmtId="0" fontId="66" fillId="0" borderId="18" xfId="0" applyFont="1" applyBorder="1" applyAlignment="1">
      <alignment horizontal="center"/>
    </xf>
    <xf numFmtId="0" fontId="66" fillId="0" borderId="137" xfId="0" applyFont="1" applyBorder="1"/>
    <xf numFmtId="0" fontId="66" fillId="0" borderId="109" xfId="0" applyFont="1" applyBorder="1"/>
    <xf numFmtId="0" fontId="66" fillId="0" borderId="111" xfId="0" applyFont="1" applyBorder="1" applyAlignment="1">
      <alignment horizontal="center"/>
    </xf>
    <xf numFmtId="2" fontId="66" fillId="0" borderId="111" xfId="0" applyNumberFormat="1" applyFont="1" applyBorder="1" applyAlignment="1">
      <alignment horizontal="center"/>
    </xf>
    <xf numFmtId="174" fontId="66" fillId="26" borderId="112" xfId="0" applyNumberFormat="1" applyFont="1" applyFill="1" applyBorder="1" applyAlignment="1">
      <alignment horizontal="center"/>
    </xf>
    <xf numFmtId="0" fontId="0" fillId="0" borderId="0" xfId="0"/>
    <xf numFmtId="0" fontId="5" fillId="48" borderId="17" xfId="0" applyFont="1" applyFill="1" applyBorder="1" applyAlignment="1">
      <alignment horizontal="left"/>
    </xf>
    <xf numFmtId="0" fontId="0" fillId="48" borderId="13" xfId="0" applyFill="1" applyBorder="1" applyAlignment="1">
      <alignment horizontal="center"/>
    </xf>
    <xf numFmtId="181" fontId="7" fillId="48" borderId="13" xfId="0" applyNumberFormat="1" applyFont="1" applyFill="1" applyBorder="1" applyAlignment="1">
      <alignment horizontal="center"/>
    </xf>
    <xf numFmtId="170" fontId="4" fillId="26" borderId="21" xfId="0" applyNumberFormat="1" applyFont="1" applyFill="1" applyBorder="1" applyAlignment="1">
      <alignment horizontal="center" vertical="center"/>
    </xf>
    <xf numFmtId="4" fontId="86" fillId="26" borderId="87" xfId="0" applyNumberFormat="1" applyFont="1" applyFill="1" applyBorder="1" applyAlignment="1">
      <alignment horizontal="center" vertical="center"/>
    </xf>
    <xf numFmtId="3" fontId="36" fillId="0" borderId="86" xfId="0" applyNumberFormat="1" applyFont="1" applyBorder="1" applyAlignment="1">
      <alignment horizontal="center" vertical="center"/>
    </xf>
    <xf numFmtId="3" fontId="36" fillId="0" borderId="88" xfId="0" applyNumberFormat="1" applyFont="1" applyBorder="1" applyAlignment="1">
      <alignment horizontal="center" vertical="center"/>
    </xf>
    <xf numFmtId="3" fontId="36" fillId="0" borderId="154" xfId="0" applyNumberFormat="1" applyFont="1" applyBorder="1" applyAlignment="1">
      <alignment horizontal="center" vertical="center"/>
    </xf>
    <xf numFmtId="3" fontId="87" fillId="0" borderId="89" xfId="196" applyNumberFormat="1" applyFont="1" applyFill="1" applyBorder="1" applyAlignment="1">
      <alignment horizontal="center" vertical="center" wrapText="1"/>
    </xf>
    <xf numFmtId="3" fontId="36" fillId="0" borderId="132" xfId="0" applyNumberFormat="1" applyFont="1" applyBorder="1" applyAlignment="1">
      <alignment horizontal="center" vertical="center"/>
    </xf>
    <xf numFmtId="0" fontId="36" fillId="0" borderId="121" xfId="0" applyFont="1" applyBorder="1" applyAlignment="1">
      <alignment horizontal="center" vertical="center"/>
    </xf>
    <xf numFmtId="167" fontId="36" fillId="0" borderId="131" xfId="0" applyNumberFormat="1" applyFont="1" applyBorder="1" applyAlignment="1">
      <alignment horizontal="center" vertical="center"/>
    </xf>
    <xf numFmtId="4" fontId="36" fillId="0" borderId="132" xfId="0" applyNumberFormat="1" applyFont="1" applyBorder="1" applyAlignment="1">
      <alignment horizontal="center" vertical="center"/>
    </xf>
    <xf numFmtId="3" fontId="36" fillId="0" borderId="121" xfId="0" applyNumberFormat="1" applyFont="1" applyBorder="1" applyAlignment="1">
      <alignment horizontal="center" vertical="center"/>
    </xf>
    <xf numFmtId="3" fontId="36" fillId="0" borderId="131" xfId="0" applyNumberFormat="1" applyFont="1" applyBorder="1" applyAlignment="1">
      <alignment horizontal="center" vertical="center"/>
    </xf>
    <xf numFmtId="3" fontId="87" fillId="0" borderId="132" xfId="196" applyNumberFormat="1" applyFont="1" applyFill="1" applyBorder="1" applyAlignment="1">
      <alignment horizontal="center" vertical="center" wrapText="1"/>
    </xf>
    <xf numFmtId="3" fontId="36" fillId="0" borderId="101" xfId="0" applyNumberFormat="1" applyFont="1" applyBorder="1" applyAlignment="1">
      <alignment horizontal="center" vertical="center"/>
    </xf>
    <xf numFmtId="0" fontId="36" fillId="0" borderId="145" xfId="0" applyFont="1" applyBorder="1" applyAlignment="1">
      <alignment horizontal="center" vertical="center"/>
    </xf>
    <xf numFmtId="167" fontId="36" fillId="0" borderId="128" xfId="0" applyNumberFormat="1" applyFont="1" applyBorder="1" applyAlignment="1">
      <alignment horizontal="center" vertical="center"/>
    </xf>
    <xf numFmtId="4" fontId="36" fillId="0" borderId="136" xfId="0" applyNumberFormat="1" applyFont="1" applyBorder="1" applyAlignment="1">
      <alignment horizontal="center" vertical="center"/>
    </xf>
    <xf numFmtId="3" fontId="36" fillId="0" borderId="145" xfId="0" applyNumberFormat="1" applyFont="1" applyBorder="1" applyAlignment="1">
      <alignment horizontal="center" vertical="center"/>
    </xf>
    <xf numFmtId="3" fontId="36" fillId="0" borderId="128" xfId="0" applyNumberFormat="1" applyFont="1" applyBorder="1" applyAlignment="1">
      <alignment horizontal="center" vertical="center"/>
    </xf>
    <xf numFmtId="3" fontId="87" fillId="0" borderId="136" xfId="196" applyNumberFormat="1" applyFont="1" applyFill="1" applyBorder="1" applyAlignment="1">
      <alignment horizontal="center" vertical="center" wrapText="1"/>
    </xf>
    <xf numFmtId="3" fontId="36" fillId="0" borderId="137" xfId="0" applyNumberFormat="1" applyFont="1" applyBorder="1" applyAlignment="1">
      <alignment horizontal="center" vertical="center"/>
    </xf>
    <xf numFmtId="3" fontId="36" fillId="46" borderId="109" xfId="0" applyNumberFormat="1" applyFont="1" applyFill="1" applyBorder="1" applyAlignment="1">
      <alignment horizontal="center" vertical="center"/>
    </xf>
    <xf numFmtId="167" fontId="105" fillId="24" borderId="13" xfId="0" applyNumberFormat="1" applyFont="1" applyFill="1" applyBorder="1" applyAlignment="1">
      <alignment horizontal="center" vertical="center"/>
    </xf>
    <xf numFmtId="4" fontId="163" fillId="0" borderId="131" xfId="195" applyNumberFormat="1" applyFont="1" applyFill="1" applyBorder="1" applyAlignment="1">
      <alignment horizontal="center" wrapText="1"/>
    </xf>
    <xf numFmtId="0" fontId="36" fillId="0" borderId="87" xfId="0" applyFont="1" applyBorder="1" applyAlignment="1">
      <alignment horizontal="center" vertical="center"/>
    </xf>
    <xf numFmtId="0" fontId="164" fillId="0" borderId="0" xfId="196" applyFont="1" applyFill="1" applyBorder="1" applyAlignment="1">
      <alignment horizontal="center" vertical="center" wrapText="1"/>
    </xf>
    <xf numFmtId="0" fontId="5" fillId="46" borderId="17" xfId="0" applyFont="1" applyFill="1" applyBorder="1" applyAlignment="1">
      <alignment horizontal="left"/>
    </xf>
    <xf numFmtId="0" fontId="36" fillId="48" borderId="13" xfId="0" applyFont="1" applyFill="1" applyBorder="1" applyAlignment="1"/>
    <xf numFmtId="0" fontId="7" fillId="48" borderId="13" xfId="0" applyFont="1" applyFill="1" applyBorder="1" applyAlignment="1">
      <alignment horizontal="left"/>
    </xf>
    <xf numFmtId="9" fontId="7" fillId="46" borderId="13" xfId="205" applyFont="1" applyFill="1" applyBorder="1" applyAlignment="1">
      <alignment horizontal="center"/>
    </xf>
    <xf numFmtId="174" fontId="5" fillId="0" borderId="17" xfId="0" applyNumberFormat="1" applyFont="1" applyFill="1" applyBorder="1" applyAlignment="1">
      <alignment horizontal="center"/>
    </xf>
    <xf numFmtId="0" fontId="36" fillId="50" borderId="101" xfId="0" applyFont="1" applyFill="1" applyBorder="1" applyAlignment="1">
      <alignment horizontal="center"/>
    </xf>
    <xf numFmtId="2" fontId="36" fillId="50" borderId="101" xfId="0" applyNumberFormat="1" applyFont="1" applyFill="1" applyBorder="1" applyAlignment="1">
      <alignment horizontal="center"/>
    </xf>
    <xf numFmtId="14" fontId="66" fillId="46" borderId="0" xfId="0" applyNumberFormat="1" applyFont="1" applyFill="1"/>
    <xf numFmtId="4" fontId="165" fillId="0" borderId="0" xfId="0" applyNumberFormat="1" applyFont="1"/>
    <xf numFmtId="0" fontId="7" fillId="48" borderId="17" xfId="0" applyFont="1" applyFill="1" applyBorder="1" applyAlignment="1">
      <alignment horizontal="left"/>
    </xf>
    <xf numFmtId="0" fontId="36" fillId="48" borderId="13" xfId="0" applyFont="1" applyFill="1" applyBorder="1"/>
    <xf numFmtId="3" fontId="36" fillId="46" borderId="87" xfId="0" applyNumberFormat="1" applyFont="1" applyFill="1" applyBorder="1" applyAlignment="1">
      <alignment horizontal="center" vertical="center"/>
    </xf>
    <xf numFmtId="0" fontId="0" fillId="0" borderId="0" xfId="0"/>
    <xf numFmtId="0" fontId="36" fillId="24" borderId="101" xfId="0" applyFont="1" applyFill="1" applyBorder="1" applyAlignment="1">
      <alignment horizontal="center" vertical="center"/>
    </xf>
    <xf numFmtId="0" fontId="0" fillId="0" borderId="137" xfId="0" applyBorder="1"/>
    <xf numFmtId="0" fontId="38" fillId="24" borderId="121" xfId="0" applyFont="1" applyFill="1" applyBorder="1" applyAlignment="1">
      <alignment horizontal="center"/>
    </xf>
    <xf numFmtId="0" fontId="0" fillId="0" borderId="0" xfId="0"/>
    <xf numFmtId="174" fontId="36" fillId="0" borderId="20" xfId="0" applyNumberFormat="1" applyFont="1" applyFill="1" applyBorder="1" applyAlignment="1">
      <alignment horizontal="right"/>
    </xf>
    <xf numFmtId="174" fontId="38" fillId="0" borderId="13" xfId="0" applyNumberFormat="1" applyFont="1" applyFill="1" applyBorder="1" applyAlignment="1">
      <alignment horizontal="right"/>
    </xf>
    <xf numFmtId="174" fontId="7" fillId="0" borderId="13" xfId="0" applyNumberFormat="1" applyFont="1" applyBorder="1"/>
    <xf numFmtId="0" fontId="136" fillId="0" borderId="13" xfId="0" applyFont="1" applyBorder="1"/>
    <xf numFmtId="174" fontId="36" fillId="0" borderId="108" xfId="0" applyNumberFormat="1" applyFont="1" applyFill="1" applyBorder="1"/>
    <xf numFmtId="174" fontId="36" fillId="0" borderId="59" xfId="0" applyNumberFormat="1" applyFont="1" applyFill="1" applyBorder="1"/>
    <xf numFmtId="174" fontId="36" fillId="0" borderId="58" xfId="0" applyNumberFormat="1" applyFont="1" applyFill="1" applyBorder="1"/>
    <xf numFmtId="0" fontId="36" fillId="0" borderId="58" xfId="0" applyFont="1" applyFill="1" applyBorder="1"/>
    <xf numFmtId="0" fontId="36" fillId="0" borderId="202" xfId="0" applyFont="1" applyBorder="1"/>
    <xf numFmtId="0" fontId="36" fillId="0" borderId="108" xfId="0" applyFont="1" applyFill="1" applyBorder="1"/>
    <xf numFmtId="174" fontId="7" fillId="0" borderId="13" xfId="0" applyNumberFormat="1" applyFont="1" applyFill="1" applyBorder="1" applyAlignment="1">
      <alignment horizontal="right"/>
    </xf>
    <xf numFmtId="0" fontId="36" fillId="0" borderId="13" xfId="0" applyFont="1" applyFill="1" applyBorder="1"/>
    <xf numFmtId="0" fontId="5" fillId="46" borderId="13" xfId="0" applyFont="1" applyFill="1" applyBorder="1" applyAlignment="1">
      <alignment horizontal="center"/>
    </xf>
    <xf numFmtId="0" fontId="46" fillId="46" borderId="13" xfId="0" applyFont="1" applyFill="1" applyBorder="1" applyAlignment="1">
      <alignment horizontal="center"/>
    </xf>
    <xf numFmtId="0" fontId="7" fillId="46" borderId="13" xfId="177" applyFont="1" applyFill="1" applyBorder="1" applyAlignment="1">
      <alignment horizontal="center"/>
    </xf>
    <xf numFmtId="169" fontId="153" fillId="24" borderId="13" xfId="177" applyNumberFormat="1" applyFont="1" applyFill="1" applyBorder="1" applyAlignment="1">
      <alignment horizontal="center"/>
    </xf>
    <xf numFmtId="169" fontId="73" fillId="0" borderId="13" xfId="177" applyNumberFormat="1" applyFont="1" applyBorder="1" applyAlignment="1">
      <alignment horizontal="center"/>
    </xf>
    <xf numFmtId="174" fontId="5" fillId="48" borderId="13" xfId="0" applyNumberFormat="1" applyFont="1" applyFill="1" applyBorder="1" applyAlignment="1">
      <alignment horizontal="center"/>
    </xf>
    <xf numFmtId="2" fontId="166" fillId="0" borderId="102" xfId="0" applyNumberFormat="1" applyFont="1" applyBorder="1" applyAlignment="1">
      <alignment horizontal="center"/>
    </xf>
    <xf numFmtId="0" fontId="166" fillId="0" borderId="101" xfId="0" applyFont="1" applyBorder="1" applyAlignment="1">
      <alignment horizontal="center"/>
    </xf>
    <xf numFmtId="9" fontId="5" fillId="48" borderId="13" xfId="205" applyFont="1" applyFill="1" applyBorder="1" applyAlignment="1">
      <alignment horizontal="center"/>
    </xf>
    <xf numFmtId="0" fontId="5" fillId="46" borderId="18" xfId="0" applyFont="1" applyFill="1" applyBorder="1" applyAlignment="1">
      <alignment horizontal="center"/>
    </xf>
    <xf numFmtId="0" fontId="24" fillId="46" borderId="0" xfId="0" applyFont="1" applyFill="1"/>
    <xf numFmtId="0" fontId="164" fillId="0" borderId="87" xfId="196" applyFont="1" applyFill="1" applyBorder="1" applyAlignment="1">
      <alignment horizontal="center" vertical="center" wrapText="1"/>
    </xf>
    <xf numFmtId="0" fontId="119" fillId="51" borderId="0" xfId="0" applyFont="1" applyFill="1" applyAlignment="1"/>
    <xf numFmtId="0" fontId="36" fillId="51" borderId="0" xfId="0" applyFont="1" applyFill="1" applyAlignment="1">
      <alignment horizontal="center" vertical="center"/>
    </xf>
    <xf numFmtId="0" fontId="36" fillId="24" borderId="128" xfId="0" applyFont="1" applyFill="1" applyBorder="1" applyAlignment="1">
      <alignment horizontal="center" vertical="center"/>
    </xf>
    <xf numFmtId="0" fontId="36" fillId="24" borderId="145" xfId="0" applyFont="1" applyFill="1" applyBorder="1" applyAlignment="1">
      <alignment horizontal="center" vertical="center"/>
    </xf>
    <xf numFmtId="0" fontId="36" fillId="24" borderId="136" xfId="0" applyFont="1" applyFill="1" applyBorder="1" applyAlignment="1">
      <alignment horizontal="center" vertical="center"/>
    </xf>
    <xf numFmtId="0" fontId="135" fillId="46" borderId="0" xfId="0" applyFont="1" applyFill="1"/>
    <xf numFmtId="0" fontId="36" fillId="24" borderId="87" xfId="0" applyFont="1" applyFill="1" applyBorder="1" applyAlignment="1">
      <alignment horizontal="center" vertical="center"/>
    </xf>
    <xf numFmtId="0" fontId="113" fillId="24" borderId="87" xfId="0" applyFont="1" applyFill="1" applyBorder="1" applyAlignment="1">
      <alignment horizontal="center" vertical="center"/>
    </xf>
    <xf numFmtId="0" fontId="118" fillId="24" borderId="87" xfId="196" applyFont="1" applyFill="1" applyBorder="1" applyAlignment="1">
      <alignment horizontal="center" vertical="center" wrapText="1"/>
    </xf>
    <xf numFmtId="16" fontId="36" fillId="24" borderId="87" xfId="0" applyNumberFormat="1" applyFont="1" applyFill="1" applyBorder="1" applyAlignment="1">
      <alignment horizontal="center" vertical="center"/>
    </xf>
    <xf numFmtId="0" fontId="167" fillId="46" borderId="0" xfId="0" applyFont="1" applyFill="1" applyAlignment="1">
      <alignment horizontal="center"/>
    </xf>
    <xf numFmtId="14" fontId="120" fillId="48" borderId="103" xfId="0" applyNumberFormat="1" applyFont="1" applyFill="1" applyBorder="1" applyAlignment="1">
      <alignment horizontal="center"/>
    </xf>
    <xf numFmtId="0" fontId="85" fillId="31" borderId="56" xfId="187" applyFont="1" applyFill="1" applyBorder="1"/>
    <xf numFmtId="0" fontId="114" fillId="26" borderId="30" xfId="187" applyFont="1" applyFill="1" applyBorder="1" applyAlignment="1">
      <alignment horizontal="center"/>
    </xf>
    <xf numFmtId="0" fontId="0" fillId="0" borderId="0" xfId="0"/>
    <xf numFmtId="0" fontId="0" fillId="0" borderId="0" xfId="0"/>
    <xf numFmtId="169" fontId="24" fillId="48" borderId="0" xfId="0" applyNumberFormat="1" applyFont="1" applyFill="1"/>
    <xf numFmtId="0" fontId="5" fillId="48" borderId="260" xfId="0" applyFont="1" applyFill="1" applyBorder="1" applyAlignment="1">
      <alignment horizontal="center"/>
    </xf>
    <xf numFmtId="4" fontId="4" fillId="48" borderId="11" xfId="0" applyNumberFormat="1" applyFont="1" applyFill="1" applyBorder="1" applyAlignment="1">
      <alignment horizontal="center"/>
    </xf>
    <xf numFmtId="169" fontId="57" fillId="48" borderId="92" xfId="0" applyNumberFormat="1" applyFont="1" applyFill="1" applyBorder="1" applyAlignment="1">
      <alignment horizontal="center"/>
    </xf>
    <xf numFmtId="169" fontId="57" fillId="48" borderId="117" xfId="0" applyNumberFormat="1" applyFont="1" applyFill="1" applyBorder="1" applyAlignment="1">
      <alignment horizontal="center"/>
    </xf>
    <xf numFmtId="4" fontId="57" fillId="48" borderId="13" xfId="0" applyNumberFormat="1" applyFont="1" applyFill="1" applyBorder="1" applyAlignment="1">
      <alignment horizontal="center"/>
    </xf>
    <xf numFmtId="169" fontId="57" fillId="48" borderId="13" xfId="0" applyNumberFormat="1" applyFont="1" applyFill="1" applyBorder="1" applyAlignment="1">
      <alignment horizontal="center"/>
    </xf>
    <xf numFmtId="174" fontId="0" fillId="48" borderId="79" xfId="0" applyNumberFormat="1" applyFill="1" applyBorder="1" applyAlignment="1">
      <alignment horizontal="center"/>
    </xf>
    <xf numFmtId="0" fontId="5" fillId="48" borderId="13" xfId="0" applyFont="1" applyFill="1" applyBorder="1" applyAlignment="1">
      <alignment horizontal="center"/>
    </xf>
    <xf numFmtId="4" fontId="5" fillId="48" borderId="13" xfId="0" applyNumberFormat="1" applyFont="1" applyFill="1" applyBorder="1" applyAlignment="1">
      <alignment horizontal="center"/>
    </xf>
    <xf numFmtId="4" fontId="4" fillId="48" borderId="13" xfId="0" applyNumberFormat="1" applyFont="1" applyFill="1" applyBorder="1" applyAlignment="1">
      <alignment horizontal="center"/>
    </xf>
    <xf numFmtId="181" fontId="32" fillId="48" borderId="13" xfId="0" applyNumberFormat="1" applyFont="1" applyFill="1" applyBorder="1" applyAlignment="1">
      <alignment horizontal="center"/>
    </xf>
    <xf numFmtId="4" fontId="105" fillId="48" borderId="13" xfId="0" applyNumberFormat="1" applyFont="1" applyFill="1" applyBorder="1" applyAlignment="1">
      <alignment horizontal="center"/>
    </xf>
    <xf numFmtId="174" fontId="57" fillId="48" borderId="13" xfId="0" applyNumberFormat="1" applyFont="1" applyFill="1" applyBorder="1" applyAlignment="1">
      <alignment horizontal="center"/>
    </xf>
    <xf numFmtId="174" fontId="144" fillId="48" borderId="13" xfId="0" applyNumberFormat="1" applyFont="1" applyFill="1" applyBorder="1" applyAlignment="1">
      <alignment horizontal="center"/>
    </xf>
    <xf numFmtId="181" fontId="106" fillId="48" borderId="13" xfId="0" applyNumberFormat="1" applyFont="1" applyFill="1" applyBorder="1" applyAlignment="1">
      <alignment horizontal="center"/>
    </xf>
    <xf numFmtId="0" fontId="97" fillId="48" borderId="13" xfId="0" applyFont="1" applyFill="1" applyBorder="1" applyAlignment="1">
      <alignment horizontal="center"/>
    </xf>
    <xf numFmtId="4" fontId="97" fillId="48" borderId="13" xfId="0" applyNumberFormat="1" applyFont="1" applyFill="1" applyBorder="1" applyAlignment="1">
      <alignment horizontal="center"/>
    </xf>
    <xf numFmtId="4" fontId="108" fillId="48" borderId="13" xfId="0" applyNumberFormat="1" applyFont="1" applyFill="1" applyBorder="1" applyAlignment="1">
      <alignment horizontal="center"/>
    </xf>
    <xf numFmtId="174" fontId="97" fillId="48" borderId="13" xfId="0" applyNumberFormat="1" applyFont="1" applyFill="1" applyBorder="1" applyAlignment="1">
      <alignment horizontal="center"/>
    </xf>
    <xf numFmtId="181" fontId="147" fillId="48" borderId="13" xfId="0" applyNumberFormat="1" applyFont="1" applyFill="1" applyBorder="1" applyAlignment="1">
      <alignment horizontal="center"/>
    </xf>
    <xf numFmtId="181" fontId="42" fillId="48" borderId="13" xfId="151" applyNumberFormat="1" applyFont="1" applyFill="1" applyBorder="1" applyAlignment="1">
      <alignment horizontal="center"/>
    </xf>
    <xf numFmtId="181" fontId="12" fillId="48" borderId="13" xfId="0" applyNumberFormat="1" applyFont="1" applyFill="1" applyBorder="1" applyAlignment="1">
      <alignment horizontal="center"/>
    </xf>
    <xf numFmtId="0" fontId="0" fillId="48" borderId="13" xfId="0" applyFill="1" applyBorder="1"/>
    <xf numFmtId="0" fontId="0" fillId="48" borderId="18" xfId="0" applyFill="1" applyBorder="1"/>
    <xf numFmtId="0" fontId="0" fillId="48" borderId="18" xfId="0" applyFill="1" applyBorder="1" applyAlignment="1">
      <alignment horizontal="center"/>
    </xf>
    <xf numFmtId="174" fontId="0" fillId="48" borderId="18" xfId="0" applyNumberFormat="1" applyFill="1" applyBorder="1" applyAlignment="1">
      <alignment horizontal="center"/>
    </xf>
    <xf numFmtId="2" fontId="169" fillId="0" borderId="79" xfId="0" applyNumberFormat="1" applyFont="1" applyBorder="1" applyAlignment="1">
      <alignment horizontal="center"/>
    </xf>
    <xf numFmtId="2" fontId="169" fillId="0" borderId="13" xfId="0" applyNumberFormat="1" applyFont="1" applyBorder="1" applyAlignment="1">
      <alignment horizontal="center"/>
    </xf>
    <xf numFmtId="0" fontId="132" fillId="46" borderId="144" xfId="189" applyFont="1" applyFill="1" applyBorder="1" applyAlignment="1">
      <alignment horizontal="center"/>
    </xf>
    <xf numFmtId="14" fontId="0" fillId="46" borderId="0" xfId="0" applyNumberFormat="1" applyFill="1" applyAlignment="1">
      <alignment horizontal="center"/>
    </xf>
    <xf numFmtId="14" fontId="164" fillId="46" borderId="0" xfId="196" applyNumberFormat="1" applyFont="1" applyFill="1" applyBorder="1" applyAlignment="1">
      <alignment horizontal="center" vertical="center" wrapText="1"/>
    </xf>
    <xf numFmtId="14" fontId="0" fillId="48" borderId="0" xfId="0" applyNumberFormat="1" applyFill="1" applyAlignment="1">
      <alignment horizontal="center"/>
    </xf>
    <xf numFmtId="0" fontId="35" fillId="48" borderId="0" xfId="0" applyFont="1" applyFill="1" applyAlignment="1">
      <alignment horizontal="center"/>
    </xf>
    <xf numFmtId="0" fontId="36" fillId="46" borderId="0" xfId="0" applyFont="1" applyFill="1"/>
    <xf numFmtId="174" fontId="38" fillId="0" borderId="128" xfId="0" applyNumberFormat="1" applyFont="1" applyFill="1" applyBorder="1" applyAlignment="1">
      <alignment horizontal="center"/>
    </xf>
    <xf numFmtId="0" fontId="36" fillId="0" borderId="111" xfId="0" applyFont="1" applyBorder="1" applyAlignment="1">
      <alignment horizontal="center"/>
    </xf>
    <xf numFmtId="0" fontId="36" fillId="0" borderId="112" xfId="0" applyFont="1" applyBorder="1" applyAlignment="1">
      <alignment horizontal="center"/>
    </xf>
    <xf numFmtId="0" fontId="36" fillId="0" borderId="80" xfId="0" applyFont="1" applyBorder="1" applyAlignment="1">
      <alignment horizontal="center"/>
    </xf>
    <xf numFmtId="0" fontId="36" fillId="0" borderId="104" xfId="0" applyFont="1" applyBorder="1" applyAlignment="1">
      <alignment horizontal="center"/>
    </xf>
    <xf numFmtId="0" fontId="36" fillId="0" borderId="18" xfId="0" applyFont="1" applyBorder="1" applyAlignment="1">
      <alignment horizontal="center"/>
    </xf>
    <xf numFmtId="0" fontId="66" fillId="0" borderId="0" xfId="0" applyFont="1" applyAlignment="1">
      <alignment horizontal="center"/>
    </xf>
    <xf numFmtId="14" fontId="66" fillId="46" borderId="0" xfId="0" applyNumberFormat="1" applyFont="1" applyFill="1" applyAlignment="1">
      <alignment horizontal="center"/>
    </xf>
    <xf numFmtId="0" fontId="171" fillId="46" borderId="0" xfId="0" applyFont="1" applyFill="1" applyAlignment="1">
      <alignment horizontal="center"/>
    </xf>
    <xf numFmtId="2" fontId="77" fillId="24" borderId="0" xfId="0" applyNumberFormat="1" applyFont="1" applyFill="1"/>
    <xf numFmtId="2" fontId="117" fillId="24" borderId="0" xfId="0" applyNumberFormat="1" applyFont="1" applyFill="1"/>
    <xf numFmtId="2" fontId="36" fillId="46" borderId="77" xfId="0" applyNumberFormat="1" applyFont="1" applyFill="1" applyBorder="1" applyAlignment="1">
      <alignment horizontal="center"/>
    </xf>
    <xf numFmtId="176" fontId="73" fillId="0" borderId="13" xfId="158" applyNumberFormat="1" applyFont="1" applyFill="1" applyBorder="1" applyAlignment="1">
      <alignment horizontal="center"/>
    </xf>
    <xf numFmtId="176" fontId="73" fillId="0" borderId="13" xfId="158" applyNumberFormat="1" applyFont="1" applyBorder="1" applyAlignment="1">
      <alignment horizontal="center"/>
    </xf>
    <xf numFmtId="176" fontId="82" fillId="0" borderId="13" xfId="158" applyNumberFormat="1" applyFont="1" applyBorder="1" applyAlignment="1">
      <alignment horizontal="center"/>
    </xf>
    <xf numFmtId="189" fontId="82" fillId="25" borderId="13" xfId="158" applyNumberFormat="1" applyFont="1" applyFill="1" applyBorder="1" applyAlignment="1">
      <alignment horizontal="center"/>
    </xf>
    <xf numFmtId="0" fontId="38" fillId="24" borderId="121" xfId="0" applyFont="1" applyFill="1" applyBorder="1" applyAlignment="1">
      <alignment horizontal="center"/>
    </xf>
    <xf numFmtId="0" fontId="0" fillId="0" borderId="0" xfId="0"/>
    <xf numFmtId="0" fontId="0" fillId="0" borderId="293" xfId="0" applyBorder="1" applyAlignment="1">
      <alignment horizontal="center"/>
    </xf>
    <xf numFmtId="0" fontId="73" fillId="24" borderId="104" xfId="179" applyFont="1" applyFill="1" applyBorder="1" applyAlignment="1">
      <alignment horizontal="center" wrapText="1"/>
    </xf>
    <xf numFmtId="0" fontId="0" fillId="0" borderId="56" xfId="0" applyBorder="1"/>
    <xf numFmtId="0" fontId="82" fillId="24" borderId="109" xfId="179" applyFont="1" applyFill="1" applyBorder="1" applyAlignment="1">
      <alignment horizontal="center" wrapText="1"/>
    </xf>
    <xf numFmtId="0" fontId="82" fillId="24" borderId="110" xfId="179" applyFont="1" applyFill="1" applyBorder="1" applyAlignment="1">
      <alignment horizontal="center" wrapText="1"/>
    </xf>
    <xf numFmtId="9" fontId="168" fillId="46" borderId="13" xfId="205" applyFont="1" applyFill="1" applyBorder="1" applyAlignment="1">
      <alignment horizontal="center"/>
    </xf>
    <xf numFmtId="0" fontId="7" fillId="46" borderId="13" xfId="0" applyFont="1" applyFill="1" applyBorder="1" applyAlignment="1">
      <alignment horizontal="center"/>
    </xf>
    <xf numFmtId="174" fontId="66" fillId="46" borderId="0" xfId="0" applyNumberFormat="1" applyFont="1" applyFill="1"/>
    <xf numFmtId="14" fontId="36" fillId="46" borderId="0" xfId="0" applyNumberFormat="1" applyFont="1" applyFill="1" applyAlignment="1">
      <alignment horizontal="center"/>
    </xf>
    <xf numFmtId="14" fontId="172" fillId="26" borderId="0" xfId="0" applyNumberFormat="1" applyFont="1" applyFill="1" applyAlignment="1">
      <alignment horizontal="center"/>
    </xf>
    <xf numFmtId="0" fontId="162" fillId="48" borderId="0" xfId="0" applyFont="1" applyFill="1"/>
    <xf numFmtId="0" fontId="0" fillId="0" borderId="0" xfId="0"/>
    <xf numFmtId="14" fontId="167" fillId="0" borderId="87" xfId="0" applyNumberFormat="1" applyFont="1" applyBorder="1"/>
    <xf numFmtId="0" fontId="36" fillId="48" borderId="13" xfId="0" applyFont="1" applyFill="1" applyBorder="1" applyAlignment="1">
      <alignment horizontal="center"/>
    </xf>
    <xf numFmtId="9" fontId="7" fillId="48" borderId="13" xfId="205" applyFont="1" applyFill="1" applyBorder="1" applyAlignment="1">
      <alignment horizontal="center"/>
    </xf>
    <xf numFmtId="0" fontId="63" fillId="51" borderId="0" xfId="0" applyFont="1" applyFill="1" applyBorder="1" applyAlignment="1">
      <alignment vertical="center"/>
    </xf>
    <xf numFmtId="16" fontId="63" fillId="51" borderId="0" xfId="0" applyNumberFormat="1" applyFont="1" applyFill="1" applyBorder="1" applyAlignment="1">
      <alignment vertical="center"/>
    </xf>
    <xf numFmtId="0" fontId="36" fillId="0" borderId="131" xfId="0" applyFont="1" applyBorder="1" applyAlignment="1">
      <alignment horizontal="center" vertical="center"/>
    </xf>
    <xf numFmtId="0" fontId="164" fillId="0" borderId="121" xfId="196" applyFont="1" applyFill="1" applyBorder="1" applyAlignment="1">
      <alignment horizontal="center" vertical="center" wrapText="1"/>
    </xf>
    <xf numFmtId="0" fontId="164" fillId="0" borderId="30" xfId="196" applyFont="1" applyFill="1" applyBorder="1" applyAlignment="1">
      <alignment horizontal="center" vertical="center" wrapText="1"/>
    </xf>
    <xf numFmtId="16" fontId="36" fillId="0" borderId="101" xfId="0" applyNumberFormat="1" applyFont="1" applyBorder="1" applyAlignment="1">
      <alignment horizontal="center" vertical="center"/>
    </xf>
    <xf numFmtId="0" fontId="169" fillId="0" borderId="13" xfId="0" applyFont="1" applyBorder="1" applyAlignment="1">
      <alignment horizontal="center"/>
    </xf>
    <xf numFmtId="0" fontId="13" fillId="0" borderId="87" xfId="0" applyFont="1" applyBorder="1" applyAlignment="1">
      <alignment horizontal="center"/>
    </xf>
    <xf numFmtId="2" fontId="134" fillId="46" borderId="137" xfId="0" applyNumberFormat="1" applyFont="1" applyFill="1" applyBorder="1" applyAlignment="1">
      <alignment horizontal="center"/>
    </xf>
    <xf numFmtId="0" fontId="2" fillId="26" borderId="0" xfId="0" applyFont="1" applyFill="1"/>
    <xf numFmtId="2" fontId="5" fillId="46" borderId="13" xfId="0" applyNumberFormat="1" applyFont="1" applyFill="1" applyBorder="1" applyAlignment="1">
      <alignment horizontal="center"/>
    </xf>
    <xf numFmtId="0" fontId="11" fillId="25" borderId="17" xfId="0" applyFont="1" applyFill="1" applyBorder="1" applyAlignment="1"/>
    <xf numFmtId="0" fontId="11" fillId="25" borderId="19" xfId="0" applyFont="1" applyFill="1" applyBorder="1" applyAlignment="1"/>
    <xf numFmtId="0" fontId="11" fillId="25" borderId="20" xfId="0" applyFont="1" applyFill="1" applyBorder="1" applyAlignment="1"/>
    <xf numFmtId="0" fontId="0" fillId="0" borderId="0" xfId="0"/>
    <xf numFmtId="0" fontId="165" fillId="0" borderId="0" xfId="0" applyFont="1"/>
    <xf numFmtId="171" fontId="7" fillId="25" borderId="256" xfId="0" applyNumberFormat="1" applyFont="1" applyFill="1" applyBorder="1" applyAlignment="1">
      <alignment horizontal="left"/>
    </xf>
    <xf numFmtId="169" fontId="7" fillId="25" borderId="256" xfId="0" applyNumberFormat="1" applyFont="1" applyFill="1" applyBorder="1" applyAlignment="1">
      <alignment horizontal="center"/>
    </xf>
    <xf numFmtId="169" fontId="7" fillId="25" borderId="294" xfId="0" applyNumberFormat="1" applyFont="1" applyFill="1" applyBorder="1" applyAlignment="1">
      <alignment horizontal="center"/>
    </xf>
    <xf numFmtId="171" fontId="7" fillId="25" borderId="262" xfId="0" applyNumberFormat="1" applyFont="1" applyFill="1" applyBorder="1" applyAlignment="1">
      <alignment horizontal="left"/>
    </xf>
    <xf numFmtId="169" fontId="7" fillId="25" borderId="262" xfId="0" applyNumberFormat="1" applyFont="1" applyFill="1" applyBorder="1" applyAlignment="1">
      <alignment horizontal="center"/>
    </xf>
    <xf numFmtId="169" fontId="7" fillId="25" borderId="296" xfId="0" applyNumberFormat="1" applyFont="1" applyFill="1" applyBorder="1" applyAlignment="1">
      <alignment horizontal="center"/>
    </xf>
    <xf numFmtId="169" fontId="5" fillId="48" borderId="13" xfId="0" applyNumberFormat="1" applyFont="1" applyFill="1" applyBorder="1" applyAlignment="1">
      <alignment horizontal="center"/>
    </xf>
    <xf numFmtId="0" fontId="5" fillId="46" borderId="0" xfId="0" applyFont="1" applyFill="1"/>
    <xf numFmtId="2" fontId="5" fillId="48" borderId="13" xfId="0" applyNumberFormat="1" applyFont="1" applyFill="1" applyBorder="1" applyAlignment="1">
      <alignment horizontal="center"/>
    </xf>
    <xf numFmtId="4" fontId="173" fillId="0" borderId="13" xfId="0" applyNumberFormat="1" applyFont="1" applyBorder="1" applyAlignment="1">
      <alignment horizontal="center"/>
    </xf>
    <xf numFmtId="0" fontId="174" fillId="0" borderId="0" xfId="0" applyFont="1"/>
    <xf numFmtId="0" fontId="162" fillId="0" borderId="0" xfId="0" applyFont="1"/>
    <xf numFmtId="4" fontId="0" fillId="0" borderId="13" xfId="0" applyNumberFormat="1" applyBorder="1"/>
    <xf numFmtId="2" fontId="167" fillId="0" borderId="103" xfId="157" applyNumberFormat="1" applyFont="1" applyBorder="1" applyAlignment="1">
      <alignment horizontal="center"/>
    </xf>
    <xf numFmtId="0" fontId="66" fillId="48" borderId="0" xfId="0" applyFont="1" applyFill="1" applyAlignment="1"/>
    <xf numFmtId="14" fontId="66" fillId="48" borderId="0" xfId="0" applyNumberFormat="1" applyFont="1" applyFill="1" applyAlignment="1">
      <alignment horizontal="center"/>
    </xf>
    <xf numFmtId="2" fontId="169" fillId="0" borderId="31" xfId="0" applyNumberFormat="1" applyFont="1" applyBorder="1" applyAlignment="1">
      <alignment horizontal="center"/>
    </xf>
    <xf numFmtId="1" fontId="36" fillId="0" borderId="13" xfId="0" applyNumberFormat="1" applyFont="1" applyBorder="1" applyAlignment="1">
      <alignment horizontal="center"/>
    </xf>
    <xf numFmtId="0" fontId="7" fillId="46" borderId="13" xfId="0" applyFont="1" applyFill="1" applyBorder="1" applyAlignment="1">
      <alignment wrapText="1"/>
    </xf>
    <xf numFmtId="0" fontId="7" fillId="48" borderId="13" xfId="0" applyFont="1" applyFill="1" applyBorder="1" applyAlignment="1">
      <alignment wrapText="1"/>
    </xf>
    <xf numFmtId="0" fontId="36" fillId="46" borderId="31" xfId="0" applyFont="1" applyFill="1" applyBorder="1" applyAlignment="1">
      <alignment horizontal="center" vertical="center"/>
    </xf>
    <xf numFmtId="3" fontId="96" fillId="48" borderId="13" xfId="0" applyNumberFormat="1" applyFont="1" applyFill="1" applyBorder="1" applyAlignment="1">
      <alignment horizontal="center" vertical="center"/>
    </xf>
    <xf numFmtId="4" fontId="109" fillId="48" borderId="13" xfId="0" applyNumberFormat="1" applyFont="1" applyFill="1" applyBorder="1" applyAlignment="1">
      <alignment horizontal="center" vertical="center"/>
    </xf>
    <xf numFmtId="3" fontId="11" fillId="48" borderId="13" xfId="0" applyNumberFormat="1" applyFont="1" applyFill="1" applyBorder="1" applyAlignment="1">
      <alignment horizontal="center" vertical="center"/>
    </xf>
    <xf numFmtId="3" fontId="109" fillId="48" borderId="13" xfId="0" applyNumberFormat="1" applyFont="1" applyFill="1" applyBorder="1" applyAlignment="1">
      <alignment horizontal="center" vertical="center"/>
    </xf>
    <xf numFmtId="3" fontId="11" fillId="48" borderId="13" xfId="0" applyNumberFormat="1" applyFont="1" applyFill="1" applyBorder="1" applyAlignment="1">
      <alignment horizontal="center"/>
    </xf>
    <xf numFmtId="4" fontId="60" fillId="48" borderId="13" xfId="0" applyNumberFormat="1" applyFont="1" applyFill="1" applyBorder="1" applyAlignment="1">
      <alignment horizontal="center"/>
    </xf>
    <xf numFmtId="2" fontId="4" fillId="48" borderId="17" xfId="0" applyNumberFormat="1" applyFont="1" applyFill="1" applyBorder="1" applyAlignment="1">
      <alignment horizontal="center"/>
    </xf>
    <xf numFmtId="2" fontId="4" fillId="48" borderId="19" xfId="0" applyNumberFormat="1" applyFont="1" applyFill="1" applyBorder="1" applyAlignment="1">
      <alignment horizontal="center"/>
    </xf>
    <xf numFmtId="2" fontId="5" fillId="48" borderId="19" xfId="0" applyNumberFormat="1" applyFont="1" applyFill="1" applyBorder="1"/>
    <xf numFmtId="2" fontId="5" fillId="48" borderId="20" xfId="0" applyNumberFormat="1" applyFont="1" applyFill="1" applyBorder="1"/>
    <xf numFmtId="0" fontId="5" fillId="48" borderId="261" xfId="0" applyFont="1" applyFill="1" applyBorder="1" applyAlignment="1">
      <alignment horizontal="center"/>
    </xf>
    <xf numFmtId="4" fontId="4" fillId="48" borderId="262" xfId="0" applyNumberFormat="1" applyFont="1" applyFill="1" applyBorder="1" applyAlignment="1">
      <alignment horizontal="center"/>
    </xf>
    <xf numFmtId="169" fontId="57" fillId="48" borderId="263" xfId="0" applyNumberFormat="1" applyFont="1" applyFill="1" applyBorder="1" applyAlignment="1">
      <alignment horizontal="center"/>
    </xf>
    <xf numFmtId="4" fontId="57" fillId="48" borderId="264" xfId="0" applyNumberFormat="1" applyFont="1" applyFill="1" applyBorder="1" applyAlignment="1">
      <alignment horizontal="center"/>
    </xf>
    <xf numFmtId="4" fontId="57" fillId="48" borderId="102" xfId="0" applyNumberFormat="1" applyFont="1" applyFill="1" applyBorder="1" applyAlignment="1">
      <alignment horizontal="center"/>
    </xf>
    <xf numFmtId="169" fontId="57" fillId="48" borderId="102" xfId="0" applyNumberFormat="1" applyFont="1" applyFill="1" applyBorder="1" applyAlignment="1">
      <alignment horizontal="center"/>
    </xf>
    <xf numFmtId="174" fontId="0" fillId="48" borderId="103" xfId="0" applyNumberFormat="1" applyFill="1" applyBorder="1" applyAlignment="1">
      <alignment horizontal="center"/>
    </xf>
    <xf numFmtId="169" fontId="4" fillId="46" borderId="21" xfId="0" applyNumberFormat="1" applyFont="1" applyFill="1" applyBorder="1" applyAlignment="1">
      <alignment horizontal="center"/>
    </xf>
    <xf numFmtId="169" fontId="4" fillId="46" borderId="22" xfId="0" applyNumberFormat="1" applyFont="1" applyFill="1" applyBorder="1" applyAlignment="1">
      <alignment horizontal="center"/>
    </xf>
    <xf numFmtId="4" fontId="4" fillId="46" borderId="21" xfId="0" applyNumberFormat="1" applyFont="1" applyFill="1" applyBorder="1" applyAlignment="1">
      <alignment horizontal="center"/>
    </xf>
    <xf numFmtId="4" fontId="4" fillId="46" borderId="61" xfId="0" applyNumberFormat="1" applyFont="1" applyFill="1" applyBorder="1" applyAlignment="1">
      <alignment horizontal="center"/>
    </xf>
    <xf numFmtId="0" fontId="0" fillId="46" borderId="0" xfId="0" applyFill="1"/>
    <xf numFmtId="1" fontId="5" fillId="53" borderId="13" xfId="205" applyNumberFormat="1" applyFont="1" applyFill="1" applyBorder="1" applyAlignment="1">
      <alignment horizontal="center"/>
    </xf>
    <xf numFmtId="0" fontId="162" fillId="46" borderId="0" xfId="0" applyFont="1" applyFill="1"/>
    <xf numFmtId="0" fontId="36" fillId="54" borderId="0" xfId="0" applyFont="1" applyFill="1"/>
    <xf numFmtId="0" fontId="36" fillId="54" borderId="0" xfId="0" applyFont="1" applyFill="1" applyBorder="1" applyAlignment="1">
      <alignment horizontal="center"/>
    </xf>
    <xf numFmtId="2" fontId="36" fillId="54" borderId="0" xfId="0" applyNumberFormat="1" applyFont="1" applyFill="1" applyBorder="1" applyAlignment="1">
      <alignment horizontal="center"/>
    </xf>
    <xf numFmtId="0" fontId="38" fillId="54" borderId="87" xfId="0" applyFont="1" applyFill="1" applyBorder="1" applyAlignment="1">
      <alignment horizontal="center"/>
    </xf>
    <xf numFmtId="0" fontId="38" fillId="54" borderId="31" xfId="0" applyFont="1" applyFill="1" applyBorder="1" applyAlignment="1">
      <alignment horizontal="center"/>
    </xf>
    <xf numFmtId="174" fontId="167" fillId="48" borderId="0" xfId="0" applyNumberFormat="1" applyFont="1" applyFill="1"/>
    <xf numFmtId="181" fontId="168" fillId="0" borderId="13" xfId="0" applyNumberFormat="1" applyFont="1" applyFill="1" applyBorder="1" applyAlignment="1">
      <alignment horizontal="center"/>
    </xf>
    <xf numFmtId="9" fontId="175" fillId="24" borderId="13" xfId="205" applyFont="1" applyFill="1" applyBorder="1" applyAlignment="1">
      <alignment horizontal="center"/>
    </xf>
    <xf numFmtId="0" fontId="36" fillId="46" borderId="109" xfId="0" applyFont="1" applyFill="1" applyBorder="1" applyAlignment="1">
      <alignment horizontal="center" vertical="center"/>
    </xf>
    <xf numFmtId="16" fontId="36" fillId="46" borderId="112" xfId="0" applyNumberFormat="1" applyFont="1" applyFill="1" applyBorder="1" applyAlignment="1">
      <alignment horizontal="center" vertical="center"/>
    </xf>
    <xf numFmtId="0" fontId="36" fillId="46" borderId="201" xfId="0" applyFont="1" applyFill="1" applyBorder="1" applyAlignment="1">
      <alignment horizontal="center" vertical="center"/>
    </xf>
    <xf numFmtId="0" fontId="36" fillId="46" borderId="110" xfId="0" applyFont="1" applyFill="1" applyBorder="1" applyAlignment="1">
      <alignment horizontal="center" vertical="center"/>
    </xf>
    <xf numFmtId="0" fontId="36" fillId="46" borderId="87" xfId="0" applyFont="1" applyFill="1" applyBorder="1" applyAlignment="1">
      <alignment horizontal="center" vertical="center"/>
    </xf>
    <xf numFmtId="0" fontId="118" fillId="46" borderId="87" xfId="196" applyFont="1" applyFill="1" applyBorder="1" applyAlignment="1">
      <alignment horizontal="center" vertical="center" wrapText="1"/>
    </xf>
    <xf numFmtId="2" fontId="36" fillId="0" borderId="77" xfId="256" applyNumberFormat="1" applyFont="1" applyBorder="1" applyAlignment="1">
      <alignment horizontal="center"/>
    </xf>
    <xf numFmtId="3" fontId="176" fillId="24" borderId="13" xfId="0" applyNumberFormat="1" applyFont="1" applyFill="1" applyBorder="1" applyAlignment="1">
      <alignment horizontal="center" vertical="center"/>
    </xf>
    <xf numFmtId="0" fontId="0" fillId="48" borderId="0" xfId="0" applyFill="1"/>
    <xf numFmtId="0" fontId="7" fillId="48" borderId="13" xfId="0" applyFont="1" applyFill="1" applyBorder="1" applyAlignment="1">
      <alignment horizontal="center" vertical="center" wrapText="1"/>
    </xf>
    <xf numFmtId="1" fontId="7" fillId="48" borderId="13" xfId="0" applyNumberFormat="1" applyFont="1" applyFill="1" applyBorder="1" applyAlignment="1">
      <alignment horizontal="center" vertical="center"/>
    </xf>
    <xf numFmtId="0" fontId="2" fillId="0" borderId="0" xfId="0" applyFont="1"/>
    <xf numFmtId="0" fontId="13" fillId="49" borderId="56" xfId="0" applyFont="1" applyFill="1" applyBorder="1" applyAlignment="1">
      <alignment horizontal="center"/>
    </xf>
    <xf numFmtId="0" fontId="13" fillId="49" borderId="30" xfId="0" applyFont="1" applyFill="1" applyBorder="1" applyAlignment="1">
      <alignment horizontal="center"/>
    </xf>
    <xf numFmtId="0" fontId="13" fillId="49" borderId="31" xfId="0" applyFont="1" applyFill="1" applyBorder="1" applyAlignment="1">
      <alignment horizontal="center"/>
    </xf>
    <xf numFmtId="0" fontId="0" fillId="0" borderId="0" xfId="0"/>
    <xf numFmtId="1" fontId="0" fillId="0" borderId="0" xfId="0" applyNumberFormat="1"/>
    <xf numFmtId="169" fontId="11" fillId="25" borderId="13" xfId="0" applyNumberFormat="1" applyFont="1" applyFill="1" applyBorder="1" applyAlignment="1">
      <alignment horizontal="center"/>
    </xf>
    <xf numFmtId="3" fontId="11" fillId="25" borderId="13" xfId="0" applyNumberFormat="1" applyFont="1" applyFill="1" applyBorder="1" applyAlignment="1">
      <alignment horizontal="center"/>
    </xf>
    <xf numFmtId="2" fontId="7" fillId="0" borderId="21" xfId="0" applyNumberFormat="1" applyFont="1" applyBorder="1" applyAlignment="1">
      <alignment horizontal="center"/>
    </xf>
    <xf numFmtId="2" fontId="7" fillId="0" borderId="18" xfId="177" applyNumberFormat="1" applyFont="1" applyFill="1" applyBorder="1" applyAlignment="1">
      <alignment horizontal="right"/>
    </xf>
    <xf numFmtId="2" fontId="7" fillId="0" borderId="17" xfId="177" applyNumberFormat="1" applyFont="1" applyFill="1" applyBorder="1" applyAlignment="1">
      <alignment horizontal="right"/>
    </xf>
    <xf numFmtId="174" fontId="81" fillId="0" borderId="13" xfId="177" applyNumberFormat="1" applyFont="1" applyFill="1" applyBorder="1" applyAlignment="1">
      <alignment horizontal="center"/>
    </xf>
    <xf numFmtId="2" fontId="7" fillId="0" borderId="20" xfId="177" applyNumberFormat="1" applyFont="1" applyFill="1" applyBorder="1" applyAlignment="1">
      <alignment horizontal="right"/>
    </xf>
    <xf numFmtId="2" fontId="7" fillId="0" borderId="21" xfId="177" applyNumberFormat="1" applyFont="1" applyFill="1" applyBorder="1" applyAlignment="1">
      <alignment horizontal="right"/>
    </xf>
    <xf numFmtId="169" fontId="7" fillId="0" borderId="13" xfId="0" applyNumberFormat="1" applyFont="1" applyFill="1" applyBorder="1" applyAlignment="1">
      <alignment horizontal="center"/>
    </xf>
    <xf numFmtId="0" fontId="7" fillId="24" borderId="18" xfId="0" applyFont="1" applyFill="1" applyBorder="1" applyAlignment="1">
      <alignment horizontal="center"/>
    </xf>
    <xf numFmtId="169" fontId="7" fillId="0" borderId="18" xfId="0" applyNumberFormat="1" applyFont="1" applyFill="1" applyBorder="1" applyAlignment="1">
      <alignment horizontal="center"/>
    </xf>
    <xf numFmtId="2" fontId="7" fillId="0" borderId="0" xfId="0" applyNumberFormat="1" applyFont="1" applyFill="1" applyBorder="1" applyAlignment="1">
      <alignment horizontal="center"/>
    </xf>
    <xf numFmtId="2" fontId="7" fillId="0" borderId="0" xfId="0" applyNumberFormat="1" applyFont="1" applyBorder="1" applyAlignment="1">
      <alignment horizontal="center"/>
    </xf>
    <xf numFmtId="174" fontId="7" fillId="0" borderId="0" xfId="0" applyNumberFormat="1" applyFont="1" applyBorder="1" applyAlignment="1">
      <alignment horizontal="center"/>
    </xf>
    <xf numFmtId="0" fontId="0" fillId="46" borderId="83" xfId="0" applyFont="1" applyFill="1" applyBorder="1" applyAlignment="1">
      <alignment horizontal="center"/>
    </xf>
    <xf numFmtId="4" fontId="0" fillId="46" borderId="0" xfId="0" applyNumberFormat="1" applyFill="1" applyBorder="1" applyAlignment="1">
      <alignment horizontal="center"/>
    </xf>
    <xf numFmtId="4" fontId="146" fillId="46" borderId="87" xfId="0" applyNumberFormat="1" applyFont="1" applyFill="1" applyBorder="1" applyAlignment="1">
      <alignment horizontal="center" vertical="center"/>
    </xf>
    <xf numFmtId="0" fontId="13" fillId="46" borderId="111" xfId="0" applyNumberFormat="1" applyFont="1" applyFill="1" applyBorder="1" applyAlignment="1">
      <alignment horizontal="center"/>
    </xf>
    <xf numFmtId="2" fontId="0" fillId="0" borderId="0" xfId="0" applyNumberFormat="1" applyBorder="1"/>
    <xf numFmtId="0" fontId="0" fillId="0" borderId="0" xfId="0"/>
    <xf numFmtId="0" fontId="36" fillId="0" borderId="21" xfId="0" applyFont="1" applyBorder="1" applyAlignment="1">
      <alignment horizontal="center"/>
    </xf>
    <xf numFmtId="0" fontId="2" fillId="0" borderId="87" xfId="0" applyFont="1" applyBorder="1"/>
    <xf numFmtId="0" fontId="36" fillId="46" borderId="13" xfId="0" applyFont="1" applyFill="1" applyBorder="1" applyAlignment="1">
      <alignment horizontal="center"/>
    </xf>
    <xf numFmtId="0" fontId="84" fillId="36" borderId="168" xfId="195" applyFont="1" applyFill="1" applyBorder="1" applyAlignment="1">
      <alignment horizontal="center" vertical="center" wrapText="1"/>
    </xf>
    <xf numFmtId="0" fontId="0" fillId="0" borderId="109" xfId="0" applyBorder="1" applyAlignment="1">
      <alignment horizontal="center" vertical="center"/>
    </xf>
    <xf numFmtId="16" fontId="0" fillId="0" borderId="112" xfId="0" applyNumberFormat="1" applyBorder="1" applyAlignment="1">
      <alignment horizontal="center" vertical="center"/>
    </xf>
    <xf numFmtId="0" fontId="0" fillId="0" borderId="201" xfId="0" applyBorder="1" applyAlignment="1">
      <alignment horizontal="center" vertical="center"/>
    </xf>
    <xf numFmtId="0" fontId="0" fillId="0" borderId="111" xfId="0" applyBorder="1" applyAlignment="1">
      <alignment horizontal="center" vertical="center"/>
    </xf>
    <xf numFmtId="0" fontId="0" fillId="0" borderId="112" xfId="0" applyBorder="1" applyAlignment="1">
      <alignment horizontal="center" vertical="center"/>
    </xf>
    <xf numFmtId="0" fontId="0" fillId="0" borderId="110" xfId="0" applyBorder="1" applyAlignment="1">
      <alignment horizontal="center" vertical="center"/>
    </xf>
    <xf numFmtId="0" fontId="0" fillId="0" borderId="109" xfId="0" applyFont="1" applyBorder="1" applyAlignment="1">
      <alignment horizontal="center" vertical="center"/>
    </xf>
    <xf numFmtId="0" fontId="177" fillId="0" borderId="112" xfId="196" applyFont="1" applyFill="1" applyBorder="1" applyAlignment="1">
      <alignment horizontal="center" vertical="center" wrapText="1"/>
    </xf>
    <xf numFmtId="0" fontId="0" fillId="0" borderId="31" xfId="0" applyBorder="1" applyAlignment="1">
      <alignment horizontal="center" vertical="center"/>
    </xf>
    <xf numFmtId="0" fontId="2" fillId="0" borderId="78" xfId="0" applyFont="1" applyBorder="1"/>
    <xf numFmtId="0" fontId="32" fillId="0" borderId="80" xfId="0" applyFont="1" applyBorder="1"/>
    <xf numFmtId="0" fontId="32" fillId="0" borderId="79" xfId="0" applyFont="1" applyBorder="1"/>
    <xf numFmtId="0" fontId="72" fillId="0" borderId="79" xfId="151" applyFont="1" applyFill="1" applyBorder="1"/>
    <xf numFmtId="0" fontId="72" fillId="0" borderId="79" xfId="151" applyFont="1" applyFill="1" applyBorder="1" applyAlignment="1">
      <alignment horizontal="left"/>
    </xf>
    <xf numFmtId="0" fontId="72" fillId="55" borderId="79" xfId="151" applyFont="1" applyFill="1" applyBorder="1" applyAlignment="1">
      <alignment horizontal="left"/>
    </xf>
    <xf numFmtId="49" fontId="72" fillId="0" borderId="79" xfId="151" applyNumberFormat="1" applyFont="1" applyFill="1" applyBorder="1" applyAlignment="1">
      <alignment horizontal="left"/>
    </xf>
    <xf numFmtId="49" fontId="72" fillId="0" borderId="79" xfId="151" applyNumberFormat="1" applyFont="1" applyBorder="1" applyAlignment="1">
      <alignment vertical="center" wrapText="1"/>
    </xf>
    <xf numFmtId="49" fontId="72" fillId="0" borderId="103" xfId="151" applyNumberFormat="1" applyFont="1" applyBorder="1" applyAlignment="1">
      <alignment horizontal="left" vertical="center" wrapText="1"/>
    </xf>
    <xf numFmtId="0" fontId="2" fillId="24" borderId="0" xfId="0" applyFont="1" applyFill="1"/>
    <xf numFmtId="2" fontId="32" fillId="0" borderId="0" xfId="0" applyNumberFormat="1" applyFont="1"/>
    <xf numFmtId="169" fontId="2" fillId="24" borderId="0" xfId="0" applyNumberFormat="1" applyFont="1" applyFill="1"/>
    <xf numFmtId="0" fontId="2" fillId="0" borderId="0" xfId="0" applyFont="1" applyBorder="1"/>
    <xf numFmtId="4" fontId="0" fillId="0" borderId="145" xfId="0" applyNumberFormat="1" applyBorder="1"/>
    <xf numFmtId="4" fontId="86" fillId="24" borderId="87" xfId="0" applyNumberFormat="1" applyFont="1" applyFill="1" applyBorder="1" applyAlignment="1">
      <alignment horizontal="center" vertical="center"/>
    </xf>
    <xf numFmtId="2" fontId="166" fillId="46" borderId="13" xfId="0" applyNumberFormat="1" applyFont="1" applyFill="1" applyBorder="1" applyAlignment="1">
      <alignment horizontal="right"/>
    </xf>
    <xf numFmtId="181" fontId="47" fillId="46" borderId="13" xfId="0" applyNumberFormat="1" applyFont="1" applyFill="1" applyBorder="1" applyAlignment="1">
      <alignment horizontal="center"/>
    </xf>
    <xf numFmtId="2" fontId="166" fillId="48" borderId="13" xfId="0" applyNumberFormat="1" applyFont="1" applyFill="1" applyBorder="1" applyAlignment="1">
      <alignment horizontal="right"/>
    </xf>
    <xf numFmtId="0" fontId="0" fillId="0" borderId="0" xfId="0"/>
    <xf numFmtId="0" fontId="118" fillId="24" borderId="83" xfId="195" applyFont="1" applyFill="1" applyBorder="1" applyAlignment="1">
      <alignment horizontal="center" vertical="center" wrapText="1"/>
    </xf>
    <xf numFmtId="0" fontId="177" fillId="0" borderId="174" xfId="195" applyFont="1" applyFill="1" applyBorder="1" applyAlignment="1">
      <alignment horizontal="left" wrapText="1"/>
    </xf>
    <xf numFmtId="0" fontId="177" fillId="0" borderId="4" xfId="195" applyFont="1" applyFill="1" applyBorder="1" applyAlignment="1">
      <alignment horizontal="left" wrapText="1"/>
    </xf>
    <xf numFmtId="0" fontId="177" fillId="0" borderId="197" xfId="195" applyFont="1" applyFill="1" applyBorder="1" applyAlignment="1">
      <alignment horizontal="left" wrapText="1"/>
    </xf>
    <xf numFmtId="0" fontId="177" fillId="0" borderId="185" xfId="195" applyFont="1" applyFill="1" applyBorder="1" applyAlignment="1">
      <alignment horizontal="left" wrapText="1"/>
    </xf>
    <xf numFmtId="0" fontId="177" fillId="0" borderId="191" xfId="195" applyFont="1" applyFill="1" applyBorder="1" applyAlignment="1">
      <alignment horizontal="left" wrapText="1"/>
    </xf>
    <xf numFmtId="0" fontId="179" fillId="0" borderId="4" xfId="195" applyFont="1" applyFill="1" applyBorder="1" applyAlignment="1">
      <alignment horizontal="left" wrapText="1"/>
    </xf>
    <xf numFmtId="0" fontId="177" fillId="0" borderId="297" xfId="195" applyFont="1" applyFill="1" applyBorder="1" applyAlignment="1">
      <alignment horizontal="left" wrapText="1"/>
    </xf>
    <xf numFmtId="0" fontId="177" fillId="0" borderId="225" xfId="195" applyFont="1" applyFill="1" applyBorder="1" applyAlignment="1">
      <alignment horizontal="left" wrapText="1"/>
    </xf>
    <xf numFmtId="0" fontId="177" fillId="0" borderId="298" xfId="195" applyFont="1" applyFill="1" applyBorder="1" applyAlignment="1">
      <alignment horizontal="left" wrapText="1"/>
    </xf>
    <xf numFmtId="0" fontId="177" fillId="0" borderId="299" xfId="195" applyFont="1" applyFill="1" applyBorder="1" applyAlignment="1">
      <alignment horizontal="left" wrapText="1"/>
    </xf>
    <xf numFmtId="0" fontId="164" fillId="0" borderId="174" xfId="195" applyFont="1" applyFill="1" applyBorder="1" applyAlignment="1">
      <alignment horizontal="center" vertical="center" wrapText="1"/>
    </xf>
    <xf numFmtId="0" fontId="164" fillId="0" borderId="185" xfId="195" applyFont="1" applyFill="1" applyBorder="1" applyAlignment="1">
      <alignment horizontal="center" vertical="center" wrapText="1"/>
    </xf>
    <xf numFmtId="0" fontId="164" fillId="0" borderId="297" xfId="195" applyFont="1" applyFill="1" applyBorder="1" applyAlignment="1">
      <alignment horizontal="center" vertical="center" wrapText="1"/>
    </xf>
    <xf numFmtId="0" fontId="118" fillId="0" borderId="83" xfId="195" applyFont="1" applyFill="1" applyBorder="1" applyAlignment="1">
      <alignment horizontal="center" vertical="center" wrapText="1"/>
    </xf>
    <xf numFmtId="0" fontId="118" fillId="0" borderId="205" xfId="195" applyFont="1" applyFill="1" applyBorder="1" applyAlignment="1">
      <alignment horizontal="center" vertical="center" wrapText="1"/>
    </xf>
    <xf numFmtId="0" fontId="130" fillId="0" borderId="248" xfId="195" applyFont="1" applyFill="1" applyBorder="1" applyAlignment="1">
      <alignment horizontal="center" vertical="center" wrapText="1"/>
    </xf>
    <xf numFmtId="0" fontId="130" fillId="0" borderId="221" xfId="195" applyFont="1" applyFill="1" applyBorder="1" applyAlignment="1">
      <alignment horizontal="center" vertical="center" wrapText="1"/>
    </xf>
    <xf numFmtId="4" fontId="118" fillId="0" borderId="190" xfId="195" applyNumberFormat="1" applyFont="1" applyFill="1" applyBorder="1" applyAlignment="1">
      <alignment horizontal="center" vertical="center" wrapText="1"/>
    </xf>
    <xf numFmtId="4" fontId="118" fillId="0" borderId="192" xfId="195" applyNumberFormat="1" applyFont="1" applyFill="1" applyBorder="1" applyAlignment="1">
      <alignment horizontal="center" vertical="center" wrapText="1"/>
    </xf>
    <xf numFmtId="0" fontId="0" fillId="0" borderId="0" xfId="0"/>
    <xf numFmtId="0" fontId="0" fillId="0" borderId="0" xfId="0"/>
    <xf numFmtId="2" fontId="11" fillId="48" borderId="0" xfId="0" applyNumberFormat="1" applyFont="1" applyFill="1" applyBorder="1" applyAlignment="1">
      <alignment horizontal="center"/>
    </xf>
    <xf numFmtId="0" fontId="0" fillId="52" borderId="0" xfId="0" applyFill="1"/>
    <xf numFmtId="174" fontId="2" fillId="0" borderId="0" xfId="0" applyNumberFormat="1" applyFont="1"/>
    <xf numFmtId="2" fontId="36" fillId="48" borderId="13" xfId="0" applyNumberFormat="1" applyFont="1" applyFill="1" applyBorder="1" applyAlignment="1">
      <alignment horizontal="right"/>
    </xf>
    <xf numFmtId="166" fontId="5" fillId="48" borderId="14" xfId="205" applyNumberFormat="1" applyFont="1" applyFill="1" applyBorder="1" applyAlignment="1">
      <alignment horizontal="center" vertical="center"/>
    </xf>
    <xf numFmtId="180" fontId="5" fillId="56" borderId="24" xfId="0" applyNumberFormat="1" applyFont="1" applyFill="1" applyBorder="1" applyAlignment="1"/>
    <xf numFmtId="180" fontId="5" fillId="56" borderId="93" xfId="0" applyNumberFormat="1" applyFont="1" applyFill="1" applyBorder="1" applyAlignment="1"/>
    <xf numFmtId="180" fontId="98" fillId="56" borderId="24" xfId="0" applyNumberFormat="1" applyFont="1" applyFill="1" applyBorder="1" applyAlignment="1">
      <alignment horizontal="center" vertical="center"/>
    </xf>
    <xf numFmtId="180" fontId="5" fillId="56" borderId="25" xfId="0" applyNumberFormat="1" applyFont="1" applyFill="1" applyBorder="1" applyAlignment="1"/>
    <xf numFmtId="180" fontId="10" fillId="56" borderId="24" xfId="0" applyNumberFormat="1" applyFont="1" applyFill="1" applyBorder="1" applyAlignment="1">
      <alignment horizontal="center"/>
    </xf>
    <xf numFmtId="180" fontId="5" fillId="56" borderId="26" xfId="0" applyNumberFormat="1" applyFont="1" applyFill="1" applyBorder="1" applyAlignment="1"/>
    <xf numFmtId="180" fontId="10" fillId="56" borderId="26" xfId="0" applyNumberFormat="1" applyFont="1" applyFill="1" applyBorder="1" applyAlignment="1">
      <alignment horizontal="center"/>
    </xf>
    <xf numFmtId="180" fontId="48" fillId="56" borderId="27" xfId="0" applyNumberFormat="1" applyFont="1" applyFill="1" applyBorder="1" applyAlignment="1">
      <alignment horizontal="center"/>
    </xf>
    <xf numFmtId="180" fontId="48" fillId="56" borderId="25" xfId="0" applyNumberFormat="1" applyFont="1" applyFill="1" applyBorder="1" applyAlignment="1">
      <alignment horizontal="center"/>
    </xf>
    <xf numFmtId="180" fontId="48" fillId="56" borderId="26" xfId="0" applyNumberFormat="1" applyFont="1" applyFill="1" applyBorder="1" applyAlignment="1">
      <alignment horizontal="center"/>
    </xf>
    <xf numFmtId="0" fontId="0" fillId="0" borderId="0" xfId="0"/>
    <xf numFmtId="174" fontId="0" fillId="0" borderId="87" xfId="0" applyNumberFormat="1" applyBorder="1"/>
    <xf numFmtId="174" fontId="72" fillId="48" borderId="13" xfId="0" applyNumberFormat="1" applyFont="1" applyFill="1" applyBorder="1" applyAlignment="1">
      <alignment horizontal="center"/>
    </xf>
    <xf numFmtId="174" fontId="66" fillId="54" borderId="0" xfId="0" applyNumberFormat="1" applyFont="1" applyFill="1"/>
    <xf numFmtId="165" fontId="36" fillId="0" borderId="0" xfId="0" applyNumberFormat="1" applyFont="1"/>
    <xf numFmtId="2" fontId="0" fillId="46" borderId="0" xfId="0" applyNumberFormat="1" applyFill="1" applyBorder="1" applyAlignment="1">
      <alignment horizontal="center"/>
    </xf>
    <xf numFmtId="0" fontId="0" fillId="0" borderId="137" xfId="0" applyBorder="1" applyAlignment="1">
      <alignment horizontal="center"/>
    </xf>
    <xf numFmtId="0" fontId="0" fillId="0" borderId="0" xfId="0"/>
    <xf numFmtId="2" fontId="168" fillId="48" borderId="13" xfId="177" applyNumberFormat="1" applyFont="1" applyFill="1" applyBorder="1" applyAlignment="1">
      <alignment horizontal="right"/>
    </xf>
    <xf numFmtId="3" fontId="166" fillId="46" borderId="125" xfId="0" applyNumberFormat="1" applyFont="1" applyFill="1" applyBorder="1" applyAlignment="1">
      <alignment horizontal="center" vertical="center"/>
    </xf>
    <xf numFmtId="0" fontId="31" fillId="26" borderId="56" xfId="187" applyFont="1" applyFill="1" applyBorder="1"/>
    <xf numFmtId="0" fontId="84" fillId="24" borderId="0" xfId="187" applyFont="1" applyFill="1" applyBorder="1"/>
    <xf numFmtId="174" fontId="166" fillId="57" borderId="57" xfId="196" applyNumberFormat="1" applyFont="1" applyFill="1" applyBorder="1" applyAlignment="1">
      <alignment horizontal="center"/>
    </xf>
    <xf numFmtId="174" fontId="36" fillId="57" borderId="57" xfId="196" applyNumberFormat="1" applyFont="1" applyFill="1" applyBorder="1" applyAlignment="1">
      <alignment horizontal="center"/>
    </xf>
    <xf numFmtId="0" fontId="166" fillId="46" borderId="134" xfId="0" applyFont="1" applyFill="1" applyBorder="1" applyAlignment="1">
      <alignment horizontal="center"/>
    </xf>
    <xf numFmtId="14" fontId="36" fillId="0" borderId="141" xfId="256" applyNumberFormat="1" applyFont="1" applyBorder="1" applyAlignment="1">
      <alignment horizontal="center"/>
    </xf>
    <xf numFmtId="14" fontId="166" fillId="46" borderId="141" xfId="256" applyNumberFormat="1" applyFont="1" applyFill="1" applyBorder="1" applyAlignment="1">
      <alignment horizontal="center"/>
    </xf>
    <xf numFmtId="14" fontId="36" fillId="0" borderId="125" xfId="256" applyNumberFormat="1" applyFont="1" applyBorder="1" applyAlignment="1">
      <alignment horizontal="center"/>
    </xf>
    <xf numFmtId="4" fontId="0" fillId="48" borderId="13" xfId="0" applyNumberFormat="1" applyFill="1" applyBorder="1"/>
    <xf numFmtId="180" fontId="184" fillId="24" borderId="13" xfId="0" applyNumberFormat="1" applyFont="1" applyFill="1" applyBorder="1" applyAlignment="1">
      <alignment horizontal="center"/>
    </xf>
    <xf numFmtId="0" fontId="174" fillId="46" borderId="0" xfId="0" applyFont="1" applyFill="1"/>
    <xf numFmtId="0" fontId="13" fillId="0" borderId="300" xfId="0" applyFont="1" applyBorder="1" applyAlignment="1">
      <alignment horizontal="left" vertical="center" wrapText="1"/>
    </xf>
    <xf numFmtId="0" fontId="13" fillId="0" borderId="300" xfId="0" applyFont="1" applyFill="1" applyBorder="1" applyAlignment="1">
      <alignment horizontal="left" vertical="center" wrapText="1"/>
    </xf>
    <xf numFmtId="0" fontId="13" fillId="0" borderId="300" xfId="0" applyFont="1" applyBorder="1" applyAlignment="1">
      <alignment horizontal="left"/>
    </xf>
    <xf numFmtId="0" fontId="162" fillId="0" borderId="300" xfId="0" applyFont="1" applyBorder="1" applyAlignment="1">
      <alignment horizontal="left"/>
    </xf>
    <xf numFmtId="0" fontId="58" fillId="0" borderId="0" xfId="0" applyFont="1" applyFill="1"/>
    <xf numFmtId="169" fontId="2" fillId="24" borderId="0" xfId="0" applyNumberFormat="1" applyFont="1" applyFill="1" applyBorder="1"/>
    <xf numFmtId="174" fontId="2" fillId="24" borderId="0" xfId="0" applyNumberFormat="1" applyFont="1" applyFill="1" applyAlignment="1">
      <alignment horizontal="center"/>
    </xf>
    <xf numFmtId="174" fontId="0" fillId="48" borderId="13" xfId="0" applyNumberFormat="1" applyFill="1" applyBorder="1" applyAlignment="1">
      <alignment horizontal="center"/>
    </xf>
    <xf numFmtId="174" fontId="32" fillId="0" borderId="80" xfId="0" applyNumberFormat="1" applyFont="1" applyBorder="1"/>
    <xf numFmtId="174" fontId="32" fillId="0" borderId="90" xfId="0" applyNumberFormat="1" applyFont="1" applyBorder="1"/>
    <xf numFmtId="174" fontId="32" fillId="0" borderId="0" xfId="0" applyNumberFormat="1" applyFont="1" applyAlignment="1">
      <alignment horizontal="center"/>
    </xf>
    <xf numFmtId="0" fontId="66" fillId="46" borderId="0" xfId="0" applyFont="1" applyFill="1"/>
    <xf numFmtId="0" fontId="185" fillId="26" borderId="30" xfId="187" applyFont="1" applyFill="1" applyBorder="1"/>
    <xf numFmtId="0" fontId="0" fillId="0" borderId="0" xfId="0"/>
    <xf numFmtId="0" fontId="38" fillId="24" borderId="56" xfId="179" applyFont="1" applyFill="1" applyBorder="1" applyAlignment="1">
      <alignment horizontal="center" wrapText="1"/>
    </xf>
    <xf numFmtId="0" fontId="13" fillId="24" borderId="121" xfId="179" applyFont="1" applyFill="1" applyBorder="1" applyAlignment="1">
      <alignment horizontal="center" wrapText="1"/>
    </xf>
    <xf numFmtId="0" fontId="86" fillId="0" borderId="56" xfId="189" applyFont="1" applyBorder="1" applyAlignment="1">
      <alignment horizontal="center"/>
    </xf>
    <xf numFmtId="2" fontId="168" fillId="46" borderId="13" xfId="0" applyNumberFormat="1" applyFont="1" applyFill="1" applyBorder="1" applyAlignment="1">
      <alignment horizontal="center"/>
    </xf>
    <xf numFmtId="4" fontId="7" fillId="58" borderId="102" xfId="0" applyNumberFormat="1" applyFont="1" applyFill="1" applyBorder="1" applyAlignment="1">
      <alignment horizontal="center"/>
    </xf>
    <xf numFmtId="3" fontId="11" fillId="25" borderId="0" xfId="0" applyNumberFormat="1" applyFont="1" applyFill="1" applyBorder="1" applyAlignment="1">
      <alignment horizontal="center" vertical="center"/>
    </xf>
    <xf numFmtId="3" fontId="11" fillId="25" borderId="101" xfId="0" applyNumberFormat="1" applyFont="1" applyFill="1" applyBorder="1" applyAlignment="1">
      <alignment horizontal="center" vertical="center"/>
    </xf>
    <xf numFmtId="3" fontId="11" fillId="25" borderId="137" xfId="0" applyNumberFormat="1" applyFont="1" applyFill="1" applyBorder="1" applyAlignment="1">
      <alignment horizontal="center" vertical="center"/>
    </xf>
    <xf numFmtId="0" fontId="60" fillId="46" borderId="87" xfId="0" applyNumberFormat="1" applyFont="1" applyFill="1" applyBorder="1" applyAlignment="1">
      <alignment horizontal="center"/>
    </xf>
    <xf numFmtId="0" fontId="60" fillId="0" borderId="87" xfId="0" applyNumberFormat="1" applyFont="1" applyFill="1" applyBorder="1" applyAlignment="1">
      <alignment horizontal="center"/>
    </xf>
    <xf numFmtId="181" fontId="47" fillId="0" borderId="125" xfId="0" applyNumberFormat="1" applyFont="1" applyFill="1" applyBorder="1" applyAlignment="1">
      <alignment horizontal="center"/>
    </xf>
    <xf numFmtId="0" fontId="0" fillId="0" borderId="137" xfId="0" applyBorder="1" applyAlignment="1">
      <alignment horizontal="center"/>
    </xf>
    <xf numFmtId="0" fontId="0" fillId="46" borderId="0" xfId="0" applyFill="1"/>
    <xf numFmtId="0" fontId="0" fillId="0" borderId="0" xfId="0"/>
    <xf numFmtId="0" fontId="2" fillId="46" borderId="81" xfId="0" applyFont="1" applyFill="1" applyBorder="1"/>
    <xf numFmtId="174" fontId="169" fillId="39" borderId="57" xfId="196" applyNumberFormat="1" applyFont="1" applyFill="1" applyBorder="1" applyAlignment="1">
      <alignment horizontal="center"/>
    </xf>
    <xf numFmtId="174" fontId="169" fillId="57" borderId="57" xfId="196" applyNumberFormat="1" applyFont="1" applyFill="1" applyBorder="1" applyAlignment="1">
      <alignment horizontal="center"/>
    </xf>
    <xf numFmtId="0" fontId="186" fillId="45" borderId="0" xfId="0" applyFont="1" applyFill="1"/>
    <xf numFmtId="0" fontId="187" fillId="45" borderId="0" xfId="0" applyFont="1" applyFill="1"/>
    <xf numFmtId="0" fontId="187" fillId="0" borderId="0" xfId="0" applyFont="1"/>
    <xf numFmtId="4" fontId="188" fillId="48" borderId="13" xfId="0" applyNumberFormat="1" applyFont="1" applyFill="1" applyBorder="1" applyAlignment="1">
      <alignment horizontal="center"/>
    </xf>
    <xf numFmtId="2" fontId="169" fillId="52" borderId="13" xfId="0" applyNumberFormat="1" applyFont="1" applyFill="1" applyBorder="1" applyAlignment="1">
      <alignment horizontal="center"/>
    </xf>
    <xf numFmtId="0" fontId="2" fillId="48" borderId="0" xfId="0" applyFont="1" applyFill="1"/>
    <xf numFmtId="9" fontId="2" fillId="48" borderId="0" xfId="205" applyFont="1" applyFill="1"/>
    <xf numFmtId="2" fontId="189" fillId="48" borderId="13" xfId="0" applyNumberFormat="1" applyFont="1" applyFill="1" applyBorder="1" applyAlignment="1">
      <alignment horizontal="center"/>
    </xf>
    <xf numFmtId="2" fontId="7" fillId="48" borderId="13" xfId="177" applyNumberFormat="1" applyFont="1" applyFill="1" applyBorder="1" applyAlignment="1">
      <alignment horizontal="right"/>
    </xf>
    <xf numFmtId="0" fontId="115" fillId="46" borderId="30" xfId="187" applyFont="1" applyFill="1" applyBorder="1"/>
    <xf numFmtId="0" fontId="154" fillId="46" borderId="30" xfId="187" applyFill="1" applyBorder="1" applyAlignment="1">
      <alignment horizontal="center"/>
    </xf>
    <xf numFmtId="0" fontId="0" fillId="46" borderId="31" xfId="0" applyFill="1" applyBorder="1"/>
    <xf numFmtId="0" fontId="31" fillId="46" borderId="56" xfId="187" applyFont="1" applyFill="1" applyBorder="1"/>
    <xf numFmtId="0" fontId="31" fillId="46" borderId="30" xfId="187" applyFont="1" applyFill="1" applyBorder="1"/>
    <xf numFmtId="0" fontId="38" fillId="24" borderId="30" xfId="179" applyFont="1" applyFill="1" applyBorder="1" applyAlignment="1">
      <alignment horizontal="center" wrapText="1"/>
    </xf>
    <xf numFmtId="0" fontId="84" fillId="0" borderId="13" xfId="187" applyFont="1" applyBorder="1" applyAlignment="1">
      <alignment horizontal="center"/>
    </xf>
    <xf numFmtId="0" fontId="84" fillId="24" borderId="13" xfId="187" applyFont="1" applyFill="1" applyBorder="1" applyAlignment="1">
      <alignment horizontal="center"/>
    </xf>
    <xf numFmtId="0" fontId="83" fillId="24" borderId="301" xfId="179" applyFont="1" applyFill="1" applyBorder="1" applyAlignment="1">
      <alignment horizontal="center" wrapText="1"/>
    </xf>
    <xf numFmtId="0" fontId="84" fillId="48" borderId="13" xfId="187" applyFont="1" applyFill="1" applyBorder="1" applyAlignment="1">
      <alignment horizontal="center"/>
    </xf>
    <xf numFmtId="0" fontId="36" fillId="24" borderId="131" xfId="179" applyFont="1" applyFill="1" applyBorder="1" applyAlignment="1">
      <alignment horizontal="center" wrapText="1"/>
    </xf>
    <xf numFmtId="0" fontId="84" fillId="0" borderId="20" xfId="187" applyFont="1" applyBorder="1" applyAlignment="1">
      <alignment horizontal="center"/>
    </xf>
    <xf numFmtId="0" fontId="36" fillId="24" borderId="81" xfId="179" applyFont="1" applyFill="1" applyBorder="1" applyAlignment="1">
      <alignment horizontal="center" wrapText="1"/>
    </xf>
    <xf numFmtId="0" fontId="36" fillId="24" borderId="78" xfId="179" applyFont="1" applyFill="1" applyBorder="1" applyAlignment="1">
      <alignment horizontal="center" wrapText="1"/>
    </xf>
    <xf numFmtId="0" fontId="36" fillId="24" borderId="80" xfId="179" applyFont="1" applyFill="1" applyBorder="1" applyAlignment="1">
      <alignment horizontal="center" wrapText="1"/>
    </xf>
    <xf numFmtId="0" fontId="36" fillId="24" borderId="79" xfId="179" applyFont="1" applyFill="1" applyBorder="1" applyAlignment="1">
      <alignment horizontal="center" wrapText="1"/>
    </xf>
    <xf numFmtId="0" fontId="84" fillId="0" borderId="107" xfId="187" applyFont="1" applyBorder="1" applyAlignment="1">
      <alignment horizontal="center"/>
    </xf>
    <xf numFmtId="0" fontId="36" fillId="24" borderId="104" xfId="179" applyFont="1" applyFill="1" applyBorder="1" applyAlignment="1">
      <alignment horizontal="center" wrapText="1"/>
    </xf>
    <xf numFmtId="0" fontId="84" fillId="0" borderId="18" xfId="187" applyFont="1" applyBorder="1" applyAlignment="1">
      <alignment horizontal="center"/>
    </xf>
    <xf numFmtId="0" fontId="84" fillId="24" borderId="18" xfId="187" applyFont="1" applyFill="1" applyBorder="1" applyAlignment="1">
      <alignment horizontal="center"/>
    </xf>
    <xf numFmtId="0" fontId="84" fillId="48" borderId="130" xfId="187" applyFont="1" applyFill="1" applyBorder="1" applyAlignment="1">
      <alignment horizontal="center"/>
    </xf>
    <xf numFmtId="0" fontId="84" fillId="0" borderId="60" xfId="187" applyFont="1" applyBorder="1" applyAlignment="1">
      <alignment horizontal="center"/>
    </xf>
    <xf numFmtId="0" fontId="2" fillId="0" borderId="130" xfId="0" applyFont="1" applyBorder="1" applyAlignment="1">
      <alignment horizontal="center"/>
    </xf>
    <xf numFmtId="0" fontId="82" fillId="24" borderId="138" xfId="179" applyFont="1" applyFill="1" applyBorder="1" applyAlignment="1">
      <alignment horizontal="center" wrapText="1"/>
    </xf>
    <xf numFmtId="0" fontId="83" fillId="24" borderId="139" xfId="179" applyFont="1" applyFill="1" applyBorder="1" applyAlignment="1">
      <alignment horizontal="center" wrapText="1"/>
    </xf>
    <xf numFmtId="0" fontId="114" fillId="0" borderId="31" xfId="187" applyFont="1" applyBorder="1" applyAlignment="1">
      <alignment horizontal="center"/>
    </xf>
    <xf numFmtId="0" fontId="84" fillId="0" borderId="17" xfId="187" applyFont="1" applyBorder="1" applyAlignment="1">
      <alignment horizontal="center"/>
    </xf>
    <xf numFmtId="0" fontId="2" fillId="0" borderId="141" xfId="0" applyFont="1" applyBorder="1" applyAlignment="1">
      <alignment horizontal="center"/>
    </xf>
    <xf numFmtId="0" fontId="84" fillId="48" borderId="18" xfId="187" applyFont="1" applyFill="1" applyBorder="1" applyAlignment="1">
      <alignment horizontal="center"/>
    </xf>
    <xf numFmtId="0" fontId="2" fillId="0" borderId="218" xfId="0" applyFont="1" applyBorder="1" applyAlignment="1">
      <alignment horizontal="center"/>
    </xf>
    <xf numFmtId="0" fontId="0" fillId="0" borderId="109" xfId="0" applyBorder="1"/>
    <xf numFmtId="0" fontId="82" fillId="24" borderId="111" xfId="179" applyFont="1" applyFill="1" applyBorder="1" applyAlignment="1">
      <alignment horizontal="center" wrapText="1"/>
    </xf>
    <xf numFmtId="0" fontId="114" fillId="0" borderId="111" xfId="187" applyFont="1" applyBorder="1" applyAlignment="1">
      <alignment horizontal="center"/>
    </xf>
    <xf numFmtId="0" fontId="0" fillId="0" borderId="31" xfId="0" applyBorder="1"/>
    <xf numFmtId="0" fontId="31" fillId="59" borderId="56" xfId="187" applyFont="1" applyFill="1" applyBorder="1"/>
    <xf numFmtId="0" fontId="115" fillId="59" borderId="30" xfId="187" applyFont="1" applyFill="1" applyBorder="1"/>
    <xf numFmtId="0" fontId="154" fillId="59" borderId="30" xfId="187" applyFill="1" applyBorder="1" applyAlignment="1">
      <alignment horizontal="center"/>
    </xf>
    <xf numFmtId="0" fontId="0" fillId="59" borderId="31" xfId="0" applyFill="1" applyBorder="1"/>
    <xf numFmtId="0" fontId="24" fillId="24" borderId="137" xfId="0" applyFont="1" applyFill="1" applyBorder="1"/>
    <xf numFmtId="0" fontId="38" fillId="59" borderId="30" xfId="179" applyFont="1" applyFill="1" applyBorder="1" applyAlignment="1">
      <alignment horizontal="center" wrapText="1"/>
    </xf>
    <xf numFmtId="0" fontId="130" fillId="0" borderId="56" xfId="189" applyFont="1" applyBorder="1" applyAlignment="1">
      <alignment horizontal="center"/>
    </xf>
    <xf numFmtId="0" fontId="7" fillId="48" borderId="0" xfId="0" applyFont="1" applyFill="1"/>
    <xf numFmtId="0" fontId="7" fillId="48" borderId="13" xfId="0" applyFont="1" applyFill="1" applyBorder="1" applyAlignment="1">
      <alignment horizontal="center" wrapText="1"/>
    </xf>
    <xf numFmtId="3" fontId="7" fillId="48" borderId="13" xfId="0" applyNumberFormat="1" applyFont="1" applyFill="1" applyBorder="1" applyAlignment="1">
      <alignment horizontal="center" vertical="center"/>
    </xf>
    <xf numFmtId="0" fontId="38" fillId="24" borderId="121" xfId="0" applyFont="1" applyFill="1" applyBorder="1" applyAlignment="1">
      <alignment horizontal="center"/>
    </xf>
    <xf numFmtId="0" fontId="0" fillId="0" borderId="0" xfId="0"/>
    <xf numFmtId="2" fontId="7" fillId="46" borderId="13" xfId="0" applyNumberFormat="1" applyFont="1" applyFill="1" applyBorder="1" applyAlignment="1">
      <alignment horizontal="center"/>
    </xf>
    <xf numFmtId="3" fontId="184" fillId="0" borderId="13" xfId="0" applyNumberFormat="1" applyFont="1" applyFill="1" applyBorder="1" applyAlignment="1">
      <alignment horizontal="center" vertical="center"/>
    </xf>
    <xf numFmtId="2" fontId="38" fillId="0" borderId="0" xfId="0" applyNumberFormat="1" applyFont="1" applyBorder="1" applyAlignment="1">
      <alignment horizontal="center"/>
    </xf>
    <xf numFmtId="0" fontId="38" fillId="0" borderId="81" xfId="0" applyFont="1" applyBorder="1"/>
    <xf numFmtId="0" fontId="0" fillId="0" borderId="101" xfId="0" applyBorder="1" applyAlignment="1">
      <alignment horizontal="center"/>
    </xf>
    <xf numFmtId="0" fontId="0" fillId="0" borderId="137" xfId="0" applyBorder="1" applyAlignment="1">
      <alignment horizontal="center"/>
    </xf>
    <xf numFmtId="0" fontId="0" fillId="0" borderId="0" xfId="0"/>
    <xf numFmtId="2" fontId="176" fillId="0" borderId="13" xfId="0" applyNumberFormat="1" applyFont="1" applyFill="1" applyBorder="1" applyAlignment="1">
      <alignment horizontal="center" vertical="center"/>
    </xf>
    <xf numFmtId="0" fontId="0" fillId="46" borderId="0" xfId="0" applyFill="1"/>
    <xf numFmtId="0" fontId="38" fillId="46" borderId="30" xfId="179" applyFont="1" applyFill="1" applyBorder="1" applyAlignment="1">
      <alignment horizontal="center" wrapText="1"/>
    </xf>
    <xf numFmtId="0" fontId="154" fillId="0" borderId="136" xfId="193" applyBorder="1" applyAlignment="1">
      <alignment horizontal="center"/>
    </xf>
    <xf numFmtId="0" fontId="2" fillId="24" borderId="131" xfId="179" applyFont="1" applyFill="1" applyBorder="1" applyAlignment="1">
      <alignment horizontal="center" wrapText="1"/>
    </xf>
    <xf numFmtId="0" fontId="82" fillId="48" borderId="160" xfId="179" applyFont="1" applyFill="1" applyBorder="1" applyAlignment="1">
      <alignment horizontal="center" wrapText="1"/>
    </xf>
    <xf numFmtId="0" fontId="114" fillId="48" borderId="87" xfId="187" applyFont="1" applyFill="1" applyBorder="1" applyAlignment="1">
      <alignment horizontal="center"/>
    </xf>
    <xf numFmtId="0" fontId="132" fillId="0" borderId="293" xfId="189" applyFont="1" applyBorder="1" applyAlignment="1">
      <alignment horizontal="center"/>
    </xf>
    <xf numFmtId="0" fontId="154" fillId="0" borderId="104" xfId="191" applyBorder="1" applyAlignment="1">
      <alignment horizontal="center"/>
    </xf>
    <xf numFmtId="0" fontId="154" fillId="0" borderId="130" xfId="193" applyBorder="1" applyAlignment="1">
      <alignment horizontal="center"/>
    </xf>
    <xf numFmtId="0" fontId="115" fillId="24" borderId="135" xfId="187" applyFont="1" applyFill="1" applyBorder="1" applyAlignment="1">
      <alignment horizontal="center"/>
    </xf>
    <xf numFmtId="0" fontId="115" fillId="24" borderId="83" xfId="187" applyFont="1" applyFill="1" applyBorder="1" applyAlignment="1">
      <alignment horizontal="center"/>
    </xf>
    <xf numFmtId="0" fontId="115" fillId="24" borderId="293" xfId="187" applyFont="1" applyFill="1" applyBorder="1" applyAlignment="1">
      <alignment horizontal="center"/>
    </xf>
    <xf numFmtId="0" fontId="82" fillId="48" borderId="138" xfId="179" applyFont="1" applyFill="1" applyBorder="1" applyAlignment="1">
      <alignment horizontal="center" wrapText="1"/>
    </xf>
    <xf numFmtId="0" fontId="83" fillId="48" borderId="139" xfId="179" applyFont="1" applyFill="1" applyBorder="1" applyAlignment="1">
      <alignment horizontal="center" wrapText="1"/>
    </xf>
    <xf numFmtId="0" fontId="36" fillId="24" borderId="101" xfId="179" applyFont="1" applyFill="1" applyBorder="1" applyAlignment="1">
      <alignment horizontal="center" wrapText="1"/>
    </xf>
    <xf numFmtId="0" fontId="115" fillId="24" borderId="205" xfId="187" applyFont="1" applyFill="1" applyBorder="1" applyAlignment="1">
      <alignment horizontal="center"/>
    </xf>
    <xf numFmtId="2" fontId="115" fillId="24" borderId="205" xfId="187" applyNumberFormat="1" applyFont="1" applyFill="1" applyBorder="1" applyAlignment="1">
      <alignment horizontal="center"/>
    </xf>
    <xf numFmtId="0" fontId="115" fillId="0" borderId="83" xfId="187" applyFont="1" applyBorder="1" applyAlignment="1">
      <alignment horizontal="center"/>
    </xf>
    <xf numFmtId="0" fontId="154" fillId="0" borderId="101" xfId="187" applyBorder="1" applyAlignment="1">
      <alignment horizontal="center"/>
    </xf>
    <xf numFmtId="0" fontId="154" fillId="0" borderId="87" xfId="187" applyBorder="1" applyAlignment="1">
      <alignment horizontal="center"/>
    </xf>
    <xf numFmtId="0" fontId="5" fillId="48" borderId="0" xfId="0" applyFont="1" applyFill="1"/>
    <xf numFmtId="14" fontId="120" fillId="46" borderId="0" xfId="0" applyNumberFormat="1" applyFont="1" applyFill="1" applyAlignment="1">
      <alignment horizontal="center"/>
    </xf>
    <xf numFmtId="169" fontId="11" fillId="26" borderId="13" xfId="0" applyNumberFormat="1" applyFont="1" applyFill="1" applyBorder="1" applyAlignment="1">
      <alignment horizontal="center" vertical="center"/>
    </xf>
    <xf numFmtId="174" fontId="72" fillId="46" borderId="13" xfId="0" applyNumberFormat="1" applyFont="1" applyFill="1" applyBorder="1" applyAlignment="1">
      <alignment horizontal="center"/>
    </xf>
    <xf numFmtId="0" fontId="13" fillId="46" borderId="13" xfId="0" applyFont="1" applyFill="1" applyBorder="1" applyAlignment="1">
      <alignment horizontal="center"/>
    </xf>
    <xf numFmtId="0" fontId="118" fillId="0" borderId="30" xfId="195" applyFont="1" applyFill="1" applyBorder="1" applyAlignment="1">
      <alignment horizontal="center" wrapText="1"/>
    </xf>
    <xf numFmtId="4" fontId="123" fillId="0" borderId="30" xfId="195" applyNumberFormat="1" applyFont="1" applyFill="1" applyBorder="1" applyAlignment="1">
      <alignment horizontal="center" wrapText="1"/>
    </xf>
    <xf numFmtId="4" fontId="118" fillId="0" borderId="31" xfId="195" applyNumberFormat="1" applyFont="1" applyFill="1" applyBorder="1" applyAlignment="1">
      <alignment horizontal="center" wrapText="1"/>
    </xf>
    <xf numFmtId="165" fontId="11" fillId="0" borderId="0" xfId="0" applyNumberFormat="1" applyFont="1" applyFill="1" applyBorder="1" applyAlignment="1">
      <alignment horizontal="center"/>
    </xf>
    <xf numFmtId="165" fontId="7" fillId="0" borderId="0" xfId="0" applyNumberFormat="1" applyFont="1" applyAlignment="1">
      <alignment horizontal="center"/>
    </xf>
    <xf numFmtId="0" fontId="11" fillId="0" borderId="0" xfId="0" applyFont="1" applyAlignment="1">
      <alignment horizontal="center"/>
    </xf>
    <xf numFmtId="165" fontId="7" fillId="0" borderId="0" xfId="0" applyNumberFormat="1" applyFont="1" applyFill="1" applyAlignment="1">
      <alignment horizontal="center"/>
    </xf>
    <xf numFmtId="0" fontId="11" fillId="0" borderId="0" xfId="0" applyFont="1" applyFill="1" applyAlignment="1">
      <alignment vertical="center" wrapText="1"/>
    </xf>
    <xf numFmtId="1" fontId="11" fillId="0" borderId="0" xfId="0" applyNumberFormat="1" applyFont="1" applyFill="1" applyAlignment="1">
      <alignment horizontal="center"/>
    </xf>
    <xf numFmtId="165" fontId="11" fillId="0" borderId="0" xfId="0" applyNumberFormat="1" applyFont="1" applyFill="1" applyAlignment="1">
      <alignment horizontal="center"/>
    </xf>
    <xf numFmtId="0" fontId="11" fillId="0" borderId="0" xfId="0" applyFont="1" applyFill="1" applyAlignment="1">
      <alignment horizontal="center"/>
    </xf>
    <xf numFmtId="165" fontId="11" fillId="25" borderId="13" xfId="0" applyNumberFormat="1" applyFont="1" applyFill="1" applyBorder="1" applyAlignment="1">
      <alignment horizontal="center"/>
    </xf>
    <xf numFmtId="0" fontId="7" fillId="0" borderId="13" xfId="0" applyFont="1" applyFill="1" applyBorder="1" applyAlignment="1">
      <alignment horizontal="center" wrapText="1"/>
    </xf>
    <xf numFmtId="169" fontId="7" fillId="0" borderId="13" xfId="0" applyNumberFormat="1" applyFont="1" applyFill="1" applyBorder="1" applyAlignment="1">
      <alignment horizontal="center" vertical="center"/>
    </xf>
    <xf numFmtId="16" fontId="11" fillId="0" borderId="13" xfId="0" applyNumberFormat="1" applyFont="1" applyFill="1" applyBorder="1" applyAlignment="1">
      <alignment horizontal="center"/>
    </xf>
    <xf numFmtId="16" fontId="11" fillId="0" borderId="13" xfId="0" applyNumberFormat="1" applyFont="1" applyBorder="1" applyAlignment="1">
      <alignment horizontal="center"/>
    </xf>
    <xf numFmtId="169" fontId="11" fillId="0" borderId="13" xfId="0" applyNumberFormat="1" applyFont="1" applyFill="1" applyBorder="1" applyAlignment="1">
      <alignment horizontal="center" vertical="center"/>
    </xf>
    <xf numFmtId="165" fontId="11" fillId="0" borderId="13" xfId="0" applyNumberFormat="1" applyFont="1" applyFill="1" applyBorder="1" applyAlignment="1">
      <alignment horizontal="center" vertical="center"/>
    </xf>
    <xf numFmtId="2" fontId="7" fillId="0" borderId="0" xfId="0" applyNumberFormat="1" applyFont="1" applyFill="1" applyAlignment="1">
      <alignment horizontal="center"/>
    </xf>
    <xf numFmtId="169" fontId="38" fillId="25" borderId="13" xfId="0" applyNumberFormat="1" applyFont="1" applyFill="1" applyBorder="1"/>
    <xf numFmtId="0" fontId="36" fillId="24" borderId="13" xfId="0" applyFont="1" applyFill="1" applyBorder="1"/>
    <xf numFmtId="0" fontId="109" fillId="26" borderId="13" xfId="0" applyFont="1" applyFill="1" applyBorder="1" applyAlignment="1">
      <alignment horizontal="center" wrapText="1"/>
    </xf>
    <xf numFmtId="169" fontId="7" fillId="26" borderId="13" xfId="0" applyNumberFormat="1" applyFont="1" applyFill="1" applyBorder="1" applyAlignment="1">
      <alignment horizontal="center" vertical="center"/>
    </xf>
    <xf numFmtId="174" fontId="109" fillId="26" borderId="13" xfId="0" applyNumberFormat="1" applyFont="1" applyFill="1" applyBorder="1" applyAlignment="1">
      <alignment horizontal="center"/>
    </xf>
    <xf numFmtId="171" fontId="96" fillId="26" borderId="13" xfId="0" applyNumberFormat="1" applyFont="1" applyFill="1" applyBorder="1" applyAlignment="1">
      <alignment horizontal="center"/>
    </xf>
    <xf numFmtId="9" fontId="7" fillId="26" borderId="13" xfId="205" applyFont="1" applyFill="1" applyBorder="1" applyAlignment="1">
      <alignment horizontal="center"/>
    </xf>
    <xf numFmtId="165" fontId="41" fillId="0" borderId="13" xfId="0" applyNumberFormat="1" applyFont="1" applyFill="1" applyBorder="1" applyAlignment="1">
      <alignment horizontal="center"/>
    </xf>
    <xf numFmtId="169" fontId="7" fillId="24" borderId="13" xfId="0" applyNumberFormat="1" applyFont="1" applyFill="1" applyBorder="1" applyAlignment="1">
      <alignment horizontal="center" vertical="center"/>
    </xf>
    <xf numFmtId="165" fontId="41" fillId="24" borderId="13" xfId="0" applyNumberFormat="1" applyFont="1" applyFill="1" applyBorder="1" applyAlignment="1">
      <alignment horizontal="center"/>
    </xf>
    <xf numFmtId="169" fontId="36" fillId="24" borderId="0" xfId="0" applyNumberFormat="1" applyFont="1" applyFill="1"/>
    <xf numFmtId="169" fontId="36" fillId="24" borderId="13" xfId="0" applyNumberFormat="1" applyFont="1" applyFill="1" applyBorder="1"/>
    <xf numFmtId="174" fontId="36" fillId="24" borderId="0" xfId="0" applyNumberFormat="1" applyFont="1" applyFill="1"/>
    <xf numFmtId="169" fontId="36" fillId="24" borderId="0" xfId="0" applyNumberFormat="1" applyFont="1" applyFill="1" applyBorder="1"/>
    <xf numFmtId="169" fontId="11" fillId="0" borderId="0" xfId="0" applyNumberFormat="1" applyFont="1" applyAlignment="1">
      <alignment horizontal="center"/>
    </xf>
    <xf numFmtId="171" fontId="11" fillId="25" borderId="13" xfId="0" applyNumberFormat="1" applyFont="1" applyFill="1" applyBorder="1" applyAlignment="1">
      <alignment horizontal="center"/>
    </xf>
    <xf numFmtId="171" fontId="7" fillId="24" borderId="13" xfId="0" applyNumberFormat="1" applyFont="1" applyFill="1" applyBorder="1" applyAlignment="1">
      <alignment horizontal="center"/>
    </xf>
    <xf numFmtId="169" fontId="38" fillId="24" borderId="13" xfId="0" applyNumberFormat="1" applyFont="1" applyFill="1" applyBorder="1" applyAlignment="1">
      <alignment horizontal="center"/>
    </xf>
    <xf numFmtId="169" fontId="190" fillId="24" borderId="0" xfId="0" applyNumberFormat="1" applyFont="1" applyFill="1" applyAlignment="1">
      <alignment horizontal="center"/>
    </xf>
    <xf numFmtId="171" fontId="7" fillId="0" borderId="18" xfId="0" applyNumberFormat="1" applyFont="1" applyFill="1" applyBorder="1" applyAlignment="1">
      <alignment horizontal="center" vertical="center"/>
    </xf>
    <xf numFmtId="174" fontId="7" fillId="0" borderId="18" xfId="0" applyNumberFormat="1" applyFont="1" applyFill="1" applyBorder="1" applyAlignment="1">
      <alignment horizontal="center"/>
    </xf>
    <xf numFmtId="171" fontId="41" fillId="24" borderId="13" xfId="0" applyNumberFormat="1" applyFont="1" applyFill="1" applyBorder="1" applyAlignment="1">
      <alignment horizontal="center"/>
    </xf>
    <xf numFmtId="169" fontId="39" fillId="24" borderId="13" xfId="0" applyNumberFormat="1" applyFont="1" applyFill="1" applyBorder="1" applyAlignment="1">
      <alignment horizontal="center"/>
    </xf>
    <xf numFmtId="169" fontId="112" fillId="24" borderId="0" xfId="0" applyNumberFormat="1" applyFont="1" applyFill="1" applyBorder="1" applyAlignment="1">
      <alignment horizontal="center"/>
    </xf>
    <xf numFmtId="169" fontId="190" fillId="24" borderId="13" xfId="0" applyNumberFormat="1" applyFont="1" applyFill="1" applyBorder="1" applyAlignment="1">
      <alignment horizontal="center"/>
    </xf>
    <xf numFmtId="171" fontId="7" fillId="24" borderId="18" xfId="0" applyNumberFormat="1" applyFont="1" applyFill="1" applyBorder="1" applyAlignment="1">
      <alignment horizontal="center" vertical="center"/>
    </xf>
    <xf numFmtId="174" fontId="7" fillId="24" borderId="18" xfId="0" applyNumberFormat="1" applyFont="1" applyFill="1" applyBorder="1" applyAlignment="1">
      <alignment horizontal="center"/>
    </xf>
    <xf numFmtId="3" fontId="39" fillId="24" borderId="13" xfId="0" applyNumberFormat="1" applyFont="1" applyFill="1" applyBorder="1" applyAlignment="1">
      <alignment horizontal="center"/>
    </xf>
    <xf numFmtId="0" fontId="7" fillId="46" borderId="13" xfId="0" applyFont="1" applyFill="1" applyBorder="1" applyAlignment="1">
      <alignment horizontal="center" wrapText="1"/>
    </xf>
    <xf numFmtId="174" fontId="7" fillId="0" borderId="18" xfId="0" applyNumberFormat="1" applyFont="1" applyFill="1" applyBorder="1" applyAlignment="1">
      <alignment horizontal="center" vertical="center"/>
    </xf>
    <xf numFmtId="14" fontId="47" fillId="0" borderId="13" xfId="205" applyNumberFormat="1" applyFont="1" applyFill="1" applyBorder="1" applyAlignment="1">
      <alignment horizontal="center"/>
    </xf>
    <xf numFmtId="0" fontId="39" fillId="24" borderId="13" xfId="0" applyFont="1" applyFill="1" applyBorder="1" applyAlignment="1">
      <alignment horizontal="center"/>
    </xf>
    <xf numFmtId="0" fontId="169" fillId="48" borderId="0" xfId="0" applyFont="1" applyFill="1"/>
    <xf numFmtId="169" fontId="11" fillId="0" borderId="0" xfId="0" applyNumberFormat="1" applyFont="1" applyFill="1" applyBorder="1" applyAlignment="1">
      <alignment horizontal="center" vertical="center"/>
    </xf>
    <xf numFmtId="165" fontId="11" fillId="0" borderId="0" xfId="0" applyNumberFormat="1" applyFont="1" applyFill="1" applyBorder="1" applyAlignment="1">
      <alignment horizontal="center" vertical="center"/>
    </xf>
    <xf numFmtId="9" fontId="109" fillId="0" borderId="13" xfId="205" applyFont="1" applyFill="1" applyBorder="1" applyAlignment="1">
      <alignment horizontal="center"/>
    </xf>
    <xf numFmtId="0" fontId="47" fillId="0" borderId="13" xfId="0" applyFont="1" applyBorder="1" applyAlignment="1">
      <alignment horizontal="center"/>
    </xf>
    <xf numFmtId="14" fontId="47" fillId="24" borderId="13" xfId="0" applyNumberFormat="1" applyFont="1" applyFill="1" applyBorder="1" applyAlignment="1">
      <alignment horizontal="center"/>
    </xf>
    <xf numFmtId="0" fontId="39" fillId="24" borderId="0" xfId="0" applyFont="1" applyFill="1" applyBorder="1"/>
    <xf numFmtId="14" fontId="39" fillId="24" borderId="0" xfId="0" applyNumberFormat="1" applyFont="1" applyFill="1"/>
    <xf numFmtId="0" fontId="11" fillId="24" borderId="13" xfId="0" applyFont="1" applyFill="1" applyBorder="1" applyAlignment="1">
      <alignment horizontal="center" vertical="center" wrapText="1"/>
    </xf>
    <xf numFmtId="169" fontId="7" fillId="24" borderId="13" xfId="0" applyNumberFormat="1" applyFont="1" applyFill="1" applyBorder="1" applyAlignment="1">
      <alignment horizontal="center"/>
    </xf>
    <xf numFmtId="171" fontId="7" fillId="0" borderId="13" xfId="0" applyNumberFormat="1" applyFont="1" applyFill="1" applyBorder="1" applyAlignment="1">
      <alignment horizontal="center"/>
    </xf>
    <xf numFmtId="0" fontId="39" fillId="24" borderId="0" xfId="0" applyFont="1" applyFill="1"/>
    <xf numFmtId="0" fontId="38" fillId="24" borderId="0" xfId="0" applyFont="1" applyFill="1"/>
    <xf numFmtId="0" fontId="7" fillId="27" borderId="13" xfId="0" applyFont="1" applyFill="1" applyBorder="1" applyAlignment="1">
      <alignment wrapText="1"/>
    </xf>
    <xf numFmtId="0" fontId="7" fillId="31" borderId="13" xfId="0" applyFont="1" applyFill="1" applyBorder="1" applyAlignment="1">
      <alignment horizontal="center" wrapText="1"/>
    </xf>
    <xf numFmtId="169" fontId="7" fillId="27" borderId="13" xfId="0" applyNumberFormat="1" applyFont="1" applyFill="1" applyBorder="1" applyAlignment="1">
      <alignment horizontal="center" vertical="center"/>
    </xf>
    <xf numFmtId="169" fontId="7" fillId="31" borderId="13" xfId="0" applyNumberFormat="1" applyFont="1" applyFill="1" applyBorder="1" applyAlignment="1">
      <alignment horizontal="center"/>
    </xf>
    <xf numFmtId="165" fontId="7" fillId="27" borderId="13" xfId="0" applyNumberFormat="1" applyFont="1" applyFill="1" applyBorder="1" applyAlignment="1">
      <alignment horizontal="center"/>
    </xf>
    <xf numFmtId="9" fontId="7" fillId="27" borderId="13" xfId="205" applyFont="1" applyFill="1" applyBorder="1" applyAlignment="1">
      <alignment horizontal="center"/>
    </xf>
    <xf numFmtId="0" fontId="47" fillId="27" borderId="13" xfId="0" applyFont="1" applyFill="1" applyBorder="1" applyAlignment="1">
      <alignment horizontal="center"/>
    </xf>
    <xf numFmtId="0" fontId="7" fillId="27" borderId="13" xfId="0" applyFont="1" applyFill="1" applyBorder="1" applyAlignment="1">
      <alignment vertical="center" wrapText="1"/>
    </xf>
    <xf numFmtId="0" fontId="191" fillId="24" borderId="0" xfId="0" applyFont="1" applyFill="1"/>
    <xf numFmtId="0" fontId="7" fillId="26" borderId="13" xfId="0" applyFont="1" applyFill="1" applyBorder="1" applyAlignment="1">
      <alignment wrapText="1"/>
    </xf>
    <xf numFmtId="0" fontId="7" fillId="26" borderId="13" xfId="0" applyFont="1" applyFill="1" applyBorder="1" applyAlignment="1">
      <alignment horizontal="center" wrapText="1"/>
    </xf>
    <xf numFmtId="169" fontId="49" fillId="26" borderId="13" xfId="0" applyNumberFormat="1" applyFont="1" applyFill="1" applyBorder="1" applyAlignment="1">
      <alignment horizontal="center" vertical="center"/>
    </xf>
    <xf numFmtId="169" fontId="109" fillId="26" borderId="13" xfId="0" applyNumberFormat="1" applyFont="1" applyFill="1" applyBorder="1" applyAlignment="1">
      <alignment horizontal="center"/>
    </xf>
    <xf numFmtId="165" fontId="7" fillId="26" borderId="13" xfId="0" applyNumberFormat="1" applyFont="1" applyFill="1" applyBorder="1" applyAlignment="1">
      <alignment horizontal="center"/>
    </xf>
    <xf numFmtId="0" fontId="47" fillId="26" borderId="13" xfId="0" applyFont="1" applyFill="1" applyBorder="1" applyAlignment="1">
      <alignment horizontal="center"/>
    </xf>
    <xf numFmtId="169" fontId="36" fillId="0" borderId="0" xfId="0" applyNumberFormat="1" applyFont="1"/>
    <xf numFmtId="9" fontId="41" fillId="27" borderId="13" xfId="205" applyFont="1" applyFill="1" applyBorder="1" applyAlignment="1">
      <alignment horizontal="center"/>
    </xf>
    <xf numFmtId="0" fontId="7" fillId="36" borderId="13" xfId="0" applyFont="1" applyFill="1" applyBorder="1" applyAlignment="1">
      <alignment horizontal="center" wrapText="1"/>
    </xf>
    <xf numFmtId="9" fontId="41" fillId="24" borderId="13" xfId="205" applyFont="1" applyFill="1" applyBorder="1" applyAlignment="1">
      <alignment horizontal="center"/>
    </xf>
    <xf numFmtId="9" fontId="41" fillId="0" borderId="13" xfId="205" applyFont="1" applyFill="1" applyBorder="1" applyAlignment="1">
      <alignment horizontal="center"/>
    </xf>
    <xf numFmtId="169" fontId="135" fillId="24" borderId="0" xfId="0" applyNumberFormat="1" applyFont="1" applyFill="1"/>
    <xf numFmtId="0" fontId="109" fillId="26" borderId="13" xfId="0" applyFont="1" applyFill="1" applyBorder="1" applyAlignment="1">
      <alignment wrapText="1"/>
    </xf>
    <xf numFmtId="169" fontId="109" fillId="26" borderId="13" xfId="0" applyNumberFormat="1" applyFont="1" applyFill="1" applyBorder="1" applyAlignment="1">
      <alignment horizontal="center" vertical="center"/>
    </xf>
    <xf numFmtId="180" fontId="47" fillId="26" borderId="13" xfId="0" applyNumberFormat="1" applyFont="1" applyFill="1" applyBorder="1" applyAlignment="1">
      <alignment horizontal="center"/>
    </xf>
    <xf numFmtId="0" fontId="109" fillId="0" borderId="13" xfId="0" applyFont="1" applyFill="1" applyBorder="1" applyAlignment="1">
      <alignment wrapText="1"/>
    </xf>
    <xf numFmtId="0" fontId="11" fillId="0" borderId="13" xfId="0" applyFont="1" applyBorder="1" applyAlignment="1">
      <alignment horizontal="center"/>
    </xf>
    <xf numFmtId="2" fontId="36" fillId="0" borderId="0" xfId="0" applyNumberFormat="1" applyFont="1" applyFill="1" applyAlignment="1">
      <alignment horizontal="center"/>
    </xf>
    <xf numFmtId="0" fontId="39" fillId="26" borderId="0" xfId="0" applyFont="1" applyFill="1"/>
    <xf numFmtId="0" fontId="39" fillId="48" borderId="0" xfId="0" applyFont="1" applyFill="1"/>
    <xf numFmtId="179" fontId="109" fillId="0" borderId="13" xfId="0" applyNumberFormat="1" applyFont="1" applyBorder="1" applyAlignment="1">
      <alignment horizontal="center"/>
    </xf>
    <xf numFmtId="179" fontId="11" fillId="0" borderId="13" xfId="0" applyNumberFormat="1" applyFont="1" applyBorder="1" applyAlignment="1">
      <alignment horizontal="center"/>
    </xf>
    <xf numFmtId="0" fontId="36" fillId="48" borderId="0" xfId="0" applyFont="1" applyFill="1"/>
    <xf numFmtId="165" fontId="192" fillId="24" borderId="13" xfId="0" applyNumberFormat="1" applyFont="1" applyFill="1" applyBorder="1" applyAlignment="1">
      <alignment horizontal="center"/>
    </xf>
    <xf numFmtId="4" fontId="7" fillId="0" borderId="0" xfId="0" applyNumberFormat="1" applyFont="1" applyFill="1" applyAlignment="1">
      <alignment horizontal="center" vertical="center"/>
    </xf>
    <xf numFmtId="0" fontId="7" fillId="0" borderId="0" xfId="0" applyFont="1" applyAlignment="1">
      <alignment vertical="center" wrapText="1"/>
    </xf>
    <xf numFmtId="2" fontId="7" fillId="0" borderId="0" xfId="0" applyNumberFormat="1" applyFont="1" applyAlignment="1">
      <alignment horizontal="center"/>
    </xf>
    <xf numFmtId="174" fontId="7" fillId="24" borderId="13" xfId="161" applyNumberFormat="1" applyFont="1" applyFill="1" applyBorder="1" applyAlignment="1">
      <alignment horizontal="center" vertical="center"/>
    </xf>
    <xf numFmtId="4" fontId="69" fillId="0" borderId="21" xfId="0" applyNumberFormat="1" applyFont="1" applyFill="1" applyBorder="1" applyAlignment="1">
      <alignment horizontal="center" vertical="center"/>
    </xf>
    <xf numFmtId="165" fontId="49" fillId="24" borderId="13" xfId="0" applyNumberFormat="1" applyFont="1" applyFill="1" applyBorder="1" applyAlignment="1">
      <alignment horizontal="center"/>
    </xf>
    <xf numFmtId="166" fontId="49" fillId="24" borderId="13" xfId="205" applyNumberFormat="1" applyFont="1" applyFill="1" applyBorder="1" applyAlignment="1">
      <alignment horizontal="center"/>
    </xf>
    <xf numFmtId="4" fontId="69" fillId="0" borderId="13" xfId="0" applyNumberFormat="1" applyFont="1" applyFill="1" applyBorder="1" applyAlignment="1">
      <alignment horizontal="center" vertical="center"/>
    </xf>
    <xf numFmtId="0" fontId="39" fillId="24" borderId="0" xfId="0" applyFont="1" applyFill="1" applyBorder="1" applyAlignment="1">
      <alignment horizontal="center"/>
    </xf>
    <xf numFmtId="166" fontId="193" fillId="24" borderId="13" xfId="205" applyNumberFormat="1" applyFont="1" applyFill="1" applyBorder="1" applyAlignment="1">
      <alignment horizontal="center"/>
    </xf>
    <xf numFmtId="4" fontId="69" fillId="24" borderId="13" xfId="0" applyNumberFormat="1" applyFont="1" applyFill="1" applyBorder="1" applyAlignment="1">
      <alignment horizontal="center" vertical="center"/>
    </xf>
    <xf numFmtId="181" fontId="11" fillId="24" borderId="13" xfId="0" applyNumberFormat="1" applyFont="1" applyFill="1" applyBorder="1" applyAlignment="1">
      <alignment horizontal="center"/>
    </xf>
    <xf numFmtId="16" fontId="11" fillId="24" borderId="13" xfId="0" applyNumberFormat="1" applyFont="1" applyFill="1" applyBorder="1" applyAlignment="1">
      <alignment horizontal="center"/>
    </xf>
    <xf numFmtId="0" fontId="49" fillId="26" borderId="13" xfId="0" applyFont="1" applyFill="1" applyBorder="1" applyAlignment="1">
      <alignment horizontal="center" wrapText="1"/>
    </xf>
    <xf numFmtId="174" fontId="49" fillId="26" borderId="13" xfId="0" applyNumberFormat="1" applyFont="1" applyFill="1" applyBorder="1" applyAlignment="1">
      <alignment horizontal="center"/>
    </xf>
    <xf numFmtId="4" fontId="69" fillId="26" borderId="18" xfId="0" applyNumberFormat="1" applyFont="1" applyFill="1" applyBorder="1" applyAlignment="1">
      <alignment horizontal="center" vertical="center"/>
    </xf>
    <xf numFmtId="165" fontId="49" fillId="26" borderId="13" xfId="0" applyNumberFormat="1" applyFont="1" applyFill="1" applyBorder="1" applyAlignment="1">
      <alignment horizontal="center"/>
    </xf>
    <xf numFmtId="166" fontId="49" fillId="26" borderId="13" xfId="205" applyNumberFormat="1" applyFont="1" applyFill="1" applyBorder="1" applyAlignment="1">
      <alignment horizontal="center"/>
    </xf>
    <xf numFmtId="0" fontId="109" fillId="26" borderId="20" xfId="0" applyFont="1" applyFill="1" applyBorder="1" applyAlignment="1">
      <alignment horizontal="center"/>
    </xf>
    <xf numFmtId="0" fontId="96" fillId="0" borderId="13" xfId="0" applyFont="1" applyFill="1" applyBorder="1" applyAlignment="1">
      <alignment wrapText="1"/>
    </xf>
    <xf numFmtId="182" fontId="7" fillId="24" borderId="13" xfId="161" applyNumberFormat="1" applyFont="1" applyFill="1" applyBorder="1" applyAlignment="1">
      <alignment horizontal="center" vertical="center"/>
    </xf>
    <xf numFmtId="169" fontId="36" fillId="0" borderId="0" xfId="0" applyNumberFormat="1" applyFont="1" applyAlignment="1">
      <alignment horizontal="center"/>
    </xf>
    <xf numFmtId="166" fontId="7" fillId="0" borderId="13" xfId="205" applyNumberFormat="1" applyFont="1" applyFill="1" applyBorder="1" applyAlignment="1">
      <alignment horizontal="center"/>
    </xf>
    <xf numFmtId="0" fontId="11" fillId="0" borderId="18" xfId="0" applyFont="1" applyFill="1" applyBorder="1" applyAlignment="1">
      <alignment horizontal="center"/>
    </xf>
    <xf numFmtId="0" fontId="11" fillId="0" borderId="18" xfId="0" applyFont="1" applyFill="1" applyBorder="1" applyAlignment="1">
      <alignment horizontal="center" wrapText="1"/>
    </xf>
    <xf numFmtId="169" fontId="11" fillId="24" borderId="18" xfId="0" applyNumberFormat="1" applyFont="1" applyFill="1" applyBorder="1" applyAlignment="1">
      <alignment horizontal="center" vertical="center"/>
    </xf>
    <xf numFmtId="169" fontId="11" fillId="0" borderId="18" xfId="0" applyNumberFormat="1" applyFont="1" applyFill="1" applyBorder="1" applyAlignment="1">
      <alignment horizontal="center" vertical="center"/>
    </xf>
    <xf numFmtId="169" fontId="11" fillId="26" borderId="29" xfId="0" applyNumberFormat="1" applyFont="1" applyFill="1" applyBorder="1" applyAlignment="1">
      <alignment horizontal="center" vertical="center"/>
    </xf>
    <xf numFmtId="165" fontId="11" fillId="0" borderId="18" xfId="0" applyNumberFormat="1" applyFont="1" applyFill="1" applyBorder="1" applyAlignment="1">
      <alignment horizontal="center" vertical="center"/>
    </xf>
    <xf numFmtId="169" fontId="7" fillId="24" borderId="0" xfId="0" applyNumberFormat="1" applyFont="1" applyFill="1" applyAlignment="1">
      <alignment horizontal="center"/>
    </xf>
    <xf numFmtId="0" fontId="11" fillId="24" borderId="0" xfId="0" applyFont="1" applyFill="1" applyAlignment="1">
      <alignment horizontal="center"/>
    </xf>
    <xf numFmtId="0" fontId="109" fillId="24" borderId="13" xfId="0" applyFont="1" applyFill="1" applyBorder="1" applyAlignment="1">
      <alignment wrapText="1"/>
    </xf>
    <xf numFmtId="0" fontId="49" fillId="24" borderId="13" xfId="0" applyFont="1" applyFill="1" applyBorder="1" applyAlignment="1">
      <alignment horizontal="center" wrapText="1"/>
    </xf>
    <xf numFmtId="2" fontId="109" fillId="24" borderId="13" xfId="0" applyNumberFormat="1" applyFont="1" applyFill="1" applyBorder="1" applyAlignment="1">
      <alignment horizontal="center"/>
    </xf>
    <xf numFmtId="174" fontId="109" fillId="24" borderId="13" xfId="0" applyNumberFormat="1" applyFont="1" applyFill="1" applyBorder="1" applyAlignment="1">
      <alignment horizontal="center"/>
    </xf>
    <xf numFmtId="0" fontId="109" fillId="24" borderId="0" xfId="0" applyFont="1" applyFill="1" applyAlignment="1">
      <alignment horizontal="center"/>
    </xf>
    <xf numFmtId="182" fontId="36" fillId="0" borderId="0" xfId="0" applyNumberFormat="1" applyFont="1"/>
    <xf numFmtId="3" fontId="11" fillId="25" borderId="16" xfId="0" applyNumberFormat="1" applyFont="1" applyFill="1" applyBorder="1" applyAlignment="1">
      <alignment horizontal="center" vertical="center"/>
    </xf>
    <xf numFmtId="169" fontId="36" fillId="24" borderId="81" xfId="0" applyNumberFormat="1" applyFont="1" applyFill="1" applyBorder="1" applyAlignment="1">
      <alignment horizontal="center"/>
    </xf>
    <xf numFmtId="169" fontId="36" fillId="26" borderId="77" xfId="0" applyNumberFormat="1" applyFont="1" applyFill="1" applyBorder="1" applyAlignment="1">
      <alignment horizontal="center"/>
    </xf>
    <xf numFmtId="169" fontId="7" fillId="48" borderId="13" xfId="0" applyNumberFormat="1" applyFont="1" applyFill="1" applyBorder="1" applyAlignment="1">
      <alignment horizontal="center" vertical="center"/>
    </xf>
    <xf numFmtId="169" fontId="49" fillId="24" borderId="13" xfId="0" applyNumberFormat="1" applyFont="1" applyFill="1" applyBorder="1" applyAlignment="1">
      <alignment horizontal="center" vertical="center"/>
    </xf>
    <xf numFmtId="2" fontId="49" fillId="24" borderId="13" xfId="0" applyNumberFormat="1" applyFont="1" applyFill="1" applyBorder="1" applyAlignment="1">
      <alignment horizontal="center"/>
    </xf>
    <xf numFmtId="180" fontId="11" fillId="0" borderId="17" xfId="0" applyNumberFormat="1" applyFont="1" applyFill="1" applyBorder="1" applyAlignment="1">
      <alignment horizontal="center"/>
    </xf>
    <xf numFmtId="4" fontId="69" fillId="0" borderId="80" xfId="0" applyNumberFormat="1" applyFont="1" applyFill="1" applyBorder="1" applyAlignment="1">
      <alignment horizontal="center" vertical="center"/>
    </xf>
    <xf numFmtId="4" fontId="36" fillId="0" borderId="79" xfId="0" applyNumberFormat="1" applyFont="1" applyBorder="1" applyAlignment="1">
      <alignment horizontal="center"/>
    </xf>
    <xf numFmtId="166" fontId="7" fillId="24" borderId="13" xfId="205" applyNumberFormat="1" applyFont="1" applyFill="1" applyBorder="1" applyAlignment="1">
      <alignment horizontal="center"/>
    </xf>
    <xf numFmtId="180" fontId="109" fillId="0" borderId="17" xfId="0" applyNumberFormat="1" applyFont="1" applyFill="1" applyBorder="1" applyAlignment="1">
      <alignment horizontal="center"/>
    </xf>
    <xf numFmtId="2" fontId="49" fillId="26" borderId="13" xfId="0" applyNumberFormat="1" applyFont="1" applyFill="1" applyBorder="1" applyAlignment="1">
      <alignment horizontal="center"/>
    </xf>
    <xf numFmtId="166" fontId="7" fillId="26" borderId="13" xfId="205" applyNumberFormat="1" applyFont="1" applyFill="1" applyBorder="1" applyAlignment="1">
      <alignment horizontal="center"/>
    </xf>
    <xf numFmtId="180" fontId="47" fillId="24" borderId="17" xfId="0" applyNumberFormat="1" applyFont="1" applyFill="1" applyBorder="1" applyAlignment="1">
      <alignment horizontal="center"/>
    </xf>
    <xf numFmtId="4" fontId="69" fillId="24" borderId="80" xfId="0" applyNumberFormat="1" applyFont="1" applyFill="1" applyBorder="1" applyAlignment="1">
      <alignment horizontal="center" vertical="center"/>
    </xf>
    <xf numFmtId="180" fontId="11" fillId="24" borderId="17" xfId="0" applyNumberFormat="1" applyFont="1" applyFill="1" applyBorder="1" applyAlignment="1">
      <alignment horizontal="center"/>
    </xf>
    <xf numFmtId="2" fontId="60" fillId="24" borderId="13" xfId="0" applyNumberFormat="1" applyFont="1" applyFill="1" applyBorder="1" applyAlignment="1">
      <alignment horizontal="center"/>
    </xf>
    <xf numFmtId="0" fontId="60" fillId="24" borderId="13" xfId="0" applyFont="1" applyFill="1" applyBorder="1" applyAlignment="1">
      <alignment wrapText="1"/>
    </xf>
    <xf numFmtId="0" fontId="7" fillId="24" borderId="18" xfId="0" applyFont="1" applyFill="1" applyBorder="1" applyAlignment="1">
      <alignment horizontal="center" wrapText="1"/>
    </xf>
    <xf numFmtId="0" fontId="7" fillId="24" borderId="18" xfId="0" applyFont="1" applyFill="1" applyBorder="1" applyAlignment="1">
      <alignment horizontal="center" vertical="center" wrapText="1"/>
    </xf>
    <xf numFmtId="169" fontId="7" fillId="24" borderId="18" xfId="0" applyNumberFormat="1" applyFont="1" applyFill="1" applyBorder="1" applyAlignment="1">
      <alignment horizontal="center" vertical="center"/>
    </xf>
    <xf numFmtId="180" fontId="11" fillId="24" borderId="16" xfId="0" applyNumberFormat="1" applyFont="1" applyFill="1" applyBorder="1" applyAlignment="1">
      <alignment horizontal="center"/>
    </xf>
    <xf numFmtId="0" fontId="69" fillId="0" borderId="13" xfId="0" applyFont="1" applyBorder="1" applyAlignment="1">
      <alignment vertical="center" wrapText="1"/>
    </xf>
    <xf numFmtId="0" fontId="7" fillId="24" borderId="20" xfId="0" applyFont="1" applyFill="1" applyBorder="1" applyAlignment="1">
      <alignment horizontal="center" vertical="center" wrapText="1"/>
    </xf>
    <xf numFmtId="0" fontId="95" fillId="0" borderId="137" xfId="0" applyFont="1" applyBorder="1" applyAlignment="1">
      <alignment horizontal="center" vertical="center" wrapText="1"/>
    </xf>
    <xf numFmtId="0" fontId="7" fillId="24" borderId="61" xfId="0" applyFont="1" applyFill="1" applyBorder="1" applyAlignment="1">
      <alignment horizontal="center" vertical="center" wrapText="1"/>
    </xf>
    <xf numFmtId="169" fontId="7" fillId="24" borderId="21" xfId="0" applyNumberFormat="1" applyFont="1" applyFill="1" applyBorder="1" applyAlignment="1">
      <alignment horizontal="center" vertical="center"/>
    </xf>
    <xf numFmtId="180" fontId="11" fillId="24" borderId="79" xfId="0" applyNumberFormat="1" applyFont="1" applyFill="1" applyBorder="1" applyAlignment="1">
      <alignment horizontal="center"/>
    </xf>
    <xf numFmtId="4" fontId="69" fillId="24" borderId="90" xfId="0" applyNumberFormat="1" applyFont="1" applyFill="1" applyBorder="1" applyAlignment="1">
      <alignment horizontal="center" vertical="center"/>
    </xf>
    <xf numFmtId="4" fontId="69" fillId="24" borderId="102" xfId="0" applyNumberFormat="1" applyFont="1" applyFill="1" applyBorder="1" applyAlignment="1">
      <alignment horizontal="center" vertical="center"/>
    </xf>
    <xf numFmtId="4" fontId="36" fillId="0" borderId="103" xfId="0" applyNumberFormat="1" applyFont="1" applyBorder="1" applyAlignment="1">
      <alignment horizontal="center"/>
    </xf>
    <xf numFmtId="0" fontId="11" fillId="0" borderId="21" xfId="0" applyFont="1" applyFill="1" applyBorder="1" applyAlignment="1">
      <alignment horizontal="center" vertical="center" wrapText="1"/>
    </xf>
    <xf numFmtId="169" fontId="11" fillId="26" borderId="21" xfId="0" applyNumberFormat="1" applyFont="1" applyFill="1" applyBorder="1" applyAlignment="1">
      <alignment horizontal="center" vertical="center"/>
    </xf>
    <xf numFmtId="169" fontId="11" fillId="0" borderId="21" xfId="0" applyNumberFormat="1" applyFont="1" applyFill="1" applyBorder="1" applyAlignment="1">
      <alignment horizontal="center" vertical="center"/>
    </xf>
    <xf numFmtId="169" fontId="11" fillId="24" borderId="21" xfId="0" applyNumberFormat="1" applyFont="1" applyFill="1" applyBorder="1" applyAlignment="1">
      <alignment horizontal="center" vertical="center"/>
    </xf>
    <xf numFmtId="174" fontId="11" fillId="26" borderId="21" xfId="0" applyNumberFormat="1" applyFont="1" applyFill="1" applyBorder="1" applyAlignment="1">
      <alignment horizontal="center" vertical="center"/>
    </xf>
    <xf numFmtId="0" fontId="38" fillId="0" borderId="0" xfId="0" applyFont="1" applyAlignment="1">
      <alignment horizontal="center"/>
    </xf>
    <xf numFmtId="169" fontId="38" fillId="0" borderId="0" xfId="0" applyNumberFormat="1" applyFont="1" applyAlignment="1">
      <alignment horizontal="center"/>
    </xf>
    <xf numFmtId="171" fontId="36" fillId="0" borderId="0" xfId="0" applyNumberFormat="1" applyFont="1"/>
    <xf numFmtId="181" fontId="162" fillId="48" borderId="13" xfId="0" applyNumberFormat="1" applyFont="1" applyFill="1" applyBorder="1" applyAlignment="1">
      <alignment horizontal="center"/>
    </xf>
    <xf numFmtId="174" fontId="178" fillId="48" borderId="13" xfId="0" applyNumberFormat="1" applyFont="1" applyFill="1" applyBorder="1" applyAlignment="1">
      <alignment horizontal="center"/>
    </xf>
    <xf numFmtId="0" fontId="0" fillId="0" borderId="0" xfId="0"/>
    <xf numFmtId="165" fontId="5" fillId="48" borderId="13" xfId="0" applyNumberFormat="1" applyFont="1" applyFill="1" applyBorder="1" applyAlignment="1">
      <alignment horizontal="center"/>
    </xf>
    <xf numFmtId="10" fontId="5" fillId="48" borderId="13" xfId="205" applyNumberFormat="1" applyFont="1" applyFill="1" applyBorder="1" applyAlignment="1">
      <alignment horizontal="center"/>
    </xf>
    <xf numFmtId="10" fontId="5" fillId="48" borderId="13" xfId="206" applyNumberFormat="1" applyFont="1" applyFill="1" applyBorder="1" applyAlignment="1">
      <alignment horizontal="center"/>
    </xf>
    <xf numFmtId="10" fontId="98" fillId="48" borderId="13" xfId="205" applyNumberFormat="1" applyFont="1" applyFill="1" applyBorder="1" applyAlignment="1">
      <alignment horizontal="center"/>
    </xf>
    <xf numFmtId="10" fontId="98" fillId="48" borderId="13" xfId="206" applyNumberFormat="1" applyFont="1" applyFill="1" applyBorder="1" applyAlignment="1">
      <alignment horizontal="center"/>
    </xf>
    <xf numFmtId="10" fontId="97" fillId="48" borderId="13" xfId="206" applyNumberFormat="1" applyFont="1" applyFill="1" applyBorder="1" applyAlignment="1">
      <alignment horizontal="center"/>
    </xf>
    <xf numFmtId="10" fontId="57" fillId="48" borderId="13" xfId="205" applyNumberFormat="1" applyFont="1" applyFill="1" applyBorder="1" applyAlignment="1">
      <alignment horizontal="center"/>
    </xf>
    <xf numFmtId="10" fontId="57" fillId="48" borderId="13" xfId="206" applyNumberFormat="1" applyFont="1" applyFill="1" applyBorder="1" applyAlignment="1">
      <alignment horizontal="center"/>
    </xf>
    <xf numFmtId="0" fontId="5" fillId="48" borderId="33" xfId="0" applyFont="1" applyFill="1" applyBorder="1" applyAlignment="1">
      <alignment horizontal="center" vertical="center" wrapText="1"/>
    </xf>
    <xf numFmtId="165" fontId="0" fillId="48" borderId="0" xfId="0" applyNumberFormat="1" applyFill="1"/>
    <xf numFmtId="10" fontId="0" fillId="48" borderId="0" xfId="0" applyNumberFormat="1" applyFill="1"/>
    <xf numFmtId="9" fontId="0" fillId="48" borderId="0" xfId="0" applyNumberFormat="1" applyFill="1"/>
    <xf numFmtId="0" fontId="63" fillId="0" borderId="0" xfId="0" applyFont="1" applyBorder="1" applyAlignment="1">
      <alignment horizontal="center"/>
    </xf>
    <xf numFmtId="0" fontId="169" fillId="46" borderId="0" xfId="0" applyFont="1" applyFill="1" applyAlignment="1">
      <alignment horizontal="center"/>
    </xf>
    <xf numFmtId="0" fontId="36" fillId="46" borderId="0" xfId="0" applyFont="1" applyFill="1" applyAlignment="1">
      <alignment horizontal="center"/>
    </xf>
    <xf numFmtId="0" fontId="169" fillId="26" borderId="0" xfId="0" applyFont="1" applyFill="1" applyAlignment="1">
      <alignment horizontal="center"/>
    </xf>
    <xf numFmtId="14" fontId="13" fillId="46" borderId="0" xfId="0" applyNumberFormat="1" applyFont="1" applyFill="1"/>
    <xf numFmtId="2" fontId="5" fillId="46" borderId="13" xfId="0" applyNumberFormat="1" applyFont="1" applyFill="1" applyBorder="1"/>
    <xf numFmtId="174" fontId="36" fillId="46" borderId="13" xfId="0" applyNumberFormat="1" applyFont="1" applyFill="1" applyBorder="1" applyAlignment="1">
      <alignment horizontal="center"/>
    </xf>
    <xf numFmtId="184" fontId="149" fillId="0" borderId="0" xfId="157" applyNumberFormat="1" applyFont="1" applyBorder="1" applyAlignment="1">
      <alignment horizontal="center"/>
    </xf>
    <xf numFmtId="0" fontId="12" fillId="48" borderId="0" xfId="0" applyFont="1" applyFill="1"/>
    <xf numFmtId="0" fontId="11" fillId="60" borderId="17" xfId="0" applyFont="1" applyFill="1" applyBorder="1" applyAlignment="1"/>
    <xf numFmtId="0" fontId="11" fillId="60" borderId="19" xfId="0" applyFont="1" applyFill="1" applyBorder="1" applyAlignment="1"/>
    <xf numFmtId="0" fontId="11" fillId="60" borderId="20" xfId="0" applyFont="1" applyFill="1" applyBorder="1" applyAlignment="1"/>
    <xf numFmtId="0" fontId="66" fillId="48" borderId="0" xfId="0" applyFont="1" applyFill="1"/>
    <xf numFmtId="2" fontId="38" fillId="0" borderId="31" xfId="0" applyNumberFormat="1" applyFont="1" applyBorder="1" applyAlignment="1">
      <alignment horizontal="center"/>
    </xf>
    <xf numFmtId="0" fontId="0" fillId="0" borderId="0" xfId="0"/>
    <xf numFmtId="0" fontId="48" fillId="46" borderId="13" xfId="0" applyFont="1" applyFill="1" applyBorder="1" applyAlignment="1">
      <alignment horizontal="center"/>
    </xf>
    <xf numFmtId="0" fontId="12" fillId="46" borderId="0" xfId="0" applyFont="1" applyFill="1" applyAlignment="1">
      <alignment horizontal="center"/>
    </xf>
    <xf numFmtId="14" fontId="0" fillId="26" borderId="0" xfId="0" applyNumberFormat="1" applyFill="1" applyBorder="1" applyAlignment="1">
      <alignment horizontal="center"/>
    </xf>
    <xf numFmtId="0" fontId="38" fillId="48" borderId="0" xfId="179" applyFont="1" applyFill="1" applyBorder="1" applyAlignment="1">
      <alignment horizontal="center" wrapText="1"/>
    </xf>
    <xf numFmtId="165" fontId="7" fillId="48" borderId="13" xfId="0" applyNumberFormat="1" applyFont="1" applyFill="1" applyBorder="1" applyAlignment="1">
      <alignment horizontal="center"/>
    </xf>
    <xf numFmtId="179" fontId="11" fillId="48" borderId="13" xfId="0" applyNumberFormat="1" applyFont="1" applyFill="1" applyBorder="1" applyAlignment="1">
      <alignment horizontal="center"/>
    </xf>
    <xf numFmtId="169" fontId="7" fillId="48" borderId="13" xfId="0" applyNumberFormat="1" applyFont="1" applyFill="1" applyBorder="1" applyAlignment="1">
      <alignment horizontal="center"/>
    </xf>
    <xf numFmtId="0" fontId="47" fillId="48" borderId="13" xfId="0" applyFont="1" applyFill="1" applyBorder="1" applyAlignment="1">
      <alignment horizontal="center"/>
    </xf>
    <xf numFmtId="14" fontId="47" fillId="48" borderId="13" xfId="0" applyNumberFormat="1" applyFont="1" applyFill="1" applyBorder="1" applyAlignment="1">
      <alignment horizontal="center"/>
    </xf>
    <xf numFmtId="181" fontId="47" fillId="48" borderId="13" xfId="0" applyNumberFormat="1" applyFont="1" applyFill="1" applyBorder="1" applyAlignment="1">
      <alignment horizontal="center"/>
    </xf>
    <xf numFmtId="0" fontId="7" fillId="56" borderId="13" xfId="0" applyFont="1" applyFill="1" applyBorder="1" applyAlignment="1">
      <alignment horizontal="center" wrapText="1"/>
    </xf>
    <xf numFmtId="0" fontId="7" fillId="56" borderId="13" xfId="0" applyFont="1" applyFill="1" applyBorder="1" applyAlignment="1">
      <alignment horizontal="center" vertical="center" wrapText="1"/>
    </xf>
    <xf numFmtId="0" fontId="36" fillId="56" borderId="0" xfId="0" applyFont="1" applyFill="1"/>
    <xf numFmtId="0" fontId="36" fillId="56" borderId="20" xfId="0" applyFont="1" applyFill="1" applyBorder="1"/>
    <xf numFmtId="179" fontId="176" fillId="48" borderId="13" xfId="0" applyNumberFormat="1" applyFont="1" applyFill="1" applyBorder="1" applyAlignment="1">
      <alignment horizontal="center"/>
    </xf>
    <xf numFmtId="0" fontId="7" fillId="61" borderId="13" xfId="0" applyFont="1" applyFill="1" applyBorder="1" applyAlignment="1">
      <alignment horizontal="center" vertical="center" wrapText="1"/>
    </xf>
    <xf numFmtId="176" fontId="7" fillId="61" borderId="13" xfId="0" applyNumberFormat="1" applyFont="1" applyFill="1" applyBorder="1" applyAlignment="1">
      <alignment horizontal="center" vertical="center"/>
    </xf>
    <xf numFmtId="169" fontId="7" fillId="61" borderId="13" xfId="0" applyNumberFormat="1" applyFont="1" applyFill="1" applyBorder="1" applyAlignment="1">
      <alignment horizontal="center" vertical="center"/>
    </xf>
    <xf numFmtId="169" fontId="7" fillId="61" borderId="13" xfId="0" applyNumberFormat="1" applyFont="1" applyFill="1" applyBorder="1" applyAlignment="1">
      <alignment horizontal="center"/>
    </xf>
    <xf numFmtId="165" fontId="7" fillId="61" borderId="13" xfId="0" applyNumberFormat="1" applyFont="1" applyFill="1" applyBorder="1" applyAlignment="1">
      <alignment horizontal="center"/>
    </xf>
    <xf numFmtId="9" fontId="7" fillId="61" borderId="13" xfId="205" applyFont="1" applyFill="1" applyBorder="1" applyAlignment="1">
      <alignment horizontal="center"/>
    </xf>
    <xf numFmtId="179" fontId="109" fillId="61" borderId="13" xfId="0" applyNumberFormat="1" applyFont="1" applyFill="1" applyBorder="1" applyAlignment="1">
      <alignment horizontal="center"/>
    </xf>
    <xf numFmtId="3" fontId="36" fillId="48" borderId="0" xfId="0" applyNumberFormat="1" applyFont="1" applyFill="1"/>
    <xf numFmtId="166" fontId="7" fillId="48" borderId="13" xfId="205" applyNumberFormat="1" applyFont="1" applyFill="1" applyBorder="1" applyAlignment="1">
      <alignment horizontal="center"/>
    </xf>
    <xf numFmtId="166" fontId="7" fillId="48" borderId="18" xfId="205" applyNumberFormat="1" applyFont="1" applyFill="1" applyBorder="1" applyAlignment="1">
      <alignment horizontal="center"/>
    </xf>
    <xf numFmtId="166" fontId="7" fillId="46" borderId="13" xfId="205" applyNumberFormat="1" applyFont="1" applyFill="1" applyBorder="1" applyAlignment="1">
      <alignment horizontal="center"/>
    </xf>
    <xf numFmtId="0" fontId="7" fillId="48" borderId="13" xfId="0" applyFont="1" applyFill="1" applyBorder="1"/>
    <xf numFmtId="169" fontId="4" fillId="25" borderId="16" xfId="0" applyNumberFormat="1" applyFont="1" applyFill="1" applyBorder="1" applyAlignment="1">
      <alignment horizontal="center" vertical="center"/>
    </xf>
    <xf numFmtId="169" fontId="4" fillId="25" borderId="17" xfId="0" applyNumberFormat="1" applyFont="1" applyFill="1" applyBorder="1" applyAlignment="1">
      <alignment horizontal="center" vertical="center"/>
    </xf>
    <xf numFmtId="0" fontId="0" fillId="0" borderId="0" xfId="0"/>
    <xf numFmtId="14" fontId="162" fillId="0" borderId="101" xfId="0" applyNumberFormat="1" applyFont="1" applyBorder="1" applyAlignment="1">
      <alignment horizontal="center"/>
    </xf>
    <xf numFmtId="0" fontId="118" fillId="0" borderId="13" xfId="195" applyFont="1" applyFill="1" applyBorder="1" applyAlignment="1">
      <alignment horizontal="center" wrapText="1"/>
    </xf>
    <xf numFmtId="0" fontId="118" fillId="24" borderId="13" xfId="195" applyFont="1" applyFill="1" applyBorder="1" applyAlignment="1">
      <alignment horizontal="center" wrapText="1"/>
    </xf>
    <xf numFmtId="0" fontId="130" fillId="24" borderId="13" xfId="195" applyFont="1" applyFill="1" applyBorder="1" applyAlignment="1">
      <alignment horizontal="center" vertical="center" wrapText="1"/>
    </xf>
    <xf numFmtId="0" fontId="118" fillId="0" borderId="77" xfId="195" applyFont="1" applyFill="1" applyBorder="1" applyAlignment="1">
      <alignment horizontal="center" wrapText="1"/>
    </xf>
    <xf numFmtId="0" fontId="118" fillId="24" borderId="77" xfId="195" applyFont="1" applyFill="1" applyBorder="1" applyAlignment="1">
      <alignment horizontal="center" wrapText="1"/>
    </xf>
    <xf numFmtId="0" fontId="130" fillId="24" borderId="77" xfId="195" applyFont="1" applyFill="1" applyBorder="1" applyAlignment="1">
      <alignment horizontal="center" vertical="center" wrapText="1"/>
    </xf>
    <xf numFmtId="4" fontId="118" fillId="24" borderId="78" xfId="195" applyNumberFormat="1" applyFont="1" applyFill="1" applyBorder="1" applyAlignment="1">
      <alignment horizontal="center" wrapText="1"/>
    </xf>
    <xf numFmtId="4" fontId="118" fillId="24" borderId="79" xfId="195" applyNumberFormat="1" applyFont="1" applyFill="1" applyBorder="1" applyAlignment="1">
      <alignment horizontal="center" wrapText="1"/>
    </xf>
    <xf numFmtId="0" fontId="36" fillId="0" borderId="102" xfId="0" applyFont="1" applyBorder="1"/>
    <xf numFmtId="0" fontId="118" fillId="0" borderId="102" xfId="195" applyFont="1" applyFill="1" applyBorder="1" applyAlignment="1">
      <alignment horizontal="center" wrapText="1"/>
    </xf>
    <xf numFmtId="0" fontId="118" fillId="24" borderId="102" xfId="195" applyFont="1" applyFill="1" applyBorder="1" applyAlignment="1">
      <alignment horizontal="center" wrapText="1"/>
    </xf>
    <xf numFmtId="174" fontId="130" fillId="24" borderId="102" xfId="195" applyNumberFormat="1" applyFont="1" applyFill="1" applyBorder="1" applyAlignment="1">
      <alignment horizontal="center" vertical="center" wrapText="1"/>
    </xf>
    <xf numFmtId="4" fontId="118" fillId="24" borderId="103" xfId="195" applyNumberFormat="1" applyFont="1" applyFill="1" applyBorder="1" applyAlignment="1">
      <alignment horizontal="center" wrapText="1"/>
    </xf>
    <xf numFmtId="0" fontId="130" fillId="24" borderId="140" xfId="195" applyFont="1" applyFill="1" applyBorder="1" applyAlignment="1">
      <alignment horizontal="center" vertical="center" wrapText="1"/>
    </xf>
    <xf numFmtId="0" fontId="130" fillId="24" borderId="17" xfId="195" applyFont="1" applyFill="1" applyBorder="1" applyAlignment="1">
      <alignment horizontal="center" vertical="center" wrapText="1"/>
    </xf>
    <xf numFmtId="174" fontId="130" fillId="24" borderId="105" xfId="195" applyNumberFormat="1" applyFont="1" applyFill="1" applyBorder="1" applyAlignment="1">
      <alignment horizontal="center" vertical="center" wrapText="1"/>
    </xf>
    <xf numFmtId="4" fontId="118" fillId="24" borderId="81" xfId="195" applyNumberFormat="1" applyFont="1" applyFill="1" applyBorder="1" applyAlignment="1">
      <alignment horizontal="center" wrapText="1"/>
    </xf>
    <xf numFmtId="4" fontId="118" fillId="24" borderId="80" xfId="195" applyNumberFormat="1" applyFont="1" applyFill="1" applyBorder="1" applyAlignment="1">
      <alignment horizontal="center" wrapText="1"/>
    </xf>
    <xf numFmtId="4" fontId="118" fillId="24" borderId="90" xfId="195" applyNumberFormat="1" applyFont="1" applyFill="1" applyBorder="1" applyAlignment="1">
      <alignment horizontal="center" wrapText="1"/>
    </xf>
    <xf numFmtId="4" fontId="118" fillId="26" borderId="31" xfId="195" applyNumberFormat="1" applyFont="1" applyFill="1" applyBorder="1" applyAlignment="1">
      <alignment horizontal="center" wrapText="1"/>
    </xf>
    <xf numFmtId="169" fontId="4" fillId="48" borderId="87" xfId="0" applyNumberFormat="1" applyFont="1" applyFill="1" applyBorder="1" applyAlignment="1">
      <alignment horizontal="center" vertical="center"/>
    </xf>
    <xf numFmtId="169" fontId="32" fillId="48" borderId="0" xfId="0" applyNumberFormat="1" applyFont="1" applyFill="1"/>
    <xf numFmtId="169" fontId="4" fillId="25" borderId="251" xfId="0" applyNumberFormat="1" applyFont="1" applyFill="1" applyBorder="1" applyAlignment="1">
      <alignment horizontal="center" vertical="center"/>
    </xf>
    <xf numFmtId="169" fontId="5" fillId="54" borderId="56" xfId="0" applyNumberFormat="1" applyFont="1" applyFill="1" applyBorder="1"/>
    <xf numFmtId="169" fontId="2" fillId="54" borderId="31" xfId="0" applyNumberFormat="1" applyFont="1" applyFill="1" applyBorder="1"/>
    <xf numFmtId="0" fontId="7" fillId="46" borderId="13" xfId="0" applyFont="1" applyFill="1" applyBorder="1" applyAlignment="1">
      <alignment horizontal="left"/>
    </xf>
    <xf numFmtId="0" fontId="2" fillId="0" borderId="13" xfId="0" applyFont="1" applyBorder="1" applyAlignment="1"/>
    <xf numFmtId="0" fontId="2" fillId="0" borderId="13" xfId="0" applyFont="1" applyFill="1" applyBorder="1" applyAlignment="1"/>
    <xf numFmtId="0" fontId="5" fillId="24" borderId="21" xfId="177" applyFont="1" applyFill="1" applyBorder="1" applyAlignment="1">
      <alignment horizontal="center"/>
    </xf>
    <xf numFmtId="165" fontId="194" fillId="48" borderId="13" xfId="0" applyNumberFormat="1" applyFont="1" applyFill="1" applyBorder="1" applyAlignment="1">
      <alignment horizontal="center"/>
    </xf>
    <xf numFmtId="171" fontId="49" fillId="24" borderId="13" xfId="0" applyNumberFormat="1" applyFont="1" applyFill="1" applyBorder="1" applyAlignment="1">
      <alignment horizontal="center"/>
    </xf>
    <xf numFmtId="181" fontId="195" fillId="24" borderId="13" xfId="0" applyNumberFormat="1" applyFont="1" applyFill="1" applyBorder="1" applyAlignment="1">
      <alignment horizontal="center"/>
    </xf>
    <xf numFmtId="0" fontId="49" fillId="0" borderId="78" xfId="0" applyNumberFormat="1" applyFont="1" applyFill="1" applyBorder="1" applyAlignment="1">
      <alignment horizontal="center"/>
    </xf>
    <xf numFmtId="0" fontId="60" fillId="51" borderId="166" xfId="0" applyFont="1" applyFill="1" applyBorder="1" applyAlignment="1">
      <alignment horizontal="center" wrapText="1"/>
    </xf>
    <xf numFmtId="0" fontId="7" fillId="51" borderId="21" xfId="0" applyFont="1" applyFill="1" applyBorder="1" applyAlignment="1">
      <alignment horizontal="center" vertical="center" wrapText="1"/>
    </xf>
    <xf numFmtId="4" fontId="7" fillId="51" borderId="21" xfId="0" applyNumberFormat="1" applyFont="1" applyFill="1" applyBorder="1" applyAlignment="1">
      <alignment horizontal="center" vertical="center"/>
    </xf>
    <xf numFmtId="4" fontId="7" fillId="51" borderId="21" xfId="0" applyNumberFormat="1" applyFont="1" applyFill="1" applyBorder="1" applyAlignment="1">
      <alignment horizontal="center"/>
    </xf>
    <xf numFmtId="9" fontId="7" fillId="51" borderId="21" xfId="205" applyFont="1" applyFill="1" applyBorder="1" applyAlignment="1">
      <alignment horizontal="center"/>
    </xf>
    <xf numFmtId="181" fontId="47" fillId="51" borderId="165" xfId="0" applyNumberFormat="1" applyFont="1" applyFill="1" applyBorder="1" applyAlignment="1">
      <alignment horizontal="center"/>
    </xf>
    <xf numFmtId="9" fontId="7" fillId="48" borderId="77" xfId="205" applyFont="1" applyFill="1" applyBorder="1" applyAlignment="1">
      <alignment horizontal="center"/>
    </xf>
    <xf numFmtId="174" fontId="36" fillId="0" borderId="0" xfId="0" applyNumberFormat="1" applyFont="1" applyBorder="1" applyAlignment="1">
      <alignment horizontal="center" vertical="center"/>
    </xf>
    <xf numFmtId="0" fontId="196" fillId="0" borderId="137" xfId="187" applyFont="1" applyBorder="1" applyAlignment="1">
      <alignment horizontal="center"/>
    </xf>
    <xf numFmtId="0" fontId="177" fillId="48" borderId="131" xfId="195" applyFont="1" applyFill="1" applyBorder="1" applyAlignment="1">
      <alignment horizontal="center" wrapText="1"/>
    </xf>
    <xf numFmtId="0" fontId="177" fillId="48" borderId="101" xfId="195" applyFont="1" applyFill="1" applyBorder="1" applyAlignment="1">
      <alignment horizontal="center" wrapText="1"/>
    </xf>
    <xf numFmtId="0" fontId="177" fillId="48" borderId="101" xfId="195" applyFont="1" applyFill="1" applyBorder="1" applyAlignment="1">
      <alignment horizontal="left" wrapText="1"/>
    </xf>
    <xf numFmtId="0" fontId="177" fillId="48" borderId="121" xfId="195" applyFont="1" applyFill="1" applyBorder="1" applyAlignment="1">
      <alignment horizontal="center" wrapText="1"/>
    </xf>
    <xf numFmtId="0" fontId="177" fillId="48" borderId="131" xfId="195" applyFont="1" applyFill="1" applyBorder="1" applyAlignment="1">
      <alignment horizontal="right" wrapText="1"/>
    </xf>
    <xf numFmtId="0" fontId="177" fillId="48" borderId="132" xfId="195" applyFont="1" applyFill="1" applyBorder="1" applyAlignment="1">
      <alignment horizontal="right" wrapText="1"/>
    </xf>
    <xf numFmtId="4" fontId="118" fillId="48" borderId="121" xfId="195" applyNumberFormat="1" applyFont="1" applyFill="1" applyBorder="1" applyAlignment="1">
      <alignment horizontal="center" wrapText="1"/>
    </xf>
    <xf numFmtId="4" fontId="118" fillId="48" borderId="132" xfId="195" applyNumberFormat="1" applyFont="1" applyFill="1" applyBorder="1" applyAlignment="1">
      <alignment horizontal="center" wrapText="1"/>
    </xf>
    <xf numFmtId="0" fontId="177" fillId="48" borderId="83" xfId="195" applyFont="1" applyFill="1" applyBorder="1" applyAlignment="1">
      <alignment horizontal="center" wrapText="1"/>
    </xf>
    <xf numFmtId="0" fontId="177" fillId="48" borderId="205" xfId="195" applyFont="1" applyFill="1" applyBorder="1" applyAlignment="1">
      <alignment horizontal="center" wrapText="1"/>
    </xf>
    <xf numFmtId="0" fontId="177" fillId="48" borderId="205" xfId="195" applyFont="1" applyFill="1" applyBorder="1" applyAlignment="1">
      <alignment horizontal="left" wrapText="1"/>
    </xf>
    <xf numFmtId="0" fontId="177" fillId="48" borderId="0" xfId="195" applyFont="1" applyFill="1" applyBorder="1" applyAlignment="1">
      <alignment horizontal="center" wrapText="1"/>
    </xf>
    <xf numFmtId="0" fontId="177" fillId="48" borderId="83" xfId="195" applyFont="1" applyFill="1" applyBorder="1" applyAlignment="1">
      <alignment horizontal="right" wrapText="1"/>
    </xf>
    <xf numFmtId="0" fontId="177" fillId="48" borderId="135" xfId="195" applyFont="1" applyFill="1" applyBorder="1" applyAlignment="1">
      <alignment horizontal="right" wrapText="1"/>
    </xf>
    <xf numFmtId="4" fontId="118" fillId="48" borderId="0" xfId="195" applyNumberFormat="1" applyFont="1" applyFill="1" applyBorder="1" applyAlignment="1">
      <alignment horizontal="center" wrapText="1"/>
    </xf>
    <xf numFmtId="4" fontId="118" fillId="48" borderId="135" xfId="195" applyNumberFormat="1" applyFont="1" applyFill="1" applyBorder="1" applyAlignment="1">
      <alignment horizontal="center" wrapText="1"/>
    </xf>
    <xf numFmtId="4" fontId="118" fillId="48" borderId="145" xfId="195" applyNumberFormat="1" applyFont="1" applyFill="1" applyBorder="1" applyAlignment="1">
      <alignment horizontal="center" wrapText="1"/>
    </xf>
    <xf numFmtId="4" fontId="118" fillId="48" borderId="136" xfId="195" applyNumberFormat="1" applyFont="1" applyFill="1" applyBorder="1" applyAlignment="1">
      <alignment horizontal="center" wrapText="1"/>
    </xf>
    <xf numFmtId="0" fontId="118" fillId="62" borderId="83" xfId="195" applyFont="1" applyFill="1" applyBorder="1" applyAlignment="1">
      <alignment horizontal="center" wrapText="1"/>
    </xf>
    <xf numFmtId="0" fontId="118" fillId="62" borderId="0" xfId="195" applyFont="1" applyFill="1" applyBorder="1" applyAlignment="1">
      <alignment horizontal="center" wrapText="1"/>
    </xf>
    <xf numFmtId="0" fontId="118" fillId="48" borderId="83" xfId="195" applyFont="1" applyFill="1" applyBorder="1" applyAlignment="1">
      <alignment horizontal="center" wrapText="1"/>
    </xf>
    <xf numFmtId="0" fontId="118" fillId="48" borderId="0" xfId="195" applyFont="1" applyFill="1" applyBorder="1" applyAlignment="1">
      <alignment horizontal="center" wrapText="1"/>
    </xf>
    <xf numFmtId="0" fontId="118" fillId="62" borderId="205" xfId="195" applyFont="1" applyFill="1" applyBorder="1" applyAlignment="1">
      <alignment horizontal="center" wrapText="1"/>
    </xf>
    <xf numFmtId="0" fontId="84" fillId="62" borderId="205" xfId="195" applyFont="1" applyFill="1" applyBorder="1" applyAlignment="1">
      <alignment horizontal="center" wrapText="1"/>
    </xf>
    <xf numFmtId="0" fontId="5" fillId="46" borderId="13" xfId="0" applyFont="1" applyFill="1" applyBorder="1" applyAlignment="1">
      <alignment horizontal="left"/>
    </xf>
    <xf numFmtId="0" fontId="118" fillId="62" borderId="4" xfId="195" applyFont="1" applyFill="1" applyBorder="1" applyAlignment="1">
      <alignment horizontal="center" wrapText="1"/>
    </xf>
    <xf numFmtId="0" fontId="118" fillId="62" borderId="180" xfId="195" applyFont="1" applyFill="1" applyBorder="1" applyAlignment="1">
      <alignment horizontal="center" wrapText="1"/>
    </xf>
    <xf numFmtId="0" fontId="118" fillId="62" borderId="181" xfId="195" applyFont="1" applyFill="1" applyBorder="1" applyAlignment="1">
      <alignment horizontal="center" wrapText="1"/>
    </xf>
    <xf numFmtId="0" fontId="118" fillId="62" borderId="182" xfId="195" applyFont="1" applyFill="1" applyBorder="1" applyAlignment="1">
      <alignment horizontal="center" wrapText="1"/>
    </xf>
    <xf numFmtId="0" fontId="130" fillId="62" borderId="179" xfId="195" applyFont="1" applyFill="1" applyBorder="1" applyAlignment="1">
      <alignment horizontal="center" wrapText="1"/>
    </xf>
    <xf numFmtId="0" fontId="130" fillId="62" borderId="180" xfId="195" applyFont="1" applyFill="1" applyBorder="1" applyAlignment="1">
      <alignment horizontal="center" wrapText="1"/>
    </xf>
    <xf numFmtId="4" fontId="118" fillId="62" borderId="83" xfId="195" applyNumberFormat="1" applyFont="1" applyFill="1" applyBorder="1" applyAlignment="1">
      <alignment horizontal="center" wrapText="1"/>
    </xf>
    <xf numFmtId="4" fontId="118" fillId="62" borderId="135" xfId="195" applyNumberFormat="1" applyFont="1" applyFill="1" applyBorder="1" applyAlignment="1">
      <alignment horizontal="center" wrapText="1"/>
    </xf>
    <xf numFmtId="0" fontId="5" fillId="63" borderId="17" xfId="0" applyFont="1" applyFill="1" applyBorder="1" applyAlignment="1">
      <alignment horizontal="left"/>
    </xf>
    <xf numFmtId="0" fontId="7" fillId="63" borderId="17" xfId="0" applyFont="1" applyFill="1" applyBorder="1" applyAlignment="1">
      <alignment horizontal="left"/>
    </xf>
    <xf numFmtId="0" fontId="118" fillId="62" borderId="197" xfId="195" applyFont="1" applyFill="1" applyBorder="1" applyAlignment="1">
      <alignment horizontal="center" wrapText="1"/>
    </xf>
    <xf numFmtId="0" fontId="118" fillId="62" borderId="198" xfId="195" applyFont="1" applyFill="1" applyBorder="1" applyAlignment="1">
      <alignment horizontal="center" wrapText="1"/>
    </xf>
    <xf numFmtId="0" fontId="118" fillId="62" borderId="199" xfId="195" applyFont="1" applyFill="1" applyBorder="1" applyAlignment="1">
      <alignment horizontal="center" wrapText="1"/>
    </xf>
    <xf numFmtId="0" fontId="118" fillId="62" borderId="200" xfId="195" applyFont="1" applyFill="1" applyBorder="1" applyAlignment="1">
      <alignment horizontal="center" wrapText="1"/>
    </xf>
    <xf numFmtId="0" fontId="118" fillId="62" borderId="303" xfId="195" applyFont="1" applyFill="1" applyBorder="1" applyAlignment="1">
      <alignment horizontal="center" wrapText="1"/>
    </xf>
    <xf numFmtId="0" fontId="118" fillId="62" borderId="302" xfId="195" applyFont="1" applyFill="1" applyBorder="1" applyAlignment="1">
      <alignment horizontal="center" wrapText="1"/>
    </xf>
    <xf numFmtId="0" fontId="118" fillId="62" borderId="304" xfId="195" applyFont="1" applyFill="1" applyBorder="1" applyAlignment="1">
      <alignment horizontal="center" wrapText="1"/>
    </xf>
    <xf numFmtId="0" fontId="118" fillId="62" borderId="174" xfId="195" applyFont="1" applyFill="1" applyBorder="1" applyAlignment="1">
      <alignment horizontal="center" wrapText="1"/>
    </xf>
    <xf numFmtId="0" fontId="118" fillId="62" borderId="175" xfId="195" applyFont="1" applyFill="1" applyBorder="1" applyAlignment="1">
      <alignment horizontal="center" wrapText="1"/>
    </xf>
    <xf numFmtId="0" fontId="118" fillId="62" borderId="176" xfId="195" applyFont="1" applyFill="1" applyBorder="1" applyAlignment="1">
      <alignment horizontal="center" wrapText="1"/>
    </xf>
    <xf numFmtId="0" fontId="118" fillId="62" borderId="177" xfId="195" applyFont="1" applyFill="1" applyBorder="1" applyAlignment="1">
      <alignment horizontal="center" wrapText="1"/>
    </xf>
    <xf numFmtId="4" fontId="196" fillId="0" borderId="132" xfId="195" applyNumberFormat="1" applyFont="1" applyFill="1" applyBorder="1" applyAlignment="1">
      <alignment horizontal="center" wrapText="1"/>
    </xf>
    <xf numFmtId="0" fontId="118" fillId="62" borderId="191" xfId="195" applyFont="1" applyFill="1" applyBorder="1" applyAlignment="1">
      <alignment horizontal="center" wrapText="1"/>
    </xf>
    <xf numFmtId="0" fontId="118" fillId="62" borderId="192" xfId="195" applyFont="1" applyFill="1" applyBorder="1" applyAlignment="1">
      <alignment horizontal="center" wrapText="1"/>
    </xf>
    <xf numFmtId="0" fontId="118" fillId="62" borderId="193" xfId="195" applyFont="1" applyFill="1" applyBorder="1" applyAlignment="1">
      <alignment horizontal="center" wrapText="1"/>
    </xf>
    <xf numFmtId="0" fontId="118" fillId="62" borderId="194" xfId="195" applyFont="1" applyFill="1" applyBorder="1" applyAlignment="1">
      <alignment horizontal="center" wrapText="1"/>
    </xf>
    <xf numFmtId="4" fontId="7" fillId="48" borderId="0" xfId="0" applyNumberFormat="1" applyFont="1" applyFill="1" applyAlignment="1">
      <alignment horizontal="center"/>
    </xf>
    <xf numFmtId="2" fontId="5" fillId="48" borderId="13" xfId="177" applyNumberFormat="1" applyFont="1" applyFill="1" applyBorder="1" applyAlignment="1">
      <alignment horizontal="right"/>
    </xf>
    <xf numFmtId="0" fontId="0" fillId="0" borderId="0" xfId="0"/>
    <xf numFmtId="0" fontId="36" fillId="0" borderId="31" xfId="0" applyFont="1" applyBorder="1" applyAlignment="1">
      <alignment horizontal="center"/>
    </xf>
    <xf numFmtId="0" fontId="4" fillId="48" borderId="0" xfId="0" applyFont="1" applyFill="1" applyAlignment="1">
      <alignment horizontal="center"/>
    </xf>
    <xf numFmtId="181" fontId="5" fillId="46" borderId="0" xfId="0" applyNumberFormat="1" applyFont="1" applyFill="1" applyAlignment="1">
      <alignment horizontal="center"/>
    </xf>
    <xf numFmtId="0" fontId="24" fillId="48" borderId="0" xfId="0" applyFont="1" applyFill="1"/>
    <xf numFmtId="174" fontId="130" fillId="24" borderId="30" xfId="195" applyNumberFormat="1" applyFont="1" applyFill="1" applyBorder="1" applyAlignment="1">
      <alignment horizontal="center" vertical="center" wrapText="1"/>
    </xf>
    <xf numFmtId="4" fontId="118" fillId="24" borderId="56" xfId="195" applyNumberFormat="1" applyFont="1" applyFill="1" applyBorder="1" applyAlignment="1">
      <alignment horizontal="center" wrapText="1"/>
    </xf>
    <xf numFmtId="0" fontId="36" fillId="0" borderId="56" xfId="0" applyFont="1" applyBorder="1"/>
    <xf numFmtId="0" fontId="118" fillId="24" borderId="87" xfId="195" applyFont="1" applyFill="1" applyBorder="1" applyAlignment="1">
      <alignment horizontal="center" wrapText="1"/>
    </xf>
    <xf numFmtId="174" fontId="130" fillId="24" borderId="87" xfId="195" applyNumberFormat="1" applyFont="1" applyFill="1" applyBorder="1" applyAlignment="1">
      <alignment horizontal="center" vertical="center" wrapText="1"/>
    </xf>
    <xf numFmtId="0" fontId="177" fillId="64" borderId="200" xfId="195" applyFont="1" applyFill="1" applyBorder="1" applyAlignment="1">
      <alignment horizontal="center" wrapText="1"/>
    </xf>
    <xf numFmtId="0" fontId="84" fillId="0" borderId="131" xfId="195" applyFont="1" applyFill="1" applyBorder="1" applyAlignment="1">
      <alignment horizontal="center" wrapText="1"/>
    </xf>
    <xf numFmtId="16" fontId="36" fillId="0" borderId="121" xfId="0" applyNumberFormat="1" applyFont="1" applyBorder="1" applyAlignment="1">
      <alignment horizontal="center" vertical="center"/>
    </xf>
    <xf numFmtId="0" fontId="36" fillId="0" borderId="88" xfId="0" applyFont="1" applyBorder="1" applyAlignment="1">
      <alignment horizontal="center" vertical="center" wrapText="1"/>
    </xf>
    <xf numFmtId="0" fontId="118" fillId="0" borderId="101" xfId="196" applyFont="1" applyFill="1" applyBorder="1" applyAlignment="1">
      <alignment horizontal="center" vertical="center" wrapText="1"/>
    </xf>
    <xf numFmtId="0" fontId="36" fillId="0" borderId="77" xfId="0" applyFont="1" applyBorder="1" applyAlignment="1">
      <alignment horizontal="center" vertical="center" wrapText="1"/>
    </xf>
    <xf numFmtId="0" fontId="36" fillId="0" borderId="90" xfId="0" applyFont="1" applyBorder="1" applyAlignment="1">
      <alignment horizontal="center" vertical="center"/>
    </xf>
    <xf numFmtId="16" fontId="36" fillId="0" borderId="102" xfId="0" applyNumberFormat="1" applyFont="1" applyBorder="1" applyAlignment="1">
      <alignment horizontal="center" vertical="center"/>
    </xf>
    <xf numFmtId="0" fontId="36" fillId="0" borderId="102" xfId="0" applyFont="1" applyBorder="1" applyAlignment="1">
      <alignment horizontal="center" vertical="center" wrapText="1"/>
    </xf>
    <xf numFmtId="0" fontId="36" fillId="35" borderId="17" xfId="0" applyFont="1" applyFill="1" applyBorder="1" applyAlignment="1">
      <alignment horizontal="center" vertical="center"/>
    </xf>
    <xf numFmtId="0" fontId="36" fillId="0" borderId="17" xfId="0" applyFont="1" applyBorder="1" applyAlignment="1">
      <alignment horizontal="center" vertical="center"/>
    </xf>
    <xf numFmtId="0" fontId="36" fillId="0" borderId="158" xfId="0" applyFont="1" applyBorder="1" applyAlignment="1">
      <alignment horizontal="center" vertical="center"/>
    </xf>
    <xf numFmtId="0" fontId="120" fillId="35" borderId="164" xfId="0" applyFont="1" applyFill="1" applyBorder="1" applyAlignment="1">
      <alignment horizontal="center" vertical="center"/>
    </xf>
    <xf numFmtId="0" fontId="36" fillId="0" borderId="164" xfId="0" applyFont="1" applyBorder="1" applyAlignment="1">
      <alignment horizontal="center" vertical="center"/>
    </xf>
    <xf numFmtId="0" fontId="36" fillId="0" borderId="167" xfId="0" applyFont="1" applyBorder="1" applyAlignment="1">
      <alignment horizontal="center" vertical="center"/>
    </xf>
    <xf numFmtId="0" fontId="36" fillId="0" borderId="129" xfId="0" applyFont="1" applyBorder="1" applyAlignment="1">
      <alignment horizontal="center" vertical="center"/>
    </xf>
    <xf numFmtId="0" fontId="118" fillId="0" borderId="103" xfId="196" applyFont="1" applyFill="1" applyBorder="1" applyAlignment="1">
      <alignment horizontal="center" vertical="center" wrapText="1"/>
    </xf>
    <xf numFmtId="3" fontId="5" fillId="46" borderId="13" xfId="0" applyNumberFormat="1" applyFont="1" applyFill="1" applyBorder="1" applyAlignment="1">
      <alignment horizontal="center" vertical="center"/>
    </xf>
    <xf numFmtId="174" fontId="0" fillId="24" borderId="0" xfId="0" applyNumberFormat="1" applyFill="1"/>
    <xf numFmtId="0" fontId="5" fillId="51" borderId="13" xfId="0" applyFont="1" applyFill="1" applyBorder="1" applyAlignment="1">
      <alignment horizontal="center"/>
    </xf>
    <xf numFmtId="0" fontId="184" fillId="26" borderId="0" xfId="0" applyFont="1" applyFill="1"/>
    <xf numFmtId="174" fontId="197" fillId="48" borderId="13" xfId="0" applyNumberFormat="1" applyFont="1" applyFill="1" applyBorder="1" applyAlignment="1">
      <alignment horizontal="center"/>
    </xf>
    <xf numFmtId="0" fontId="109" fillId="46" borderId="254" xfId="0" applyFont="1" applyFill="1" applyBorder="1" applyAlignment="1">
      <alignment horizontal="left" vertical="center" wrapText="1" indent="1"/>
    </xf>
    <xf numFmtId="3" fontId="7" fillId="46" borderId="13" xfId="0" applyNumberFormat="1" applyFont="1" applyFill="1" applyBorder="1" applyAlignment="1">
      <alignment horizontal="center" vertical="center"/>
    </xf>
    <xf numFmtId="0" fontId="7" fillId="51" borderId="17" xfId="0" applyFont="1" applyFill="1" applyBorder="1" applyAlignment="1">
      <alignment horizontal="center"/>
    </xf>
    <xf numFmtId="3" fontId="41" fillId="51" borderId="13" xfId="0" applyNumberFormat="1" applyFont="1" applyFill="1" applyBorder="1" applyAlignment="1">
      <alignment horizontal="center" vertical="center"/>
    </xf>
    <xf numFmtId="3" fontId="7" fillId="51" borderId="13" xfId="0" applyNumberFormat="1" applyFont="1" applyFill="1" applyBorder="1" applyAlignment="1">
      <alignment horizontal="center" vertical="center"/>
    </xf>
    <xf numFmtId="4" fontId="95" fillId="51" borderId="21" xfId="184" applyNumberFormat="1" applyFont="1" applyFill="1" applyBorder="1" applyAlignment="1">
      <alignment horizontal="center" vertical="center"/>
    </xf>
    <xf numFmtId="165" fontId="7" fillId="51" borderId="13" xfId="0" applyNumberFormat="1" applyFont="1" applyFill="1" applyBorder="1" applyAlignment="1">
      <alignment horizontal="center"/>
    </xf>
    <xf numFmtId="9" fontId="7" fillId="51" borderId="13" xfId="205" applyFont="1" applyFill="1" applyBorder="1" applyAlignment="1">
      <alignment horizontal="center"/>
    </xf>
    <xf numFmtId="181" fontId="7" fillId="51" borderId="13" xfId="0" applyNumberFormat="1" applyFont="1" applyFill="1" applyBorder="1" applyAlignment="1">
      <alignment horizontal="center"/>
    </xf>
    <xf numFmtId="174" fontId="111" fillId="51" borderId="0" xfId="0" applyNumberFormat="1" applyFont="1" applyFill="1"/>
    <xf numFmtId="4" fontId="0" fillId="51" borderId="0" xfId="0" applyNumberFormat="1" applyFill="1"/>
    <xf numFmtId="4" fontId="95" fillId="51" borderId="13" xfId="184" applyNumberFormat="1" applyFont="1" applyFill="1" applyBorder="1" applyAlignment="1">
      <alignment horizontal="center" vertical="center"/>
    </xf>
    <xf numFmtId="174" fontId="66" fillId="51" borderId="0" xfId="0" applyNumberFormat="1" applyFont="1" applyFill="1"/>
    <xf numFmtId="14" fontId="48" fillId="26" borderId="30" xfId="177" applyNumberFormat="1" applyFont="1" applyFill="1" applyBorder="1" applyAlignment="1"/>
    <xf numFmtId="169" fontId="112" fillId="48" borderId="0" xfId="0" applyNumberFormat="1" applyFont="1" applyFill="1" applyBorder="1" applyAlignment="1">
      <alignment horizontal="center"/>
    </xf>
    <xf numFmtId="169" fontId="2" fillId="0" borderId="0" xfId="0" applyNumberFormat="1" applyFont="1"/>
    <xf numFmtId="2" fontId="5" fillId="46" borderId="56" xfId="0" applyNumberFormat="1" applyFont="1" applyFill="1" applyBorder="1"/>
    <xf numFmtId="174" fontId="5" fillId="46" borderId="30" xfId="0" applyNumberFormat="1" applyFont="1" applyFill="1" applyBorder="1"/>
    <xf numFmtId="0" fontId="5" fillId="46" borderId="31" xfId="0" applyFont="1" applyFill="1" applyBorder="1"/>
    <xf numFmtId="4" fontId="32" fillId="46" borderId="18" xfId="0" applyNumberFormat="1" applyFont="1" applyFill="1" applyBorder="1"/>
    <xf numFmtId="4" fontId="32" fillId="46" borderId="21" xfId="0" applyNumberFormat="1" applyFont="1" applyFill="1" applyBorder="1"/>
    <xf numFmtId="43" fontId="34" fillId="28" borderId="268" xfId="157" applyFont="1" applyFill="1" applyBorder="1" applyAlignment="1">
      <alignment horizontal="center"/>
    </xf>
    <xf numFmtId="43" fontId="34" fillId="28" borderId="269" xfId="157" applyFont="1" applyFill="1" applyBorder="1" applyAlignment="1">
      <alignment horizontal="center"/>
    </xf>
    <xf numFmtId="43" fontId="34" fillId="28" borderId="270" xfId="157" applyFont="1" applyFill="1" applyBorder="1" applyAlignment="1">
      <alignment horizontal="center"/>
    </xf>
    <xf numFmtId="43" fontId="34" fillId="28" borderId="267" xfId="157" applyFont="1" applyFill="1" applyBorder="1" applyAlignment="1">
      <alignment horizontal="center"/>
    </xf>
    <xf numFmtId="43" fontId="34" fillId="28" borderId="35" xfId="157" applyFont="1" applyFill="1" applyBorder="1" applyAlignment="1">
      <alignment horizontal="center"/>
    </xf>
    <xf numFmtId="43" fontId="34" fillId="28" borderId="43" xfId="157" applyFont="1" applyFill="1" applyBorder="1" applyAlignment="1">
      <alignment horizontal="center"/>
    </xf>
    <xf numFmtId="0" fontId="5" fillId="24" borderId="265" xfId="0" applyFont="1" applyFill="1" applyBorder="1" applyAlignment="1">
      <alignment horizontal="center" vertical="center"/>
    </xf>
    <xf numFmtId="0" fontId="5" fillId="24" borderId="267" xfId="0" applyFont="1" applyFill="1" applyBorder="1" applyAlignment="1">
      <alignment horizontal="center" vertical="center"/>
    </xf>
    <xf numFmtId="0" fontId="5" fillId="24" borderId="271" xfId="0" applyFont="1" applyFill="1" applyBorder="1" applyAlignment="1">
      <alignment horizontal="center" vertical="center"/>
    </xf>
    <xf numFmtId="0" fontId="5" fillId="24" borderId="272" xfId="0" applyFont="1" applyFill="1" applyBorder="1" applyAlignment="1">
      <alignment horizontal="center" vertical="center"/>
    </xf>
    <xf numFmtId="0" fontId="5" fillId="24" borderId="266" xfId="0" applyFont="1" applyFill="1" applyBorder="1" applyAlignment="1">
      <alignment horizontal="center" vertical="center"/>
    </xf>
    <xf numFmtId="0" fontId="5" fillId="24" borderId="273" xfId="0" applyFont="1" applyFill="1" applyBorder="1" applyAlignment="1">
      <alignment horizontal="center" vertical="center"/>
    </xf>
    <xf numFmtId="0" fontId="5" fillId="24" borderId="274" xfId="0" applyFont="1" applyFill="1" applyBorder="1" applyAlignment="1">
      <alignment horizontal="center" vertical="center"/>
    </xf>
    <xf numFmtId="0" fontId="5" fillId="24" borderId="275" xfId="0" applyFont="1" applyFill="1" applyBorder="1" applyAlignment="1">
      <alignment horizontal="center" vertical="center"/>
    </xf>
    <xf numFmtId="0" fontId="24" fillId="0" borderId="276" xfId="0" applyFont="1" applyBorder="1" applyAlignment="1">
      <alignment horizontal="center" vertical="center"/>
    </xf>
    <xf numFmtId="0" fontId="24" fillId="0" borderId="213" xfId="0" applyFont="1" applyBorder="1" applyAlignment="1">
      <alignment horizontal="center" vertical="center"/>
    </xf>
    <xf numFmtId="0" fontId="5" fillId="24" borderId="265" xfId="0" applyFont="1" applyFill="1" applyBorder="1" applyAlignment="1">
      <alignment horizontal="center" vertical="center" wrapText="1"/>
    </xf>
    <xf numFmtId="0" fontId="5" fillId="24" borderId="267" xfId="0" applyFont="1" applyFill="1" applyBorder="1" applyAlignment="1">
      <alignment horizontal="center" vertical="center" wrapText="1"/>
    </xf>
    <xf numFmtId="0" fontId="5" fillId="24" borderId="266" xfId="0" applyFont="1" applyFill="1" applyBorder="1" applyAlignment="1">
      <alignment horizontal="center" vertical="center" wrapText="1"/>
    </xf>
    <xf numFmtId="43" fontId="4" fillId="25" borderId="22" xfId="157" applyFont="1" applyFill="1" applyBorder="1" applyAlignment="1">
      <alignment horizontal="center"/>
    </xf>
    <xf numFmtId="0" fontId="0" fillId="0" borderId="23" xfId="0" applyBorder="1" applyAlignment="1">
      <alignment horizontal="center"/>
    </xf>
    <xf numFmtId="0" fontId="0" fillId="0" borderId="61" xfId="0" applyBorder="1" applyAlignment="1">
      <alignment horizontal="center"/>
    </xf>
    <xf numFmtId="43" fontId="4" fillId="25" borderId="16" xfId="157" applyFont="1" applyFill="1" applyBorder="1" applyAlignment="1">
      <alignment horizontal="center"/>
    </xf>
    <xf numFmtId="0" fontId="0" fillId="0" borderId="28" xfId="0" applyBorder="1" applyAlignment="1">
      <alignment horizontal="center"/>
    </xf>
    <xf numFmtId="0" fontId="0" fillId="0" borderId="60" xfId="0" applyBorder="1" applyAlignment="1">
      <alignment horizontal="center"/>
    </xf>
    <xf numFmtId="0" fontId="32" fillId="0" borderId="33" xfId="0" applyFont="1" applyBorder="1" applyAlignment="1">
      <alignment horizontal="center" vertical="center"/>
    </xf>
    <xf numFmtId="165" fontId="48" fillId="0" borderId="52" xfId="0" applyNumberFormat="1" applyFont="1" applyFill="1" applyBorder="1" applyAlignment="1">
      <alignment horizontal="center" vertical="center"/>
    </xf>
    <xf numFmtId="165" fontId="48" fillId="0" borderId="91" xfId="0" applyNumberFormat="1" applyFont="1" applyFill="1" applyBorder="1" applyAlignment="1">
      <alignment horizontal="center" vertical="center"/>
    </xf>
    <xf numFmtId="4" fontId="5" fillId="0" borderId="15" xfId="0" applyNumberFormat="1" applyFont="1" applyFill="1" applyBorder="1" applyAlignment="1">
      <alignment horizontal="center" vertical="center"/>
    </xf>
    <xf numFmtId="4" fontId="5" fillId="0" borderId="11" xfId="0" applyNumberFormat="1" applyFont="1" applyFill="1" applyBorder="1" applyAlignment="1">
      <alignment horizontal="center" vertical="center"/>
    </xf>
    <xf numFmtId="4" fontId="5" fillId="0" borderId="12" xfId="0" applyNumberFormat="1" applyFont="1" applyFill="1" applyBorder="1" applyAlignment="1">
      <alignment horizontal="center" vertical="center"/>
    </xf>
    <xf numFmtId="4" fontId="5" fillId="0" borderId="10" xfId="0" applyNumberFormat="1" applyFont="1" applyFill="1" applyBorder="1" applyAlignment="1">
      <alignment horizontal="center" vertical="center"/>
    </xf>
    <xf numFmtId="0" fontId="5" fillId="24" borderId="277" xfId="0" applyFont="1" applyFill="1" applyBorder="1" applyAlignment="1">
      <alignment horizontal="center" vertical="center"/>
    </xf>
    <xf numFmtId="0" fontId="5" fillId="24" borderId="278" xfId="0" applyFont="1" applyFill="1" applyBorder="1" applyAlignment="1">
      <alignment horizontal="center" vertical="center"/>
    </xf>
    <xf numFmtId="0" fontId="5" fillId="24" borderId="279" xfId="0" applyFont="1" applyFill="1" applyBorder="1" applyAlignment="1">
      <alignment horizontal="center" vertical="center"/>
    </xf>
    <xf numFmtId="0" fontId="5" fillId="0" borderId="15" xfId="0" applyFont="1" applyFill="1" applyBorder="1" applyAlignment="1">
      <alignment horizontal="center" vertical="center" wrapText="1"/>
    </xf>
    <xf numFmtId="0" fontId="5" fillId="0" borderId="11" xfId="0" applyFont="1" applyFill="1" applyBorder="1" applyAlignment="1">
      <alignment horizontal="center" vertical="center" wrapText="1"/>
    </xf>
    <xf numFmtId="0" fontId="5" fillId="0" borderId="12" xfId="0" applyFont="1" applyFill="1" applyBorder="1" applyAlignment="1">
      <alignment horizontal="center" vertical="center" wrapText="1"/>
    </xf>
    <xf numFmtId="0" fontId="5" fillId="24" borderId="15" xfId="0" applyFont="1" applyFill="1" applyBorder="1" applyAlignment="1">
      <alignment horizontal="center" vertical="center"/>
    </xf>
    <xf numFmtId="0" fontId="5" fillId="24" borderId="11" xfId="0" applyFont="1" applyFill="1" applyBorder="1" applyAlignment="1">
      <alignment horizontal="center" vertical="center"/>
    </xf>
    <xf numFmtId="0" fontId="5" fillId="24" borderId="12" xfId="0" applyFont="1" applyFill="1" applyBorder="1" applyAlignment="1">
      <alignment horizontal="center" vertical="center"/>
    </xf>
    <xf numFmtId="0" fontId="24" fillId="0" borderId="100" xfId="0" applyFont="1" applyBorder="1" applyAlignment="1">
      <alignment horizontal="center" vertical="center"/>
    </xf>
    <xf numFmtId="0" fontId="24" fillId="0" borderId="94" xfId="0" applyFont="1" applyBorder="1" applyAlignment="1">
      <alignment horizontal="center" vertical="center"/>
    </xf>
    <xf numFmtId="10" fontId="5" fillId="0" borderId="10" xfId="205" applyNumberFormat="1" applyFont="1" applyFill="1" applyBorder="1" applyAlignment="1">
      <alignment horizontal="center" vertical="center"/>
    </xf>
    <xf numFmtId="10" fontId="5" fillId="0" borderId="12" xfId="205" applyNumberFormat="1" applyFont="1" applyFill="1" applyBorder="1" applyAlignment="1">
      <alignment horizontal="center" vertical="center"/>
    </xf>
    <xf numFmtId="3" fontId="5" fillId="0" borderId="95" xfId="0" applyNumberFormat="1" applyFont="1" applyFill="1" applyBorder="1" applyAlignment="1">
      <alignment horizontal="center" vertical="center"/>
    </xf>
    <xf numFmtId="3" fontId="5" fillId="0" borderId="91" xfId="0" applyNumberFormat="1" applyFont="1" applyFill="1" applyBorder="1" applyAlignment="1">
      <alignment horizontal="center" vertical="center"/>
    </xf>
    <xf numFmtId="165" fontId="57" fillId="0" borderId="10" xfId="0" applyNumberFormat="1" applyFont="1" applyFill="1" applyBorder="1" applyAlignment="1">
      <alignment horizontal="center" vertical="center"/>
    </xf>
    <xf numFmtId="165" fontId="57" fillId="0" borderId="12" xfId="0" applyNumberFormat="1" applyFont="1" applyFill="1" applyBorder="1" applyAlignment="1">
      <alignment horizontal="center" vertical="center"/>
    </xf>
    <xf numFmtId="3" fontId="5" fillId="24" borderId="15" xfId="0" applyNumberFormat="1" applyFont="1" applyFill="1" applyBorder="1" applyAlignment="1">
      <alignment horizontal="center" vertical="center"/>
    </xf>
    <xf numFmtId="3" fontId="5" fillId="24" borderId="12" xfId="0" applyNumberFormat="1" applyFont="1" applyFill="1" applyBorder="1" applyAlignment="1">
      <alignment horizontal="center" vertical="center"/>
    </xf>
    <xf numFmtId="10" fontId="5" fillId="0" borderId="11" xfId="205" applyNumberFormat="1" applyFont="1" applyFill="1" applyBorder="1" applyAlignment="1">
      <alignment horizontal="center" vertical="center"/>
    </xf>
    <xf numFmtId="165" fontId="5" fillId="24" borderId="15" xfId="0" applyNumberFormat="1" applyFont="1" applyFill="1" applyBorder="1" applyAlignment="1">
      <alignment horizontal="center" vertical="center"/>
    </xf>
    <xf numFmtId="165" fontId="5" fillId="24" borderId="12" xfId="0" applyNumberFormat="1" applyFont="1" applyFill="1" applyBorder="1" applyAlignment="1">
      <alignment horizontal="center" vertical="center"/>
    </xf>
    <xf numFmtId="3" fontId="5" fillId="0" borderId="10" xfId="0" applyNumberFormat="1" applyFont="1" applyFill="1" applyBorder="1" applyAlignment="1">
      <alignment horizontal="center" vertical="center"/>
    </xf>
    <xf numFmtId="3" fontId="5" fillId="0" borderId="11" xfId="0" applyNumberFormat="1" applyFont="1" applyFill="1" applyBorder="1" applyAlignment="1">
      <alignment horizontal="center" vertical="center"/>
    </xf>
    <xf numFmtId="0" fontId="5" fillId="0" borderId="12" xfId="0" applyFont="1" applyFill="1" applyBorder="1" applyAlignment="1">
      <alignment horizontal="center" vertical="center"/>
    </xf>
    <xf numFmtId="10" fontId="5" fillId="24" borderId="15" xfId="205" applyNumberFormat="1" applyFont="1" applyFill="1" applyBorder="1" applyAlignment="1">
      <alignment horizontal="center" vertical="center"/>
    </xf>
    <xf numFmtId="10" fontId="5" fillId="24" borderId="12" xfId="205" applyNumberFormat="1" applyFont="1" applyFill="1" applyBorder="1" applyAlignment="1">
      <alignment horizontal="center" vertical="center"/>
    </xf>
    <xf numFmtId="10" fontId="5" fillId="0" borderId="15" xfId="205" applyNumberFormat="1" applyFont="1" applyFill="1" applyBorder="1" applyAlignment="1">
      <alignment horizontal="center" vertical="center"/>
    </xf>
    <xf numFmtId="3" fontId="5" fillId="0" borderId="15" xfId="0" applyNumberFormat="1" applyFont="1" applyFill="1" applyBorder="1" applyAlignment="1">
      <alignment horizontal="center" vertical="center"/>
    </xf>
    <xf numFmtId="3" fontId="5" fillId="0" borderId="12" xfId="0" applyNumberFormat="1" applyFont="1" applyFill="1" applyBorder="1" applyAlignment="1">
      <alignment horizontal="center" vertical="center"/>
    </xf>
    <xf numFmtId="165" fontId="5" fillId="0" borderId="10" xfId="0" applyNumberFormat="1" applyFont="1" applyFill="1" applyBorder="1" applyAlignment="1">
      <alignment horizontal="center" vertical="center"/>
    </xf>
    <xf numFmtId="165" fontId="5" fillId="0" borderId="11" xfId="0" applyNumberFormat="1" applyFont="1" applyFill="1" applyBorder="1" applyAlignment="1">
      <alignment horizontal="center" vertical="center"/>
    </xf>
    <xf numFmtId="165" fontId="5" fillId="0" borderId="12" xfId="0" applyNumberFormat="1" applyFont="1" applyFill="1" applyBorder="1" applyAlignment="1">
      <alignment horizontal="center" vertical="center"/>
    </xf>
    <xf numFmtId="4" fontId="5" fillId="24" borderId="15" xfId="0" applyNumberFormat="1" applyFont="1" applyFill="1" applyBorder="1" applyAlignment="1">
      <alignment horizontal="center" vertical="center"/>
    </xf>
    <xf numFmtId="4" fontId="5" fillId="24" borderId="12" xfId="0" applyNumberFormat="1" applyFont="1" applyFill="1" applyBorder="1" applyAlignment="1">
      <alignment horizontal="center" vertical="center"/>
    </xf>
    <xf numFmtId="0" fontId="5" fillId="24" borderId="53" xfId="0" applyFont="1" applyFill="1" applyBorder="1" applyAlignment="1">
      <alignment horizontal="center" vertical="center"/>
    </xf>
    <xf numFmtId="10" fontId="57" fillId="0" borderId="10" xfId="205" applyNumberFormat="1" applyFont="1" applyFill="1" applyBorder="1" applyAlignment="1">
      <alignment horizontal="center" vertical="center"/>
    </xf>
    <xf numFmtId="10" fontId="57" fillId="0" borderId="12" xfId="205" applyNumberFormat="1" applyFont="1" applyFill="1" applyBorder="1" applyAlignment="1">
      <alignment horizontal="center" vertical="center"/>
    </xf>
    <xf numFmtId="4" fontId="5" fillId="0" borderId="52" xfId="0" applyNumberFormat="1" applyFont="1" applyFill="1" applyBorder="1" applyAlignment="1">
      <alignment horizontal="center" vertical="center"/>
    </xf>
    <xf numFmtId="4" fontId="5" fillId="0" borderId="91" xfId="0" applyNumberFormat="1" applyFont="1" applyFill="1" applyBorder="1" applyAlignment="1">
      <alignment horizontal="center" vertical="center"/>
    </xf>
    <xf numFmtId="4" fontId="170" fillId="0" borderId="85" xfId="0" applyNumberFormat="1" applyFont="1" applyFill="1" applyBorder="1" applyAlignment="1">
      <alignment horizontal="center" vertical="center"/>
    </xf>
    <xf numFmtId="4" fontId="170" fillId="0" borderId="54" xfId="0" applyNumberFormat="1" applyFont="1" applyFill="1" applyBorder="1" applyAlignment="1">
      <alignment horizontal="center" vertical="center"/>
    </xf>
    <xf numFmtId="3" fontId="5" fillId="0" borderId="14" xfId="0" applyNumberFormat="1" applyFont="1" applyFill="1" applyBorder="1" applyAlignment="1">
      <alignment horizontal="center" vertical="center"/>
    </xf>
    <xf numFmtId="10" fontId="5" fillId="0" borderId="10" xfId="0" applyNumberFormat="1" applyFont="1" applyFill="1" applyBorder="1" applyAlignment="1">
      <alignment horizontal="center" vertical="center"/>
    </xf>
    <xf numFmtId="10" fontId="5" fillId="0" borderId="11" xfId="0" applyNumberFormat="1" applyFont="1" applyFill="1" applyBorder="1" applyAlignment="1">
      <alignment horizontal="center" vertical="center"/>
    </xf>
    <xf numFmtId="10" fontId="5" fillId="0" borderId="12" xfId="0" applyNumberFormat="1" applyFont="1" applyFill="1" applyBorder="1" applyAlignment="1">
      <alignment horizontal="center" vertical="center"/>
    </xf>
    <xf numFmtId="165" fontId="5" fillId="0" borderId="14" xfId="0" applyNumberFormat="1" applyFont="1" applyFill="1" applyBorder="1" applyAlignment="1">
      <alignment horizontal="center" vertical="center"/>
    </xf>
    <xf numFmtId="10" fontId="5" fillId="0" borderId="14" xfId="205" applyNumberFormat="1" applyFont="1" applyFill="1" applyBorder="1" applyAlignment="1">
      <alignment horizontal="center" vertical="center"/>
    </xf>
    <xf numFmtId="165" fontId="5" fillId="0" borderId="15" xfId="0" applyNumberFormat="1" applyFont="1" applyFill="1" applyBorder="1" applyAlignment="1">
      <alignment horizontal="center" vertical="center"/>
    </xf>
    <xf numFmtId="10" fontId="5" fillId="24" borderId="10" xfId="205" applyNumberFormat="1" applyFont="1" applyFill="1" applyBorder="1" applyAlignment="1">
      <alignment horizontal="center" vertical="center"/>
    </xf>
    <xf numFmtId="10" fontId="5" fillId="24" borderId="14" xfId="205" applyNumberFormat="1" applyFont="1" applyFill="1" applyBorder="1" applyAlignment="1">
      <alignment horizontal="center" vertical="center"/>
    </xf>
    <xf numFmtId="3" fontId="5" fillId="24" borderId="10" xfId="0" applyNumberFormat="1" applyFont="1" applyFill="1" applyBorder="1" applyAlignment="1">
      <alignment horizontal="center" vertical="center"/>
    </xf>
    <xf numFmtId="4" fontId="5" fillId="24" borderId="10" xfId="0" applyNumberFormat="1" applyFont="1" applyFill="1" applyBorder="1" applyAlignment="1">
      <alignment horizontal="center" vertical="center"/>
    </xf>
    <xf numFmtId="3" fontId="5" fillId="24" borderId="14" xfId="0" applyNumberFormat="1" applyFont="1" applyFill="1" applyBorder="1" applyAlignment="1">
      <alignment horizontal="center" vertical="center"/>
    </xf>
    <xf numFmtId="4" fontId="5" fillId="24" borderId="14" xfId="0" applyNumberFormat="1" applyFont="1" applyFill="1" applyBorder="1" applyAlignment="1">
      <alignment horizontal="center" vertical="center"/>
    </xf>
    <xf numFmtId="165" fontId="5" fillId="24" borderId="14" xfId="0" applyNumberFormat="1" applyFont="1" applyFill="1" applyBorder="1" applyAlignment="1">
      <alignment horizontal="center" vertical="center"/>
    </xf>
    <xf numFmtId="0" fontId="5" fillId="24" borderId="10" xfId="0" applyFont="1" applyFill="1" applyBorder="1" applyAlignment="1">
      <alignment horizontal="center" vertical="center" wrapText="1"/>
    </xf>
    <xf numFmtId="0" fontId="5" fillId="24" borderId="12" xfId="0" applyFont="1" applyFill="1" applyBorder="1" applyAlignment="1">
      <alignment horizontal="center" vertical="center" wrapText="1"/>
    </xf>
    <xf numFmtId="0" fontId="5" fillId="24" borderId="11" xfId="0" applyFont="1" applyFill="1" applyBorder="1" applyAlignment="1">
      <alignment horizontal="center" vertical="center" wrapText="1"/>
    </xf>
    <xf numFmtId="3" fontId="5" fillId="24" borderId="11" xfId="0" applyNumberFormat="1" applyFont="1" applyFill="1" applyBorder="1" applyAlignment="1">
      <alignment horizontal="center" vertical="center"/>
    </xf>
    <xf numFmtId="4" fontId="5" fillId="24" borderId="11" xfId="0" applyNumberFormat="1" applyFont="1" applyFill="1" applyBorder="1" applyAlignment="1">
      <alignment horizontal="center" vertical="center"/>
    </xf>
    <xf numFmtId="4" fontId="5" fillId="0" borderId="14" xfId="0" applyNumberFormat="1" applyFont="1" applyFill="1" applyBorder="1" applyAlignment="1">
      <alignment horizontal="center" vertical="center"/>
    </xf>
    <xf numFmtId="0" fontId="5" fillId="48" borderId="15" xfId="0" applyFont="1" applyFill="1" applyBorder="1" applyAlignment="1">
      <alignment horizontal="center" vertical="center"/>
    </xf>
    <xf numFmtId="0" fontId="5" fillId="48" borderId="12" xfId="0" applyFont="1" applyFill="1" applyBorder="1" applyAlignment="1">
      <alignment horizontal="center" vertical="center"/>
    </xf>
    <xf numFmtId="0" fontId="5" fillId="24" borderId="280" xfId="0" applyFont="1" applyFill="1" applyBorder="1" applyAlignment="1">
      <alignment horizontal="center" vertical="center"/>
    </xf>
    <xf numFmtId="0" fontId="5" fillId="0" borderId="10" xfId="0" applyFont="1" applyFill="1" applyBorder="1" applyAlignment="1">
      <alignment horizontal="center" vertical="center"/>
    </xf>
    <xf numFmtId="0" fontId="5" fillId="0" borderId="15" xfId="0" applyFont="1" applyFill="1" applyBorder="1" applyAlignment="1">
      <alignment horizontal="center" vertical="center"/>
    </xf>
    <xf numFmtId="0" fontId="5" fillId="0" borderId="14" xfId="0" applyFont="1" applyFill="1" applyBorder="1" applyAlignment="1">
      <alignment horizontal="center" vertical="center"/>
    </xf>
    <xf numFmtId="0" fontId="5" fillId="0" borderId="10" xfId="0" applyFont="1" applyFill="1" applyBorder="1" applyAlignment="1">
      <alignment horizontal="center" vertical="center" wrapText="1"/>
    </xf>
    <xf numFmtId="0" fontId="5" fillId="0" borderId="14" xfId="0" applyFont="1" applyFill="1" applyBorder="1" applyAlignment="1">
      <alignment horizontal="center" vertical="center" wrapText="1"/>
    </xf>
    <xf numFmtId="0" fontId="5" fillId="0" borderId="11" xfId="0" applyFont="1" applyFill="1" applyBorder="1" applyAlignment="1">
      <alignment horizontal="center" vertical="center"/>
    </xf>
    <xf numFmtId="0" fontId="5" fillId="24" borderId="15" xfId="0" applyFont="1" applyFill="1" applyBorder="1" applyAlignment="1">
      <alignment horizontal="center" vertical="center" wrapText="1"/>
    </xf>
    <xf numFmtId="0" fontId="5" fillId="24" borderId="10" xfId="0" applyFont="1" applyFill="1" applyBorder="1" applyAlignment="1">
      <alignment horizontal="center" vertical="center"/>
    </xf>
    <xf numFmtId="165" fontId="5" fillId="24" borderId="10" xfId="0" applyNumberFormat="1" applyFont="1" applyFill="1" applyBorder="1" applyAlignment="1">
      <alignment horizontal="center" vertical="center"/>
    </xf>
    <xf numFmtId="169" fontId="5" fillId="24" borderId="10" xfId="0" applyNumberFormat="1" applyFont="1" applyFill="1" applyBorder="1" applyAlignment="1">
      <alignment horizontal="center" vertical="center"/>
    </xf>
    <xf numFmtId="169" fontId="5" fillId="24" borderId="12" xfId="0" applyNumberFormat="1" applyFont="1" applyFill="1" applyBorder="1" applyAlignment="1">
      <alignment horizontal="center" vertical="center"/>
    </xf>
    <xf numFmtId="169" fontId="5" fillId="24" borderId="11" xfId="0" applyNumberFormat="1" applyFont="1" applyFill="1" applyBorder="1" applyAlignment="1">
      <alignment horizontal="center" vertical="center"/>
    </xf>
    <xf numFmtId="169" fontId="5" fillId="0" borderId="10" xfId="0" applyNumberFormat="1" applyFont="1" applyFill="1" applyBorder="1" applyAlignment="1">
      <alignment horizontal="center" vertical="center"/>
    </xf>
    <xf numFmtId="169" fontId="5" fillId="0" borderId="12" xfId="0" applyNumberFormat="1" applyFont="1" applyFill="1" applyBorder="1" applyAlignment="1">
      <alignment horizontal="center" vertical="center"/>
    </xf>
    <xf numFmtId="0" fontId="5" fillId="24" borderId="14" xfId="0" applyFont="1" applyFill="1" applyBorder="1" applyAlignment="1">
      <alignment horizontal="center" vertical="center"/>
    </xf>
    <xf numFmtId="0" fontId="5" fillId="24" borderId="281" xfId="0" applyFont="1" applyFill="1" applyBorder="1" applyAlignment="1">
      <alignment horizontal="center" vertical="center"/>
    </xf>
    <xf numFmtId="0" fontId="5" fillId="24" borderId="282" xfId="0" applyFont="1" applyFill="1" applyBorder="1" applyAlignment="1">
      <alignment horizontal="center" vertical="center"/>
    </xf>
    <xf numFmtId="0" fontId="5" fillId="24" borderId="283" xfId="0" applyFont="1" applyFill="1" applyBorder="1" applyAlignment="1">
      <alignment horizontal="center" vertical="center"/>
    </xf>
    <xf numFmtId="10" fontId="5" fillId="24" borderId="11" xfId="205" applyNumberFormat="1" applyFont="1" applyFill="1" applyBorder="1" applyAlignment="1">
      <alignment horizontal="center" vertical="center"/>
    </xf>
    <xf numFmtId="169" fontId="5" fillId="0" borderId="11" xfId="0" applyNumberFormat="1" applyFont="1" applyFill="1" applyBorder="1" applyAlignment="1">
      <alignment horizontal="center" vertical="center"/>
    </xf>
    <xf numFmtId="165" fontId="5" fillId="24" borderId="11" xfId="0" applyNumberFormat="1" applyFont="1" applyFill="1" applyBorder="1" applyAlignment="1">
      <alignment horizontal="center" vertical="center"/>
    </xf>
    <xf numFmtId="4" fontId="5" fillId="24" borderId="52" xfId="0" applyNumberFormat="1" applyFont="1" applyFill="1" applyBorder="1" applyAlignment="1">
      <alignment horizontal="center" vertical="center"/>
    </xf>
    <xf numFmtId="4" fontId="5" fillId="24" borderId="91" xfId="0" applyNumberFormat="1" applyFont="1" applyFill="1" applyBorder="1" applyAlignment="1">
      <alignment horizontal="center" vertical="center"/>
    </xf>
    <xf numFmtId="165" fontId="5" fillId="46" borderId="10" xfId="0" applyNumberFormat="1" applyFont="1" applyFill="1" applyBorder="1" applyAlignment="1">
      <alignment horizontal="center" vertical="center"/>
    </xf>
    <xf numFmtId="165" fontId="5" fillId="46" borderId="12" xfId="0" applyNumberFormat="1" applyFont="1" applyFill="1" applyBorder="1" applyAlignment="1">
      <alignment horizontal="center" vertical="center"/>
    </xf>
    <xf numFmtId="165" fontId="5" fillId="24" borderId="85" xfId="0" applyNumberFormat="1" applyFont="1" applyFill="1" applyBorder="1" applyAlignment="1">
      <alignment horizontal="center" vertical="center"/>
    </xf>
    <xf numFmtId="165" fontId="5" fillId="24" borderId="54" xfId="0" applyNumberFormat="1" applyFont="1" applyFill="1" applyBorder="1" applyAlignment="1">
      <alignment horizontal="center" vertical="center"/>
    </xf>
    <xf numFmtId="10" fontId="5" fillId="0" borderId="52" xfId="205" applyNumberFormat="1" applyFont="1" applyFill="1" applyBorder="1" applyAlignment="1">
      <alignment horizontal="center" vertical="center"/>
    </xf>
    <xf numFmtId="10" fontId="5" fillId="0" borderId="92" xfId="205" applyNumberFormat="1" applyFont="1" applyFill="1" applyBorder="1" applyAlignment="1">
      <alignment horizontal="center" vertical="center"/>
    </xf>
    <xf numFmtId="10" fontId="5" fillId="0" borderId="91" xfId="205" applyNumberFormat="1" applyFont="1" applyFill="1" applyBorder="1" applyAlignment="1">
      <alignment horizontal="center" vertical="center"/>
    </xf>
    <xf numFmtId="0" fontId="5" fillId="24" borderId="14" xfId="0" applyFont="1" applyFill="1" applyBorder="1" applyAlignment="1">
      <alignment horizontal="center" vertical="center" wrapText="1"/>
    </xf>
    <xf numFmtId="165" fontId="48" fillId="24" borderId="10" xfId="0" applyNumberFormat="1" applyFont="1" applyFill="1" applyBorder="1" applyAlignment="1">
      <alignment horizontal="center" vertical="center"/>
    </xf>
    <xf numFmtId="165" fontId="48" fillId="24" borderId="11" xfId="0" applyNumberFormat="1" applyFont="1" applyFill="1" applyBorder="1" applyAlignment="1">
      <alignment horizontal="center" vertical="center"/>
    </xf>
    <xf numFmtId="165" fontId="48" fillId="24" borderId="14" xfId="0" applyNumberFormat="1" applyFont="1" applyFill="1" applyBorder="1" applyAlignment="1">
      <alignment horizontal="center" vertical="center"/>
    </xf>
    <xf numFmtId="10" fontId="105" fillId="24" borderId="10" xfId="205" applyNumberFormat="1" applyFont="1" applyFill="1" applyBorder="1" applyAlignment="1">
      <alignment horizontal="center" vertical="center"/>
    </xf>
    <xf numFmtId="10" fontId="105" fillId="24" borderId="11" xfId="205" applyNumberFormat="1" applyFont="1" applyFill="1" applyBorder="1" applyAlignment="1">
      <alignment horizontal="center" vertical="center"/>
    </xf>
    <xf numFmtId="10" fontId="105" fillId="24" borderId="14" xfId="205" applyNumberFormat="1" applyFont="1" applyFill="1" applyBorder="1" applyAlignment="1">
      <alignment horizontal="center" vertical="center"/>
    </xf>
    <xf numFmtId="165" fontId="48" fillId="24" borderId="12" xfId="0" applyNumberFormat="1" applyFont="1" applyFill="1" applyBorder="1" applyAlignment="1">
      <alignment horizontal="center" vertical="center"/>
    </xf>
    <xf numFmtId="10" fontId="105" fillId="24" borderId="12" xfId="205" applyNumberFormat="1" applyFont="1" applyFill="1" applyBorder="1" applyAlignment="1">
      <alignment horizontal="center" vertical="center"/>
    </xf>
    <xf numFmtId="43" fontId="4" fillId="25" borderId="28" xfId="157" applyFont="1" applyFill="1" applyBorder="1" applyAlignment="1">
      <alignment horizontal="center"/>
    </xf>
    <xf numFmtId="43" fontId="4" fillId="25" borderId="60" xfId="157" applyFont="1" applyFill="1" applyBorder="1" applyAlignment="1">
      <alignment horizontal="center"/>
    </xf>
    <xf numFmtId="0" fontId="4" fillId="0" borderId="0" xfId="0" applyFont="1" applyFill="1" applyAlignment="1">
      <alignment horizontal="center"/>
    </xf>
    <xf numFmtId="3" fontId="4" fillId="25" borderId="13" xfId="0" applyNumberFormat="1" applyFont="1" applyFill="1" applyBorder="1" applyAlignment="1">
      <alignment horizontal="center" vertical="center"/>
    </xf>
    <xf numFmtId="3" fontId="4" fillId="25" borderId="13" xfId="0" applyNumberFormat="1" applyFont="1" applyFill="1" applyBorder="1" applyAlignment="1">
      <alignment horizontal="center" vertical="center" wrapText="1"/>
    </xf>
    <xf numFmtId="43" fontId="4" fillId="25" borderId="23" xfId="157" applyFont="1" applyFill="1" applyBorder="1" applyAlignment="1">
      <alignment horizontal="center"/>
    </xf>
    <xf numFmtId="43" fontId="4" fillId="25" borderId="61" xfId="157" applyFont="1" applyFill="1" applyBorder="1" applyAlignment="1">
      <alignment horizontal="center"/>
    </xf>
    <xf numFmtId="3" fontId="4" fillId="25" borderId="18" xfId="0" applyNumberFormat="1" applyFont="1" applyFill="1" applyBorder="1" applyAlignment="1">
      <alignment horizontal="center" vertical="center"/>
    </xf>
    <xf numFmtId="166" fontId="106" fillId="0" borderId="284" xfId="0" applyNumberFormat="1" applyFont="1" applyBorder="1" applyAlignment="1">
      <alignment horizontal="center" vertical="center"/>
    </xf>
    <xf numFmtId="166" fontId="106" fillId="0" borderId="151" xfId="0" applyNumberFormat="1" applyFont="1" applyBorder="1" applyAlignment="1">
      <alignment horizontal="center" vertical="center"/>
    </xf>
    <xf numFmtId="4" fontId="5" fillId="46" borderId="10" xfId="0" applyNumberFormat="1" applyFont="1" applyFill="1" applyBorder="1" applyAlignment="1">
      <alignment horizontal="center" vertical="center"/>
    </xf>
    <xf numFmtId="4" fontId="5" fillId="46" borderId="12" xfId="0" applyNumberFormat="1" applyFont="1" applyFill="1" applyBorder="1" applyAlignment="1">
      <alignment horizontal="center" vertical="center"/>
    </xf>
    <xf numFmtId="0" fontId="24" fillId="24" borderId="16" xfId="0" applyFont="1" applyFill="1" applyBorder="1" applyAlignment="1">
      <alignment horizontal="center" vertical="center" wrapText="1"/>
    </xf>
    <xf numFmtId="0" fontId="24" fillId="24" borderId="22" xfId="0" applyFont="1" applyFill="1" applyBorder="1" applyAlignment="1">
      <alignment horizontal="center" vertical="center" wrapText="1"/>
    </xf>
    <xf numFmtId="3" fontId="32" fillId="0" borderId="28" xfId="0" applyNumberFormat="1" applyFont="1" applyBorder="1" applyAlignment="1">
      <alignment horizontal="center" vertical="center"/>
    </xf>
    <xf numFmtId="3" fontId="32" fillId="0" borderId="23" xfId="0" applyNumberFormat="1" applyFont="1" applyBorder="1" applyAlignment="1">
      <alignment horizontal="center" vertical="center"/>
    </xf>
    <xf numFmtId="0" fontId="3" fillId="25" borderId="17" xfId="0" applyFont="1" applyFill="1" applyBorder="1" applyAlignment="1">
      <alignment horizontal="center"/>
    </xf>
    <xf numFmtId="0" fontId="3" fillId="25" borderId="20" xfId="0" applyFont="1" applyFill="1" applyBorder="1" applyAlignment="1">
      <alignment horizontal="center"/>
    </xf>
    <xf numFmtId="0" fontId="4" fillId="25" borderId="17" xfId="0" applyFont="1" applyFill="1" applyBorder="1" applyAlignment="1">
      <alignment horizontal="center"/>
    </xf>
    <xf numFmtId="0" fontId="4" fillId="25" borderId="19" xfId="0" applyFont="1" applyFill="1" applyBorder="1" applyAlignment="1">
      <alignment horizontal="center"/>
    </xf>
    <xf numFmtId="0" fontId="4" fillId="25" borderId="20" xfId="0" applyFont="1" applyFill="1" applyBorder="1" applyAlignment="1">
      <alignment horizontal="center"/>
    </xf>
    <xf numFmtId="0" fontId="3" fillId="25" borderId="13" xfId="0" applyFont="1" applyFill="1" applyBorder="1" applyAlignment="1">
      <alignment horizontal="center"/>
    </xf>
    <xf numFmtId="14" fontId="48" fillId="25" borderId="13" xfId="0" applyNumberFormat="1" applyFont="1" applyFill="1" applyBorder="1" applyAlignment="1">
      <alignment horizontal="center"/>
    </xf>
    <xf numFmtId="0" fontId="48" fillId="25" borderId="13" xfId="0" applyFont="1" applyFill="1" applyBorder="1" applyAlignment="1">
      <alignment horizontal="center"/>
    </xf>
    <xf numFmtId="0" fontId="48" fillId="25" borderId="17" xfId="0" applyFont="1" applyFill="1" applyBorder="1" applyAlignment="1">
      <alignment horizontal="center"/>
    </xf>
    <xf numFmtId="0" fontId="48" fillId="25" borderId="20" xfId="0" applyFont="1" applyFill="1" applyBorder="1" applyAlignment="1">
      <alignment horizontal="center"/>
    </xf>
    <xf numFmtId="0" fontId="94" fillId="25" borderId="17" xfId="0" applyFont="1" applyFill="1" applyBorder="1" applyAlignment="1">
      <alignment horizontal="center"/>
    </xf>
    <xf numFmtId="0" fontId="94" fillId="25" borderId="20" xfId="0" applyFont="1" applyFill="1" applyBorder="1" applyAlignment="1">
      <alignment horizontal="center"/>
    </xf>
    <xf numFmtId="0" fontId="11" fillId="25" borderId="17" xfId="0" applyFont="1" applyFill="1" applyBorder="1" applyAlignment="1">
      <alignment horizontal="center"/>
    </xf>
    <xf numFmtId="0" fontId="11" fillId="25" borderId="19" xfId="0" applyFont="1" applyFill="1" applyBorder="1" applyAlignment="1">
      <alignment horizontal="center"/>
    </xf>
    <xf numFmtId="0" fontId="11" fillId="25" borderId="20" xfId="0" applyFont="1" applyFill="1" applyBorder="1" applyAlignment="1">
      <alignment horizontal="center"/>
    </xf>
    <xf numFmtId="0" fontId="94" fillId="25" borderId="13" xfId="0" applyFont="1" applyFill="1" applyBorder="1" applyAlignment="1">
      <alignment horizontal="center"/>
    </xf>
    <xf numFmtId="14" fontId="60" fillId="25" borderId="13" xfId="0" applyNumberFormat="1" applyFont="1" applyFill="1" applyBorder="1" applyAlignment="1">
      <alignment horizontal="center"/>
    </xf>
    <xf numFmtId="0" fontId="60" fillId="25" borderId="13" xfId="0" applyFont="1" applyFill="1" applyBorder="1" applyAlignment="1">
      <alignment horizontal="center"/>
    </xf>
    <xf numFmtId="0" fontId="4" fillId="42" borderId="16" xfId="0" applyFont="1" applyFill="1" applyBorder="1" applyAlignment="1">
      <alignment horizontal="center"/>
    </xf>
    <xf numFmtId="0" fontId="4" fillId="42" borderId="28" xfId="0" applyFont="1" applyFill="1" applyBorder="1" applyAlignment="1">
      <alignment horizontal="center"/>
    </xf>
    <xf numFmtId="0" fontId="4" fillId="25" borderId="28" xfId="0" applyFont="1" applyFill="1" applyBorder="1" applyAlignment="1">
      <alignment horizontal="center"/>
    </xf>
    <xf numFmtId="0" fontId="4" fillId="43" borderId="17" xfId="0" applyFont="1" applyFill="1" applyBorder="1" applyAlignment="1">
      <alignment horizontal="center"/>
    </xf>
    <xf numFmtId="0" fontId="4" fillId="43" borderId="19" xfId="0" applyFont="1" applyFill="1" applyBorder="1" applyAlignment="1">
      <alignment horizontal="center"/>
    </xf>
    <xf numFmtId="0" fontId="4" fillId="43" borderId="20" xfId="0" applyFont="1" applyFill="1" applyBorder="1" applyAlignment="1">
      <alignment horizontal="center"/>
    </xf>
    <xf numFmtId="0" fontId="4" fillId="43" borderId="16" xfId="0" applyFont="1" applyFill="1" applyBorder="1" applyAlignment="1">
      <alignment horizontal="center"/>
    </xf>
    <xf numFmtId="0" fontId="4" fillId="43" borderId="28" xfId="0" applyFont="1" applyFill="1" applyBorder="1" applyAlignment="1">
      <alignment horizontal="center"/>
    </xf>
    <xf numFmtId="165" fontId="109" fillId="24" borderId="13" xfId="0" applyNumberFormat="1" applyFont="1" applyFill="1" applyBorder="1" applyAlignment="1">
      <alignment horizontal="center"/>
    </xf>
    <xf numFmtId="0" fontId="0" fillId="0" borderId="19" xfId="0" applyBorder="1" applyAlignment="1"/>
    <xf numFmtId="0" fontId="0" fillId="0" borderId="20" xfId="0" applyBorder="1" applyAlignment="1"/>
    <xf numFmtId="0" fontId="4" fillId="43" borderId="22" xfId="0" applyFont="1" applyFill="1" applyBorder="1" applyAlignment="1">
      <alignment horizontal="center"/>
    </xf>
    <xf numFmtId="0" fontId="4" fillId="43" borderId="23" xfId="0" applyFont="1" applyFill="1" applyBorder="1" applyAlignment="1">
      <alignment horizontal="center"/>
    </xf>
    <xf numFmtId="0" fontId="4" fillId="43" borderId="61" xfId="0" applyFont="1" applyFill="1" applyBorder="1" applyAlignment="1">
      <alignment horizontal="center"/>
    </xf>
    <xf numFmtId="0" fontId="109" fillId="25" borderId="17" xfId="0" applyFont="1" applyFill="1" applyBorder="1" applyAlignment="1">
      <alignment horizontal="center"/>
    </xf>
    <xf numFmtId="0" fontId="109" fillId="25" borderId="19" xfId="0" applyFont="1" applyFill="1" applyBorder="1" applyAlignment="1">
      <alignment horizontal="center"/>
    </xf>
    <xf numFmtId="0" fontId="109" fillId="25" borderId="20" xfId="0" applyFont="1" applyFill="1" applyBorder="1" applyAlignment="1">
      <alignment horizontal="center"/>
    </xf>
    <xf numFmtId="0" fontId="108" fillId="25" borderId="17" xfId="0" applyFont="1" applyFill="1" applyBorder="1" applyAlignment="1">
      <alignment horizontal="center"/>
    </xf>
    <xf numFmtId="0" fontId="108" fillId="25" borderId="19" xfId="0" applyFont="1" applyFill="1" applyBorder="1" applyAlignment="1">
      <alignment horizontal="center"/>
    </xf>
    <xf numFmtId="0" fontId="108" fillId="25" borderId="20" xfId="0" applyFont="1" applyFill="1" applyBorder="1" applyAlignment="1">
      <alignment horizontal="center"/>
    </xf>
    <xf numFmtId="0" fontId="64" fillId="25" borderId="17" xfId="0" applyFont="1" applyFill="1" applyBorder="1" applyAlignment="1">
      <alignment horizontal="center"/>
    </xf>
    <xf numFmtId="0" fontId="64" fillId="25" borderId="19" xfId="0" applyFont="1" applyFill="1" applyBorder="1" applyAlignment="1">
      <alignment horizontal="center"/>
    </xf>
    <xf numFmtId="0" fontId="64" fillId="25" borderId="20" xfId="0" applyFont="1" applyFill="1" applyBorder="1" applyAlignment="1">
      <alignment horizontal="center"/>
    </xf>
    <xf numFmtId="0" fontId="105" fillId="25" borderId="17" xfId="0" applyFont="1" applyFill="1" applyBorder="1" applyAlignment="1">
      <alignment horizontal="center"/>
    </xf>
    <xf numFmtId="0" fontId="105" fillId="25" borderId="19" xfId="0" applyFont="1" applyFill="1" applyBorder="1" applyAlignment="1">
      <alignment horizontal="center"/>
    </xf>
    <xf numFmtId="0" fontId="105" fillId="25" borderId="20" xfId="0" applyFont="1" applyFill="1" applyBorder="1" applyAlignment="1">
      <alignment horizontal="center"/>
    </xf>
    <xf numFmtId="0" fontId="4" fillId="25" borderId="17" xfId="0" applyFont="1" applyFill="1" applyBorder="1" applyAlignment="1">
      <alignment horizontal="center" wrapText="1"/>
    </xf>
    <xf numFmtId="0" fontId="4" fillId="25" borderId="19" xfId="0" applyFont="1" applyFill="1" applyBorder="1" applyAlignment="1">
      <alignment horizontal="center" wrapText="1"/>
    </xf>
    <xf numFmtId="0" fontId="4" fillId="25" borderId="20" xfId="0" applyFont="1" applyFill="1" applyBorder="1" applyAlignment="1">
      <alignment horizontal="center" wrapText="1"/>
    </xf>
    <xf numFmtId="0" fontId="60" fillId="25" borderId="17" xfId="0" applyFont="1" applyFill="1" applyBorder="1" applyAlignment="1">
      <alignment horizontal="center"/>
    </xf>
    <xf numFmtId="0" fontId="4" fillId="35" borderId="17" xfId="0" applyFont="1" applyFill="1" applyBorder="1" applyAlignment="1">
      <alignment horizontal="center"/>
    </xf>
    <xf numFmtId="0" fontId="4" fillId="35" borderId="19" xfId="0" applyFont="1" applyFill="1" applyBorder="1" applyAlignment="1">
      <alignment horizontal="center"/>
    </xf>
    <xf numFmtId="0" fontId="4" fillId="35" borderId="20" xfId="0" applyFont="1" applyFill="1" applyBorder="1" applyAlignment="1">
      <alignment horizontal="center"/>
    </xf>
    <xf numFmtId="0" fontId="127" fillId="35" borderId="56" xfId="0" applyFont="1" applyFill="1" applyBorder="1" applyAlignment="1">
      <alignment horizontal="center"/>
    </xf>
    <xf numFmtId="0" fontId="127" fillId="35" borderId="30" xfId="0" applyFont="1" applyFill="1" applyBorder="1" applyAlignment="1">
      <alignment horizontal="center"/>
    </xf>
    <xf numFmtId="0" fontId="127" fillId="35" borderId="31" xfId="0" applyFont="1" applyFill="1" applyBorder="1" applyAlignment="1">
      <alignment horizontal="center"/>
    </xf>
    <xf numFmtId="0" fontId="172" fillId="60" borderId="56" xfId="0" applyFont="1" applyFill="1" applyBorder="1" applyAlignment="1">
      <alignment horizontal="center"/>
    </xf>
    <xf numFmtId="0" fontId="172" fillId="60" borderId="30" xfId="0" applyFont="1" applyFill="1" applyBorder="1" applyAlignment="1">
      <alignment horizontal="center"/>
    </xf>
    <xf numFmtId="0" fontId="172" fillId="60" borderId="31" xfId="0" applyFont="1" applyFill="1" applyBorder="1" applyAlignment="1">
      <alignment horizontal="center"/>
    </xf>
    <xf numFmtId="4" fontId="5" fillId="24" borderId="23" xfId="0" applyNumberFormat="1" applyFont="1" applyFill="1" applyBorder="1" applyAlignment="1">
      <alignment horizontal="center"/>
    </xf>
    <xf numFmtId="0" fontId="24" fillId="24" borderId="0" xfId="0" applyFont="1" applyFill="1" applyAlignment="1">
      <alignment horizontal="center"/>
    </xf>
    <xf numFmtId="0" fontId="66" fillId="0" borderId="88" xfId="0" applyFont="1" applyBorder="1" applyAlignment="1">
      <alignment horizontal="center" vertical="center"/>
    </xf>
    <xf numFmtId="0" fontId="66" fillId="0" borderId="29" xfId="0" applyFont="1" applyBorder="1" applyAlignment="1">
      <alignment horizontal="center" vertical="center"/>
    </xf>
    <xf numFmtId="0" fontId="66" fillId="0" borderId="116" xfId="0" applyFont="1" applyBorder="1" applyAlignment="1">
      <alignment horizontal="center" vertical="center"/>
    </xf>
    <xf numFmtId="0" fontId="66" fillId="0" borderId="89" xfId="0" applyFont="1" applyBorder="1" applyAlignment="1">
      <alignment horizontal="center" vertical="center"/>
    </xf>
    <xf numFmtId="0" fontId="66" fillId="0" borderId="84" xfId="0" applyFont="1" applyBorder="1" applyAlignment="1">
      <alignment horizontal="center" vertical="center"/>
    </xf>
    <xf numFmtId="0" fontId="66" fillId="0" borderId="134" xfId="0" applyFont="1" applyBorder="1" applyAlignment="1">
      <alignment horizontal="center" vertical="center"/>
    </xf>
    <xf numFmtId="0" fontId="4" fillId="25" borderId="56" xfId="0" applyFont="1" applyFill="1" applyBorder="1" applyAlignment="1">
      <alignment horizontal="center"/>
    </xf>
    <xf numFmtId="0" fontId="4" fillId="25" borderId="30" xfId="0" applyFont="1" applyFill="1" applyBorder="1" applyAlignment="1">
      <alignment horizontal="center"/>
    </xf>
    <xf numFmtId="0" fontId="4" fillId="25" borderId="31" xfId="0" applyFont="1" applyFill="1" applyBorder="1" applyAlignment="1">
      <alignment horizontal="center"/>
    </xf>
    <xf numFmtId="0" fontId="4" fillId="0" borderId="17" xfId="0" applyNumberFormat="1" applyFont="1" applyFill="1" applyBorder="1" applyAlignment="1">
      <alignment horizontal="center" vertical="center" wrapText="1"/>
    </xf>
    <xf numFmtId="0" fontId="4" fillId="0" borderId="19" xfId="0" applyNumberFormat="1" applyFont="1" applyFill="1" applyBorder="1" applyAlignment="1">
      <alignment horizontal="center" vertical="center" wrapText="1"/>
    </xf>
    <xf numFmtId="0" fontId="4" fillId="0" borderId="20" xfId="0" applyNumberFormat="1" applyFont="1" applyFill="1" applyBorder="1" applyAlignment="1">
      <alignment horizontal="center" vertical="center" wrapText="1"/>
    </xf>
    <xf numFmtId="0" fontId="4" fillId="25" borderId="13" xfId="0" applyFont="1" applyFill="1" applyBorder="1" applyAlignment="1">
      <alignment horizontal="center"/>
    </xf>
    <xf numFmtId="0" fontId="13" fillId="32" borderId="56" xfId="0" applyFont="1" applyFill="1" applyBorder="1" applyAlignment="1">
      <alignment horizontal="center"/>
    </xf>
    <xf numFmtId="0" fontId="13" fillId="32" borderId="30" xfId="0" applyFont="1" applyFill="1" applyBorder="1" applyAlignment="1">
      <alignment horizontal="center"/>
    </xf>
    <xf numFmtId="0" fontId="13" fillId="32" borderId="31" xfId="0" applyFont="1" applyFill="1" applyBorder="1" applyAlignment="1">
      <alignment horizontal="center"/>
    </xf>
    <xf numFmtId="0" fontId="4" fillId="26" borderId="17" xfId="0" applyNumberFormat="1" applyFont="1" applyFill="1" applyBorder="1" applyAlignment="1">
      <alignment horizontal="center" vertical="center" wrapText="1"/>
    </xf>
    <xf numFmtId="0" fontId="5" fillId="26" borderId="19" xfId="0" applyNumberFormat="1" applyFont="1" applyFill="1" applyBorder="1" applyAlignment="1">
      <alignment horizontal="center" vertical="center" wrapText="1"/>
    </xf>
    <xf numFmtId="0" fontId="5" fillId="26" borderId="20" xfId="0" applyNumberFormat="1" applyFont="1" applyFill="1" applyBorder="1" applyAlignment="1">
      <alignment horizontal="center" vertical="center" wrapText="1"/>
    </xf>
    <xf numFmtId="0" fontId="38" fillId="0" borderId="57" xfId="151" applyFont="1" applyBorder="1" applyAlignment="1">
      <alignment horizontal="center" vertical="center" wrapText="1"/>
    </xf>
    <xf numFmtId="49" fontId="102" fillId="0" borderId="59" xfId="151" applyNumberFormat="1" applyFont="1" applyBorder="1" applyAlignment="1">
      <alignment horizontal="left" vertical="center" wrapText="1"/>
    </xf>
    <xf numFmtId="49" fontId="102" fillId="0" borderId="58" xfId="151" applyNumberFormat="1" applyFont="1" applyBorder="1" applyAlignment="1">
      <alignment horizontal="left" vertical="center" wrapText="1"/>
    </xf>
    <xf numFmtId="0" fontId="57" fillId="24" borderId="17" xfId="0" applyNumberFormat="1" applyFont="1" applyFill="1" applyBorder="1" applyAlignment="1">
      <alignment horizontal="center" vertical="center" wrapText="1"/>
    </xf>
    <xf numFmtId="0" fontId="57" fillId="24" borderId="19" xfId="0" applyNumberFormat="1" applyFont="1" applyFill="1" applyBorder="1" applyAlignment="1">
      <alignment horizontal="center" vertical="center" wrapText="1"/>
    </xf>
    <xf numFmtId="0" fontId="57" fillId="24" borderId="20" xfId="0" applyNumberFormat="1" applyFont="1" applyFill="1" applyBorder="1" applyAlignment="1">
      <alignment horizontal="center" vertical="center" wrapText="1"/>
    </xf>
    <xf numFmtId="0" fontId="5" fillId="0" borderId="19" xfId="0" applyNumberFormat="1" applyFont="1" applyFill="1" applyBorder="1" applyAlignment="1">
      <alignment horizontal="center" vertical="center" wrapText="1"/>
    </xf>
    <xf numFmtId="0" fontId="5" fillId="0" borderId="20" xfId="0" applyNumberFormat="1" applyFont="1" applyFill="1" applyBorder="1" applyAlignment="1">
      <alignment horizontal="center" vertical="center" wrapText="1"/>
    </xf>
    <xf numFmtId="0" fontId="5" fillId="46" borderId="53" xfId="0" applyFont="1" applyFill="1" applyBorder="1" applyAlignment="1">
      <alignment horizontal="center" vertical="center" wrapText="1"/>
    </xf>
    <xf numFmtId="0" fontId="5" fillId="46" borderId="277" xfId="0" applyFont="1" applyFill="1" applyBorder="1" applyAlignment="1">
      <alignment horizontal="center" vertical="center" wrapText="1"/>
    </xf>
    <xf numFmtId="0" fontId="5" fillId="46" borderId="278" xfId="0" applyFont="1" applyFill="1" applyBorder="1" applyAlignment="1">
      <alignment horizontal="center" vertical="center" wrapText="1"/>
    </xf>
    <xf numFmtId="0" fontId="5" fillId="46" borderId="279" xfId="0" applyFont="1" applyFill="1" applyBorder="1" applyAlignment="1">
      <alignment horizontal="center" vertical="center" wrapText="1"/>
    </xf>
    <xf numFmtId="0" fontId="4" fillId="24" borderId="53" xfId="0" applyFont="1" applyFill="1" applyBorder="1" applyAlignment="1">
      <alignment horizontal="center" vertical="center" wrapText="1"/>
    </xf>
    <xf numFmtId="0" fontId="4" fillId="24" borderId="277" xfId="0" applyFont="1" applyFill="1" applyBorder="1" applyAlignment="1">
      <alignment horizontal="center" vertical="center" wrapText="1"/>
    </xf>
    <xf numFmtId="0" fontId="4" fillId="24" borderId="278" xfId="0" applyFont="1" applyFill="1" applyBorder="1" applyAlignment="1">
      <alignment horizontal="center" vertical="center" wrapText="1"/>
    </xf>
    <xf numFmtId="0" fontId="4" fillId="24" borderId="279" xfId="0" applyFont="1" applyFill="1" applyBorder="1" applyAlignment="1">
      <alignment horizontal="center" vertical="center" wrapText="1"/>
    </xf>
    <xf numFmtId="4" fontId="4" fillId="24" borderId="10" xfId="0" applyNumberFormat="1" applyFont="1" applyFill="1" applyBorder="1" applyAlignment="1">
      <alignment horizontal="center" vertical="center" wrapText="1"/>
    </xf>
    <xf numFmtId="4" fontId="4" fillId="24" borderId="15" xfId="0" applyNumberFormat="1" applyFont="1" applyFill="1" applyBorder="1" applyAlignment="1">
      <alignment horizontal="center" vertical="center" wrapText="1"/>
    </xf>
    <xf numFmtId="0" fontId="4" fillId="24" borderId="11" xfId="0" applyFont="1" applyFill="1" applyBorder="1" applyAlignment="1">
      <alignment horizontal="center" vertical="center" wrapText="1"/>
    </xf>
    <xf numFmtId="0" fontId="4" fillId="24" borderId="12" xfId="0" applyFont="1" applyFill="1" applyBorder="1" applyAlignment="1">
      <alignment horizontal="center" vertical="center" wrapText="1"/>
    </xf>
    <xf numFmtId="4" fontId="4" fillId="24" borderId="52" xfId="0" applyNumberFormat="1" applyFont="1" applyFill="1" applyBorder="1" applyAlignment="1">
      <alignment horizontal="center" vertical="center" wrapText="1"/>
    </xf>
    <xf numFmtId="4" fontId="4" fillId="24" borderId="95" xfId="0" applyNumberFormat="1" applyFont="1" applyFill="1" applyBorder="1" applyAlignment="1">
      <alignment horizontal="center" vertical="center" wrapText="1"/>
    </xf>
    <xf numFmtId="0" fontId="4" fillId="24" borderId="92" xfId="0" applyFont="1" applyFill="1" applyBorder="1" applyAlignment="1">
      <alignment horizontal="center" vertical="center" wrapText="1"/>
    </xf>
    <xf numFmtId="0" fontId="4" fillId="24" borderId="91" xfId="0" applyFont="1" applyFill="1" applyBorder="1" applyAlignment="1">
      <alignment horizontal="center" vertical="center" wrapText="1"/>
    </xf>
    <xf numFmtId="0" fontId="4" fillId="25" borderId="21" xfId="0" applyFont="1" applyFill="1" applyBorder="1" applyAlignment="1">
      <alignment horizontal="center"/>
    </xf>
    <xf numFmtId="165" fontId="5" fillId="0" borderId="10" xfId="0" applyNumberFormat="1" applyFont="1" applyFill="1" applyBorder="1" applyAlignment="1">
      <alignment horizontal="center" vertical="center" wrapText="1"/>
    </xf>
    <xf numFmtId="165" fontId="5" fillId="0" borderId="15" xfId="0" applyNumberFormat="1" applyFont="1" applyFill="1" applyBorder="1" applyAlignment="1">
      <alignment horizontal="center" vertical="center" wrapText="1"/>
    </xf>
    <xf numFmtId="165" fontId="5" fillId="0" borderId="11" xfId="0" applyNumberFormat="1" applyFont="1" applyFill="1" applyBorder="1" applyAlignment="1">
      <alignment horizontal="center" vertical="center" wrapText="1"/>
    </xf>
    <xf numFmtId="165" fontId="5" fillId="0" borderId="12" xfId="0" applyNumberFormat="1" applyFont="1" applyFill="1" applyBorder="1" applyAlignment="1">
      <alignment horizontal="center" vertical="center" wrapText="1"/>
    </xf>
    <xf numFmtId="1" fontId="5" fillId="0" borderId="10" xfId="0" applyNumberFormat="1" applyFont="1" applyFill="1" applyBorder="1" applyAlignment="1">
      <alignment horizontal="center" vertical="center" wrapText="1"/>
    </xf>
    <xf numFmtId="1" fontId="5" fillId="0" borderId="15" xfId="0" applyNumberFormat="1" applyFont="1" applyFill="1" applyBorder="1" applyAlignment="1">
      <alignment horizontal="center" vertical="center" wrapText="1"/>
    </xf>
    <xf numFmtId="1" fontId="5" fillId="0" borderId="11" xfId="0" applyNumberFormat="1" applyFont="1" applyFill="1" applyBorder="1" applyAlignment="1">
      <alignment horizontal="center" vertical="center" wrapText="1"/>
    </xf>
    <xf numFmtId="1" fontId="5" fillId="0" borderId="12" xfId="0" applyNumberFormat="1" applyFont="1" applyFill="1" applyBorder="1" applyAlignment="1">
      <alignment horizontal="center" vertical="center" wrapText="1"/>
    </xf>
    <xf numFmtId="4" fontId="5" fillId="26" borderId="52" xfId="0" applyNumberFormat="1" applyFont="1" applyFill="1" applyBorder="1" applyAlignment="1">
      <alignment horizontal="center" vertical="center"/>
    </xf>
    <xf numFmtId="4" fontId="5" fillId="26" borderId="92" xfId="0" applyNumberFormat="1" applyFont="1" applyFill="1" applyBorder="1" applyAlignment="1">
      <alignment horizontal="center" vertical="center"/>
    </xf>
    <xf numFmtId="4" fontId="5" fillId="26" borderId="91" xfId="0" applyNumberFormat="1" applyFont="1" applyFill="1" applyBorder="1" applyAlignment="1">
      <alignment horizontal="center" vertical="center"/>
    </xf>
    <xf numFmtId="4" fontId="5" fillId="26" borderId="53" xfId="0" applyNumberFormat="1" applyFont="1" applyFill="1" applyBorder="1" applyAlignment="1">
      <alignment horizontal="center" vertical="center"/>
    </xf>
    <xf numFmtId="4" fontId="5" fillId="26" borderId="278" xfId="0" applyNumberFormat="1" applyFont="1" applyFill="1" applyBorder="1" applyAlignment="1">
      <alignment horizontal="center" vertical="center"/>
    </xf>
    <xf numFmtId="4" fontId="5" fillId="26" borderId="279" xfId="0" applyNumberFormat="1" applyFont="1" applyFill="1" applyBorder="1" applyAlignment="1">
      <alignment horizontal="center" vertical="center"/>
    </xf>
    <xf numFmtId="4" fontId="5" fillId="26" borderId="63" xfId="0" applyNumberFormat="1" applyFont="1" applyFill="1" applyBorder="1" applyAlignment="1">
      <alignment horizontal="center" vertical="center"/>
    </xf>
    <xf numFmtId="4" fontId="5" fillId="26" borderId="117" xfId="0" applyNumberFormat="1" applyFont="1" applyFill="1" applyBorder="1" applyAlignment="1">
      <alignment horizontal="center" vertical="center"/>
    </xf>
    <xf numFmtId="4" fontId="5" fillId="26" borderId="74" xfId="0" applyNumberFormat="1" applyFont="1" applyFill="1" applyBorder="1" applyAlignment="1">
      <alignment horizontal="center" vertical="center"/>
    </xf>
    <xf numFmtId="4" fontId="5" fillId="26" borderId="10" xfId="0" applyNumberFormat="1" applyFont="1" applyFill="1" applyBorder="1" applyAlignment="1">
      <alignment horizontal="center" vertical="center"/>
    </xf>
    <xf numFmtId="4" fontId="5" fillId="26" borderId="11" xfId="0" applyNumberFormat="1" applyFont="1" applyFill="1" applyBorder="1" applyAlignment="1">
      <alignment horizontal="center" vertical="center"/>
    </xf>
    <xf numFmtId="4" fontId="5" fillId="26" borderId="12" xfId="0" applyNumberFormat="1" applyFont="1" applyFill="1" applyBorder="1" applyAlignment="1">
      <alignment horizontal="center" vertical="center"/>
    </xf>
    <xf numFmtId="0" fontId="5" fillId="0" borderId="53" xfId="0" applyFont="1" applyFill="1" applyBorder="1" applyAlignment="1">
      <alignment horizontal="center" vertical="center" wrapText="1"/>
    </xf>
    <xf numFmtId="0" fontId="5" fillId="0" borderId="277" xfId="0" applyFont="1" applyFill="1" applyBorder="1" applyAlignment="1">
      <alignment horizontal="center" vertical="center" wrapText="1"/>
    </xf>
    <xf numFmtId="0" fontId="5" fillId="0" borderId="278" xfId="0" applyFont="1" applyFill="1" applyBorder="1" applyAlignment="1">
      <alignment horizontal="center" vertical="center" wrapText="1"/>
    </xf>
    <xf numFmtId="0" fontId="5" fillId="0" borderId="279" xfId="0" applyFont="1" applyFill="1" applyBorder="1" applyAlignment="1">
      <alignment horizontal="center" vertical="center" wrapText="1"/>
    </xf>
    <xf numFmtId="169" fontId="5" fillId="0" borderId="15" xfId="0" applyNumberFormat="1" applyFont="1" applyFill="1" applyBorder="1" applyAlignment="1">
      <alignment horizontal="center" vertical="center"/>
    </xf>
    <xf numFmtId="0" fontId="5" fillId="26" borderId="53" xfId="0" applyFont="1" applyFill="1" applyBorder="1" applyAlignment="1">
      <alignment horizontal="center" vertical="center"/>
    </xf>
    <xf numFmtId="0" fontId="5" fillId="26" borderId="278" xfId="0" applyFont="1" applyFill="1" applyBorder="1" applyAlignment="1">
      <alignment horizontal="center" vertical="center"/>
    </xf>
    <xf numFmtId="0" fontId="5" fillId="26" borderId="279" xfId="0" applyFont="1" applyFill="1" applyBorder="1" applyAlignment="1">
      <alignment horizontal="center" vertical="center"/>
    </xf>
    <xf numFmtId="0" fontId="4" fillId="25" borderId="13" xfId="0" applyFont="1" applyFill="1" applyBorder="1" applyAlignment="1">
      <alignment horizontal="center" vertical="center" wrapText="1"/>
    </xf>
    <xf numFmtId="0" fontId="4" fillId="25" borderId="18" xfId="0" applyFont="1" applyFill="1" applyBorder="1" applyAlignment="1">
      <alignment horizontal="center" vertical="center"/>
    </xf>
    <xf numFmtId="0" fontId="4" fillId="25" borderId="29" xfId="0" applyFont="1" applyFill="1" applyBorder="1" applyAlignment="1">
      <alignment horizontal="center" vertical="center"/>
    </xf>
    <xf numFmtId="0" fontId="4" fillId="25" borderId="13" xfId="0" applyFont="1" applyFill="1" applyBorder="1" applyAlignment="1">
      <alignment horizontal="center" vertical="center"/>
    </xf>
    <xf numFmtId="169" fontId="5" fillId="26" borderId="24" xfId="0" applyNumberFormat="1" applyFont="1" applyFill="1" applyBorder="1" applyAlignment="1">
      <alignment horizontal="center" vertical="center"/>
    </xf>
    <xf numFmtId="169" fontId="5" fillId="26" borderId="25" xfId="0" applyNumberFormat="1" applyFont="1" applyFill="1" applyBorder="1" applyAlignment="1">
      <alignment horizontal="center" vertical="center"/>
    </xf>
    <xf numFmtId="169" fontId="5" fillId="26" borderId="26" xfId="0" applyNumberFormat="1" applyFont="1" applyFill="1" applyBorder="1" applyAlignment="1">
      <alignment horizontal="center" vertical="center"/>
    </xf>
    <xf numFmtId="169" fontId="5" fillId="26" borderId="10" xfId="0" applyNumberFormat="1" applyFont="1" applyFill="1" applyBorder="1" applyAlignment="1">
      <alignment horizontal="center" vertical="center"/>
    </xf>
    <xf numFmtId="169" fontId="5" fillId="26" borderId="11" xfId="0" applyNumberFormat="1" applyFont="1" applyFill="1" applyBorder="1" applyAlignment="1">
      <alignment horizontal="center" vertical="center"/>
    </xf>
    <xf numFmtId="169" fontId="5" fillId="26" borderId="12" xfId="0" applyNumberFormat="1" applyFont="1" applyFill="1" applyBorder="1" applyAlignment="1">
      <alignment horizontal="center" vertical="center"/>
    </xf>
    <xf numFmtId="0" fontId="5" fillId="0" borderId="277" xfId="0" applyFont="1" applyBorder="1" applyAlignment="1">
      <alignment horizontal="center" vertical="center" wrapText="1"/>
    </xf>
    <xf numFmtId="0" fontId="5" fillId="0" borderId="278" xfId="0" applyFont="1" applyBorder="1" applyAlignment="1">
      <alignment horizontal="center" vertical="center" wrapText="1"/>
    </xf>
    <xf numFmtId="0" fontId="5" fillId="0" borderId="279" xfId="0" applyFont="1" applyBorder="1" applyAlignment="1">
      <alignment horizontal="center" vertical="center" wrapText="1"/>
    </xf>
    <xf numFmtId="2" fontId="5" fillId="0" borderId="15" xfId="0" applyNumberFormat="1" applyFont="1" applyBorder="1" applyAlignment="1">
      <alignment horizontal="center" vertical="center" wrapText="1"/>
    </xf>
    <xf numFmtId="0" fontId="5" fillId="0" borderId="11" xfId="0" applyFont="1" applyBorder="1" applyAlignment="1">
      <alignment horizontal="center" vertical="center" wrapText="1"/>
    </xf>
    <xf numFmtId="0" fontId="5" fillId="0" borderId="12" xfId="0" applyFont="1" applyBorder="1" applyAlignment="1">
      <alignment horizontal="center" vertical="center" wrapText="1"/>
    </xf>
    <xf numFmtId="174" fontId="98" fillId="0" borderId="15" xfId="0" applyNumberFormat="1" applyFont="1" applyBorder="1" applyAlignment="1">
      <alignment horizontal="center" vertical="center" wrapText="1"/>
    </xf>
    <xf numFmtId="174" fontId="98" fillId="0" borderId="11" xfId="0" applyNumberFormat="1" applyFont="1" applyBorder="1" applyAlignment="1">
      <alignment horizontal="center" vertical="center" wrapText="1"/>
    </xf>
    <xf numFmtId="174" fontId="98" fillId="0" borderId="12" xfId="0" applyNumberFormat="1" applyFont="1" applyBorder="1" applyAlignment="1">
      <alignment horizontal="center" vertical="center" wrapText="1"/>
    </xf>
    <xf numFmtId="0" fontId="7" fillId="38" borderId="53" xfId="0" applyFont="1" applyFill="1" applyBorder="1" applyAlignment="1">
      <alignment horizontal="center" vertical="center" wrapText="1"/>
    </xf>
    <xf numFmtId="0" fontId="7" fillId="38" borderId="278" xfId="0" applyFont="1" applyFill="1" applyBorder="1" applyAlignment="1">
      <alignment horizontal="center" vertical="center" wrapText="1"/>
    </xf>
    <xf numFmtId="0" fontId="7" fillId="46" borderId="10" xfId="0" applyFont="1" applyFill="1" applyBorder="1" applyAlignment="1">
      <alignment horizontal="center" vertical="center" wrapText="1"/>
    </xf>
    <xf numFmtId="0" fontId="7" fillId="46" borderId="11" xfId="0" applyFont="1" applyFill="1" applyBorder="1" applyAlignment="1">
      <alignment horizontal="center" vertical="center" wrapText="1"/>
    </xf>
    <xf numFmtId="0" fontId="7" fillId="46" borderId="100" xfId="0" applyFont="1" applyFill="1" applyBorder="1" applyAlignment="1">
      <alignment horizontal="center" vertical="center" wrapText="1"/>
    </xf>
    <xf numFmtId="0" fontId="7" fillId="46" borderId="219" xfId="0" applyFont="1" applyFill="1" applyBorder="1" applyAlignment="1">
      <alignment horizontal="center" vertical="center" wrapText="1"/>
    </xf>
    <xf numFmtId="0" fontId="7" fillId="46" borderId="94" xfId="0" applyFont="1" applyFill="1" applyBorder="1" applyAlignment="1">
      <alignment horizontal="center" vertical="center" wrapText="1"/>
    </xf>
    <xf numFmtId="0" fontId="100" fillId="46" borderId="10" xfId="0" applyFont="1" applyFill="1" applyBorder="1" applyAlignment="1">
      <alignment horizontal="center" vertical="center" wrapText="1"/>
    </xf>
    <xf numFmtId="0" fontId="100" fillId="46" borderId="11" xfId="0" applyFont="1" applyFill="1" applyBorder="1" applyAlignment="1">
      <alignment horizontal="center" vertical="center" wrapText="1"/>
    </xf>
    <xf numFmtId="0" fontId="7" fillId="46" borderId="15" xfId="0" applyFont="1" applyFill="1" applyBorder="1" applyAlignment="1">
      <alignment horizontal="center" vertical="center" wrapText="1"/>
    </xf>
    <xf numFmtId="0" fontId="7" fillId="46" borderId="12" xfId="0" applyFont="1" applyFill="1" applyBorder="1" applyAlignment="1">
      <alignment horizontal="center" vertical="center" wrapText="1"/>
    </xf>
    <xf numFmtId="0" fontId="7" fillId="26" borderId="53" xfId="0" applyFont="1" applyFill="1" applyBorder="1" applyAlignment="1">
      <alignment horizontal="center" vertical="center" wrapText="1"/>
    </xf>
    <xf numFmtId="0" fontId="7" fillId="26" borderId="278" xfId="0" applyFont="1" applyFill="1" applyBorder="1" applyAlignment="1">
      <alignment horizontal="center" vertical="center" wrapText="1"/>
    </xf>
    <xf numFmtId="0" fontId="7" fillId="26" borderId="279" xfId="0" applyFont="1" applyFill="1" applyBorder="1" applyAlignment="1">
      <alignment horizontal="center" vertical="center" wrapText="1"/>
    </xf>
    <xf numFmtId="0" fontId="7" fillId="38" borderId="281" xfId="0" applyFont="1" applyFill="1" applyBorder="1" applyAlignment="1">
      <alignment horizontal="center" vertical="center" wrapText="1"/>
    </xf>
    <xf numFmtId="0" fontId="7" fillId="38" borderId="282" xfId="0" applyFont="1" applyFill="1" applyBorder="1" applyAlignment="1">
      <alignment horizontal="center" vertical="center" wrapText="1"/>
    </xf>
    <xf numFmtId="0" fontId="7" fillId="38" borderId="283" xfId="0" applyFont="1" applyFill="1" applyBorder="1" applyAlignment="1">
      <alignment horizontal="center" vertical="center" wrapText="1"/>
    </xf>
    <xf numFmtId="0" fontId="109" fillId="46" borderId="100" xfId="0" applyFont="1" applyFill="1" applyBorder="1" applyAlignment="1">
      <alignment horizontal="center" vertical="center" wrapText="1"/>
    </xf>
    <xf numFmtId="0" fontId="109" fillId="46" borderId="219" xfId="0" applyFont="1" applyFill="1" applyBorder="1" applyAlignment="1">
      <alignment horizontal="center" vertical="center" wrapText="1"/>
    </xf>
    <xf numFmtId="0" fontId="109" fillId="46" borderId="94" xfId="0" applyFont="1" applyFill="1" applyBorder="1" applyAlignment="1">
      <alignment horizontal="center" vertical="center" wrapText="1"/>
    </xf>
    <xf numFmtId="0" fontId="7" fillId="46" borderId="277" xfId="0" applyFont="1" applyFill="1" applyBorder="1" applyAlignment="1">
      <alignment horizontal="center" vertical="center" wrapText="1"/>
    </xf>
    <xf numFmtId="0" fontId="7" fillId="46" borderId="278" xfId="0" applyFont="1" applyFill="1" applyBorder="1" applyAlignment="1">
      <alignment horizontal="center" vertical="center" wrapText="1"/>
    </xf>
    <xf numFmtId="0" fontId="109" fillId="46" borderId="10" xfId="0" applyFont="1" applyFill="1" applyBorder="1" applyAlignment="1">
      <alignment horizontal="center" vertical="center" wrapText="1"/>
    </xf>
    <xf numFmtId="0" fontId="109" fillId="46" borderId="11" xfId="0" applyFont="1" applyFill="1" applyBorder="1" applyAlignment="1">
      <alignment horizontal="center" vertical="center" wrapText="1"/>
    </xf>
    <xf numFmtId="0" fontId="109" fillId="46" borderId="12" xfId="0" applyFont="1" applyFill="1" applyBorder="1" applyAlignment="1">
      <alignment horizontal="center" vertical="center" wrapText="1"/>
    </xf>
    <xf numFmtId="0" fontId="7" fillId="40" borderId="281" xfId="0" applyFont="1" applyFill="1" applyBorder="1" applyAlignment="1">
      <alignment horizontal="center" vertical="center" wrapText="1"/>
    </xf>
    <xf numFmtId="0" fontId="7" fillId="40" borderId="282" xfId="0" applyFont="1" applyFill="1" applyBorder="1" applyAlignment="1">
      <alignment horizontal="center" vertical="center" wrapText="1"/>
    </xf>
    <xf numFmtId="0" fontId="7" fillId="40" borderId="283" xfId="0" applyFont="1" applyFill="1" applyBorder="1" applyAlignment="1">
      <alignment horizontal="center" vertical="center" wrapText="1"/>
    </xf>
    <xf numFmtId="0" fontId="7" fillId="46" borderId="279" xfId="0" applyFont="1" applyFill="1" applyBorder="1" applyAlignment="1">
      <alignment horizontal="center" vertical="center" wrapText="1"/>
    </xf>
    <xf numFmtId="0" fontId="7" fillId="59" borderId="53" xfId="0" applyFont="1" applyFill="1" applyBorder="1" applyAlignment="1">
      <alignment horizontal="center" vertical="center" wrapText="1"/>
    </xf>
    <xf numFmtId="0" fontId="7" fillId="59" borderId="278" xfId="0" applyFont="1" applyFill="1" applyBorder="1" applyAlignment="1">
      <alignment horizontal="center" vertical="center" wrapText="1"/>
    </xf>
    <xf numFmtId="0" fontId="7" fillId="59" borderId="279" xfId="0" applyFont="1" applyFill="1" applyBorder="1" applyAlignment="1">
      <alignment horizontal="center" vertical="center" wrapText="1"/>
    </xf>
    <xf numFmtId="0" fontId="7" fillId="46" borderId="14" xfId="0" applyFont="1" applyFill="1" applyBorder="1" applyAlignment="1">
      <alignment horizontal="center" vertical="center" wrapText="1"/>
    </xf>
    <xf numFmtId="0" fontId="7" fillId="38" borderId="280" xfId="0" applyFont="1" applyFill="1" applyBorder="1" applyAlignment="1">
      <alignment horizontal="center" vertical="center" wrapText="1"/>
    </xf>
    <xf numFmtId="0" fontId="11" fillId="25" borderId="16" xfId="0" applyFont="1" applyFill="1" applyBorder="1" applyAlignment="1">
      <alignment horizontal="center" vertical="center" wrapText="1"/>
    </xf>
    <xf numFmtId="0" fontId="11" fillId="25" borderId="60" xfId="0" applyFont="1" applyFill="1" applyBorder="1" applyAlignment="1">
      <alignment horizontal="center" vertical="center" wrapText="1"/>
    </xf>
    <xf numFmtId="0" fontId="11" fillId="25" borderId="82" xfId="0" applyFont="1" applyFill="1" applyBorder="1" applyAlignment="1">
      <alignment horizontal="center" vertical="center" wrapText="1"/>
    </xf>
    <xf numFmtId="0" fontId="11" fillId="25" borderId="251" xfId="0" applyFont="1" applyFill="1" applyBorder="1" applyAlignment="1">
      <alignment horizontal="center" vertical="center" wrapText="1"/>
    </xf>
    <xf numFmtId="0" fontId="7" fillId="59" borderId="277" xfId="0" applyFont="1" applyFill="1" applyBorder="1" applyAlignment="1">
      <alignment horizontal="center" vertical="center" wrapText="1"/>
    </xf>
    <xf numFmtId="0" fontId="7" fillId="40" borderId="53" xfId="0" applyFont="1" applyFill="1" applyBorder="1" applyAlignment="1">
      <alignment horizontal="center" vertical="center" wrapText="1"/>
    </xf>
    <xf numFmtId="0" fontId="7" fillId="40" borderId="278" xfId="0" applyFont="1" applyFill="1" applyBorder="1" applyAlignment="1">
      <alignment horizontal="center" vertical="center" wrapText="1"/>
    </xf>
    <xf numFmtId="0" fontId="7" fillId="40" borderId="277" xfId="0" applyFont="1" applyFill="1" applyBorder="1" applyAlignment="1">
      <alignment horizontal="center" vertical="center" wrapText="1"/>
    </xf>
    <xf numFmtId="0" fontId="7" fillId="26" borderId="281" xfId="0" applyFont="1" applyFill="1" applyBorder="1" applyAlignment="1">
      <alignment horizontal="center" vertical="center" wrapText="1"/>
    </xf>
    <xf numFmtId="0" fontId="7" fillId="26" borderId="282" xfId="0" applyFont="1" applyFill="1" applyBorder="1" applyAlignment="1">
      <alignment horizontal="center" vertical="center" wrapText="1"/>
    </xf>
    <xf numFmtId="0" fontId="11" fillId="25" borderId="131" xfId="0" applyFont="1" applyFill="1" applyBorder="1" applyAlignment="1">
      <alignment horizontal="center" vertical="center" wrapText="1"/>
    </xf>
    <xf numFmtId="0" fontId="11" fillId="25" borderId="114" xfId="0" applyFont="1" applyFill="1" applyBorder="1" applyAlignment="1">
      <alignment horizontal="center" vertical="center" wrapText="1"/>
    </xf>
    <xf numFmtId="0" fontId="11" fillId="25" borderId="128" xfId="0" applyFont="1" applyFill="1" applyBorder="1" applyAlignment="1">
      <alignment horizontal="center" vertical="center" wrapText="1"/>
    </xf>
    <xf numFmtId="0" fontId="11" fillId="25" borderId="295" xfId="0" applyFont="1" applyFill="1" applyBorder="1" applyAlignment="1">
      <alignment horizontal="center" vertical="center" wrapText="1"/>
    </xf>
    <xf numFmtId="0" fontId="7" fillId="26" borderId="277" xfId="0" applyFont="1" applyFill="1" applyBorder="1" applyAlignment="1">
      <alignment horizontal="center" vertical="center" wrapText="1"/>
    </xf>
    <xf numFmtId="0" fontId="41" fillId="46" borderId="100" xfId="0" applyFont="1" applyFill="1" applyBorder="1" applyAlignment="1">
      <alignment horizontal="center" vertical="center" wrapText="1"/>
    </xf>
    <xf numFmtId="0" fontId="41" fillId="46" borderId="219" xfId="0" applyFont="1" applyFill="1" applyBorder="1" applyAlignment="1">
      <alignment horizontal="center" vertical="center" wrapText="1"/>
    </xf>
    <xf numFmtId="0" fontId="41" fillId="46" borderId="94" xfId="0" applyFont="1" applyFill="1" applyBorder="1" applyAlignment="1">
      <alignment horizontal="center" vertical="center" wrapText="1"/>
    </xf>
    <xf numFmtId="0" fontId="49" fillId="46" borderId="10" xfId="0" applyFont="1" applyFill="1" applyBorder="1" applyAlignment="1">
      <alignment horizontal="center" vertical="center" wrapText="1"/>
    </xf>
    <xf numFmtId="0" fontId="49" fillId="46" borderId="11" xfId="0" applyFont="1" applyFill="1" applyBorder="1" applyAlignment="1">
      <alignment horizontal="center" vertical="center" wrapText="1"/>
    </xf>
    <xf numFmtId="0" fontId="49" fillId="46" borderId="15" xfId="0" applyFont="1" applyFill="1" applyBorder="1" applyAlignment="1">
      <alignment horizontal="center" vertical="center" wrapText="1"/>
    </xf>
    <xf numFmtId="169" fontId="5" fillId="0" borderId="14" xfId="0" applyNumberFormat="1" applyFont="1" applyFill="1" applyBorder="1" applyAlignment="1">
      <alignment horizontal="center" vertical="center"/>
    </xf>
    <xf numFmtId="171" fontId="5" fillId="0" borderId="100" xfId="0" applyNumberFormat="1" applyFont="1" applyFill="1" applyBorder="1" applyAlignment="1">
      <alignment horizontal="center" vertical="center"/>
    </xf>
    <xf numFmtId="169" fontId="5" fillId="0" borderId="94" xfId="0" applyNumberFormat="1" applyFont="1" applyFill="1" applyBorder="1" applyAlignment="1">
      <alignment horizontal="center" vertical="center"/>
    </xf>
    <xf numFmtId="169" fontId="5" fillId="0" borderId="95" xfId="0" applyNumberFormat="1" applyFont="1" applyFill="1" applyBorder="1" applyAlignment="1">
      <alignment horizontal="center" vertical="center"/>
    </xf>
    <xf numFmtId="169" fontId="5" fillId="0" borderId="91" xfId="0" applyNumberFormat="1" applyFont="1" applyFill="1" applyBorder="1" applyAlignment="1">
      <alignment horizontal="center" vertical="center"/>
    </xf>
    <xf numFmtId="169" fontId="48" fillId="38" borderId="285" xfId="0" applyNumberFormat="1" applyFont="1" applyFill="1" applyBorder="1" applyAlignment="1">
      <alignment horizontal="center" vertical="center"/>
    </xf>
    <xf numFmtId="169" fontId="48" fillId="38" borderId="286" xfId="0" applyNumberFormat="1" applyFont="1" applyFill="1" applyBorder="1" applyAlignment="1">
      <alignment horizontal="center" vertical="center"/>
    </xf>
    <xf numFmtId="0" fontId="5" fillId="0" borderId="53" xfId="0" applyFont="1" applyFill="1" applyBorder="1" applyAlignment="1">
      <alignment horizontal="center" vertical="center"/>
    </xf>
    <xf numFmtId="0" fontId="5" fillId="0" borderId="280" xfId="0" applyFont="1" applyFill="1" applyBorder="1" applyAlignment="1">
      <alignment horizontal="center" vertical="center"/>
    </xf>
    <xf numFmtId="169" fontId="4" fillId="25" borderId="287" xfId="0" applyNumberFormat="1" applyFont="1" applyFill="1" applyBorder="1" applyAlignment="1">
      <alignment horizontal="center" vertical="center"/>
    </xf>
    <xf numFmtId="169" fontId="4" fillId="25" borderId="215" xfId="0" applyNumberFormat="1" applyFont="1" applyFill="1" applyBorder="1" applyAlignment="1">
      <alignment horizontal="center" vertical="center"/>
    </xf>
    <xf numFmtId="0" fontId="5" fillId="25" borderId="56" xfId="0" applyFont="1" applyFill="1" applyBorder="1" applyAlignment="1">
      <alignment horizontal="center" vertical="center" wrapText="1"/>
    </xf>
    <xf numFmtId="0" fontId="5" fillId="25" borderId="30" xfId="0" applyFont="1" applyFill="1" applyBorder="1" applyAlignment="1">
      <alignment horizontal="center" vertical="center" wrapText="1"/>
    </xf>
    <xf numFmtId="0" fontId="4" fillId="25" borderId="53" xfId="0" applyFont="1" applyFill="1" applyBorder="1" applyAlignment="1">
      <alignment horizontal="center" vertical="center"/>
    </xf>
    <xf numFmtId="0" fontId="4" fillId="25" borderId="279" xfId="0" applyFont="1" applyFill="1" applyBorder="1" applyAlignment="1">
      <alignment horizontal="center" vertical="center"/>
    </xf>
    <xf numFmtId="169" fontId="4" fillId="25" borderId="10" xfId="0" applyNumberFormat="1" applyFont="1" applyFill="1" applyBorder="1" applyAlignment="1">
      <alignment horizontal="center" vertical="center"/>
    </xf>
    <xf numFmtId="169" fontId="4" fillId="25" borderId="12" xfId="0" applyNumberFormat="1" applyFont="1" applyFill="1" applyBorder="1" applyAlignment="1">
      <alignment horizontal="center" vertical="center"/>
    </xf>
    <xf numFmtId="0" fontId="5" fillId="25" borderId="56" xfId="0" applyFont="1" applyFill="1" applyBorder="1" applyAlignment="1">
      <alignment horizontal="center"/>
    </xf>
    <xf numFmtId="0" fontId="5" fillId="25" borderId="30" xfId="0" applyFont="1" applyFill="1" applyBorder="1" applyAlignment="1">
      <alignment horizontal="center"/>
    </xf>
    <xf numFmtId="10" fontId="120" fillId="0" borderId="101" xfId="0" applyNumberFormat="1" applyFont="1" applyBorder="1" applyAlignment="1">
      <alignment horizontal="center" vertical="center"/>
    </xf>
    <xf numFmtId="10" fontId="120" fillId="0" borderId="205" xfId="0" applyNumberFormat="1" applyFont="1" applyBorder="1" applyAlignment="1">
      <alignment horizontal="center" vertical="center"/>
    </xf>
    <xf numFmtId="10" fontId="120" fillId="0" borderId="137" xfId="0" applyNumberFormat="1" applyFont="1" applyBorder="1" applyAlignment="1">
      <alignment horizontal="center" vertical="center"/>
    </xf>
    <xf numFmtId="181" fontId="120" fillId="0" borderId="101" xfId="0" applyNumberFormat="1" applyFont="1" applyBorder="1" applyAlignment="1">
      <alignment horizontal="center" vertical="center"/>
    </xf>
    <xf numFmtId="181" fontId="120" fillId="0" borderId="205" xfId="0" applyNumberFormat="1" applyFont="1" applyBorder="1" applyAlignment="1">
      <alignment horizontal="center" vertical="center"/>
    </xf>
    <xf numFmtId="0" fontId="38" fillId="30" borderId="288" xfId="0" applyFont="1" applyFill="1" applyBorder="1" applyAlignment="1">
      <alignment horizontal="center" wrapText="1"/>
    </xf>
    <xf numFmtId="0" fontId="38" fillId="30" borderId="289" xfId="0" applyFont="1" applyFill="1" applyBorder="1" applyAlignment="1">
      <alignment horizontal="center" wrapText="1"/>
    </xf>
    <xf numFmtId="0" fontId="38" fillId="30" borderId="290" xfId="0" applyFont="1" applyFill="1" applyBorder="1" applyAlignment="1">
      <alignment horizontal="center" wrapText="1"/>
    </xf>
    <xf numFmtId="0" fontId="38" fillId="24" borderId="291" xfId="0" applyFont="1" applyFill="1" applyBorder="1" applyAlignment="1">
      <alignment horizontal="center" wrapText="1"/>
    </xf>
    <xf numFmtId="0" fontId="38" fillId="24" borderId="292" xfId="0" applyFont="1" applyFill="1" applyBorder="1" applyAlignment="1">
      <alignment horizontal="center" wrapText="1"/>
    </xf>
    <xf numFmtId="0" fontId="38" fillId="24" borderId="231" xfId="0" applyFont="1" applyFill="1" applyBorder="1" applyAlignment="1">
      <alignment horizontal="center" wrapText="1"/>
    </xf>
    <xf numFmtId="2" fontId="38" fillId="24" borderId="131" xfId="0" applyNumberFormat="1" applyFont="1" applyFill="1" applyBorder="1" applyAlignment="1">
      <alignment horizontal="center" wrapText="1"/>
    </xf>
    <xf numFmtId="2" fontId="38" fillId="24" borderId="83" xfId="0" applyNumberFormat="1" applyFont="1" applyFill="1" applyBorder="1" applyAlignment="1">
      <alignment horizontal="center" wrapText="1"/>
    </xf>
    <xf numFmtId="2" fontId="38" fillId="24" borderId="243" xfId="0" applyNumberFormat="1" applyFont="1" applyFill="1" applyBorder="1" applyAlignment="1">
      <alignment horizontal="center" wrapText="1"/>
    </xf>
    <xf numFmtId="2" fontId="38" fillId="24" borderId="121" xfId="0" applyNumberFormat="1" applyFont="1" applyFill="1" applyBorder="1" applyAlignment="1">
      <alignment horizontal="center" wrapText="1"/>
    </xf>
    <xf numFmtId="2" fontId="38" fillId="24" borderId="0" xfId="0" applyNumberFormat="1" applyFont="1" applyFill="1" applyBorder="1" applyAlignment="1">
      <alignment horizontal="center" wrapText="1"/>
    </xf>
    <xf numFmtId="2" fontId="38" fillId="24" borderId="242" xfId="0" applyNumberFormat="1" applyFont="1" applyFill="1" applyBorder="1" applyAlignment="1">
      <alignment horizontal="center" wrapText="1"/>
    </xf>
    <xf numFmtId="0" fontId="13" fillId="26" borderId="56" xfId="0" applyFont="1" applyFill="1" applyBorder="1" applyAlignment="1">
      <alignment horizontal="center"/>
    </xf>
    <xf numFmtId="0" fontId="13" fillId="26" borderId="30" xfId="0" applyFont="1" applyFill="1" applyBorder="1" applyAlignment="1">
      <alignment horizontal="center"/>
    </xf>
    <xf numFmtId="0" fontId="13" fillId="26" borderId="31" xfId="0" applyFont="1" applyFill="1" applyBorder="1" applyAlignment="1">
      <alignment horizontal="center"/>
    </xf>
    <xf numFmtId="2" fontId="0" fillId="24" borderId="18" xfId="0" applyNumberFormat="1" applyFill="1" applyBorder="1" applyAlignment="1">
      <alignment horizontal="center" vertical="center" wrapText="1"/>
    </xf>
    <xf numFmtId="2" fontId="0" fillId="24" borderId="29" xfId="0" applyNumberFormat="1" applyFill="1" applyBorder="1" applyAlignment="1">
      <alignment horizontal="center" vertical="center" wrapText="1"/>
    </xf>
    <xf numFmtId="2" fontId="0" fillId="24" borderId="21" xfId="0" applyNumberFormat="1" applyFill="1" applyBorder="1" applyAlignment="1">
      <alignment horizontal="center" vertical="center" wrapText="1"/>
    </xf>
    <xf numFmtId="2" fontId="0" fillId="24" borderId="18" xfId="0" applyNumberFormat="1" applyFill="1" applyBorder="1" applyAlignment="1">
      <alignment horizontal="center" vertical="center"/>
    </xf>
    <xf numFmtId="2" fontId="0" fillId="24" borderId="29" xfId="0" applyNumberFormat="1" applyFill="1" applyBorder="1" applyAlignment="1">
      <alignment horizontal="center" vertical="center"/>
    </xf>
    <xf numFmtId="2" fontId="0" fillId="24" borderId="21" xfId="0" applyNumberFormat="1" applyFill="1" applyBorder="1" applyAlignment="1">
      <alignment horizontal="center" vertical="center"/>
    </xf>
    <xf numFmtId="0" fontId="13" fillId="24" borderId="131" xfId="0" applyFont="1" applyFill="1" applyBorder="1" applyAlignment="1"/>
    <xf numFmtId="0" fontId="13" fillId="24" borderId="121" xfId="0" applyFont="1" applyFill="1" applyBorder="1" applyAlignment="1"/>
    <xf numFmtId="0" fontId="13" fillId="24" borderId="128" xfId="0" applyFont="1" applyFill="1" applyBorder="1" applyAlignment="1"/>
    <xf numFmtId="0" fontId="13" fillId="24" borderId="145" xfId="0" applyFont="1" applyFill="1" applyBorder="1" applyAlignment="1"/>
    <xf numFmtId="0" fontId="13" fillId="24" borderId="131" xfId="0" applyFont="1" applyFill="1" applyBorder="1" applyAlignment="1">
      <alignment horizontal="center"/>
    </xf>
    <xf numFmtId="0" fontId="13" fillId="24" borderId="128" xfId="0" applyFont="1" applyFill="1" applyBorder="1" applyAlignment="1">
      <alignment horizontal="center"/>
    </xf>
    <xf numFmtId="0" fontId="0" fillId="0" borderId="101" xfId="0" applyBorder="1" applyAlignment="1">
      <alignment horizontal="center"/>
    </xf>
    <xf numFmtId="0" fontId="0" fillId="0" borderId="137" xfId="0" applyBorder="1" applyAlignment="1">
      <alignment horizontal="center"/>
    </xf>
    <xf numFmtId="174" fontId="0" fillId="24" borderId="101" xfId="0" applyNumberFormat="1" applyFill="1" applyBorder="1" applyAlignment="1">
      <alignment horizontal="center"/>
    </xf>
    <xf numFmtId="0" fontId="0" fillId="24" borderId="137" xfId="0" applyFill="1" applyBorder="1" applyAlignment="1">
      <alignment horizontal="center"/>
    </xf>
    <xf numFmtId="174" fontId="0" fillId="24" borderId="131" xfId="0" applyNumberFormat="1" applyFill="1" applyBorder="1" applyAlignment="1">
      <alignment horizontal="center"/>
    </xf>
    <xf numFmtId="0" fontId="0" fillId="24" borderId="128" xfId="0" applyFill="1" applyBorder="1" applyAlignment="1">
      <alignment horizontal="center"/>
    </xf>
    <xf numFmtId="174" fontId="104" fillId="0" borderId="101" xfId="0" applyNumberFormat="1" applyFont="1" applyBorder="1" applyAlignment="1">
      <alignment horizontal="center"/>
    </xf>
    <xf numFmtId="0" fontId="104" fillId="0" borderId="137" xfId="0" applyFont="1" applyBorder="1" applyAlignment="1">
      <alignment horizontal="center"/>
    </xf>
    <xf numFmtId="174" fontId="174" fillId="26" borderId="101" xfId="0" applyNumberFormat="1" applyFont="1" applyFill="1" applyBorder="1" applyAlignment="1">
      <alignment horizontal="center"/>
    </xf>
    <xf numFmtId="0" fontId="174" fillId="26" borderId="137" xfId="0" applyFont="1" applyFill="1" applyBorder="1" applyAlignment="1">
      <alignment horizontal="center"/>
    </xf>
    <xf numFmtId="0" fontId="38" fillId="0" borderId="56" xfId="0" applyFont="1" applyBorder="1" applyAlignment="1">
      <alignment horizontal="center"/>
    </xf>
    <xf numFmtId="0" fontId="38" fillId="0" borderId="30" xfId="0" applyFont="1" applyBorder="1" applyAlignment="1">
      <alignment horizontal="center"/>
    </xf>
    <xf numFmtId="0" fontId="38" fillId="0" borderId="31" xfId="0" applyFont="1" applyBorder="1" applyAlignment="1">
      <alignment horizontal="center"/>
    </xf>
    <xf numFmtId="0" fontId="38" fillId="26" borderId="56" xfId="0" applyFont="1" applyFill="1" applyBorder="1" applyAlignment="1">
      <alignment horizontal="center"/>
    </xf>
    <xf numFmtId="0" fontId="38" fillId="26" borderId="30" xfId="0" applyFont="1" applyFill="1" applyBorder="1" applyAlignment="1">
      <alignment horizontal="center"/>
    </xf>
    <xf numFmtId="0" fontId="38" fillId="26" borderId="31" xfId="0" applyFont="1" applyFill="1" applyBorder="1" applyAlignment="1">
      <alignment horizontal="center"/>
    </xf>
    <xf numFmtId="0" fontId="38" fillId="31" borderId="131" xfId="0" applyFont="1" applyFill="1" applyBorder="1" applyAlignment="1"/>
    <xf numFmtId="0" fontId="38" fillId="31" borderId="121" xfId="0" applyFont="1" applyFill="1" applyBorder="1" applyAlignment="1"/>
    <xf numFmtId="0" fontId="38" fillId="31" borderId="132" xfId="0" applyFont="1" applyFill="1" applyBorder="1" applyAlignment="1"/>
    <xf numFmtId="0" fontId="38" fillId="25" borderId="131" xfId="0" applyFont="1" applyFill="1" applyBorder="1" applyAlignment="1">
      <alignment horizontal="center"/>
    </xf>
    <xf numFmtId="0" fontId="38" fillId="25" borderId="121" xfId="0" applyFont="1" applyFill="1" applyBorder="1" applyAlignment="1">
      <alignment horizontal="center"/>
    </xf>
    <xf numFmtId="0" fontId="38" fillId="25" borderId="132" xfId="0" applyFont="1" applyFill="1" applyBorder="1" applyAlignment="1">
      <alignment horizontal="center"/>
    </xf>
    <xf numFmtId="0" fontId="11" fillId="35" borderId="22" xfId="177" applyFont="1" applyFill="1" applyBorder="1" applyAlignment="1">
      <alignment horizontal="center"/>
    </xf>
    <xf numFmtId="0" fontId="11" fillId="35" borderId="23" xfId="177" applyFont="1" applyFill="1" applyBorder="1" applyAlignment="1">
      <alignment horizontal="center"/>
    </xf>
    <xf numFmtId="0" fontId="11" fillId="35" borderId="61" xfId="177" applyFont="1" applyFill="1" applyBorder="1" applyAlignment="1">
      <alignment horizontal="center"/>
    </xf>
    <xf numFmtId="0" fontId="11" fillId="35" borderId="17" xfId="177" applyFont="1" applyFill="1" applyBorder="1" applyAlignment="1">
      <alignment horizontal="center"/>
    </xf>
    <xf numFmtId="0" fontId="11" fillId="35" borderId="19" xfId="177" applyFont="1" applyFill="1" applyBorder="1" applyAlignment="1">
      <alignment horizontal="center"/>
    </xf>
    <xf numFmtId="0" fontId="11" fillId="35" borderId="20" xfId="177" applyFont="1" applyFill="1" applyBorder="1" applyAlignment="1">
      <alignment horizontal="center"/>
    </xf>
    <xf numFmtId="0" fontId="11" fillId="50" borderId="22" xfId="177" applyFont="1" applyFill="1" applyBorder="1" applyAlignment="1">
      <alignment horizontal="center"/>
    </xf>
    <xf numFmtId="0" fontId="11" fillId="50" borderId="23" xfId="177" applyFont="1" applyFill="1" applyBorder="1" applyAlignment="1">
      <alignment horizontal="center"/>
    </xf>
    <xf numFmtId="0" fontId="11" fillId="50" borderId="61" xfId="177" applyFont="1" applyFill="1" applyBorder="1" applyAlignment="1">
      <alignment horizontal="center"/>
    </xf>
    <xf numFmtId="0" fontId="11" fillId="25" borderId="17" xfId="177" applyFont="1" applyFill="1" applyBorder="1" applyAlignment="1">
      <alignment horizontal="center"/>
    </xf>
    <xf numFmtId="0" fontId="11" fillId="25" borderId="19" xfId="177" applyFont="1" applyFill="1" applyBorder="1" applyAlignment="1">
      <alignment horizontal="center"/>
    </xf>
    <xf numFmtId="0" fontId="11" fillId="25" borderId="20" xfId="177" applyFont="1" applyFill="1" applyBorder="1" applyAlignment="1">
      <alignment horizontal="center"/>
    </xf>
    <xf numFmtId="0" fontId="143" fillId="30" borderId="17" xfId="0" applyFont="1" applyFill="1" applyBorder="1" applyAlignment="1">
      <alignment horizontal="center"/>
    </xf>
    <xf numFmtId="0" fontId="143" fillId="30" borderId="19" xfId="0" applyFont="1" applyFill="1" applyBorder="1" applyAlignment="1">
      <alignment horizontal="center"/>
    </xf>
    <xf numFmtId="0" fontId="143" fillId="30" borderId="20" xfId="0" applyFont="1" applyFill="1" applyBorder="1" applyAlignment="1">
      <alignment horizontal="center"/>
    </xf>
    <xf numFmtId="0" fontId="11" fillId="30" borderId="22" xfId="177" applyFont="1" applyFill="1" applyBorder="1" applyAlignment="1">
      <alignment horizontal="center"/>
    </xf>
    <xf numFmtId="0" fontId="11" fillId="30" borderId="23" xfId="177" applyFont="1" applyFill="1" applyBorder="1" applyAlignment="1">
      <alignment horizontal="center"/>
    </xf>
    <xf numFmtId="0" fontId="11" fillId="30" borderId="61" xfId="177" applyFont="1" applyFill="1" applyBorder="1" applyAlignment="1">
      <alignment horizontal="center"/>
    </xf>
    <xf numFmtId="0" fontId="11" fillId="30" borderId="17" xfId="177" applyFont="1" applyFill="1" applyBorder="1" applyAlignment="1">
      <alignment horizontal="center"/>
    </xf>
    <xf numFmtId="0" fontId="11" fillId="30" borderId="19" xfId="177" applyFont="1" applyFill="1" applyBorder="1" applyAlignment="1">
      <alignment horizontal="center"/>
    </xf>
    <xf numFmtId="0" fontId="11" fillId="30" borderId="20" xfId="177" applyFont="1" applyFill="1" applyBorder="1" applyAlignment="1">
      <alignment horizontal="center"/>
    </xf>
    <xf numFmtId="0" fontId="143" fillId="35" borderId="17" xfId="0" applyFont="1" applyFill="1" applyBorder="1" applyAlignment="1">
      <alignment horizontal="center"/>
    </xf>
    <xf numFmtId="0" fontId="143" fillId="35" borderId="19" xfId="0" applyFont="1" applyFill="1" applyBorder="1" applyAlignment="1">
      <alignment horizontal="center"/>
    </xf>
    <xf numFmtId="0" fontId="143" fillId="35" borderId="20" xfId="0" applyFont="1" applyFill="1" applyBorder="1" applyAlignment="1">
      <alignment horizontal="center"/>
    </xf>
    <xf numFmtId="0" fontId="143" fillId="26" borderId="17" xfId="0" applyFont="1" applyFill="1" applyBorder="1" applyAlignment="1">
      <alignment horizontal="center"/>
    </xf>
    <xf numFmtId="0" fontId="143" fillId="26" borderId="19" xfId="0" applyFont="1" applyFill="1" applyBorder="1" applyAlignment="1">
      <alignment horizontal="center"/>
    </xf>
    <xf numFmtId="0" fontId="143" fillId="26" borderId="20" xfId="0" applyFont="1" applyFill="1" applyBorder="1" applyAlignment="1">
      <alignment horizontal="center"/>
    </xf>
    <xf numFmtId="0" fontId="11" fillId="26" borderId="22" xfId="177" applyFont="1" applyFill="1" applyBorder="1" applyAlignment="1">
      <alignment horizontal="center"/>
    </xf>
    <xf numFmtId="0" fontId="11" fillId="26" borderId="23" xfId="177" applyFont="1" applyFill="1" applyBorder="1" applyAlignment="1">
      <alignment horizontal="center"/>
    </xf>
    <xf numFmtId="0" fontId="11" fillId="26" borderId="61" xfId="177" applyFont="1" applyFill="1" applyBorder="1" applyAlignment="1">
      <alignment horizontal="center"/>
    </xf>
    <xf numFmtId="0" fontId="11" fillId="26" borderId="17" xfId="177" applyFont="1" applyFill="1" applyBorder="1" applyAlignment="1">
      <alignment horizontal="center"/>
    </xf>
    <xf numFmtId="0" fontId="11" fillId="26" borderId="19" xfId="177" applyFont="1" applyFill="1" applyBorder="1" applyAlignment="1">
      <alignment horizontal="center"/>
    </xf>
    <xf numFmtId="0" fontId="11" fillId="26" borderId="20" xfId="177" applyFont="1" applyFill="1" applyBorder="1" applyAlignment="1">
      <alignment horizontal="center"/>
    </xf>
    <xf numFmtId="0" fontId="143" fillId="25" borderId="17" xfId="0" applyFont="1" applyFill="1" applyBorder="1" applyAlignment="1">
      <alignment horizontal="center"/>
    </xf>
    <xf numFmtId="0" fontId="143" fillId="25" borderId="19" xfId="0" applyFont="1" applyFill="1" applyBorder="1" applyAlignment="1">
      <alignment horizontal="center"/>
    </xf>
    <xf numFmtId="0" fontId="143" fillId="25" borderId="20" xfId="0" applyFont="1" applyFill="1" applyBorder="1" applyAlignment="1">
      <alignment horizontal="center"/>
    </xf>
    <xf numFmtId="0" fontId="11" fillId="25" borderId="22" xfId="177" applyFont="1" applyFill="1" applyBorder="1" applyAlignment="1">
      <alignment horizontal="center"/>
    </xf>
    <xf numFmtId="0" fontId="11" fillId="25" borderId="23" xfId="177" applyFont="1" applyFill="1" applyBorder="1" applyAlignment="1">
      <alignment horizontal="center"/>
    </xf>
    <xf numFmtId="0" fontId="11" fillId="25" borderId="61" xfId="177" applyFont="1" applyFill="1" applyBorder="1" applyAlignment="1">
      <alignment horizontal="center"/>
    </xf>
    <xf numFmtId="0" fontId="143" fillId="44" borderId="17" xfId="0" applyFont="1" applyFill="1" applyBorder="1" applyAlignment="1">
      <alignment horizontal="center"/>
    </xf>
    <xf numFmtId="0" fontId="143" fillId="44" borderId="19" xfId="0" applyFont="1" applyFill="1" applyBorder="1" applyAlignment="1">
      <alignment horizontal="center"/>
    </xf>
    <xf numFmtId="0" fontId="143" fillId="44" borderId="20" xfId="0" applyFont="1" applyFill="1" applyBorder="1" applyAlignment="1">
      <alignment horizontal="center"/>
    </xf>
    <xf numFmtId="0" fontId="11" fillId="44" borderId="22" xfId="177" applyFont="1" applyFill="1" applyBorder="1" applyAlignment="1">
      <alignment horizontal="center"/>
    </xf>
    <xf numFmtId="0" fontId="11" fillId="44" borderId="23" xfId="177" applyFont="1" applyFill="1" applyBorder="1" applyAlignment="1">
      <alignment horizontal="center"/>
    </xf>
    <xf numFmtId="0" fontId="11" fillId="44" borderId="61" xfId="177" applyFont="1" applyFill="1" applyBorder="1" applyAlignment="1">
      <alignment horizontal="center"/>
    </xf>
    <xf numFmtId="0" fontId="11" fillId="44" borderId="17" xfId="177" applyFont="1" applyFill="1" applyBorder="1" applyAlignment="1">
      <alignment horizontal="center"/>
    </xf>
    <xf numFmtId="0" fontId="11" fillId="44" borderId="19" xfId="177" applyFont="1" applyFill="1" applyBorder="1" applyAlignment="1">
      <alignment horizontal="center"/>
    </xf>
    <xf numFmtId="0" fontId="11" fillId="44" borderId="20" xfId="177" applyFont="1" applyFill="1" applyBorder="1" applyAlignment="1">
      <alignment horizontal="center"/>
    </xf>
    <xf numFmtId="0" fontId="143" fillId="31" borderId="17" xfId="0" applyFont="1" applyFill="1" applyBorder="1" applyAlignment="1">
      <alignment horizontal="center"/>
    </xf>
    <xf numFmtId="0" fontId="143" fillId="31" borderId="19" xfId="0" applyFont="1" applyFill="1" applyBorder="1" applyAlignment="1">
      <alignment horizontal="center"/>
    </xf>
    <xf numFmtId="0" fontId="143" fillId="31" borderId="20" xfId="0" applyFont="1" applyFill="1" applyBorder="1" applyAlignment="1">
      <alignment horizontal="center"/>
    </xf>
    <xf numFmtId="0" fontId="11" fillId="31" borderId="22" xfId="177" applyFont="1" applyFill="1" applyBorder="1" applyAlignment="1">
      <alignment horizontal="center"/>
    </xf>
    <xf numFmtId="0" fontId="11" fillId="31" borderId="23" xfId="177" applyFont="1" applyFill="1" applyBorder="1" applyAlignment="1">
      <alignment horizontal="center"/>
    </xf>
    <xf numFmtId="0" fontId="11" fillId="31" borderId="61" xfId="177" applyFont="1" applyFill="1" applyBorder="1" applyAlignment="1">
      <alignment horizontal="center"/>
    </xf>
    <xf numFmtId="0" fontId="11" fillId="31" borderId="17" xfId="177" applyFont="1" applyFill="1" applyBorder="1" applyAlignment="1">
      <alignment horizontal="center"/>
    </xf>
    <xf numFmtId="0" fontId="11" fillId="31" borderId="19" xfId="177" applyFont="1" applyFill="1" applyBorder="1" applyAlignment="1">
      <alignment horizontal="center"/>
    </xf>
    <xf numFmtId="0" fontId="11" fillId="31" borderId="20" xfId="177" applyFont="1" applyFill="1" applyBorder="1" applyAlignment="1">
      <alignment horizontal="center"/>
    </xf>
    <xf numFmtId="0" fontId="11" fillId="50" borderId="17" xfId="177" applyFont="1" applyFill="1" applyBorder="1" applyAlignment="1">
      <alignment horizontal="center"/>
    </xf>
    <xf numFmtId="0" fontId="11" fillId="50" borderId="19" xfId="177" applyFont="1" applyFill="1" applyBorder="1" applyAlignment="1">
      <alignment horizontal="center"/>
    </xf>
    <xf numFmtId="0" fontId="11" fillId="50" borderId="20" xfId="177" applyFont="1" applyFill="1" applyBorder="1" applyAlignment="1">
      <alignment horizontal="center"/>
    </xf>
    <xf numFmtId="0" fontId="143" fillId="50" borderId="17" xfId="0" applyFont="1" applyFill="1" applyBorder="1" applyAlignment="1">
      <alignment horizontal="center"/>
    </xf>
    <xf numFmtId="0" fontId="143" fillId="50" borderId="19" xfId="0" applyFont="1" applyFill="1" applyBorder="1" applyAlignment="1">
      <alignment horizontal="center"/>
    </xf>
    <xf numFmtId="0" fontId="143" fillId="50" borderId="20" xfId="0" applyFont="1" applyFill="1" applyBorder="1" applyAlignment="1">
      <alignment horizontal="center"/>
    </xf>
    <xf numFmtId="0" fontId="60" fillId="25" borderId="20" xfId="0" applyFont="1" applyFill="1" applyBorder="1" applyAlignment="1">
      <alignment horizontal="center"/>
    </xf>
    <xf numFmtId="0" fontId="36" fillId="0" borderId="110" xfId="0" applyFont="1" applyBorder="1" applyAlignment="1">
      <alignment horizontal="center"/>
    </xf>
    <xf numFmtId="0" fontId="36" fillId="0" borderId="201" xfId="0" applyFont="1" applyBorder="1" applyAlignment="1">
      <alignment horizontal="center"/>
    </xf>
    <xf numFmtId="0" fontId="38" fillId="25" borderId="56" xfId="0" applyFont="1" applyFill="1" applyBorder="1" applyAlignment="1">
      <alignment horizontal="center"/>
    </xf>
    <xf numFmtId="0" fontId="38" fillId="25" borderId="30" xfId="0" applyFont="1" applyFill="1" applyBorder="1" applyAlignment="1">
      <alignment horizontal="center"/>
    </xf>
    <xf numFmtId="0" fontId="38" fillId="24" borderId="121" xfId="0" applyFont="1" applyFill="1" applyBorder="1" applyAlignment="1">
      <alignment horizontal="center"/>
    </xf>
    <xf numFmtId="0" fontId="38" fillId="24" borderId="114" xfId="0" applyFont="1" applyFill="1" applyBorder="1" applyAlignment="1">
      <alignment horizontal="center"/>
    </xf>
    <xf numFmtId="0" fontId="38" fillId="0" borderId="110" xfId="0" applyFont="1" applyBorder="1" applyAlignment="1">
      <alignment horizontal="center"/>
    </xf>
    <xf numFmtId="0" fontId="38" fillId="0" borderId="201" xfId="0" applyFont="1" applyBorder="1" applyAlignment="1">
      <alignment horizontal="center"/>
    </xf>
    <xf numFmtId="0" fontId="114" fillId="59" borderId="30" xfId="187" applyFont="1" applyFill="1" applyBorder="1" applyAlignment="1">
      <alignment horizontal="center"/>
    </xf>
    <xf numFmtId="0" fontId="114" fillId="24" borderId="128" xfId="187" applyFont="1" applyFill="1" applyBorder="1" applyAlignment="1">
      <alignment horizontal="center"/>
    </xf>
    <xf numFmtId="0" fontId="114" fillId="24" borderId="145" xfId="187" applyFont="1" applyFill="1" applyBorder="1" applyAlignment="1">
      <alignment horizontal="center"/>
    </xf>
    <xf numFmtId="0" fontId="114" fillId="24" borderId="136" xfId="187" applyFont="1" applyFill="1" applyBorder="1" applyAlignment="1">
      <alignment horizontal="center"/>
    </xf>
    <xf numFmtId="0" fontId="114" fillId="24" borderId="56" xfId="187" applyFont="1" applyFill="1" applyBorder="1" applyAlignment="1">
      <alignment horizontal="center"/>
    </xf>
    <xf numFmtId="0" fontId="114" fillId="24" borderId="31" xfId="187" applyFont="1" applyFill="1" applyBorder="1" applyAlignment="1">
      <alignment horizontal="center"/>
    </xf>
    <xf numFmtId="0" fontId="114" fillId="24" borderId="30" xfId="187" applyFont="1" applyFill="1" applyBorder="1" applyAlignment="1">
      <alignment horizontal="center"/>
    </xf>
    <xf numFmtId="0" fontId="114" fillId="47" borderId="30" xfId="187" applyFont="1" applyFill="1" applyBorder="1" applyAlignment="1">
      <alignment horizontal="center"/>
    </xf>
    <xf numFmtId="0" fontId="114" fillId="46" borderId="30" xfId="187" applyFont="1" applyFill="1" applyBorder="1" applyAlignment="1">
      <alignment horizontal="center"/>
    </xf>
    <xf numFmtId="0" fontId="38" fillId="30" borderId="56" xfId="0" applyFont="1" applyFill="1" applyBorder="1" applyAlignment="1">
      <alignment horizontal="center"/>
    </xf>
    <xf numFmtId="0" fontId="38" fillId="30" borderId="30" xfId="0" applyFont="1" applyFill="1" applyBorder="1" applyAlignment="1">
      <alignment horizontal="center"/>
    </xf>
    <xf numFmtId="0" fontId="38" fillId="30" borderId="31" xfId="0" applyFont="1" applyFill="1" applyBorder="1" applyAlignment="1">
      <alignment horizontal="center"/>
    </xf>
    <xf numFmtId="0" fontId="112" fillId="24" borderId="17" xfId="0" applyFont="1" applyFill="1" applyBorder="1" applyAlignment="1">
      <alignment horizontal="center"/>
    </xf>
    <xf numFmtId="0" fontId="112" fillId="24" borderId="20" xfId="0" applyFont="1" applyFill="1" applyBorder="1" applyAlignment="1">
      <alignment horizontal="center"/>
    </xf>
    <xf numFmtId="0" fontId="169" fillId="48" borderId="56" xfId="0" applyFont="1" applyFill="1" applyBorder="1" applyAlignment="1">
      <alignment horizontal="center"/>
    </xf>
    <xf numFmtId="0" fontId="169" fillId="48" borderId="31" xfId="0" applyFont="1" applyFill="1" applyBorder="1" applyAlignment="1">
      <alignment horizontal="center"/>
    </xf>
    <xf numFmtId="0" fontId="113" fillId="0" borderId="56" xfId="0" applyFont="1" applyBorder="1" applyAlignment="1">
      <alignment horizontal="center"/>
    </xf>
    <xf numFmtId="0" fontId="113" fillId="0" borderId="31" xfId="0" applyFont="1" applyBorder="1" applyAlignment="1">
      <alignment horizontal="center"/>
    </xf>
    <xf numFmtId="0" fontId="36" fillId="0" borderId="140" xfId="0" applyFont="1" applyBorder="1" applyAlignment="1">
      <alignment horizontal="center"/>
    </xf>
    <xf numFmtId="0" fontId="36" fillId="0" borderId="107" xfId="0" applyFont="1" applyBorder="1" applyAlignment="1">
      <alignment horizontal="center"/>
    </xf>
    <xf numFmtId="0" fontId="112" fillId="30" borderId="56" xfId="0" applyFont="1" applyFill="1" applyBorder="1" applyAlignment="1">
      <alignment horizontal="center"/>
    </xf>
    <xf numFmtId="0" fontId="112" fillId="30" borderId="30" xfId="0" applyFont="1" applyFill="1" applyBorder="1" applyAlignment="1">
      <alignment horizontal="center"/>
    </xf>
    <xf numFmtId="0" fontId="112" fillId="30" borderId="31" xfId="0" applyFont="1" applyFill="1" applyBorder="1" applyAlignment="1">
      <alignment horizontal="center"/>
    </xf>
    <xf numFmtId="0" fontId="113" fillId="24" borderId="140" xfId="0" applyFont="1" applyFill="1" applyBorder="1" applyAlignment="1">
      <alignment horizontal="center"/>
    </xf>
    <xf numFmtId="0" fontId="113" fillId="24" borderId="107" xfId="0" applyFont="1" applyFill="1" applyBorder="1" applyAlignment="1">
      <alignment horizontal="center"/>
    </xf>
    <xf numFmtId="0" fontId="36" fillId="0" borderId="17" xfId="0" applyFont="1" applyBorder="1" applyAlignment="1">
      <alignment horizontal="center"/>
    </xf>
    <xf numFmtId="0" fontId="36" fillId="0" borderId="20" xfId="0" applyFont="1" applyBorder="1" applyAlignment="1">
      <alignment horizontal="center"/>
    </xf>
    <xf numFmtId="0" fontId="113" fillId="24" borderId="105" xfId="0" applyFont="1" applyFill="1" applyBorder="1" applyAlignment="1">
      <alignment horizontal="center"/>
    </xf>
    <xf numFmtId="0" fontId="113" fillId="24" borderId="163" xfId="0" applyFont="1" applyFill="1" applyBorder="1" applyAlignment="1">
      <alignment horizontal="center"/>
    </xf>
    <xf numFmtId="0" fontId="36" fillId="0" borderId="105" xfId="0" applyFont="1" applyBorder="1" applyAlignment="1">
      <alignment horizontal="center"/>
    </xf>
    <xf numFmtId="0" fontId="36" fillId="0" borderId="163" xfId="0" applyFont="1" applyBorder="1" applyAlignment="1">
      <alignment horizontal="center"/>
    </xf>
    <xf numFmtId="0" fontId="38" fillId="36" borderId="143" xfId="0" applyFont="1" applyFill="1" applyBorder="1" applyAlignment="1">
      <alignment horizontal="center"/>
    </xf>
    <xf numFmtId="0" fontId="38" fillId="36" borderId="126" xfId="0" applyFont="1" applyFill="1" applyBorder="1" applyAlignment="1">
      <alignment horizontal="center"/>
    </xf>
    <xf numFmtId="0" fontId="38" fillId="36" borderId="158" xfId="0" applyFont="1" applyFill="1" applyBorder="1" applyAlignment="1">
      <alignment horizontal="center"/>
    </xf>
    <xf numFmtId="0" fontId="38" fillId="46" borderId="56" xfId="0" applyFont="1" applyFill="1" applyBorder="1" applyAlignment="1">
      <alignment horizontal="center"/>
    </xf>
    <xf numFmtId="0" fontId="38" fillId="46" borderId="31" xfId="0" applyFont="1" applyFill="1" applyBorder="1" applyAlignment="1">
      <alignment horizontal="center"/>
    </xf>
    <xf numFmtId="0" fontId="112" fillId="24" borderId="56" xfId="0" applyFont="1" applyFill="1" applyBorder="1" applyAlignment="1">
      <alignment horizontal="center"/>
    </xf>
    <xf numFmtId="0" fontId="112" fillId="24" borderId="31" xfId="0" applyFont="1" applyFill="1" applyBorder="1" applyAlignment="1">
      <alignment horizontal="center"/>
    </xf>
    <xf numFmtId="0" fontId="13" fillId="49" borderId="56" xfId="0" applyFont="1" applyFill="1" applyBorder="1" applyAlignment="1">
      <alignment horizontal="center"/>
    </xf>
    <xf numFmtId="0" fontId="13" fillId="49" borderId="30" xfId="0" applyFont="1" applyFill="1" applyBorder="1" applyAlignment="1">
      <alignment horizontal="center"/>
    </xf>
    <xf numFmtId="0" fontId="13" fillId="49" borderId="31" xfId="0" applyFont="1" applyFill="1" applyBorder="1" applyAlignment="1">
      <alignment horizontal="center"/>
    </xf>
    <xf numFmtId="0" fontId="114" fillId="26" borderId="30" xfId="187" applyFont="1" applyFill="1" applyBorder="1" applyAlignment="1">
      <alignment horizontal="center"/>
    </xf>
    <xf numFmtId="0" fontId="4" fillId="25" borderId="13" xfId="177" applyFont="1" applyFill="1" applyBorder="1" applyAlignment="1">
      <alignment horizontal="center" vertical="center" wrapText="1"/>
    </xf>
    <xf numFmtId="0" fontId="38" fillId="25" borderId="128" xfId="0" applyFont="1" applyFill="1" applyBorder="1" applyAlignment="1">
      <alignment horizontal="center"/>
    </xf>
    <xf numFmtId="0" fontId="38" fillId="25" borderId="145" xfId="0" applyFont="1" applyFill="1" applyBorder="1" applyAlignment="1">
      <alignment horizontal="center"/>
    </xf>
    <xf numFmtId="0" fontId="38" fillId="25" borderId="136" xfId="0" applyFont="1" applyFill="1" applyBorder="1" applyAlignment="1">
      <alignment horizontal="center"/>
    </xf>
    <xf numFmtId="0" fontId="13" fillId="31" borderId="56" xfId="0" applyFont="1" applyFill="1" applyBorder="1" applyAlignment="1">
      <alignment horizontal="center"/>
    </xf>
    <xf numFmtId="0" fontId="13" fillId="31" borderId="30" xfId="0" applyFont="1" applyFill="1" applyBorder="1" applyAlignment="1">
      <alignment horizontal="center"/>
    </xf>
    <xf numFmtId="0" fontId="13" fillId="31" borderId="31" xfId="0" applyFont="1" applyFill="1" applyBorder="1" applyAlignment="1">
      <alignment horizontal="center"/>
    </xf>
    <xf numFmtId="0" fontId="11" fillId="25" borderId="17" xfId="0" applyFont="1" applyFill="1" applyBorder="1" applyAlignment="1"/>
    <xf numFmtId="0" fontId="11" fillId="25" borderId="19" xfId="0" applyFont="1" applyFill="1" applyBorder="1" applyAlignment="1"/>
    <xf numFmtId="0" fontId="11" fillId="25" borderId="20" xfId="0" applyFont="1" applyFill="1" applyBorder="1" applyAlignment="1"/>
    <xf numFmtId="0" fontId="11" fillId="26" borderId="56" xfId="177" applyFont="1" applyFill="1" applyBorder="1" applyAlignment="1">
      <alignment horizontal="center" wrapText="1"/>
    </xf>
    <xf numFmtId="0" fontId="11" fillId="26" borderId="30" xfId="177" applyFont="1" applyFill="1" applyBorder="1" applyAlignment="1">
      <alignment horizontal="center" wrapText="1"/>
    </xf>
    <xf numFmtId="0" fontId="11" fillId="26" borderId="31" xfId="177" applyFont="1" applyFill="1" applyBorder="1" applyAlignment="1">
      <alignment horizontal="center" wrapText="1"/>
    </xf>
    <xf numFmtId="0" fontId="11" fillId="31" borderId="22" xfId="0" applyFont="1" applyFill="1" applyBorder="1" applyAlignment="1">
      <alignment horizontal="center"/>
    </xf>
    <xf numFmtId="0" fontId="11" fillId="31" borderId="23" xfId="0" applyFont="1" applyFill="1" applyBorder="1" applyAlignment="1">
      <alignment horizontal="center"/>
    </xf>
    <xf numFmtId="0" fontId="11" fillId="31" borderId="17" xfId="0" applyFont="1" applyFill="1" applyBorder="1" applyAlignment="1">
      <alignment horizontal="center"/>
    </xf>
    <xf numFmtId="0" fontId="11" fillId="31" borderId="19" xfId="0" applyFont="1" applyFill="1" applyBorder="1" applyAlignment="1">
      <alignment horizontal="center"/>
    </xf>
    <xf numFmtId="0" fontId="11" fillId="25" borderId="56" xfId="177" applyFont="1" applyFill="1" applyBorder="1" applyAlignment="1">
      <alignment vertical="center" wrapText="1"/>
    </xf>
    <xf numFmtId="0" fontId="11" fillId="25" borderId="30" xfId="177" applyFont="1" applyFill="1" applyBorder="1" applyAlignment="1">
      <alignment vertical="center" wrapText="1"/>
    </xf>
    <xf numFmtId="0" fontId="11" fillId="25" borderId="31" xfId="177" applyFont="1" applyFill="1" applyBorder="1" applyAlignment="1">
      <alignment vertical="center" wrapText="1"/>
    </xf>
    <xf numFmtId="0" fontId="11" fillId="25" borderId="56" xfId="0" applyFont="1" applyFill="1" applyBorder="1" applyAlignment="1">
      <alignment horizontal="center"/>
    </xf>
    <xf numFmtId="0" fontId="11" fillId="25" borderId="30" xfId="0" applyFont="1" applyFill="1" applyBorder="1" applyAlignment="1">
      <alignment horizontal="center"/>
    </xf>
    <xf numFmtId="0" fontId="11" fillId="25" borderId="56" xfId="177" applyFont="1" applyFill="1" applyBorder="1" applyAlignment="1">
      <alignment horizontal="center" wrapText="1"/>
    </xf>
    <xf numFmtId="0" fontId="11" fillId="25" borderId="30" xfId="177" applyFont="1" applyFill="1" applyBorder="1" applyAlignment="1">
      <alignment horizontal="center" wrapText="1"/>
    </xf>
    <xf numFmtId="0" fontId="11" fillId="25" borderId="31" xfId="177" applyFont="1" applyFill="1" applyBorder="1" applyAlignment="1">
      <alignment horizontal="center" wrapText="1"/>
    </xf>
    <xf numFmtId="0" fontId="11" fillId="25" borderId="17" xfId="177" applyFont="1" applyFill="1" applyBorder="1" applyAlignment="1">
      <alignment horizontal="center" wrapText="1"/>
    </xf>
    <xf numFmtId="0" fontId="11" fillId="25" borderId="19" xfId="177" applyFont="1" applyFill="1" applyBorder="1" applyAlignment="1">
      <alignment horizontal="center" wrapText="1"/>
    </xf>
    <xf numFmtId="0" fontId="11" fillId="25" borderId="20" xfId="177" applyFont="1" applyFill="1" applyBorder="1" applyAlignment="1">
      <alignment horizontal="center" wrapText="1"/>
    </xf>
    <xf numFmtId="0" fontId="11" fillId="31" borderId="164" xfId="0" applyFont="1" applyFill="1" applyBorder="1" applyAlignment="1">
      <alignment horizontal="center"/>
    </xf>
    <xf numFmtId="0" fontId="114" fillId="24" borderId="143" xfId="0" applyFont="1" applyFill="1" applyBorder="1" applyAlignment="1">
      <alignment horizontal="center" vertical="center"/>
    </xf>
    <xf numFmtId="0" fontId="114" fillId="24" borderId="126" xfId="0" applyFont="1" applyFill="1" applyBorder="1" applyAlignment="1">
      <alignment horizontal="center" vertical="center"/>
    </xf>
    <xf numFmtId="0" fontId="114" fillId="24" borderId="158" xfId="0" applyFont="1" applyFill="1" applyBorder="1" applyAlignment="1">
      <alignment horizontal="center" vertical="center"/>
    </xf>
    <xf numFmtId="0" fontId="36" fillId="0" borderId="56" xfId="0" applyFont="1" applyBorder="1" applyAlignment="1">
      <alignment horizontal="center"/>
    </xf>
    <xf numFmtId="0" fontId="36" fillId="0" borderId="31" xfId="0" applyFont="1" applyBorder="1" applyAlignment="1">
      <alignment horizontal="center"/>
    </xf>
    <xf numFmtId="0" fontId="118" fillId="0" borderId="86" xfId="195" applyFont="1" applyFill="1" applyBorder="1" applyAlignment="1">
      <alignment horizontal="center" wrapText="1"/>
    </xf>
    <xf numFmtId="0" fontId="118" fillId="0" borderId="220" xfId="195" applyFont="1" applyFill="1" applyBorder="1" applyAlignment="1">
      <alignment horizontal="center" wrapText="1"/>
    </xf>
    <xf numFmtId="0" fontId="118" fillId="0" borderId="133" xfId="195" applyFont="1" applyFill="1" applyBorder="1" applyAlignment="1">
      <alignment horizontal="center" wrapText="1"/>
    </xf>
    <xf numFmtId="0" fontId="114" fillId="24" borderId="86" xfId="0" applyFont="1" applyFill="1" applyBorder="1" applyAlignment="1">
      <alignment horizontal="center" vertical="center"/>
    </xf>
    <xf numFmtId="0" fontId="114" fillId="24" borderId="77" xfId="0" applyFont="1" applyFill="1" applyBorder="1" applyAlignment="1">
      <alignment horizontal="center" vertical="center"/>
    </xf>
    <xf numFmtId="0" fontId="114" fillId="24" borderId="140" xfId="0" applyFont="1" applyFill="1" applyBorder="1" applyAlignment="1">
      <alignment horizontal="center" vertical="center"/>
    </xf>
    <xf numFmtId="0" fontId="114" fillId="24" borderId="81" xfId="0" applyFont="1" applyFill="1" applyBorder="1" applyAlignment="1">
      <alignment horizontal="center" vertical="center"/>
    </xf>
    <xf numFmtId="0" fontId="114" fillId="24" borderId="78" xfId="0" applyFont="1" applyFill="1" applyBorder="1" applyAlignment="1">
      <alignment horizontal="center" vertical="center"/>
    </xf>
    <xf numFmtId="0" fontId="36" fillId="24" borderId="101" xfId="0" applyFont="1" applyFill="1" applyBorder="1" applyAlignment="1">
      <alignment horizontal="center" vertical="center"/>
    </xf>
    <xf numFmtId="0" fontId="0" fillId="0" borderId="137" xfId="0" applyBorder="1"/>
    <xf numFmtId="0" fontId="143" fillId="0" borderId="0" xfId="0" applyFont="1" applyAlignment="1">
      <alignment horizontal="center"/>
    </xf>
    <xf numFmtId="0" fontId="0" fillId="0" borderId="0" xfId="0" applyAlignment="1">
      <alignment horizontal="right"/>
    </xf>
    <xf numFmtId="0" fontId="36" fillId="24" borderId="137" xfId="0" applyFont="1" applyFill="1" applyBorder="1" applyAlignment="1">
      <alignment horizontal="center" vertical="center"/>
    </xf>
    <xf numFmtId="0" fontId="0" fillId="0" borderId="205" xfId="0" applyBorder="1" applyAlignment="1">
      <alignment horizontal="center"/>
    </xf>
    <xf numFmtId="0" fontId="0" fillId="46" borderId="0" xfId="0" applyFill="1"/>
    <xf numFmtId="0" fontId="118" fillId="30" borderId="101" xfId="195" applyFont="1" applyFill="1" applyBorder="1" applyAlignment="1">
      <alignment horizontal="center" vertical="center" wrapText="1"/>
    </xf>
    <xf numFmtId="0" fontId="118" fillId="30" borderId="205" xfId="195" applyFont="1" applyFill="1" applyBorder="1" applyAlignment="1">
      <alignment horizontal="center" vertical="center" wrapText="1"/>
    </xf>
    <xf numFmtId="0" fontId="118" fillId="30" borderId="137" xfId="195" applyFont="1" applyFill="1" applyBorder="1" applyAlignment="1">
      <alignment horizontal="center" vertical="center" wrapText="1"/>
    </xf>
    <xf numFmtId="0" fontId="118" fillId="24" borderId="131" xfId="195" applyFont="1" applyFill="1" applyBorder="1" applyAlignment="1">
      <alignment horizontal="center" vertical="center" wrapText="1"/>
    </xf>
    <xf numFmtId="0" fontId="118" fillId="24" borderId="83" xfId="195" applyFont="1" applyFill="1" applyBorder="1" applyAlignment="1">
      <alignment horizontal="center" vertical="center" wrapText="1"/>
    </xf>
    <xf numFmtId="0" fontId="0" fillId="0" borderId="0" xfId="0"/>
    <xf numFmtId="0" fontId="36" fillId="0" borderId="101" xfId="0" applyFont="1" applyBorder="1" applyAlignment="1">
      <alignment horizontal="center"/>
    </xf>
    <xf numFmtId="0" fontId="36" fillId="0" borderId="137" xfId="0" applyFont="1" applyBorder="1" applyAlignment="1">
      <alignment horizontal="center"/>
    </xf>
    <xf numFmtId="0" fontId="114" fillId="0" borderId="56" xfId="0" applyFont="1" applyBorder="1" applyAlignment="1">
      <alignment horizontal="center" vertical="center"/>
    </xf>
    <xf numFmtId="0" fontId="114" fillId="0" borderId="31" xfId="0" applyFont="1" applyBorder="1" applyAlignment="1">
      <alignment horizontal="center" vertical="center"/>
    </xf>
    <xf numFmtId="3" fontId="11" fillId="25" borderId="101" xfId="0" applyNumberFormat="1" applyFont="1" applyFill="1" applyBorder="1" applyAlignment="1">
      <alignment horizontal="center" vertical="center" wrapText="1"/>
    </xf>
    <xf numFmtId="3" fontId="11" fillId="25" borderId="137" xfId="0" applyNumberFormat="1" applyFont="1" applyFill="1" applyBorder="1" applyAlignment="1">
      <alignment horizontal="center" vertical="center" wrapText="1"/>
    </xf>
    <xf numFmtId="0" fontId="11" fillId="31" borderId="56" xfId="0" applyFont="1" applyFill="1" applyBorder="1" applyAlignment="1">
      <alignment horizontal="center"/>
    </xf>
    <xf numFmtId="0" fontId="11" fillId="31" borderId="30" xfId="0" applyFont="1" applyFill="1" applyBorder="1" applyAlignment="1">
      <alignment horizontal="center"/>
    </xf>
    <xf numFmtId="0" fontId="0" fillId="0" borderId="31" xfId="0" applyBorder="1"/>
    <xf numFmtId="0" fontId="5" fillId="62" borderId="265" xfId="0" applyFont="1" applyFill="1" applyBorder="1" applyAlignment="1">
      <alignment horizontal="center" vertical="center"/>
    </xf>
    <xf numFmtId="0" fontId="5" fillId="62" borderId="38" xfId="0" applyFont="1" applyFill="1" applyBorder="1" applyAlignment="1">
      <alignment horizontal="center"/>
    </xf>
    <xf numFmtId="170" fontId="5" fillId="62" borderId="38" xfId="0" applyNumberFormat="1" applyFont="1" applyFill="1" applyBorder="1" applyAlignment="1">
      <alignment horizontal="center"/>
    </xf>
    <xf numFmtId="166" fontId="5" fillId="62" borderId="45" xfId="205" applyNumberFormat="1" applyFont="1" applyFill="1" applyBorder="1" applyAlignment="1">
      <alignment horizontal="center"/>
    </xf>
    <xf numFmtId="0" fontId="5" fillId="62" borderId="267" xfId="0" applyFont="1" applyFill="1" applyBorder="1" applyAlignment="1">
      <alignment horizontal="center" vertical="center"/>
    </xf>
    <xf numFmtId="0" fontId="5" fillId="62" borderId="35" xfId="0" applyFont="1" applyFill="1" applyBorder="1" applyAlignment="1">
      <alignment horizontal="center"/>
    </xf>
    <xf numFmtId="170" fontId="5" fillId="62" borderId="35" xfId="0" applyNumberFormat="1" applyFont="1" applyFill="1" applyBorder="1" applyAlignment="1">
      <alignment horizontal="center"/>
    </xf>
    <xf numFmtId="166" fontId="5" fillId="62" borderId="43" xfId="205" applyNumberFormat="1" applyFont="1" applyFill="1" applyBorder="1" applyAlignment="1">
      <alignment horizontal="center"/>
    </xf>
    <xf numFmtId="0" fontId="5" fillId="62" borderId="266" xfId="0" applyFont="1" applyFill="1" applyBorder="1" applyAlignment="1">
      <alignment horizontal="center" vertical="center"/>
    </xf>
    <xf numFmtId="0" fontId="5" fillId="62" borderId="37" xfId="0" applyFont="1" applyFill="1" applyBorder="1" applyAlignment="1">
      <alignment horizontal="center"/>
    </xf>
    <xf numFmtId="170" fontId="5" fillId="62" borderId="37" xfId="0" applyNumberFormat="1" applyFont="1" applyFill="1" applyBorder="1" applyAlignment="1">
      <alignment horizontal="center"/>
    </xf>
    <xf numFmtId="166" fontId="5" fillId="62" borderId="44" xfId="205" applyNumberFormat="1" applyFont="1" applyFill="1" applyBorder="1" applyAlignment="1">
      <alignment horizontal="center"/>
    </xf>
    <xf numFmtId="4" fontId="5" fillId="47" borderId="10" xfId="0" applyNumberFormat="1" applyFont="1" applyFill="1" applyBorder="1" applyAlignment="1">
      <alignment horizontal="center" vertical="center"/>
    </xf>
    <xf numFmtId="4" fontId="5" fillId="47" borderId="11" xfId="0" applyNumberFormat="1" applyFont="1" applyFill="1" applyBorder="1" applyAlignment="1">
      <alignment horizontal="center" vertical="center"/>
    </xf>
    <xf numFmtId="0" fontId="5" fillId="47" borderId="11" xfId="0" applyFont="1" applyFill="1" applyBorder="1" applyAlignment="1">
      <alignment horizontal="center" vertical="center"/>
    </xf>
    <xf numFmtId="0" fontId="5" fillId="47" borderId="12" xfId="0" applyFont="1" applyFill="1" applyBorder="1" applyAlignment="1">
      <alignment horizontal="center" vertical="center"/>
    </xf>
    <xf numFmtId="4" fontId="5" fillId="47" borderId="12" xfId="0" applyNumberFormat="1" applyFont="1" applyFill="1" applyBorder="1" applyAlignment="1">
      <alignment horizontal="center" vertical="center"/>
    </xf>
    <xf numFmtId="9" fontId="32" fillId="0" borderId="0" xfId="205" applyFont="1"/>
    <xf numFmtId="169" fontId="59" fillId="47" borderId="18" xfId="0" applyNumberFormat="1" applyFont="1" applyFill="1" applyBorder="1" applyAlignment="1">
      <alignment horizontal="center"/>
    </xf>
    <xf numFmtId="2" fontId="13" fillId="47" borderId="0" xfId="0" applyNumberFormat="1" applyFont="1" applyFill="1"/>
    <xf numFmtId="0" fontId="0" fillId="58" borderId="0" xfId="0" applyNumberFormat="1" applyFill="1"/>
    <xf numFmtId="2" fontId="4" fillId="47" borderId="13" xfId="0" applyNumberFormat="1" applyFont="1" applyFill="1" applyBorder="1" applyAlignment="1">
      <alignment horizontal="center"/>
    </xf>
    <xf numFmtId="2" fontId="5" fillId="47" borderId="13" xfId="0" applyNumberFormat="1" applyFont="1" applyFill="1" applyBorder="1"/>
    <xf numFmtId="174" fontId="5" fillId="47" borderId="63" xfId="0" applyNumberFormat="1" applyFont="1" applyFill="1" applyBorder="1" applyAlignment="1">
      <alignment horizontal="center" vertical="center"/>
    </xf>
    <xf numFmtId="169" fontId="5" fillId="47" borderId="12" xfId="0" applyNumberFormat="1" applyFont="1" applyFill="1" applyBorder="1" applyAlignment="1">
      <alignment horizontal="center" vertical="center"/>
    </xf>
    <xf numFmtId="174" fontId="32" fillId="47" borderId="63" xfId="0" applyNumberFormat="1" applyFont="1" applyFill="1" applyBorder="1" applyAlignment="1">
      <alignment horizontal="center"/>
    </xf>
    <xf numFmtId="174" fontId="32" fillId="47" borderId="76" xfId="0" applyNumberFormat="1" applyFont="1" applyFill="1" applyBorder="1" applyAlignment="1">
      <alignment horizontal="center"/>
    </xf>
    <xf numFmtId="174" fontId="162" fillId="0" borderId="0" xfId="0" applyNumberFormat="1" applyFont="1"/>
    <xf numFmtId="170" fontId="178" fillId="47" borderId="38" xfId="0" applyNumberFormat="1" applyFont="1" applyFill="1" applyBorder="1" applyAlignment="1">
      <alignment horizontal="center"/>
    </xf>
    <xf numFmtId="170" fontId="178" fillId="62" borderId="38" xfId="0" applyNumberFormat="1" applyFont="1" applyFill="1" applyBorder="1" applyAlignment="1">
      <alignment horizontal="center"/>
    </xf>
    <xf numFmtId="166" fontId="178" fillId="62" borderId="38" xfId="205" applyNumberFormat="1" applyFont="1" applyFill="1" applyBorder="1" applyAlignment="1">
      <alignment horizontal="center"/>
    </xf>
    <xf numFmtId="170" fontId="178" fillId="47" borderId="35" xfId="0" applyNumberFormat="1" applyFont="1" applyFill="1" applyBorder="1" applyAlignment="1">
      <alignment horizontal="center"/>
    </xf>
    <xf numFmtId="170" fontId="178" fillId="62" borderId="35" xfId="0" applyNumberFormat="1" applyFont="1" applyFill="1" applyBorder="1" applyAlignment="1">
      <alignment horizontal="center"/>
    </xf>
    <xf numFmtId="166" fontId="178" fillId="62" borderId="35" xfId="205" applyNumberFormat="1" applyFont="1" applyFill="1" applyBorder="1" applyAlignment="1">
      <alignment horizontal="center"/>
    </xf>
    <xf numFmtId="170" fontId="198" fillId="47" borderId="37" xfId="0" applyNumberFormat="1" applyFont="1" applyFill="1" applyBorder="1" applyAlignment="1">
      <alignment horizontal="center"/>
    </xf>
    <xf numFmtId="170" fontId="178" fillId="62" borderId="37" xfId="0" applyNumberFormat="1" applyFont="1" applyFill="1" applyBorder="1" applyAlignment="1">
      <alignment horizontal="center"/>
    </xf>
    <xf numFmtId="166" fontId="178" fillId="62" borderId="37" xfId="205" applyNumberFormat="1" applyFont="1" applyFill="1" applyBorder="1" applyAlignment="1">
      <alignment horizontal="center"/>
    </xf>
    <xf numFmtId="170" fontId="32" fillId="0" borderId="0" xfId="0" applyNumberFormat="1" applyFont="1"/>
  </cellXfs>
  <cellStyles count="257">
    <cellStyle name="20% - Énfasis1" xfId="1" builtinId="30" customBuiltin="1"/>
    <cellStyle name="20% - Énfasis1 2" xfId="2"/>
    <cellStyle name="20% - Énfasis1 2 2" xfId="3"/>
    <cellStyle name="20% - Énfasis1 2 3" xfId="4"/>
    <cellStyle name="20% - Énfasis1 3" xfId="5"/>
    <cellStyle name="20% - Énfasis2" xfId="6" builtinId="34" customBuiltin="1"/>
    <cellStyle name="20% - Énfasis2 2" xfId="7"/>
    <cellStyle name="20% - Énfasis2 2 2" xfId="8"/>
    <cellStyle name="20% - Énfasis2 2 3" xfId="9"/>
    <cellStyle name="20% - Énfasis2 3" xfId="10"/>
    <cellStyle name="20% - Énfasis3" xfId="11" builtinId="38" customBuiltin="1"/>
    <cellStyle name="20% - Énfasis3 2" xfId="12"/>
    <cellStyle name="20% - Énfasis3 2 2" xfId="13"/>
    <cellStyle name="20% - Énfasis3 2 3" xfId="14"/>
    <cellStyle name="20% - Énfasis3 3" xfId="15"/>
    <cellStyle name="20% - Énfasis4" xfId="16" builtinId="42" customBuiltin="1"/>
    <cellStyle name="20% - Énfasis4 2" xfId="17"/>
    <cellStyle name="20% - Énfasis4 2 2" xfId="18"/>
    <cellStyle name="20% - Énfasis4 2 3" xfId="19"/>
    <cellStyle name="20% - Énfasis4 3" xfId="20"/>
    <cellStyle name="20% - Énfasis5" xfId="21" builtinId="46" customBuiltin="1"/>
    <cellStyle name="20% - Énfasis5 2" xfId="22"/>
    <cellStyle name="20% - Énfasis5 2 2" xfId="23"/>
    <cellStyle name="20% - Énfasis5 2 3" xfId="24"/>
    <cellStyle name="20% - Énfasis5 3" xfId="25"/>
    <cellStyle name="20% - Énfasis6" xfId="26" builtinId="50" customBuiltin="1"/>
    <cellStyle name="20% - Énfasis6 2" xfId="27"/>
    <cellStyle name="20% - Énfasis6 2 2" xfId="28"/>
    <cellStyle name="20% - Énfasis6 2 3" xfId="29"/>
    <cellStyle name="20% - Énfasis6 3" xfId="30"/>
    <cellStyle name="40% - Énfasis1" xfId="31" builtinId="31" customBuiltin="1"/>
    <cellStyle name="40% - Énfasis1 2" xfId="32"/>
    <cellStyle name="40% - Énfasis1 2 2" xfId="33"/>
    <cellStyle name="40% - Énfasis1 2 3" xfId="34"/>
    <cellStyle name="40% - Énfasis1 3" xfId="35"/>
    <cellStyle name="40% - Énfasis2" xfId="36" builtinId="35" customBuiltin="1"/>
    <cellStyle name="40% - Énfasis2 2" xfId="37"/>
    <cellStyle name="40% - Énfasis2 2 2" xfId="38"/>
    <cellStyle name="40% - Énfasis2 2 3" xfId="39"/>
    <cellStyle name="40% - Énfasis2 3" xfId="40"/>
    <cellStyle name="40% - Énfasis3" xfId="41" builtinId="39" customBuiltin="1"/>
    <cellStyle name="40% - Énfasis3 2" xfId="42"/>
    <cellStyle name="40% - Énfasis3 2 2" xfId="43"/>
    <cellStyle name="40% - Énfasis3 2 3" xfId="44"/>
    <cellStyle name="40% - Énfasis3 3" xfId="45"/>
    <cellStyle name="40% - Énfasis4" xfId="46" builtinId="43" customBuiltin="1"/>
    <cellStyle name="40% - Énfasis4 2" xfId="47"/>
    <cellStyle name="40% - Énfasis4 2 2" xfId="48"/>
    <cellStyle name="40% - Énfasis4 2 3" xfId="49"/>
    <cellStyle name="40% - Énfasis4 3" xfId="50"/>
    <cellStyle name="40% - Énfasis5" xfId="51" builtinId="47" customBuiltin="1"/>
    <cellStyle name="40% - Énfasis5 2" xfId="52"/>
    <cellStyle name="40% - Énfasis5 2 2" xfId="53"/>
    <cellStyle name="40% - Énfasis5 2 3" xfId="54"/>
    <cellStyle name="40% - Énfasis5 3" xfId="55"/>
    <cellStyle name="40% - Énfasis6" xfId="56" builtinId="51" customBuiltin="1"/>
    <cellStyle name="40% - Énfasis6 2" xfId="57"/>
    <cellStyle name="40% - Énfasis6 2 2" xfId="58"/>
    <cellStyle name="40% - Énfasis6 2 3" xfId="59"/>
    <cellStyle name="40% - Énfasis6 3" xfId="60"/>
    <cellStyle name="60% - Énfasis1" xfId="61" builtinId="32" customBuiltin="1"/>
    <cellStyle name="60% - Énfasis1 2" xfId="62"/>
    <cellStyle name="60% - Énfasis1 2 2" xfId="63"/>
    <cellStyle name="60% - Énfasis1 2 3" xfId="64"/>
    <cellStyle name="60% - Énfasis1 3" xfId="65"/>
    <cellStyle name="60% - Énfasis2" xfId="66" builtinId="36" customBuiltin="1"/>
    <cellStyle name="60% - Énfasis2 2" xfId="67"/>
    <cellStyle name="60% - Énfasis2 2 2" xfId="68"/>
    <cellStyle name="60% - Énfasis2 2 3" xfId="69"/>
    <cellStyle name="60% - Énfasis2 3" xfId="70"/>
    <cellStyle name="60% - Énfasis3" xfId="71" builtinId="40" customBuiltin="1"/>
    <cellStyle name="60% - Énfasis3 2" xfId="72"/>
    <cellStyle name="60% - Énfasis3 2 2" xfId="73"/>
    <cellStyle name="60% - Énfasis3 2 3" xfId="74"/>
    <cellStyle name="60% - Énfasis3 3" xfId="75"/>
    <cellStyle name="60% - Énfasis4" xfId="76" builtinId="44" customBuiltin="1"/>
    <cellStyle name="60% - Énfasis4 2" xfId="77"/>
    <cellStyle name="60% - Énfasis4 2 2" xfId="78"/>
    <cellStyle name="60% - Énfasis4 2 3" xfId="79"/>
    <cellStyle name="60% - Énfasis4 3" xfId="80"/>
    <cellStyle name="60% - Énfasis5" xfId="81" builtinId="48" customBuiltin="1"/>
    <cellStyle name="60% - Énfasis5 2" xfId="82"/>
    <cellStyle name="60% - Énfasis5 2 2" xfId="83"/>
    <cellStyle name="60% - Énfasis5 2 3" xfId="84"/>
    <cellStyle name="60% - Énfasis5 3" xfId="85"/>
    <cellStyle name="60% - Énfasis6" xfId="86" builtinId="52" customBuiltin="1"/>
    <cellStyle name="60% - Énfasis6 2" xfId="87"/>
    <cellStyle name="60% - Énfasis6 2 2" xfId="88"/>
    <cellStyle name="60% - Énfasis6 2 3" xfId="89"/>
    <cellStyle name="60% - Énfasis6 3" xfId="90"/>
    <cellStyle name="Buena" xfId="91" builtinId="26" customBuiltin="1"/>
    <cellStyle name="Buena 2" xfId="92"/>
    <cellStyle name="Buena 2 2" xfId="93"/>
    <cellStyle name="Buena 2 3" xfId="94"/>
    <cellStyle name="Buena 3" xfId="95"/>
    <cellStyle name="Cálculo" xfId="96" builtinId="22" customBuiltin="1"/>
    <cellStyle name="Cálculo 2" xfId="97"/>
    <cellStyle name="Cálculo 2 2" xfId="98"/>
    <cellStyle name="Cálculo 2 3" xfId="99"/>
    <cellStyle name="Cálculo 3" xfId="100"/>
    <cellStyle name="Celda de comprobación" xfId="101" builtinId="23" customBuiltin="1"/>
    <cellStyle name="Celda de comprobación 2" xfId="102"/>
    <cellStyle name="Celda de comprobación 2 2" xfId="103"/>
    <cellStyle name="Celda de comprobación 2 3" xfId="104"/>
    <cellStyle name="Celda de comprobación 3" xfId="105"/>
    <cellStyle name="Celda vinculada" xfId="106" builtinId="24" customBuiltin="1"/>
    <cellStyle name="Celda vinculada 2" xfId="107"/>
    <cellStyle name="Celda vinculada 2 2" xfId="108"/>
    <cellStyle name="Celda vinculada 2 3" xfId="109"/>
    <cellStyle name="Celda vinculada 3" xfId="110"/>
    <cellStyle name="Encabezado 4" xfId="111" builtinId="19" customBuiltin="1"/>
    <cellStyle name="Encabezado 4 2" xfId="112"/>
    <cellStyle name="Encabezado 4 2 2" xfId="113"/>
    <cellStyle name="Encabezado 4 2 3" xfId="114"/>
    <cellStyle name="Encabezado 4 3" xfId="115"/>
    <cellStyle name="Énfasis1" xfId="116" builtinId="29" customBuiltin="1"/>
    <cellStyle name="Énfasis1 2" xfId="117"/>
    <cellStyle name="Énfasis1 2 2" xfId="118"/>
    <cellStyle name="Énfasis1 2 3" xfId="119"/>
    <cellStyle name="Énfasis1 3" xfId="120"/>
    <cellStyle name="Énfasis2" xfId="121" builtinId="33" customBuiltin="1"/>
    <cellStyle name="Énfasis2 2" xfId="122"/>
    <cellStyle name="Énfasis2 2 2" xfId="123"/>
    <cellStyle name="Énfasis2 2 3" xfId="124"/>
    <cellStyle name="Énfasis2 3" xfId="125"/>
    <cellStyle name="Énfasis3" xfId="126" builtinId="37" customBuiltin="1"/>
    <cellStyle name="Énfasis3 2" xfId="127"/>
    <cellStyle name="Énfasis3 2 2" xfId="128"/>
    <cellStyle name="Énfasis3 2 3" xfId="129"/>
    <cellStyle name="Énfasis3 3" xfId="130"/>
    <cellStyle name="Énfasis4" xfId="131" builtinId="41" customBuiltin="1"/>
    <cellStyle name="Énfasis4 2" xfId="132"/>
    <cellStyle name="Énfasis4 2 2" xfId="133"/>
    <cellStyle name="Énfasis4 2 3" xfId="134"/>
    <cellStyle name="Énfasis4 3" xfId="135"/>
    <cellStyle name="Énfasis5" xfId="136" builtinId="45" customBuiltin="1"/>
    <cellStyle name="Énfasis5 2" xfId="137"/>
    <cellStyle name="Énfasis5 2 2" xfId="138"/>
    <cellStyle name="Énfasis5 2 3" xfId="139"/>
    <cellStyle name="Énfasis5 3" xfId="140"/>
    <cellStyle name="Énfasis6" xfId="141" builtinId="49" customBuiltin="1"/>
    <cellStyle name="Énfasis6 2" xfId="142"/>
    <cellStyle name="Énfasis6 2 2" xfId="143"/>
    <cellStyle name="Énfasis6 2 3" xfId="144"/>
    <cellStyle name="Énfasis6 3" xfId="145"/>
    <cellStyle name="Entrada" xfId="146" builtinId="20" customBuiltin="1"/>
    <cellStyle name="Entrada 2" xfId="147"/>
    <cellStyle name="Entrada 2 2" xfId="148"/>
    <cellStyle name="Entrada 2 3" xfId="149"/>
    <cellStyle name="Entrada 3" xfId="150"/>
    <cellStyle name="Excel Built-in Normal" xfId="151"/>
    <cellStyle name="Incorrecto" xfId="152" builtinId="27" customBuiltin="1"/>
    <cellStyle name="Incorrecto 2" xfId="153"/>
    <cellStyle name="Incorrecto 2 2" xfId="154"/>
    <cellStyle name="Incorrecto 2 3" xfId="155"/>
    <cellStyle name="Incorrecto 3" xfId="156"/>
    <cellStyle name="Millares" xfId="157" builtinId="3"/>
    <cellStyle name="Millares 2" xfId="158"/>
    <cellStyle name="Millares 2 2" xfId="159"/>
    <cellStyle name="Millares 2 3" xfId="160"/>
    <cellStyle name="Moneda" xfId="161" builtinId="4"/>
    <cellStyle name="Neutral" xfId="162" builtinId="28" customBuiltin="1"/>
    <cellStyle name="Neutral 2" xfId="163"/>
    <cellStyle name="Neutral 2 2" xfId="164"/>
    <cellStyle name="Neutral 2 3" xfId="165"/>
    <cellStyle name="Neutral 3" xfId="166"/>
    <cellStyle name="Normal" xfId="0" builtinId="0"/>
    <cellStyle name="Normal 11" xfId="167"/>
    <cellStyle name="Normal 11 2" xfId="168"/>
    <cellStyle name="Normal 11 3" xfId="169"/>
    <cellStyle name="Normal 12" xfId="170"/>
    <cellStyle name="Normal 12 2" xfId="171"/>
    <cellStyle name="Normal 12 3" xfId="172"/>
    <cellStyle name="Normal 16" xfId="173"/>
    <cellStyle name="Normal 18" xfId="174"/>
    <cellStyle name="Normal 18 2" xfId="175"/>
    <cellStyle name="Normal 19" xfId="176"/>
    <cellStyle name="Normal 2" xfId="177"/>
    <cellStyle name="Normal 2 2" xfId="178"/>
    <cellStyle name="Normal 2 3" xfId="179"/>
    <cellStyle name="Normal 2 3 2" xfId="180"/>
    <cellStyle name="Normal 2 4" xfId="181"/>
    <cellStyle name="Normal 20" xfId="182"/>
    <cellStyle name="Normal 20 2" xfId="183"/>
    <cellStyle name="Normal 21" xfId="184"/>
    <cellStyle name="Normal 24" xfId="185"/>
    <cellStyle name="Normal 3" xfId="256"/>
    <cellStyle name="Normal 3 2" xfId="186"/>
    <cellStyle name="Normal 4" xfId="187"/>
    <cellStyle name="Normal 4 2" xfId="188"/>
    <cellStyle name="Normal 5" xfId="189"/>
    <cellStyle name="Normal 5 2" xfId="190"/>
    <cellStyle name="Normal 6" xfId="191"/>
    <cellStyle name="Normal 6 2" xfId="192"/>
    <cellStyle name="Normal 7" xfId="193"/>
    <cellStyle name="Normal 7 2" xfId="194"/>
    <cellStyle name="Normal_CESION INDUSTRIAL" xfId="195"/>
    <cellStyle name="Normal_Hoja1" xfId="196"/>
    <cellStyle name="Normal_Hoja2" xfId="197"/>
    <cellStyle name="Normal_Hoja3_1" xfId="198"/>
    <cellStyle name="Normal_trabajo final" xfId="199"/>
    <cellStyle name="Notas" xfId="200" builtinId="10" customBuiltin="1"/>
    <cellStyle name="Notas 2" xfId="201"/>
    <cellStyle name="Notas 2 2" xfId="202"/>
    <cellStyle name="Notas 2 3" xfId="203"/>
    <cellStyle name="Notas 3" xfId="204"/>
    <cellStyle name="Porcentual" xfId="205" builtinId="5"/>
    <cellStyle name="Porcentual 2" xfId="206"/>
    <cellStyle name="Porcentual 2 2" xfId="207"/>
    <cellStyle name="Porcentual 2 3" xfId="208"/>
    <cellStyle name="Porcentual 3" xfId="209"/>
    <cellStyle name="Porcentual 4" xfId="210"/>
    <cellStyle name="Porcentual 5" xfId="211"/>
    <cellStyle name="Porcentual 6" xfId="212"/>
    <cellStyle name="Porcentual 7" xfId="213"/>
    <cellStyle name="Porcentual 7 2" xfId="214"/>
    <cellStyle name="Porcentual 7 3" xfId="215"/>
    <cellStyle name="Salida" xfId="216" builtinId="21" customBuiltin="1"/>
    <cellStyle name="Salida 2" xfId="217"/>
    <cellStyle name="Salida 2 2" xfId="218"/>
    <cellStyle name="Salida 2 3" xfId="219"/>
    <cellStyle name="Salida 3" xfId="220"/>
    <cellStyle name="Texto de advertencia" xfId="221" builtinId="11" customBuiltin="1"/>
    <cellStyle name="Texto de advertencia 2" xfId="222"/>
    <cellStyle name="Texto de advertencia 2 2" xfId="223"/>
    <cellStyle name="Texto de advertencia 2 3" xfId="224"/>
    <cellStyle name="Texto de advertencia 3" xfId="225"/>
    <cellStyle name="Texto explicativo" xfId="226" builtinId="53" customBuiltin="1"/>
    <cellStyle name="Texto explicativo 2" xfId="227"/>
    <cellStyle name="Texto explicativo 2 2" xfId="228"/>
    <cellStyle name="Texto explicativo 2 3" xfId="229"/>
    <cellStyle name="Texto explicativo 3" xfId="230"/>
    <cellStyle name="Título" xfId="231" builtinId="15" customBuiltin="1"/>
    <cellStyle name="Título 1" xfId="232" builtinId="16" customBuiltin="1"/>
    <cellStyle name="Título 1 2" xfId="233"/>
    <cellStyle name="Título 1 2 2" xfId="234"/>
    <cellStyle name="Título 1 2 3" xfId="235"/>
    <cellStyle name="Título 1 3" xfId="236"/>
    <cellStyle name="Título 2" xfId="237" builtinId="17" customBuiltin="1"/>
    <cellStyle name="Título 2 2" xfId="238"/>
    <cellStyle name="Título 2 2 2" xfId="239"/>
    <cellStyle name="Título 2 2 3" xfId="240"/>
    <cellStyle name="Título 2 3" xfId="241"/>
    <cellStyle name="Título 3" xfId="242" builtinId="18" customBuiltin="1"/>
    <cellStyle name="Título 3 2" xfId="243"/>
    <cellStyle name="Título 3 2 2" xfId="244"/>
    <cellStyle name="Título 3 2 3" xfId="245"/>
    <cellStyle name="Título 3 3" xfId="246"/>
    <cellStyle name="Título 4" xfId="247"/>
    <cellStyle name="Título 4 2" xfId="248"/>
    <cellStyle name="Título 4 3" xfId="249"/>
    <cellStyle name="Título 5" xfId="250"/>
    <cellStyle name="Total" xfId="251" builtinId="25" customBuiltin="1"/>
    <cellStyle name="Total 2" xfId="252"/>
    <cellStyle name="Total 2 2" xfId="253"/>
    <cellStyle name="Total 2 3" xfId="254"/>
    <cellStyle name="Total 3" xfId="255"/>
  </cellStyles>
  <dxfs count="12431">
    <dxf>
      <font>
        <b/>
        <i val="0"/>
        <color rgb="FFFF0000"/>
      </font>
      <fill>
        <patternFill patternType="none">
          <bgColor indexed="65"/>
        </patternFill>
      </fill>
    </dxf>
    <dxf>
      <font>
        <condense val="0"/>
        <extend val="0"/>
        <color rgb="FF9C0006"/>
      </font>
    </dxf>
    <dxf>
      <font>
        <condense val="0"/>
        <extend val="0"/>
        <color rgb="FF9C0006"/>
      </font>
    </dxf>
    <dxf>
      <font>
        <b/>
        <i val="0"/>
        <color rgb="FFFF0000"/>
      </font>
    </dxf>
    <dxf>
      <font>
        <b/>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condense val="0"/>
        <extend val="0"/>
        <color rgb="FF9C0006"/>
      </font>
      <fill>
        <patternFill>
          <bgColor rgb="FFFFC7CE"/>
        </patternFill>
      </fill>
    </dxf>
    <dxf>
      <font>
        <b/>
        <i val="0"/>
        <color theme="1"/>
      </font>
      <fill>
        <patternFill>
          <bgColor rgb="FFFF0000"/>
        </patternFill>
      </fill>
    </dxf>
    <dxf>
      <font>
        <b val="0"/>
        <i val="0"/>
        <color rgb="FFFF0000"/>
      </font>
      <fill>
        <patternFill>
          <bgColor rgb="FFFFFF00"/>
        </patternFill>
      </fill>
    </dxf>
    <dxf>
      <font>
        <condense val="0"/>
        <extend val="0"/>
        <color rgb="FF9C0006"/>
      </font>
      <fill>
        <patternFill>
          <bgColor rgb="FFFFC7CE"/>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condense val="0"/>
        <extend val="0"/>
        <color rgb="FF9C0006"/>
      </font>
      <fill>
        <patternFill>
          <bgColor rgb="FFFFC7CE"/>
        </patternFill>
      </fill>
    </dxf>
    <dxf>
      <font>
        <b val="0"/>
        <i val="0"/>
        <color rgb="FFFF0000"/>
      </font>
      <fill>
        <patternFill>
          <bgColor rgb="FFFFFF00"/>
        </patternFill>
      </fill>
    </dxf>
    <dxf>
      <font>
        <b/>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33"/>
      <rgbColor rgb="00666699"/>
      <rgbColor rgb="00969696"/>
      <rgbColor rgb="00003366"/>
      <rgbColor rgb="00339966"/>
      <rgbColor rgb="00003300"/>
      <rgbColor rgb="00333300"/>
      <rgbColor rgb="00993300"/>
      <rgbColor rgb="00993366"/>
      <rgbColor rgb="00333399"/>
      <rgbColor rgb="00333333"/>
    </indexedColors>
    <mruColors>
      <color rgb="FF4BC7BB"/>
      <color rgb="FFBCE4DA"/>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9.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0.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4.vml.rels><?xml version="1.0" encoding="UTF-8" standalone="yes"?>
<Relationships xmlns="http://schemas.openxmlformats.org/package/2006/relationships"><Relationship Id="rId1" Type="http://schemas.openxmlformats.org/officeDocument/2006/relationships/image" Target="../media/image1.emf"/></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enorero\Mis%20documentos\CONTROL%20CUOTAS%20ARTESANALES%20%202012%20P.A\XI%20REGI&#211;N\MERLUZA%20DEL%20SUR\CONTROL%20CUOTA%20%20%2013-11-201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mtirado\Escritorio\OFICINA\ALGAS%20PARDAS\CUOTAS%20ALA\Datos%20Cuota%20Artesanal%20AP.201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enorero\Mis%20documentos\CONTROL%20CUOTAS%20ARTESANALES%20%202012%20P.A\IV%20REGI&#211;N\ALGAS%20PARDAS\Cuota%20ALGAS%20PARDAS%202012_INF%2012%2011%2015.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ara hacer las nóminas"/>
      <sheetName val="para informar saldos a SSP"/>
      <sheetName val="NUEVO CONTROL INDIVIDUAL mayo"/>
      <sheetName val="ingresos individuales"/>
      <sheetName val="control individual ENE MAR"/>
      <sheetName val="Coeficientes INDIVIDUALES agost"/>
      <sheetName val="Resumen ORG."/>
      <sheetName val="Enero"/>
      <sheetName val="Febrero"/>
      <sheetName val="Marzo"/>
      <sheetName val="Abril"/>
      <sheetName val="Mayo"/>
      <sheetName val="Junio"/>
      <sheetName val="Julio"/>
      <sheetName val="Septiembre"/>
      <sheetName val="Octubre"/>
      <sheetName val="Noviembre"/>
      <sheetName val="Diciembre"/>
      <sheetName val="Resumen Cuota"/>
      <sheetName val="Capturas por mes"/>
      <sheetName val="PLANILLA  MANUAL"/>
      <sheetName val="traspasos entre pescadores"/>
      <sheetName val="embarcaciones"/>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tos"/>
      <sheetName val="Resumen algas IV reg "/>
      <sheetName val="Algas IV reg "/>
      <sheetName val="TD"/>
      <sheetName val="Hoja1"/>
      <sheetName val="Hoja4"/>
    </sheetNames>
    <sheetDataSet>
      <sheetData sheetId="0" refreshError="1"/>
      <sheetData sheetId="1" refreshError="1"/>
      <sheetData sheetId="2" refreshError="1">
        <row r="15">
          <cell r="AH15">
            <v>585913</v>
          </cell>
          <cell r="AL15">
            <v>221900</v>
          </cell>
        </row>
      </sheetData>
      <sheetData sheetId="3" refreshError="1"/>
      <sheetData sheetId="4" refreshError="1"/>
      <sheetData sheetId="5"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Resumen algas IV reg "/>
      <sheetName val="Algas IV reg "/>
    </sheetNames>
    <sheetDataSet>
      <sheetData sheetId="0"/>
      <sheetData sheetId="1">
        <row r="15">
          <cell r="AL15">
            <v>0</v>
          </cell>
        </row>
        <row r="32">
          <cell r="AL32">
            <v>0</v>
          </cell>
        </row>
        <row r="49">
          <cell r="AL49">
            <v>3600</v>
          </cell>
        </row>
        <row r="83">
          <cell r="AL83" t="str">
            <v/>
          </cell>
        </row>
        <row r="100">
          <cell r="AL100">
            <v>24310</v>
          </cell>
        </row>
        <row r="134">
          <cell r="AL134" t="str">
            <v/>
          </cell>
        </row>
        <row r="151">
          <cell r="AL151" t="str">
            <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oleObject" Target="../embeddings/oleObject2.bin"/><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oleObject" Target="../embeddings/oleObject3.bin"/><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oleObject" Target="../embeddings/oleObject4.bin"/><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oleObject" Target="../embeddings/oleObject5.bin"/><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oleObject" Target="../embeddings/oleObject6.bin"/><Relationship Id="rId2" Type="http://schemas.openxmlformats.org/officeDocument/2006/relationships/vmlDrawing" Target="../drawings/vmlDrawing7.v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3" Type="http://schemas.openxmlformats.org/officeDocument/2006/relationships/oleObject" Target="../embeddings/oleObject7.bin"/><Relationship Id="rId2" Type="http://schemas.openxmlformats.org/officeDocument/2006/relationships/vmlDrawing" Target="../drawings/vmlDrawing8.vml"/><Relationship Id="rId1" Type="http://schemas.openxmlformats.org/officeDocument/2006/relationships/printerSettings" Target="../printerSettings/printerSettings8.bin"/><Relationship Id="rId4" Type="http://schemas.openxmlformats.org/officeDocument/2006/relationships/comments" Target="../comments7.xml"/></Relationships>
</file>

<file path=xl/worksheets/_rels/sheet9.xml.rels><?xml version="1.0" encoding="UTF-8" standalone="yes"?>
<Relationships xmlns="http://schemas.openxmlformats.org/package/2006/relationships"><Relationship Id="rId3" Type="http://schemas.openxmlformats.org/officeDocument/2006/relationships/oleObject" Target="../embeddings/oleObject8.bin"/><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oleObject" Target="../embeddings/oleObject9.bin"/><Relationship Id="rId2" Type="http://schemas.openxmlformats.org/officeDocument/2006/relationships/vmlDrawing" Target="../drawings/vmlDrawing10.vml"/><Relationship Id="rId1" Type="http://schemas.openxmlformats.org/officeDocument/2006/relationships/printerSettings" Target="../printerSettings/printerSettings10.bin"/><Relationship Id="rId4" Type="http://schemas.openxmlformats.org/officeDocument/2006/relationships/comments" Target="../comments8.xml"/></Relationships>
</file>

<file path=xl/worksheets/_rels/sheet11.xml.rels><?xml version="1.0" encoding="UTF-8" standalone="yes"?>
<Relationships xmlns="http://schemas.openxmlformats.org/package/2006/relationships"><Relationship Id="rId3" Type="http://schemas.openxmlformats.org/officeDocument/2006/relationships/oleObject" Target="../embeddings/oleObject10.bin"/><Relationship Id="rId2" Type="http://schemas.openxmlformats.org/officeDocument/2006/relationships/vmlDrawing" Target="../drawings/vmlDrawing11.vml"/><Relationship Id="rId1" Type="http://schemas.openxmlformats.org/officeDocument/2006/relationships/printerSettings" Target="../printerSettings/printerSettings11.bin"/><Relationship Id="rId4" Type="http://schemas.openxmlformats.org/officeDocument/2006/relationships/comments" Target="../comments9.xml"/></Relationships>
</file>

<file path=xl/worksheets/_rels/sheet12.xml.rels><?xml version="1.0" encoding="UTF-8" standalone="yes"?>
<Relationships xmlns="http://schemas.openxmlformats.org/package/2006/relationships"><Relationship Id="rId3" Type="http://schemas.openxmlformats.org/officeDocument/2006/relationships/oleObject" Target="../embeddings/oleObject11.bin"/><Relationship Id="rId2" Type="http://schemas.openxmlformats.org/officeDocument/2006/relationships/vmlDrawing" Target="../drawings/vmlDrawing12.vml"/><Relationship Id="rId1" Type="http://schemas.openxmlformats.org/officeDocument/2006/relationships/printerSettings" Target="../printerSettings/printerSettings12.bin"/><Relationship Id="rId4" Type="http://schemas.openxmlformats.org/officeDocument/2006/relationships/comments" Target="../comments10.xml"/></Relationships>
</file>

<file path=xl/worksheets/_rels/sheet13.xml.rels><?xml version="1.0" encoding="UTF-8" standalone="yes"?>
<Relationships xmlns="http://schemas.openxmlformats.org/package/2006/relationships"><Relationship Id="rId3" Type="http://schemas.openxmlformats.org/officeDocument/2006/relationships/oleObject" Target="../embeddings/oleObject12.bin"/><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oleObject" Target="../embeddings/oleObject13.bin"/><Relationship Id="rId2" Type="http://schemas.openxmlformats.org/officeDocument/2006/relationships/vmlDrawing" Target="../drawings/vmlDrawing14.vml"/><Relationship Id="rId1" Type="http://schemas.openxmlformats.org/officeDocument/2006/relationships/printerSettings" Target="../printerSettings/printerSettings14.bin"/><Relationship Id="rId4" Type="http://schemas.openxmlformats.org/officeDocument/2006/relationships/comments" Target="../comments11.xml"/></Relationships>
</file>

<file path=xl/worksheets/_rels/sheet15.xml.rels><?xml version="1.0" encoding="UTF-8" standalone="yes"?>
<Relationships xmlns="http://schemas.openxmlformats.org/package/2006/relationships"><Relationship Id="rId3" Type="http://schemas.openxmlformats.org/officeDocument/2006/relationships/oleObject" Target="../embeddings/oleObject14.bin"/><Relationship Id="rId2" Type="http://schemas.openxmlformats.org/officeDocument/2006/relationships/vmlDrawing" Target="../drawings/vmlDrawing15.vml"/><Relationship Id="rId1" Type="http://schemas.openxmlformats.org/officeDocument/2006/relationships/printerSettings" Target="../printerSettings/printerSettings15.bin"/><Relationship Id="rId4" Type="http://schemas.openxmlformats.org/officeDocument/2006/relationships/comments" Target="../comments12.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oleObject" Target="../embeddings/oleObject15.bin"/><Relationship Id="rId2" Type="http://schemas.openxmlformats.org/officeDocument/2006/relationships/vmlDrawing" Target="../drawings/vmlDrawing16.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oleObject" Target="../embeddings/oleObject16.bin"/><Relationship Id="rId2" Type="http://schemas.openxmlformats.org/officeDocument/2006/relationships/vmlDrawing" Target="../drawings/vmlDrawing17.vml"/><Relationship Id="rId1" Type="http://schemas.openxmlformats.org/officeDocument/2006/relationships/printerSettings" Target="../printerSettings/printerSettings18.bin"/><Relationship Id="rId4" Type="http://schemas.openxmlformats.org/officeDocument/2006/relationships/comments" Target="../comments13.xml"/></Relationships>
</file>

<file path=xl/worksheets/_rels/sheet19.xml.rels><?xml version="1.0" encoding="UTF-8" standalone="yes"?>
<Relationships xmlns="http://schemas.openxmlformats.org/package/2006/relationships"><Relationship Id="rId2" Type="http://schemas.openxmlformats.org/officeDocument/2006/relationships/oleObject" Target="../embeddings/oleObject17.bin"/><Relationship Id="rId1"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2" Type="http://schemas.openxmlformats.org/officeDocument/2006/relationships/oleObject" Target="../embeddings/oleObject18.bin"/><Relationship Id="rId1" Type="http://schemas.openxmlformats.org/officeDocument/2006/relationships/vmlDrawing" Target="../drawings/vmlDrawing19.vml"/></Relationships>
</file>

<file path=xl/worksheets/_rels/sheet21.xml.rels><?xml version="1.0" encoding="UTF-8" standalone="yes"?>
<Relationships xmlns="http://schemas.openxmlformats.org/package/2006/relationships"><Relationship Id="rId3" Type="http://schemas.openxmlformats.org/officeDocument/2006/relationships/oleObject" Target="../embeddings/oleObject19.bin"/><Relationship Id="rId2" Type="http://schemas.openxmlformats.org/officeDocument/2006/relationships/vmlDrawing" Target="../drawings/vmlDrawing20.vml"/><Relationship Id="rId1" Type="http://schemas.openxmlformats.org/officeDocument/2006/relationships/printerSettings" Target="../printerSettings/printerSettings19.bin"/><Relationship Id="rId4" Type="http://schemas.openxmlformats.org/officeDocument/2006/relationships/comments" Target="../comments14.xml"/></Relationships>
</file>

<file path=xl/worksheets/_rels/sheet22.xml.rels><?xml version="1.0" encoding="UTF-8" standalone="yes"?>
<Relationships xmlns="http://schemas.openxmlformats.org/package/2006/relationships"><Relationship Id="rId3" Type="http://schemas.openxmlformats.org/officeDocument/2006/relationships/oleObject" Target="../embeddings/oleObject20.bin"/><Relationship Id="rId2" Type="http://schemas.openxmlformats.org/officeDocument/2006/relationships/vmlDrawing" Target="../drawings/vmlDrawing21.vml"/><Relationship Id="rId1" Type="http://schemas.openxmlformats.org/officeDocument/2006/relationships/printerSettings" Target="../printerSettings/printerSettings20.bin"/><Relationship Id="rId4" Type="http://schemas.openxmlformats.org/officeDocument/2006/relationships/comments" Target="../comments15.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22.v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3" Type="http://schemas.openxmlformats.org/officeDocument/2006/relationships/oleObject" Target="../embeddings/oleObject21.bin"/><Relationship Id="rId2" Type="http://schemas.openxmlformats.org/officeDocument/2006/relationships/vmlDrawing" Target="../drawings/vmlDrawing23.vml"/><Relationship Id="rId1" Type="http://schemas.openxmlformats.org/officeDocument/2006/relationships/printerSettings" Target="../printerSettings/printerSettings22.bin"/><Relationship Id="rId4" Type="http://schemas.openxmlformats.org/officeDocument/2006/relationships/comments" Target="../comments17.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3" Type="http://schemas.openxmlformats.org/officeDocument/2006/relationships/oleObject" Target="../embeddings/oleObject22.bin"/><Relationship Id="rId2" Type="http://schemas.openxmlformats.org/officeDocument/2006/relationships/vmlDrawing" Target="../drawings/vmlDrawing24.v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25.v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26.vml"/><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7.vml"/><Relationship Id="rId1"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8.vml"/><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9.vml"/><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30.vml"/><Relationship Id="rId1" Type="http://schemas.openxmlformats.org/officeDocument/2006/relationships/printerSettings" Target="../printerSettings/printerSettings34.bin"/></Relationships>
</file>

<file path=xl/worksheets/_rels/sheet37.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31.vml"/><Relationship Id="rId1" Type="http://schemas.openxmlformats.org/officeDocument/2006/relationships/printerSettings" Target="../printerSettings/printerSettings35.bin"/></Relationships>
</file>

<file path=xl/worksheets/sheet1.xml><?xml version="1.0" encoding="utf-8"?>
<worksheet xmlns="http://schemas.openxmlformats.org/spreadsheetml/2006/main" xmlns:r="http://schemas.openxmlformats.org/officeDocument/2006/relationships">
  <dimension ref="A1:I47"/>
  <sheetViews>
    <sheetView topLeftCell="A13" workbookViewId="0">
      <selection activeCell="E28" sqref="E28"/>
    </sheetView>
  </sheetViews>
  <sheetFormatPr baseColWidth="10" defaultRowHeight="13.2"/>
  <cols>
    <col min="1" max="1" width="17.88671875" bestFit="1" customWidth="1"/>
    <col min="2" max="2" width="35.6640625" customWidth="1"/>
    <col min="3" max="3" width="17.109375" customWidth="1"/>
    <col min="4" max="4" width="15.5546875" customWidth="1"/>
    <col min="5" max="6" width="14.109375" customWidth="1"/>
    <col min="7" max="7" width="16.109375" customWidth="1"/>
  </cols>
  <sheetData>
    <row r="1" spans="1:9" ht="13.8" thickBot="1"/>
    <row r="2" spans="1:9" ht="15">
      <c r="A2" s="3700" t="s">
        <v>313</v>
      </c>
      <c r="B2" s="3701"/>
      <c r="C2" s="3701"/>
      <c r="D2" s="3701"/>
      <c r="E2" s="3701"/>
      <c r="F2" s="3701"/>
      <c r="G2" s="3702"/>
    </row>
    <row r="3" spans="1:9" ht="15">
      <c r="A3" s="3703" t="s">
        <v>1310</v>
      </c>
      <c r="B3" s="3704"/>
      <c r="C3" s="3704"/>
      <c r="D3" s="3704"/>
      <c r="E3" s="3704"/>
      <c r="F3" s="3704"/>
      <c r="G3" s="3705"/>
    </row>
    <row r="4" spans="1:9" ht="53.25" customHeight="1" thickBot="1">
      <c r="A4" s="287" t="s">
        <v>0</v>
      </c>
      <c r="B4" s="288" t="s">
        <v>1</v>
      </c>
      <c r="C4" s="289" t="s">
        <v>2</v>
      </c>
      <c r="D4" s="289" t="s">
        <v>3</v>
      </c>
      <c r="E4" s="289" t="s">
        <v>4</v>
      </c>
      <c r="F4" s="289" t="s">
        <v>341</v>
      </c>
      <c r="G4" s="290" t="s">
        <v>278</v>
      </c>
    </row>
    <row r="5" spans="1:9" ht="15">
      <c r="A5" s="3711" t="s">
        <v>5</v>
      </c>
      <c r="B5" s="528" t="s">
        <v>6</v>
      </c>
      <c r="C5" s="275">
        <f>+Global!C29</f>
        <v>1141</v>
      </c>
      <c r="D5" s="275">
        <f>+Global!D29</f>
        <v>1116.0609999999999</v>
      </c>
      <c r="E5" s="275">
        <f t="shared" ref="E5:E31" si="0">+C5-D5</f>
        <v>24.939000000000078</v>
      </c>
      <c r="F5" s="276">
        <f>+D5/C5</f>
        <v>0.97814285714285709</v>
      </c>
      <c r="G5" s="277"/>
    </row>
    <row r="6" spans="1:9" ht="15">
      <c r="A6" s="3712"/>
      <c r="B6" s="529" t="s">
        <v>7</v>
      </c>
      <c r="C6" s="249">
        <f>+Global!C30</f>
        <v>2662</v>
      </c>
      <c r="D6" s="249">
        <f>+Global!D30</f>
        <v>2464.3780000000006</v>
      </c>
      <c r="E6" s="249">
        <f t="shared" si="0"/>
        <v>197.62199999999939</v>
      </c>
      <c r="F6" s="250">
        <f>+D6/C6</f>
        <v>0.92576183320811445</v>
      </c>
      <c r="G6" s="278"/>
      <c r="I6" s="242"/>
    </row>
    <row r="7" spans="1:9" ht="15">
      <c r="A7" s="3712"/>
      <c r="B7" s="529" t="s">
        <v>8</v>
      </c>
      <c r="C7" s="249">
        <f>+Global!C31</f>
        <v>1253</v>
      </c>
      <c r="D7" s="249">
        <f>+Global!D31</f>
        <v>395.98500000000001</v>
      </c>
      <c r="E7" s="249">
        <f t="shared" si="0"/>
        <v>857.01499999999999</v>
      </c>
      <c r="F7" s="250">
        <f t="shared" ref="F7:F41" si="1">+D7/C7</f>
        <v>0.31602952913008781</v>
      </c>
      <c r="G7" s="278"/>
    </row>
    <row r="8" spans="1:9" ht="15">
      <c r="A8" s="3712"/>
      <c r="B8" s="529" t="s">
        <v>9</v>
      </c>
      <c r="C8" s="249">
        <f>+Global!C34</f>
        <v>2671</v>
      </c>
      <c r="D8" s="249">
        <f>+Global!D34</f>
        <v>2670.0630000000001</v>
      </c>
      <c r="E8" s="249">
        <f>+C8-D8</f>
        <v>0.93699999999989814</v>
      </c>
      <c r="F8" s="250">
        <f t="shared" si="1"/>
        <v>0.99964919505803074</v>
      </c>
      <c r="G8" s="278"/>
    </row>
    <row r="9" spans="1:9" ht="15">
      <c r="A9" s="3713"/>
      <c r="B9" s="530" t="s">
        <v>10</v>
      </c>
      <c r="C9" s="258">
        <f>+Global!C27+Global!C28+Global!C32+Global!C33+Global!C35+Global!C36+Global!C37</f>
        <v>4258</v>
      </c>
      <c r="D9" s="258">
        <f>+Global!D27+Global!D28+Global!D32+Global!D33+Global!D35+Global!D36+Global!D37</f>
        <v>740.04899999999998</v>
      </c>
      <c r="E9" s="258">
        <f t="shared" si="0"/>
        <v>3517.951</v>
      </c>
      <c r="F9" s="259">
        <f t="shared" si="1"/>
        <v>0.17380201972757162</v>
      </c>
      <c r="G9" s="279"/>
      <c r="H9" s="291"/>
    </row>
    <row r="10" spans="1:9" ht="15">
      <c r="A10" s="532" t="s">
        <v>524</v>
      </c>
      <c r="B10" s="531" t="s">
        <v>525</v>
      </c>
      <c r="C10" s="525">
        <f>+SUM(Global!C38)</f>
        <v>138240</v>
      </c>
      <c r="D10" s="525">
        <f>+SUM(Global!D38)</f>
        <v>100599.53880000001</v>
      </c>
      <c r="E10" s="525">
        <f>+C10-D10</f>
        <v>37640.461199999991</v>
      </c>
      <c r="F10" s="526">
        <f t="shared" si="1"/>
        <v>0.72771657118055566</v>
      </c>
      <c r="G10" s="527"/>
      <c r="H10" s="291"/>
    </row>
    <row r="11" spans="1:9" ht="15">
      <c r="A11" s="3709" t="s">
        <v>11</v>
      </c>
      <c r="B11" s="254" t="s">
        <v>8</v>
      </c>
      <c r="C11" s="261">
        <f>+Global!C10</f>
        <v>2410</v>
      </c>
      <c r="D11" s="261">
        <f>+Global!D10</f>
        <v>2409.701</v>
      </c>
      <c r="E11" s="261">
        <f>+C11-D11</f>
        <v>0.29899999999997817</v>
      </c>
      <c r="F11" s="262">
        <f t="shared" si="1"/>
        <v>0.99987593360995852</v>
      </c>
      <c r="G11" s="280"/>
      <c r="I11" s="242"/>
    </row>
    <row r="12" spans="1:9" ht="15">
      <c r="A12" s="3709"/>
      <c r="B12" s="254" t="s">
        <v>39</v>
      </c>
      <c r="C12" s="249">
        <f>+Global!C11</f>
        <v>15</v>
      </c>
      <c r="D12" s="249">
        <f>+Global!D11</f>
        <v>0</v>
      </c>
      <c r="E12" s="249">
        <f t="shared" si="0"/>
        <v>15</v>
      </c>
      <c r="F12" s="250">
        <f t="shared" si="1"/>
        <v>0</v>
      </c>
      <c r="G12" s="282"/>
      <c r="I12" s="242"/>
    </row>
    <row r="13" spans="1:9" ht="15">
      <c r="A13" s="3709"/>
      <c r="B13" s="254" t="s">
        <v>40</v>
      </c>
      <c r="C13" s="249">
        <f>+Global!C12</f>
        <v>258</v>
      </c>
      <c r="D13" s="249">
        <f>+Global!D12</f>
        <v>580.08399999999995</v>
      </c>
      <c r="E13" s="249">
        <f t="shared" si="0"/>
        <v>-322.08399999999995</v>
      </c>
      <c r="F13" s="250">
        <f t="shared" si="1"/>
        <v>2.2483875968992244</v>
      </c>
      <c r="G13" s="282"/>
      <c r="I13" s="242"/>
    </row>
    <row r="14" spans="1:9" ht="15">
      <c r="A14" s="3707"/>
      <c r="B14" s="248" t="s">
        <v>12</v>
      </c>
      <c r="C14" s="249">
        <f>+Global!C13</f>
        <v>30884</v>
      </c>
      <c r="D14" s="249">
        <f>+Global!D13</f>
        <v>44144.65300000002</v>
      </c>
      <c r="E14" s="249">
        <f t="shared" si="0"/>
        <v>-13260.65300000002</v>
      </c>
      <c r="F14" s="250">
        <f t="shared" si="1"/>
        <v>1.4293696736174077</v>
      </c>
      <c r="G14" s="278"/>
    </row>
    <row r="15" spans="1:9" ht="15">
      <c r="A15" s="3707"/>
      <c r="B15" s="248" t="s">
        <v>13</v>
      </c>
      <c r="C15" s="249">
        <f>+Global!C15</f>
        <v>2900</v>
      </c>
      <c r="D15" s="249">
        <f>+Global!D15</f>
        <v>751.22900000000004</v>
      </c>
      <c r="E15" s="249">
        <f t="shared" si="0"/>
        <v>2148.7709999999997</v>
      </c>
      <c r="F15" s="250">
        <f t="shared" si="1"/>
        <v>0.25904448275862069</v>
      </c>
      <c r="G15" s="278"/>
      <c r="H15" s="291"/>
    </row>
    <row r="16" spans="1:9" ht="15">
      <c r="A16" s="3707"/>
      <c r="B16" s="248" t="s">
        <v>14</v>
      </c>
      <c r="C16" s="249">
        <f>+Global!C16</f>
        <v>1787</v>
      </c>
      <c r="D16" s="249">
        <f>+Global!D16</f>
        <v>98.711999999999989</v>
      </c>
      <c r="E16" s="249">
        <f t="shared" si="0"/>
        <v>1688.288</v>
      </c>
      <c r="F16" s="250">
        <f t="shared" si="1"/>
        <v>5.5238947957470613E-2</v>
      </c>
      <c r="G16" s="278"/>
    </row>
    <row r="17" spans="1:9" ht="15">
      <c r="A17" s="3708"/>
      <c r="B17" s="266" t="s">
        <v>15</v>
      </c>
      <c r="C17" s="267">
        <f>+Global!C6+Global!C7+Global!C8+Global!C9+Global!C11+Global!C12+Global!C14</f>
        <v>126151</v>
      </c>
      <c r="D17" s="267">
        <f>+Global!D6+Global!D7+Global!D8+Global!D9+Global!D11+Global!D12+Global!D14</f>
        <v>122066.109</v>
      </c>
      <c r="E17" s="267">
        <f t="shared" si="0"/>
        <v>4084.8910000000033</v>
      </c>
      <c r="F17" s="268">
        <f>+D17/C17</f>
        <v>0.96761903591727372</v>
      </c>
      <c r="G17" s="281"/>
    </row>
    <row r="18" spans="1:9" ht="15">
      <c r="A18" s="3706" t="s">
        <v>16</v>
      </c>
      <c r="B18" s="260" t="s">
        <v>8</v>
      </c>
      <c r="C18" s="261">
        <f>+Global!C57</f>
        <v>10352</v>
      </c>
      <c r="D18" s="261">
        <f>+Global!D57</f>
        <v>9712.112000000001</v>
      </c>
      <c r="E18" s="261">
        <f t="shared" si="0"/>
        <v>639.88799999999901</v>
      </c>
      <c r="F18" s="262">
        <f t="shared" si="1"/>
        <v>0.93818701700154572</v>
      </c>
      <c r="G18" s="280"/>
      <c r="I18" s="242"/>
    </row>
    <row r="19" spans="1:9" ht="18.75" customHeight="1">
      <c r="A19" s="3707"/>
      <c r="B19" s="248" t="s">
        <v>12</v>
      </c>
      <c r="C19" s="249">
        <f>+Global!C60</f>
        <v>588550.23200000008</v>
      </c>
      <c r="D19" s="249">
        <f>+Global!D60</f>
        <v>475542.86900000012</v>
      </c>
      <c r="E19" s="249">
        <f t="shared" si="0"/>
        <v>113007.36299999995</v>
      </c>
      <c r="F19" s="250">
        <f t="shared" si="1"/>
        <v>0.80799028382678484</v>
      </c>
      <c r="G19" s="278"/>
    </row>
    <row r="20" spans="1:9" ht="15">
      <c r="A20" s="3707"/>
      <c r="B20" s="248" t="s">
        <v>13</v>
      </c>
      <c r="C20" s="249">
        <f>+Global!C62</f>
        <v>88434.014000000025</v>
      </c>
      <c r="D20" s="249">
        <f>+Global!D62</f>
        <v>88025.84199999999</v>
      </c>
      <c r="E20" s="249">
        <f t="shared" si="0"/>
        <v>408.17200000003504</v>
      </c>
      <c r="F20" s="250">
        <f t="shared" si="1"/>
        <v>0.99538444562744788</v>
      </c>
      <c r="G20" s="278"/>
      <c r="H20" s="291"/>
      <c r="I20" s="291"/>
    </row>
    <row r="21" spans="1:9" ht="15">
      <c r="A21" s="3707"/>
      <c r="B21" s="248" t="s">
        <v>14</v>
      </c>
      <c r="C21" s="249">
        <f>+Global!C63</f>
        <v>39582</v>
      </c>
      <c r="D21" s="249">
        <f>+Global!D63</f>
        <v>17754.391000000003</v>
      </c>
      <c r="E21" s="249">
        <f t="shared" si="0"/>
        <v>21827.608999999997</v>
      </c>
      <c r="F21" s="250">
        <f t="shared" si="1"/>
        <v>0.44854709211257648</v>
      </c>
      <c r="G21" s="278"/>
    </row>
    <row r="22" spans="1:9" ht="15">
      <c r="A22" s="3708"/>
      <c r="B22" s="266" t="s">
        <v>17</v>
      </c>
      <c r="C22" s="267">
        <f>+Global!C58+Global!C59+Global!C61</f>
        <v>12627</v>
      </c>
      <c r="D22" s="267">
        <f>+Global!D58+Global!D59+Global!D61</f>
        <v>10573.351999999999</v>
      </c>
      <c r="E22" s="267">
        <f t="shared" si="0"/>
        <v>2053.648000000001</v>
      </c>
      <c r="F22" s="268">
        <f t="shared" si="1"/>
        <v>0.83736057654232987</v>
      </c>
      <c r="G22" s="281"/>
    </row>
    <row r="23" spans="1:9" ht="15">
      <c r="A23" s="3709" t="s">
        <v>18</v>
      </c>
      <c r="B23" s="254" t="s">
        <v>19</v>
      </c>
      <c r="C23" s="255">
        <f>+Global!C45</f>
        <v>4024.3310000000001</v>
      </c>
      <c r="D23" s="255">
        <f>+Global!D45</f>
        <v>3475.0329999999999</v>
      </c>
      <c r="E23" s="255">
        <f t="shared" si="0"/>
        <v>549.29800000000023</v>
      </c>
      <c r="F23" s="256">
        <f t="shared" si="1"/>
        <v>0.86350576033631421</v>
      </c>
      <c r="G23" s="282"/>
    </row>
    <row r="24" spans="1:9" ht="15">
      <c r="A24" s="3707"/>
      <c r="B24" s="248" t="s">
        <v>20</v>
      </c>
      <c r="C24" s="249">
        <f>+Global!C47</f>
        <v>5408.8180000000002</v>
      </c>
      <c r="D24" s="249">
        <f>+Global!D47</f>
        <v>4698.3050000000003</v>
      </c>
      <c r="E24" s="249">
        <f t="shared" si="0"/>
        <v>710.51299999999992</v>
      </c>
      <c r="F24" s="250">
        <f t="shared" si="1"/>
        <v>0.86863802775393817</v>
      </c>
      <c r="G24" s="278"/>
    </row>
    <row r="25" spans="1:9" ht="15">
      <c r="A25" s="3707"/>
      <c r="B25" s="248" t="s">
        <v>12</v>
      </c>
      <c r="C25" s="249">
        <f>+Global!C48</f>
        <v>4867.2139999999999</v>
      </c>
      <c r="D25" s="249">
        <f>+Global!D48</f>
        <v>3372.1099999999997</v>
      </c>
      <c r="E25" s="249">
        <f t="shared" si="0"/>
        <v>1495.1040000000003</v>
      </c>
      <c r="F25" s="250">
        <f t="shared" si="1"/>
        <v>0.69282139638815954</v>
      </c>
      <c r="G25" s="278"/>
    </row>
    <row r="26" spans="1:9" ht="15">
      <c r="A26" s="3710"/>
      <c r="B26" s="257" t="s">
        <v>21</v>
      </c>
      <c r="C26" s="258">
        <f>+Global!C44+Global!C46+Global!C49+Global!C50</f>
        <v>1808.992</v>
      </c>
      <c r="D26" s="258">
        <f>+Global!D44+Global!D46+Global!D49+Global!D50</f>
        <v>1486.91</v>
      </c>
      <c r="E26" s="258">
        <f t="shared" si="0"/>
        <v>322.08199999999988</v>
      </c>
      <c r="F26" s="259">
        <f>+D26/C26</f>
        <v>0.82195498929790745</v>
      </c>
      <c r="G26" s="279"/>
    </row>
    <row r="27" spans="1:9" ht="15">
      <c r="A27" s="4308" t="s">
        <v>22</v>
      </c>
      <c r="B27" s="4309" t="s">
        <v>23</v>
      </c>
      <c r="C27" s="4310">
        <f>+Global!C51</f>
        <v>5999.9999999999991</v>
      </c>
      <c r="D27" s="4336">
        <f>+Global!D51</f>
        <v>4089.0715555555557</v>
      </c>
      <c r="E27" s="4337">
        <f t="shared" si="0"/>
        <v>1910.9284444444434</v>
      </c>
      <c r="F27" s="4338">
        <f t="shared" si="1"/>
        <v>0.68151192592592602</v>
      </c>
      <c r="G27" s="4311"/>
    </row>
    <row r="28" spans="1:9" ht="15">
      <c r="A28" s="4312"/>
      <c r="B28" s="4313" t="s">
        <v>24</v>
      </c>
      <c r="C28" s="4314">
        <f>+Global!C52</f>
        <v>3298.8240000000001</v>
      </c>
      <c r="D28" s="4339">
        <f>+Global!D52</f>
        <v>1954.5930000000001</v>
      </c>
      <c r="E28" s="4340">
        <f t="shared" si="0"/>
        <v>1344.231</v>
      </c>
      <c r="F28" s="4341">
        <f t="shared" si="1"/>
        <v>0.59251205884278757</v>
      </c>
      <c r="G28" s="4315"/>
    </row>
    <row r="29" spans="1:9" ht="15">
      <c r="A29" s="4316"/>
      <c r="B29" s="4317" t="s">
        <v>25</v>
      </c>
      <c r="C29" s="4318">
        <f>+Global!C53</f>
        <v>1664</v>
      </c>
      <c r="D29" s="4342">
        <f>+Global!D53</f>
        <v>1369.8014900000001</v>
      </c>
      <c r="E29" s="4343">
        <f t="shared" si="0"/>
        <v>294.19850999999994</v>
      </c>
      <c r="F29" s="4344">
        <f t="shared" si="1"/>
        <v>0.8231980108173077</v>
      </c>
      <c r="G29" s="4319"/>
    </row>
    <row r="30" spans="1:9" ht="15">
      <c r="A30" s="3706" t="s">
        <v>26</v>
      </c>
      <c r="B30" s="260" t="s">
        <v>7</v>
      </c>
      <c r="C30" s="261">
        <f>+Global!C19</f>
        <v>430</v>
      </c>
      <c r="D30" s="261">
        <f>+Global!D19</f>
        <v>437.98999999999995</v>
      </c>
      <c r="E30" s="261">
        <f t="shared" si="0"/>
        <v>-7.9899999999999523</v>
      </c>
      <c r="F30" s="262">
        <f t="shared" si="1"/>
        <v>1.0185813953488372</v>
      </c>
      <c r="G30" s="280"/>
    </row>
    <row r="31" spans="1:9" ht="15">
      <c r="A31" s="3707"/>
      <c r="B31" s="248" t="s">
        <v>27</v>
      </c>
      <c r="C31" s="249">
        <f>+Global!C20</f>
        <v>430</v>
      </c>
      <c r="D31" s="249">
        <f>+Global!D20</f>
        <v>432.29199999999997</v>
      </c>
      <c r="E31" s="249">
        <f t="shared" si="0"/>
        <v>-2.2919999999999732</v>
      </c>
      <c r="F31" s="250">
        <f t="shared" si="1"/>
        <v>1.0053302325581395</v>
      </c>
      <c r="G31" s="278"/>
    </row>
    <row r="32" spans="1:9" ht="15">
      <c r="A32" s="3708"/>
      <c r="B32" s="266" t="s">
        <v>28</v>
      </c>
      <c r="C32" s="267">
        <f>+Global!C17+Global!C18+Global!C21+Global!C22+Global!C23</f>
        <v>129</v>
      </c>
      <c r="D32" s="267">
        <f>+Global!D17+Global!D18+Global!D21+Global!D22+Global!D23</f>
        <v>1.083</v>
      </c>
      <c r="E32" s="267">
        <f>+C32-D32</f>
        <v>127.917</v>
      </c>
      <c r="F32" s="268">
        <f t="shared" si="1"/>
        <v>8.3953488372093023E-3</v>
      </c>
      <c r="G32" s="281"/>
    </row>
    <row r="33" spans="1:7" ht="16.5" customHeight="1">
      <c r="A33" s="411" t="s">
        <v>29</v>
      </c>
      <c r="B33" s="269" t="s">
        <v>30</v>
      </c>
      <c r="C33" s="270">
        <f>+Global!C24+Global!C25+Global!C26</f>
        <v>405</v>
      </c>
      <c r="D33" s="270">
        <f>+Global!D24+Global!D25+Global!D26</f>
        <v>410.69119444444448</v>
      </c>
      <c r="E33" s="270">
        <f t="shared" ref="E33:E41" si="2">+C33-D33</f>
        <v>-5.6911944444444771</v>
      </c>
      <c r="F33" s="271">
        <f t="shared" si="1"/>
        <v>1.0140523319615913</v>
      </c>
      <c r="G33" s="283"/>
    </row>
    <row r="34" spans="1:7" ht="15">
      <c r="A34" s="3716" t="s">
        <v>31</v>
      </c>
      <c r="B34" s="260" t="s">
        <v>6</v>
      </c>
      <c r="C34" s="261">
        <f>+Global!C39</f>
        <v>196</v>
      </c>
      <c r="D34" s="261">
        <f>+Global!D39</f>
        <v>13.638</v>
      </c>
      <c r="E34" s="261">
        <f t="shared" si="2"/>
        <v>182.36199999999999</v>
      </c>
      <c r="F34" s="262">
        <f t="shared" si="1"/>
        <v>6.9581632653061221E-2</v>
      </c>
      <c r="G34" s="280"/>
    </row>
    <row r="35" spans="1:7" ht="15">
      <c r="A35" s="3718"/>
      <c r="B35" s="257" t="s">
        <v>7</v>
      </c>
      <c r="C35" s="258">
        <f>+Global!C40</f>
        <v>781</v>
      </c>
      <c r="D35" s="258">
        <f>+Global!D40</f>
        <v>817.72199999999998</v>
      </c>
      <c r="E35" s="258">
        <f t="shared" si="2"/>
        <v>-36.72199999999998</v>
      </c>
      <c r="F35" s="259">
        <f t="shared" si="1"/>
        <v>1.0470192061459667</v>
      </c>
      <c r="G35" s="279"/>
    </row>
    <row r="36" spans="1:7" ht="15">
      <c r="A36" s="3716" t="s">
        <v>32</v>
      </c>
      <c r="B36" s="272" t="s">
        <v>33</v>
      </c>
      <c r="C36" s="273">
        <f>+Global!C41</f>
        <v>20</v>
      </c>
      <c r="D36" s="273">
        <f>+Global!D41</f>
        <v>0</v>
      </c>
      <c r="E36" s="273">
        <f t="shared" si="2"/>
        <v>20</v>
      </c>
      <c r="F36" s="274">
        <f t="shared" si="1"/>
        <v>0</v>
      </c>
      <c r="G36" s="284"/>
    </row>
    <row r="37" spans="1:7" ht="15">
      <c r="A37" s="3717"/>
      <c r="B37" s="251" t="s">
        <v>6</v>
      </c>
      <c r="C37" s="252">
        <f>+Global!C42</f>
        <v>150</v>
      </c>
      <c r="D37" s="252">
        <f>+Global!D42</f>
        <v>0</v>
      </c>
      <c r="E37" s="252">
        <f t="shared" si="2"/>
        <v>150</v>
      </c>
      <c r="F37" s="253">
        <f t="shared" si="1"/>
        <v>0</v>
      </c>
      <c r="G37" s="285"/>
    </row>
    <row r="38" spans="1:7" ht="15">
      <c r="A38" s="3718"/>
      <c r="B38" s="263" t="s">
        <v>7</v>
      </c>
      <c r="C38" s="264">
        <f>+Global!C43</f>
        <v>515</v>
      </c>
      <c r="D38" s="264">
        <f>+Global!D43</f>
        <v>516.56600000000003</v>
      </c>
      <c r="E38" s="264">
        <f t="shared" si="2"/>
        <v>-1.5660000000000309</v>
      </c>
      <c r="F38" s="265">
        <f t="shared" si="1"/>
        <v>1.0030407766990292</v>
      </c>
      <c r="G38" s="286"/>
    </row>
    <row r="39" spans="1:7" ht="15">
      <c r="A39" s="3716" t="s">
        <v>36</v>
      </c>
      <c r="B39" s="272" t="s">
        <v>37</v>
      </c>
      <c r="C39" s="273">
        <f>+Global!C54</f>
        <v>525</v>
      </c>
      <c r="D39" s="273">
        <f>+Global!D54</f>
        <v>12.128</v>
      </c>
      <c r="E39" s="273">
        <f t="shared" si="2"/>
        <v>512.87199999999996</v>
      </c>
      <c r="F39" s="274">
        <f t="shared" si="1"/>
        <v>2.3100952380952382E-2</v>
      </c>
      <c r="G39" s="284"/>
    </row>
    <row r="40" spans="1:7" ht="15">
      <c r="A40" s="3717"/>
      <c r="B40" s="251" t="s">
        <v>33</v>
      </c>
      <c r="C40" s="252">
        <f>+Global!C55</f>
        <v>1975</v>
      </c>
      <c r="D40" s="252">
        <f>+Global!D55</f>
        <v>172.922</v>
      </c>
      <c r="E40" s="252">
        <f t="shared" si="2"/>
        <v>1802.078</v>
      </c>
      <c r="F40" s="253">
        <f t="shared" si="1"/>
        <v>8.7555443037974676E-2</v>
      </c>
      <c r="G40" s="285"/>
    </row>
    <row r="41" spans="1:7" ht="15.6" thickBot="1">
      <c r="A41" s="3718"/>
      <c r="B41" s="263" t="s">
        <v>38</v>
      </c>
      <c r="C41" s="1632">
        <f>+Global!C56</f>
        <v>625</v>
      </c>
      <c r="D41" s="264">
        <f>+Global!D56</f>
        <v>8.4260000000000002</v>
      </c>
      <c r="E41" s="264">
        <f t="shared" si="2"/>
        <v>616.57399999999996</v>
      </c>
      <c r="F41" s="265">
        <f t="shared" si="1"/>
        <v>1.34816E-2</v>
      </c>
      <c r="G41" s="286"/>
    </row>
    <row r="42" spans="1:7" ht="15">
      <c r="A42" s="3714" t="s">
        <v>838</v>
      </c>
      <c r="B42" s="1619" t="s">
        <v>23</v>
      </c>
      <c r="C42" s="1626">
        <f>+SUM(Global!C64)</f>
        <v>1800</v>
      </c>
      <c r="D42" s="1627">
        <f>+SUM(Global!D64)</f>
        <v>2459.86</v>
      </c>
      <c r="E42" s="1625">
        <f>+C42-D42</f>
        <v>-659.86000000000013</v>
      </c>
      <c r="F42" s="1631">
        <f>+D42/C42</f>
        <v>1.3665888888888889</v>
      </c>
      <c r="G42" s="1623"/>
    </row>
    <row r="43" spans="1:7" ht="13.8" thickBot="1">
      <c r="A43" s="3715"/>
      <c r="B43" s="1620" t="s">
        <v>35</v>
      </c>
      <c r="C43" s="1628">
        <f>+SUM(Global!C65)</f>
        <v>4000</v>
      </c>
      <c r="D43" s="1629">
        <f>+SUM(Global!D65)</f>
        <v>1586.11</v>
      </c>
      <c r="E43" s="1628">
        <f>+C43-D43</f>
        <v>2413.8900000000003</v>
      </c>
      <c r="F43" s="1630">
        <f>+D43/C43</f>
        <v>0.39652749999999998</v>
      </c>
      <c r="G43" s="1624"/>
    </row>
    <row r="44" spans="1:7">
      <c r="C44" s="291"/>
      <c r="D44" s="291"/>
      <c r="E44" s="291"/>
    </row>
    <row r="47" spans="1:7">
      <c r="D47" s="292"/>
    </row>
  </sheetData>
  <mergeCells count="12">
    <mergeCell ref="A42:A43"/>
    <mergeCell ref="A11:A17"/>
    <mergeCell ref="A27:A29"/>
    <mergeCell ref="A30:A32"/>
    <mergeCell ref="A39:A41"/>
    <mergeCell ref="A34:A35"/>
    <mergeCell ref="A36:A38"/>
    <mergeCell ref="A2:G2"/>
    <mergeCell ref="A3:G3"/>
    <mergeCell ref="A18:A22"/>
    <mergeCell ref="A23:A26"/>
    <mergeCell ref="A5:A9"/>
  </mergeCells>
  <phoneticPr fontId="0" type="noConversion"/>
  <pageMargins left="0.75" right="0.75" top="1" bottom="1" header="0" footer="0"/>
  <pageSetup paperSize="5" orientation="portrait" r:id="rId1"/>
  <headerFooter alignWithMargins="0"/>
  <legacyDrawing r:id="rId2"/>
</worksheet>
</file>

<file path=xl/worksheets/sheet2.xml><?xml version="1.0" encoding="utf-8"?>
<worksheet xmlns="http://schemas.openxmlformats.org/spreadsheetml/2006/main" xmlns:r="http://schemas.openxmlformats.org/officeDocument/2006/relationships">
  <sheetPr>
    <pageSetUpPr fitToPage="1"/>
  </sheetPr>
  <dimension ref="A2:DA409"/>
  <sheetViews>
    <sheetView workbookViewId="0">
      <selection activeCell="C6" sqref="C6"/>
    </sheetView>
  </sheetViews>
  <sheetFormatPr baseColWidth="10" defaultRowHeight="13.2"/>
  <cols>
    <col min="1" max="1" width="18.88671875" bestFit="1" customWidth="1"/>
    <col min="2" max="2" width="22.6640625" bestFit="1" customWidth="1"/>
    <col min="3" max="3" width="14.5546875" bestFit="1" customWidth="1"/>
    <col min="4" max="4" width="20.6640625" bestFit="1" customWidth="1"/>
    <col min="5" max="5" width="18" bestFit="1" customWidth="1"/>
    <col min="6" max="7" width="20.6640625" bestFit="1" customWidth="1"/>
  </cols>
  <sheetData>
    <row r="2" spans="1:105" ht="15">
      <c r="A2" s="3722" t="s">
        <v>312</v>
      </c>
      <c r="B2" s="3723"/>
      <c r="C2" s="3723"/>
      <c r="D2" s="3723"/>
      <c r="E2" s="3723"/>
      <c r="F2" s="3724"/>
      <c r="G2" s="459"/>
    </row>
    <row r="3" spans="1:105" ht="15">
      <c r="A3" s="3719" t="s">
        <v>1311</v>
      </c>
      <c r="B3" s="3720"/>
      <c r="C3" s="3720"/>
      <c r="D3" s="3720"/>
      <c r="E3" s="3720"/>
      <c r="F3" s="3721"/>
      <c r="G3" s="460"/>
    </row>
    <row r="4" spans="1:105" ht="19.5" customHeight="1">
      <c r="A4" s="1"/>
      <c r="B4" s="2"/>
      <c r="C4" s="3"/>
      <c r="D4" s="4"/>
      <c r="E4" s="4"/>
      <c r="F4" s="1"/>
      <c r="G4" s="1"/>
    </row>
    <row r="5" spans="1:105" ht="30">
      <c r="A5" s="198" t="s">
        <v>0</v>
      </c>
      <c r="B5" s="198" t="s">
        <v>1</v>
      </c>
      <c r="C5" s="238" t="s">
        <v>2</v>
      </c>
      <c r="D5" s="238" t="s">
        <v>3</v>
      </c>
      <c r="E5" s="238" t="s">
        <v>4</v>
      </c>
      <c r="F5" s="238" t="s">
        <v>341</v>
      </c>
      <c r="G5" s="238" t="s">
        <v>278</v>
      </c>
    </row>
    <row r="6" spans="1:105" ht="15">
      <c r="A6" s="2943" t="s">
        <v>11</v>
      </c>
      <c r="B6" s="2943" t="s">
        <v>37</v>
      </c>
      <c r="C6" s="3494">
        <f>+'Res. Global'!E7+'Res. Global'!E8</f>
        <v>73879</v>
      </c>
      <c r="D6" s="3494">
        <f>+SUM('Res. Global'!G7:G8)</f>
        <v>73839.433999999994</v>
      </c>
      <c r="E6" s="3494">
        <f t="shared" ref="E6:E40" si="0">+C6-D6</f>
        <v>39.56600000000617</v>
      </c>
      <c r="F6" s="3495">
        <f t="shared" ref="F6:F40" si="1">+D6/C6</f>
        <v>0.99946444862545503</v>
      </c>
      <c r="G6" s="3496">
        <v>1.0004208046323193</v>
      </c>
    </row>
    <row r="7" spans="1:105" ht="15">
      <c r="A7" s="2943" t="s">
        <v>11</v>
      </c>
      <c r="B7" s="2943" t="s">
        <v>33</v>
      </c>
      <c r="C7" s="3494">
        <f>+SUM('Res. Global'!E9:E10)</f>
        <v>22068</v>
      </c>
      <c r="D7" s="3494">
        <f>+SUM('Res. Global'!G9:G10)</f>
        <v>20013.478999999999</v>
      </c>
      <c r="E7" s="3494">
        <f t="shared" si="0"/>
        <v>2054.5210000000006</v>
      </c>
      <c r="F7" s="3495">
        <f t="shared" si="1"/>
        <v>0.9069004440819286</v>
      </c>
      <c r="G7" s="3496">
        <v>0.72571315661083113</v>
      </c>
    </row>
    <row r="8" spans="1:105" ht="15">
      <c r="A8" s="2943" t="s">
        <v>11</v>
      </c>
      <c r="B8" s="2943" t="s">
        <v>6</v>
      </c>
      <c r="C8" s="3494">
        <f>+SUM('Res. Global'!E11:E12)</f>
        <v>20615</v>
      </c>
      <c r="D8" s="3494">
        <f>+SUM('Res. Global'!G11:G12)</f>
        <v>19012.21</v>
      </c>
      <c r="E8" s="3494">
        <f>+C8-D8</f>
        <v>1602.7900000000009</v>
      </c>
      <c r="F8" s="3495">
        <f t="shared" si="1"/>
        <v>0.92225127334465196</v>
      </c>
      <c r="G8" s="3496">
        <v>1.0117219957835559</v>
      </c>
    </row>
    <row r="9" spans="1:105" ht="15">
      <c r="A9" s="2943" t="s">
        <v>11</v>
      </c>
      <c r="B9" s="2943" t="s">
        <v>7</v>
      </c>
      <c r="C9" s="3494">
        <f>+SUM('Res. Global'!E13:E14)</f>
        <v>8835</v>
      </c>
      <c r="D9" s="3494">
        <f>+SUM('Res. Global'!G13:G14)</f>
        <v>8530.7769999999982</v>
      </c>
      <c r="E9" s="3494">
        <f t="shared" si="0"/>
        <v>304.22300000000178</v>
      </c>
      <c r="F9" s="3495">
        <f t="shared" si="1"/>
        <v>0.96556615732880569</v>
      </c>
      <c r="G9" s="3496">
        <v>0.92120290449622588</v>
      </c>
    </row>
    <row r="10" spans="1:105" ht="15">
      <c r="A10" s="2943" t="s">
        <v>11</v>
      </c>
      <c r="B10" s="2943" t="s">
        <v>8</v>
      </c>
      <c r="C10" s="3494">
        <f>+SUM('Res. Global'!E15:E17)</f>
        <v>2410</v>
      </c>
      <c r="D10" s="3494">
        <f>+SUM('Res. Global'!G15:G17)</f>
        <v>2409.701</v>
      </c>
      <c r="E10" s="3494">
        <f t="shared" si="0"/>
        <v>0.29899999999997817</v>
      </c>
      <c r="F10" s="3495">
        <f t="shared" si="1"/>
        <v>0.99987593360995852</v>
      </c>
      <c r="G10" s="3496">
        <v>1.002419202743249</v>
      </c>
      <c r="DA10" s="3080"/>
    </row>
    <row r="11" spans="1:105" ht="15">
      <c r="A11" s="2943" t="s">
        <v>11</v>
      </c>
      <c r="B11" s="2943" t="s">
        <v>39</v>
      </c>
      <c r="C11" s="3494">
        <f>+SUM('Res. Global'!E18:E20)</f>
        <v>15</v>
      </c>
      <c r="D11" s="3494">
        <f>+SUM('Res. Global'!G18:G20)</f>
        <v>0</v>
      </c>
      <c r="E11" s="3494">
        <f t="shared" si="0"/>
        <v>15</v>
      </c>
      <c r="F11" s="3495">
        <f t="shared" si="1"/>
        <v>0</v>
      </c>
      <c r="G11" s="3496">
        <v>0</v>
      </c>
    </row>
    <row r="12" spans="1:105" s="3080" customFormat="1" ht="15">
      <c r="A12" s="2943" t="s">
        <v>11</v>
      </c>
      <c r="B12" s="2943" t="s">
        <v>40</v>
      </c>
      <c r="C12" s="3494">
        <f>+SUM('Res. Global'!E21:E23)</f>
        <v>258</v>
      </c>
      <c r="D12" s="3494">
        <f>+SUM('Res. Global'!G21:G23)</f>
        <v>580.08399999999995</v>
      </c>
      <c r="E12" s="3494">
        <f t="shared" si="0"/>
        <v>-322.08399999999995</v>
      </c>
      <c r="F12" s="3497">
        <f t="shared" si="1"/>
        <v>2.2483875968992244</v>
      </c>
      <c r="G12" s="3498">
        <v>2.3895702811244979</v>
      </c>
    </row>
    <row r="13" spans="1:105" ht="15">
      <c r="A13" s="2943" t="s">
        <v>11</v>
      </c>
      <c r="B13" s="2943" t="s">
        <v>12</v>
      </c>
      <c r="C13" s="3494">
        <f>+SUM('Res. Global'!E24:E25)</f>
        <v>30884</v>
      </c>
      <c r="D13" s="3494">
        <f>+SUM('Res. Global'!G24:G25)</f>
        <v>44144.65300000002</v>
      </c>
      <c r="E13" s="3494">
        <f t="shared" si="0"/>
        <v>-13260.65300000002</v>
      </c>
      <c r="F13" s="3497">
        <f t="shared" si="1"/>
        <v>1.4293696736174077</v>
      </c>
      <c r="G13" s="3498">
        <v>2.615587904588343</v>
      </c>
    </row>
    <row r="14" spans="1:105" ht="15">
      <c r="A14" s="2943" t="s">
        <v>11</v>
      </c>
      <c r="B14" s="2943" t="s">
        <v>34</v>
      </c>
      <c r="C14" s="3494">
        <f>+SUM('Res. Global'!E26:E28)</f>
        <v>481</v>
      </c>
      <c r="D14" s="3494">
        <f>+SUM('Res. Global'!G26:G28)</f>
        <v>90.125</v>
      </c>
      <c r="E14" s="3027">
        <f t="shared" si="0"/>
        <v>390.875</v>
      </c>
      <c r="F14" s="3495">
        <f t="shared" si="1"/>
        <v>0.18737006237006237</v>
      </c>
      <c r="G14" s="3496">
        <v>0.139156652360515</v>
      </c>
    </row>
    <row r="15" spans="1:105" ht="15">
      <c r="A15" s="2943" t="s">
        <v>11</v>
      </c>
      <c r="B15" s="2943" t="s">
        <v>13</v>
      </c>
      <c r="C15" s="3494">
        <f>+SUM('Res. Global'!E29:E31)</f>
        <v>2900</v>
      </c>
      <c r="D15" s="3494">
        <f>+SUM('Res. Global'!G29:G31)</f>
        <v>751.22900000000004</v>
      </c>
      <c r="E15" s="3027">
        <f t="shared" si="0"/>
        <v>2148.7709999999997</v>
      </c>
      <c r="F15" s="3495">
        <f t="shared" si="1"/>
        <v>0.25904448275862069</v>
      </c>
      <c r="G15" s="3496">
        <v>0.15908860719113488</v>
      </c>
    </row>
    <row r="16" spans="1:105" ht="15">
      <c r="A16" s="2943" t="s">
        <v>11</v>
      </c>
      <c r="B16" s="2943" t="s">
        <v>14</v>
      </c>
      <c r="C16" s="3494">
        <f>+SUM('Res. Global'!E32:E33)</f>
        <v>1787</v>
      </c>
      <c r="D16" s="3494">
        <f>+SUM('Res. Global'!G32:G33)</f>
        <v>98.711999999999989</v>
      </c>
      <c r="E16" s="3027">
        <f t="shared" si="0"/>
        <v>1688.288</v>
      </c>
      <c r="F16" s="3495">
        <f t="shared" si="1"/>
        <v>5.5238947957470613E-2</v>
      </c>
      <c r="G16" s="3496">
        <v>0.75441021868026636</v>
      </c>
    </row>
    <row r="17" spans="1:8" ht="15">
      <c r="A17" s="2943" t="s">
        <v>26</v>
      </c>
      <c r="B17" s="2943" t="s">
        <v>33</v>
      </c>
      <c r="C17" s="3494">
        <f>+SUM('Res. Global'!E34:E36)</f>
        <v>15</v>
      </c>
      <c r="D17" s="3494">
        <f>+SUM('Res. Global'!G34:G36)</f>
        <v>0</v>
      </c>
      <c r="E17" s="3027">
        <f t="shared" si="0"/>
        <v>15</v>
      </c>
      <c r="F17" s="3495">
        <f t="shared" si="1"/>
        <v>0</v>
      </c>
      <c r="G17" s="3496">
        <v>0</v>
      </c>
    </row>
    <row r="18" spans="1:8" ht="15">
      <c r="A18" s="2943" t="s">
        <v>26</v>
      </c>
      <c r="B18" s="2943" t="s">
        <v>6</v>
      </c>
      <c r="C18" s="3494">
        <f>+SUM('Res. Global'!E37:E39)</f>
        <v>90</v>
      </c>
      <c r="D18" s="3494">
        <f>+SUM('Res. Global'!G37:G39)</f>
        <v>1.083</v>
      </c>
      <c r="E18" s="3027">
        <f t="shared" si="0"/>
        <v>88.917000000000002</v>
      </c>
      <c r="F18" s="3495">
        <f t="shared" si="1"/>
        <v>1.2033333333333333E-2</v>
      </c>
      <c r="G18" s="3496">
        <v>0.36196666666666666</v>
      </c>
    </row>
    <row r="19" spans="1:8" ht="15">
      <c r="A19" s="2943" t="s">
        <v>26</v>
      </c>
      <c r="B19" s="2943" t="s">
        <v>7</v>
      </c>
      <c r="C19" s="3494">
        <f>+SUM('Res. Global'!E40:E42)</f>
        <v>430</v>
      </c>
      <c r="D19" s="3494">
        <f>+SUM('Res. Global'!G40:G42)</f>
        <v>437.98999999999995</v>
      </c>
      <c r="E19" s="3027">
        <f t="shared" si="0"/>
        <v>-7.9899999999999523</v>
      </c>
      <c r="F19" s="3495">
        <f t="shared" si="1"/>
        <v>1.0185813953488372</v>
      </c>
      <c r="G19" s="3496">
        <v>1.017013953488372</v>
      </c>
      <c r="H19" s="391"/>
    </row>
    <row r="20" spans="1:8" ht="15">
      <c r="A20" s="2943" t="s">
        <v>26</v>
      </c>
      <c r="B20" s="2943" t="s">
        <v>27</v>
      </c>
      <c r="C20" s="3494">
        <f>+SUM('Res. Global'!E43:E45)</f>
        <v>430</v>
      </c>
      <c r="D20" s="3494">
        <f>+SUM('Res. Global'!G43:G45)</f>
        <v>432.29199999999997</v>
      </c>
      <c r="E20" s="3027">
        <f t="shared" si="0"/>
        <v>-2.2919999999999732</v>
      </c>
      <c r="F20" s="3495">
        <f t="shared" si="1"/>
        <v>1.0053302325581395</v>
      </c>
      <c r="G20" s="3496">
        <v>0.99819488372093024</v>
      </c>
    </row>
    <row r="21" spans="1:8" ht="15">
      <c r="A21" s="2943" t="s">
        <v>26</v>
      </c>
      <c r="B21" s="2943" t="s">
        <v>39</v>
      </c>
      <c r="C21" s="3494">
        <f>+SUM('Res. Global'!E46:E48)</f>
        <v>8</v>
      </c>
      <c r="D21" s="3494">
        <f>+SUM('Res. Global'!G46:G48)</f>
        <v>0</v>
      </c>
      <c r="E21" s="3027">
        <f t="shared" si="0"/>
        <v>8</v>
      </c>
      <c r="F21" s="3495">
        <f t="shared" si="1"/>
        <v>0</v>
      </c>
      <c r="G21" s="3496">
        <v>0</v>
      </c>
    </row>
    <row r="22" spans="1:8" s="3080" customFormat="1" ht="15">
      <c r="A22" s="2943" t="s">
        <v>26</v>
      </c>
      <c r="B22" s="2943" t="s">
        <v>40</v>
      </c>
      <c r="C22" s="3494">
        <f>+SUM('Res. Global'!E49:E51)</f>
        <v>8</v>
      </c>
      <c r="D22" s="3494">
        <f>+SUM('Res. Global'!G49:G51)</f>
        <v>0</v>
      </c>
      <c r="E22" s="3027">
        <f t="shared" si="0"/>
        <v>8</v>
      </c>
      <c r="F22" s="3495">
        <f t="shared" si="1"/>
        <v>0</v>
      </c>
      <c r="G22" s="3496">
        <v>0</v>
      </c>
    </row>
    <row r="23" spans="1:8" ht="15">
      <c r="A23" s="2943" t="s">
        <v>26</v>
      </c>
      <c r="B23" s="2943" t="s">
        <v>9</v>
      </c>
      <c r="C23" s="3494">
        <f>+SUM('Res. Global'!E52:E54)</f>
        <v>8</v>
      </c>
      <c r="D23" s="3494">
        <f>+SUM('Res. Global'!G52:G54)</f>
        <v>0</v>
      </c>
      <c r="E23" s="3027">
        <f t="shared" si="0"/>
        <v>8</v>
      </c>
      <c r="F23" s="3495">
        <f t="shared" si="1"/>
        <v>0</v>
      </c>
      <c r="G23" s="3496">
        <v>0</v>
      </c>
    </row>
    <row r="24" spans="1:8" ht="15">
      <c r="A24" s="2943" t="s">
        <v>29</v>
      </c>
      <c r="B24" s="2943" t="s">
        <v>23</v>
      </c>
      <c r="C24" s="3494">
        <f>+SUM('Res. Global'!E55:E56)</f>
        <v>259</v>
      </c>
      <c r="D24" s="3494">
        <f>+SUM('Res. Global'!G55:G56)</f>
        <v>261.83689444444445</v>
      </c>
      <c r="E24" s="3027">
        <f t="shared" si="0"/>
        <v>-2.8368944444444537</v>
      </c>
      <c r="F24" s="3495">
        <f t="shared" si="1"/>
        <v>1.0109532604032605</v>
      </c>
      <c r="G24" s="3496">
        <v>1.0958584615384614</v>
      </c>
    </row>
    <row r="25" spans="1:8" ht="15">
      <c r="A25" s="2943" t="s">
        <v>29</v>
      </c>
      <c r="B25" s="2943" t="s">
        <v>35</v>
      </c>
      <c r="C25" s="3494">
        <f>+SUM('Res. Global'!E57:E58)</f>
        <v>85</v>
      </c>
      <c r="D25" s="3494">
        <f>+SUM('Res. Global'!G57:G58)</f>
        <v>86.10799999999999</v>
      </c>
      <c r="E25" s="3027">
        <f>+C25-D25</f>
        <v>-1.1079999999999899</v>
      </c>
      <c r="F25" s="3495">
        <f>+D25/C25</f>
        <v>1.013035294117647</v>
      </c>
      <c r="G25" s="3499">
        <v>0.83410703363914374</v>
      </c>
    </row>
    <row r="26" spans="1:8" ht="15">
      <c r="A26" s="2943" t="s">
        <v>29</v>
      </c>
      <c r="B26" s="2943" t="s">
        <v>25</v>
      </c>
      <c r="C26" s="3494">
        <f>+SUM('Res. Global'!E59:E60)</f>
        <v>61</v>
      </c>
      <c r="D26" s="3494">
        <f>+SUM('Res. Global'!G59:G60)</f>
        <v>62.746300000000005</v>
      </c>
      <c r="E26" s="3027">
        <f>+C26-D26</f>
        <v>-1.7463000000000051</v>
      </c>
      <c r="F26" s="3500">
        <f>+D26/C26</f>
        <v>1.028627868852459</v>
      </c>
      <c r="G26" s="3501">
        <v>1.0086484018264841</v>
      </c>
    </row>
    <row r="27" spans="1:8" ht="15">
      <c r="A27" s="2943" t="s">
        <v>5</v>
      </c>
      <c r="B27" s="2943" t="s">
        <v>37</v>
      </c>
      <c r="C27" s="3494">
        <f>+SUM('Res. Global'!E61:E62)</f>
        <v>875</v>
      </c>
      <c r="D27" s="3494">
        <f>+SUM('Res. Global'!G61:G62)</f>
        <v>8.4489999999999998</v>
      </c>
      <c r="E27" s="3027">
        <f t="shared" si="0"/>
        <v>866.55100000000004</v>
      </c>
      <c r="F27" s="3495">
        <f t="shared" si="1"/>
        <v>9.6559999999999997E-3</v>
      </c>
      <c r="G27" s="3496">
        <v>6.5688073394495426E-3</v>
      </c>
    </row>
    <row r="28" spans="1:8" ht="15">
      <c r="A28" s="2943" t="s">
        <v>5</v>
      </c>
      <c r="B28" s="2943" t="s">
        <v>33</v>
      </c>
      <c r="C28" s="3494">
        <f>+SUM('Res. Global'!E63:E64)</f>
        <v>875</v>
      </c>
      <c r="D28" s="3494">
        <f>+SUM('Res. Global'!G63:G64)</f>
        <v>107.57</v>
      </c>
      <c r="E28" s="3027">
        <f t="shared" si="0"/>
        <v>767.43000000000006</v>
      </c>
      <c r="F28" s="3495">
        <f t="shared" si="1"/>
        <v>0.12293714285714286</v>
      </c>
      <c r="G28" s="3496">
        <v>0.16505810397553519</v>
      </c>
    </row>
    <row r="29" spans="1:8" ht="15">
      <c r="A29" s="2943" t="s">
        <v>5</v>
      </c>
      <c r="B29" s="2943" t="s">
        <v>6</v>
      </c>
      <c r="C29" s="3494">
        <f>+SUM('Res. Global'!E65:E66)</f>
        <v>1141</v>
      </c>
      <c r="D29" s="3494">
        <f>+SUM('Res. Global'!G65:G66)</f>
        <v>1116.0609999999999</v>
      </c>
      <c r="E29" s="3027">
        <f t="shared" si="0"/>
        <v>24.939000000000078</v>
      </c>
      <c r="F29" s="3495">
        <f>+D29/C29</f>
        <v>0.97814285714285709</v>
      </c>
      <c r="G29" s="3496">
        <v>1.0173141891891893</v>
      </c>
    </row>
    <row r="30" spans="1:8" ht="15">
      <c r="A30" s="2943" t="s">
        <v>5</v>
      </c>
      <c r="B30" s="2943" t="s">
        <v>7</v>
      </c>
      <c r="C30" s="3494">
        <f>+SUM('Res. Global'!E67:E68)</f>
        <v>2662</v>
      </c>
      <c r="D30" s="3494">
        <f>+SUM('Res. Global'!G67:G68)</f>
        <v>2464.3780000000006</v>
      </c>
      <c r="E30" s="3027">
        <f t="shared" si="0"/>
        <v>197.62199999999939</v>
      </c>
      <c r="F30" s="3495">
        <f t="shared" si="1"/>
        <v>0.92576183320811445</v>
      </c>
      <c r="G30" s="3496">
        <v>0.89670094134685019</v>
      </c>
    </row>
    <row r="31" spans="1:8" ht="15">
      <c r="A31" s="2943" t="s">
        <v>5</v>
      </c>
      <c r="B31" s="2943" t="s">
        <v>8</v>
      </c>
      <c r="C31" s="3494">
        <f>+SUM('Res. Global'!E69:E70)</f>
        <v>1253</v>
      </c>
      <c r="D31" s="3494">
        <f>+SUM('Res. Global'!G69:G70)</f>
        <v>395.98500000000001</v>
      </c>
      <c r="E31" s="3027">
        <f t="shared" si="0"/>
        <v>857.01499999999999</v>
      </c>
      <c r="F31" s="3495">
        <f t="shared" si="1"/>
        <v>0.31602952913008781</v>
      </c>
      <c r="G31" s="3496">
        <v>0.13618447348193696</v>
      </c>
    </row>
    <row r="32" spans="1:8" ht="15">
      <c r="A32" s="2943" t="s">
        <v>5</v>
      </c>
      <c r="B32" s="2943" t="s">
        <v>39</v>
      </c>
      <c r="C32" s="3494">
        <f>+SUM('Res. Global'!E71:E72)</f>
        <v>5</v>
      </c>
      <c r="D32" s="3494">
        <f>+SUM('Res. Global'!G71:G72)</f>
        <v>0.46300000000000008</v>
      </c>
      <c r="E32" s="3027">
        <f t="shared" si="0"/>
        <v>4.5369999999999999</v>
      </c>
      <c r="F32" s="3495">
        <f t="shared" si="1"/>
        <v>9.2600000000000016E-2</v>
      </c>
      <c r="G32" s="3496">
        <v>1.4E-2</v>
      </c>
    </row>
    <row r="33" spans="1:8" s="3080" customFormat="1" ht="15">
      <c r="A33" s="2943" t="s">
        <v>5</v>
      </c>
      <c r="B33" s="2943" t="s">
        <v>40</v>
      </c>
      <c r="C33" s="3494">
        <f>+SUM('Res. Global'!E73:E74)</f>
        <v>41</v>
      </c>
      <c r="D33" s="3494">
        <f>+SUM('Res. Global'!G73:G74)</f>
        <v>14.818</v>
      </c>
      <c r="E33" s="3027">
        <f t="shared" si="0"/>
        <v>26.182000000000002</v>
      </c>
      <c r="F33" s="3495">
        <f t="shared" si="1"/>
        <v>0.36141463414634145</v>
      </c>
      <c r="G33" s="3496">
        <v>0.65481395348837212</v>
      </c>
    </row>
    <row r="34" spans="1:8" s="3080" customFormat="1" ht="15">
      <c r="A34" s="2943" t="s">
        <v>5</v>
      </c>
      <c r="B34" s="2943" t="s">
        <v>9</v>
      </c>
      <c r="C34" s="3494">
        <f>+SUM('Res. Global'!E75:E76)</f>
        <v>2671</v>
      </c>
      <c r="D34" s="3494">
        <f>+SUM('Res. Global'!G75:G76)</f>
        <v>2670.0630000000001</v>
      </c>
      <c r="E34" s="3027">
        <f t="shared" si="0"/>
        <v>0.93699999999989814</v>
      </c>
      <c r="F34" s="3495">
        <f t="shared" si="1"/>
        <v>0.99964919505803074</v>
      </c>
      <c r="G34" s="3496">
        <v>0.89481053771201713</v>
      </c>
    </row>
    <row r="35" spans="1:8" s="3080" customFormat="1" ht="15">
      <c r="A35" s="2943" t="s">
        <v>5</v>
      </c>
      <c r="B35" s="2943" t="s">
        <v>34</v>
      </c>
      <c r="C35" s="3494">
        <f>+SUM('Res. Global'!E77:E78)</f>
        <v>60</v>
      </c>
      <c r="D35" s="3494">
        <f>+SUM('Res. Global'!G77:G78)</f>
        <v>0</v>
      </c>
      <c r="E35" s="3027">
        <f t="shared" si="0"/>
        <v>60</v>
      </c>
      <c r="F35" s="3495">
        <f t="shared" si="1"/>
        <v>0</v>
      </c>
      <c r="G35" s="3496">
        <v>0</v>
      </c>
    </row>
    <row r="36" spans="1:8" s="3080" customFormat="1" ht="15">
      <c r="A36" s="2943" t="s">
        <v>5</v>
      </c>
      <c r="B36" s="2943" t="s">
        <v>13</v>
      </c>
      <c r="C36" s="3494">
        <f>+SUM('Res. Global'!E79:E80)</f>
        <v>312</v>
      </c>
      <c r="D36" s="3494">
        <f>+SUM('Res. Global'!G79:G80)</f>
        <v>0.52800000000000002</v>
      </c>
      <c r="E36" s="3027">
        <f t="shared" si="0"/>
        <v>311.47199999999998</v>
      </c>
      <c r="F36" s="3495">
        <f t="shared" si="1"/>
        <v>1.6923076923076924E-3</v>
      </c>
      <c r="G36" s="3496">
        <v>0</v>
      </c>
    </row>
    <row r="37" spans="1:8" s="3080" customFormat="1" ht="15">
      <c r="A37" s="2943" t="s">
        <v>5</v>
      </c>
      <c r="B37" s="2943" t="s">
        <v>14</v>
      </c>
      <c r="C37" s="3494">
        <f>+SUM('Res. Global'!E81:E82)</f>
        <v>2090</v>
      </c>
      <c r="D37" s="3494">
        <f>+SUM('Res. Global'!G81:G82)</f>
        <v>608.221</v>
      </c>
      <c r="E37" s="3027">
        <f t="shared" si="0"/>
        <v>1481.779</v>
      </c>
      <c r="F37" s="3495">
        <f t="shared" si="1"/>
        <v>0.29101483253588517</v>
      </c>
      <c r="G37" s="3496">
        <v>0</v>
      </c>
      <c r="H37" s="3503"/>
    </row>
    <row r="38" spans="1:8" s="3080" customFormat="1" ht="15">
      <c r="A38" s="2943" t="s">
        <v>524</v>
      </c>
      <c r="B38" s="3502" t="s">
        <v>525</v>
      </c>
      <c r="C38" s="3494">
        <f>+SUM('Res. Global'!C83)</f>
        <v>138240</v>
      </c>
      <c r="D38" s="3494">
        <f>+SUM('Res. Global'!G83)</f>
        <v>100599.53880000001</v>
      </c>
      <c r="E38" s="3027">
        <f t="shared" si="0"/>
        <v>37640.461199999991</v>
      </c>
      <c r="F38" s="3495">
        <f t="shared" si="1"/>
        <v>0.72771657118055566</v>
      </c>
      <c r="G38" s="3496">
        <v>0</v>
      </c>
      <c r="H38" s="3503"/>
    </row>
    <row r="39" spans="1:8" s="3080" customFormat="1" ht="15">
      <c r="A39" s="2943" t="s">
        <v>31</v>
      </c>
      <c r="B39" s="2943" t="s">
        <v>6</v>
      </c>
      <c r="C39" s="3494">
        <f>+SUM('Res. Global'!E84:E86)</f>
        <v>196</v>
      </c>
      <c r="D39" s="3494">
        <f>+SUM('Res. Global'!G84:G86)</f>
        <v>13.638</v>
      </c>
      <c r="E39" s="3027">
        <f t="shared" si="0"/>
        <v>182.36199999999999</v>
      </c>
      <c r="F39" s="3495">
        <f>+D39/C39</f>
        <v>6.9581632653061221E-2</v>
      </c>
      <c r="G39" s="3496">
        <v>0.56482132564841503</v>
      </c>
    </row>
    <row r="40" spans="1:8" s="3080" customFormat="1" ht="15">
      <c r="A40" s="2943" t="s">
        <v>31</v>
      </c>
      <c r="B40" s="2943" t="s">
        <v>7</v>
      </c>
      <c r="C40" s="3494">
        <f>+SUM('Res. Global'!E87:E89)</f>
        <v>781</v>
      </c>
      <c r="D40" s="3494">
        <f>+SUM('Res. Global'!G87:G89)</f>
        <v>817.72199999999998</v>
      </c>
      <c r="E40" s="3027">
        <f t="shared" si="0"/>
        <v>-36.72199999999998</v>
      </c>
      <c r="F40" s="3495">
        <f t="shared" si="1"/>
        <v>1.0470192061459667</v>
      </c>
      <c r="G40" s="3496">
        <v>1.0077206349206347</v>
      </c>
    </row>
    <row r="41" spans="1:8" s="3080" customFormat="1" ht="15">
      <c r="A41" s="2943" t="s">
        <v>32</v>
      </c>
      <c r="B41" s="2943" t="s">
        <v>33</v>
      </c>
      <c r="C41" s="3494">
        <f>+SUM('Res. Global'!E90:E92)</f>
        <v>20</v>
      </c>
      <c r="D41" s="3494">
        <f>+SUM('Res. Global'!G90:G92)</f>
        <v>0</v>
      </c>
      <c r="E41" s="3027">
        <f t="shared" ref="E41:E65" si="2">+C41-D41</f>
        <v>20</v>
      </c>
      <c r="F41" s="3495">
        <f t="shared" ref="F41:F65" si="3">+D41/C41</f>
        <v>0</v>
      </c>
      <c r="G41" s="3496">
        <v>0</v>
      </c>
    </row>
    <row r="42" spans="1:8" s="3080" customFormat="1" ht="15">
      <c r="A42" s="2943" t="s">
        <v>32</v>
      </c>
      <c r="B42" s="2943" t="s">
        <v>6</v>
      </c>
      <c r="C42" s="3494">
        <f>+SUM('Res. Global'!E93:E95)</f>
        <v>150</v>
      </c>
      <c r="D42" s="3494">
        <f>+SUM('Res. Global'!G93:G95)</f>
        <v>0</v>
      </c>
      <c r="E42" s="3027">
        <f t="shared" si="2"/>
        <v>150</v>
      </c>
      <c r="F42" s="3495">
        <f t="shared" si="3"/>
        <v>0</v>
      </c>
      <c r="G42" s="3496">
        <v>8.2352941176470595E-5</v>
      </c>
    </row>
    <row r="43" spans="1:8" s="3080" customFormat="1" ht="15">
      <c r="A43" s="2943" t="s">
        <v>32</v>
      </c>
      <c r="B43" s="2943" t="s">
        <v>7</v>
      </c>
      <c r="C43" s="3494">
        <f>+SUM('Res. Global'!E96:E98)</f>
        <v>515</v>
      </c>
      <c r="D43" s="3494">
        <f>+SUM('Res. Global'!G96:G98)</f>
        <v>516.56600000000003</v>
      </c>
      <c r="E43" s="3027">
        <f t="shared" si="2"/>
        <v>-1.5660000000000309</v>
      </c>
      <c r="F43" s="3495">
        <f t="shared" si="3"/>
        <v>1.0030407766990292</v>
      </c>
      <c r="G43" s="3496">
        <v>0.9938553191489361</v>
      </c>
    </row>
    <row r="44" spans="1:8" s="3080" customFormat="1" ht="15">
      <c r="A44" s="2943" t="s">
        <v>18</v>
      </c>
      <c r="B44" s="2943" t="s">
        <v>41</v>
      </c>
      <c r="C44" s="3494">
        <f>+SUM('Res. Global'!E99:E104)</f>
        <v>665.96400000000006</v>
      </c>
      <c r="D44" s="3494">
        <f>+SUM('Res. Global'!G99:G104)</f>
        <v>514.30000000000007</v>
      </c>
      <c r="E44" s="3027">
        <f t="shared" si="2"/>
        <v>151.66399999999999</v>
      </c>
      <c r="F44" s="3495">
        <f t="shared" si="3"/>
        <v>0.77226396622039628</v>
      </c>
      <c r="G44" s="3496">
        <v>0.6764270769490881</v>
      </c>
    </row>
    <row r="45" spans="1:8" s="3080" customFormat="1" ht="15">
      <c r="A45" s="2943" t="s">
        <v>18</v>
      </c>
      <c r="B45" s="2943" t="s">
        <v>19</v>
      </c>
      <c r="C45" s="3494">
        <f>+SUM('Res. Global'!E105:E110)</f>
        <v>4024.3310000000001</v>
      </c>
      <c r="D45" s="3494">
        <f>+SUM('Res. Global'!G105:G110)</f>
        <v>3475.0329999999999</v>
      </c>
      <c r="E45" s="3027">
        <f t="shared" si="2"/>
        <v>549.29800000000023</v>
      </c>
      <c r="F45" s="3495">
        <f t="shared" si="3"/>
        <v>0.86350576033631421</v>
      </c>
      <c r="G45" s="3496">
        <v>0.92744060868617073</v>
      </c>
      <c r="H45" s="3504"/>
    </row>
    <row r="46" spans="1:8" s="3080" customFormat="1" ht="15">
      <c r="A46" s="2943" t="s">
        <v>18</v>
      </c>
      <c r="B46" s="2943" t="s">
        <v>42</v>
      </c>
      <c r="C46" s="3494">
        <f>+SUM('Res. Global'!E111:E114)</f>
        <v>1095.2080000000001</v>
      </c>
      <c r="D46" s="3494">
        <f>+SUM('Res. Global'!G111:G114)</f>
        <v>972.07499999999982</v>
      </c>
      <c r="E46" s="3027">
        <f t="shared" si="2"/>
        <v>123.13300000000027</v>
      </c>
      <c r="F46" s="3495">
        <f t="shared" si="3"/>
        <v>0.88757112804143112</v>
      </c>
      <c r="G46" s="3496">
        <v>1.0182538056799952</v>
      </c>
      <c r="H46" s="3504"/>
    </row>
    <row r="47" spans="1:8" s="3080" customFormat="1" ht="15">
      <c r="A47" s="2943" t="s">
        <v>18</v>
      </c>
      <c r="B47" s="2943" t="s">
        <v>20</v>
      </c>
      <c r="C47" s="3494">
        <f>+SUM('Res. Global'!E115:E122)</f>
        <v>5408.8180000000002</v>
      </c>
      <c r="D47" s="3494">
        <f>+SUM('Res. Global'!G115:G122)</f>
        <v>4698.3050000000003</v>
      </c>
      <c r="E47" s="3027">
        <f t="shared" si="2"/>
        <v>710.51299999999992</v>
      </c>
      <c r="F47" s="3495">
        <f t="shared" si="3"/>
        <v>0.86863802775393817</v>
      </c>
      <c r="G47" s="3496">
        <v>1.0021741120799186</v>
      </c>
      <c r="H47" s="3504"/>
    </row>
    <row r="48" spans="1:8" s="3080" customFormat="1" ht="15">
      <c r="A48" s="2943" t="s">
        <v>18</v>
      </c>
      <c r="B48" s="2943" t="s">
        <v>43</v>
      </c>
      <c r="C48" s="3494">
        <f>+SUM('Res. Global'!E123:E128)</f>
        <v>4867.2139999999999</v>
      </c>
      <c r="D48" s="3494">
        <f>+SUM('Res. Global'!G123:G128)</f>
        <v>3372.1099999999997</v>
      </c>
      <c r="E48" s="3027">
        <f t="shared" si="2"/>
        <v>1495.1040000000003</v>
      </c>
      <c r="F48" s="3495">
        <f t="shared" si="3"/>
        <v>0.69282139638815954</v>
      </c>
      <c r="G48" s="3496">
        <v>0.97623271185567384</v>
      </c>
      <c r="H48" s="3504"/>
    </row>
    <row r="49" spans="1:8" s="3080" customFormat="1" ht="15">
      <c r="A49" s="2943" t="s">
        <v>18</v>
      </c>
      <c r="B49" s="2943" t="s">
        <v>44</v>
      </c>
      <c r="C49" s="3494">
        <f>+SUM('Res. Global'!E129:E130)</f>
        <v>24.841000000000001</v>
      </c>
      <c r="D49" s="3494">
        <f>+SUM('Res. Global'!G129:G130)</f>
        <v>0</v>
      </c>
      <c r="E49" s="3027">
        <f t="shared" si="2"/>
        <v>24.841000000000001</v>
      </c>
      <c r="F49" s="3495">
        <f t="shared" si="3"/>
        <v>0</v>
      </c>
      <c r="G49" s="3496">
        <v>6.9244085401038671E-2</v>
      </c>
    </row>
    <row r="50" spans="1:8" s="3080" customFormat="1" ht="15">
      <c r="A50" s="2943" t="s">
        <v>18</v>
      </c>
      <c r="B50" s="2943" t="s">
        <v>45</v>
      </c>
      <c r="C50" s="3494">
        <f>+SUM('Res. Global'!E131:E132)</f>
        <v>22.979000000000003</v>
      </c>
      <c r="D50" s="3494">
        <f>+SUM('Res. Global'!G131:G132)</f>
        <v>0.53500000000000003</v>
      </c>
      <c r="E50" s="3027">
        <f t="shared" si="2"/>
        <v>22.444000000000003</v>
      </c>
      <c r="F50" s="3495">
        <f t="shared" si="3"/>
        <v>2.3282127159580484E-2</v>
      </c>
      <c r="G50" s="3496">
        <v>0.16804591009273506</v>
      </c>
    </row>
    <row r="51" spans="1:8" s="3080" customFormat="1" ht="15">
      <c r="A51" s="2943" t="s">
        <v>22</v>
      </c>
      <c r="B51" s="2943" t="s">
        <v>23</v>
      </c>
      <c r="C51" s="3494">
        <f>+SUM('Res. Global'!E133:E134)</f>
        <v>5999.9999999999991</v>
      </c>
      <c r="D51" s="3494">
        <f>+SUM('Res. Global'!G133:G134)</f>
        <v>4089.0715555555557</v>
      </c>
      <c r="E51" s="3027">
        <f t="shared" si="2"/>
        <v>1910.9284444444434</v>
      </c>
      <c r="F51" s="3495">
        <f t="shared" si="3"/>
        <v>0.68151192592592602</v>
      </c>
      <c r="G51" s="3496">
        <v>0.72267763939839913</v>
      </c>
    </row>
    <row r="52" spans="1:8" s="3080" customFormat="1" ht="15">
      <c r="A52" s="2943" t="s">
        <v>22</v>
      </c>
      <c r="B52" s="2943" t="s">
        <v>24</v>
      </c>
      <c r="C52" s="3494">
        <f>+SUM('M.sur XI'!K24)</f>
        <v>3298.8240000000001</v>
      </c>
      <c r="D52" s="3494">
        <f>+SUM('M.sur XI'!M24)</f>
        <v>1954.5930000000001</v>
      </c>
      <c r="E52" s="3027">
        <f t="shared" si="2"/>
        <v>1344.231</v>
      </c>
      <c r="F52" s="3495">
        <f t="shared" si="3"/>
        <v>0.59251205884278757</v>
      </c>
      <c r="G52" s="3496">
        <v>0.99605075993031467</v>
      </c>
    </row>
    <row r="53" spans="1:8" s="3080" customFormat="1" ht="15">
      <c r="A53" s="2943" t="s">
        <v>22</v>
      </c>
      <c r="B53" s="2943" t="s">
        <v>25</v>
      </c>
      <c r="C53" s="3494">
        <f>+SUM('Res. Global'!E137:E138)</f>
        <v>1664</v>
      </c>
      <c r="D53" s="3494">
        <f>+SUM('Res. Global'!G137:G138)</f>
        <v>1369.8014900000001</v>
      </c>
      <c r="E53" s="3027">
        <f t="shared" si="2"/>
        <v>294.19850999999994</v>
      </c>
      <c r="F53" s="3495">
        <f t="shared" si="3"/>
        <v>0.8231980108173077</v>
      </c>
      <c r="G53" s="3496">
        <v>0.39997581513137076</v>
      </c>
      <c r="H53" s="3505"/>
    </row>
    <row r="54" spans="1:8" ht="15">
      <c r="A54" s="2943" t="s">
        <v>36</v>
      </c>
      <c r="B54" s="2943" t="s">
        <v>37</v>
      </c>
      <c r="C54" s="3494">
        <f>+SUM('Res. Global'!E139:E140)</f>
        <v>525</v>
      </c>
      <c r="D54" s="3494">
        <f>+SUM('Res. Global'!G139:G140)</f>
        <v>12.128</v>
      </c>
      <c r="E54" s="3027">
        <f t="shared" si="2"/>
        <v>512.87199999999996</v>
      </c>
      <c r="F54" s="3495">
        <f t="shared" si="3"/>
        <v>2.3100952380952382E-2</v>
      </c>
      <c r="G54" s="3496">
        <v>7.453416149068322E-3</v>
      </c>
    </row>
    <row r="55" spans="1:8" ht="15">
      <c r="A55" s="2943" t="s">
        <v>36</v>
      </c>
      <c r="B55" s="2943" t="s">
        <v>33</v>
      </c>
      <c r="C55" s="3494">
        <f>+SUM('Res. Global'!E141:E142)</f>
        <v>1975</v>
      </c>
      <c r="D55" s="3494">
        <f>+SUM('Res. Global'!G141:G142)</f>
        <v>172.922</v>
      </c>
      <c r="E55" s="3027">
        <f t="shared" si="2"/>
        <v>1802.078</v>
      </c>
      <c r="F55" s="3495">
        <f t="shared" si="3"/>
        <v>8.7555443037974676E-2</v>
      </c>
      <c r="G55" s="3496">
        <v>6.3241607044578971E-3</v>
      </c>
    </row>
    <row r="56" spans="1:8" ht="15">
      <c r="A56" s="2943" t="s">
        <v>36</v>
      </c>
      <c r="B56" s="2943" t="s">
        <v>38</v>
      </c>
      <c r="C56" s="3494">
        <f>+SUM('Res. Global'!E143:E144)</f>
        <v>625</v>
      </c>
      <c r="D56" s="3494">
        <f>+SUM('Res. Global'!G143:G144)</f>
        <v>8.4260000000000002</v>
      </c>
      <c r="E56" s="3027">
        <f t="shared" si="2"/>
        <v>616.57399999999996</v>
      </c>
      <c r="F56" s="3495">
        <f t="shared" si="3"/>
        <v>1.34816E-2</v>
      </c>
      <c r="G56" s="3496">
        <v>8.6783999999999993E-3</v>
      </c>
    </row>
    <row r="57" spans="1:8" ht="15">
      <c r="A57" s="2943" t="s">
        <v>16</v>
      </c>
      <c r="B57" s="2943" t="s">
        <v>8</v>
      </c>
      <c r="C57" s="3494">
        <f>+SUM('Res. Global'!E145:E147)</f>
        <v>10352</v>
      </c>
      <c r="D57" s="3494">
        <f>+SUM('Res. Global'!G145:G147)</f>
        <v>9712.112000000001</v>
      </c>
      <c r="E57" s="3027">
        <f t="shared" si="2"/>
        <v>639.88799999999901</v>
      </c>
      <c r="F57" s="3495">
        <f>+D57/C57</f>
        <v>0.93818701700154572</v>
      </c>
      <c r="G57" s="3496">
        <v>1.0426917595775003</v>
      </c>
    </row>
    <row r="58" spans="1:8" ht="15">
      <c r="A58" s="2943" t="s">
        <v>16</v>
      </c>
      <c r="B58" s="2943" t="s">
        <v>39</v>
      </c>
      <c r="C58" s="3494">
        <f>+SUM('Res. Global'!E148:E150)</f>
        <v>244</v>
      </c>
      <c r="D58" s="3494">
        <f>+SUM('Res. Global'!G148:G150)</f>
        <v>0</v>
      </c>
      <c r="E58" s="3027">
        <f t="shared" si="2"/>
        <v>244</v>
      </c>
      <c r="F58" s="3495">
        <f t="shared" si="3"/>
        <v>0</v>
      </c>
      <c r="G58" s="3496">
        <v>0</v>
      </c>
    </row>
    <row r="59" spans="1:8" s="3080" customFormat="1" ht="15">
      <c r="A59" s="2943" t="s">
        <v>16</v>
      </c>
      <c r="B59" s="2943" t="s">
        <v>40</v>
      </c>
      <c r="C59" s="3494">
        <f>+SUM('Res. Global'!E151:E153)</f>
        <v>3743</v>
      </c>
      <c r="D59" s="3494">
        <f>+SUM('Res. Global'!G151:G153)</f>
        <v>1907.9879999999998</v>
      </c>
      <c r="E59" s="3027">
        <f t="shared" si="2"/>
        <v>1835.0120000000002</v>
      </c>
      <c r="F59" s="3495">
        <f t="shared" si="3"/>
        <v>0.50974833021640387</v>
      </c>
      <c r="G59" s="3496">
        <v>0.84854097056483702</v>
      </c>
    </row>
    <row r="60" spans="1:8" ht="15">
      <c r="A60" s="2943" t="s">
        <v>16</v>
      </c>
      <c r="B60" s="2943" t="s">
        <v>12</v>
      </c>
      <c r="C60" s="3494">
        <f>+SUM('Res. Global'!E154:E155)</f>
        <v>588550.23200000008</v>
      </c>
      <c r="D60" s="3494">
        <f>+SUM('Res. Global'!G154:G155)</f>
        <v>475542.86900000012</v>
      </c>
      <c r="E60" s="3027">
        <f t="shared" si="2"/>
        <v>113007.36299999995</v>
      </c>
      <c r="F60" s="3495">
        <f t="shared" si="3"/>
        <v>0.80799028382678484</v>
      </c>
      <c r="G60" s="3496">
        <v>0.88391436502652532</v>
      </c>
      <c r="H60" s="183"/>
    </row>
    <row r="61" spans="1:8" ht="15">
      <c r="A61" s="2943" t="s">
        <v>16</v>
      </c>
      <c r="B61" s="2943" t="s">
        <v>34</v>
      </c>
      <c r="C61" s="3494">
        <f>+SUM('Res. Global'!E156:E158)</f>
        <v>8640</v>
      </c>
      <c r="D61" s="3494">
        <f>+SUM('Res. Global'!G156:G158)</f>
        <v>8665.3639999999996</v>
      </c>
      <c r="E61" s="3027">
        <f t="shared" si="2"/>
        <v>-25.363999999999578</v>
      </c>
      <c r="F61" s="3495">
        <f t="shared" si="3"/>
        <v>1.0029356481481482</v>
      </c>
      <c r="G61" s="3496">
        <v>1.0630971062052506</v>
      </c>
      <c r="H61" s="168"/>
    </row>
    <row r="62" spans="1:8" ht="15">
      <c r="A62" s="2943" t="s">
        <v>16</v>
      </c>
      <c r="B62" s="2943" t="s">
        <v>13</v>
      </c>
      <c r="C62" s="3494">
        <f>+SUM('Res. Global'!E159:E161)</f>
        <v>88434.014000000025</v>
      </c>
      <c r="D62" s="3494">
        <f>+SUM('Res. Global'!G159:G161)</f>
        <v>88025.84199999999</v>
      </c>
      <c r="E62" s="3027">
        <f t="shared" si="2"/>
        <v>408.17200000003504</v>
      </c>
      <c r="F62" s="3495">
        <f t="shared" si="3"/>
        <v>0.99538444562744788</v>
      </c>
      <c r="G62" s="3496">
        <v>0.89727586304382378</v>
      </c>
      <c r="H62" s="184"/>
    </row>
    <row r="63" spans="1:8" ht="15">
      <c r="A63" s="2943" t="s">
        <v>16</v>
      </c>
      <c r="B63" s="2943" t="s">
        <v>14</v>
      </c>
      <c r="C63" s="3494">
        <f>+SUM('Res. Global'!E162:E163)</f>
        <v>39582</v>
      </c>
      <c r="D63" s="3494">
        <f>+SUM('Res. Global'!G162:G163)</f>
        <v>17754.391000000003</v>
      </c>
      <c r="E63" s="3027">
        <f t="shared" si="2"/>
        <v>21827.608999999997</v>
      </c>
      <c r="F63" s="3495">
        <f t="shared" si="3"/>
        <v>0.44854709211257648</v>
      </c>
      <c r="G63" s="3496">
        <v>0.23348241808378942</v>
      </c>
    </row>
    <row r="64" spans="1:8" ht="15">
      <c r="A64" s="2943" t="s">
        <v>842</v>
      </c>
      <c r="B64" s="2943" t="s">
        <v>23</v>
      </c>
      <c r="C64" s="3494">
        <f>+SUM('Res. Global'!E164:E165)</f>
        <v>1800</v>
      </c>
      <c r="D64" s="3494">
        <f>+SUM('Res. Global'!G164:G165)</f>
        <v>2459.86</v>
      </c>
      <c r="E64" s="3494">
        <f t="shared" si="2"/>
        <v>-659.86000000000013</v>
      </c>
      <c r="F64" s="3497">
        <f t="shared" si="3"/>
        <v>1.3665888888888889</v>
      </c>
      <c r="G64" s="3496">
        <v>0</v>
      </c>
    </row>
    <row r="65" spans="1:7" ht="15">
      <c r="A65" s="2943" t="s">
        <v>842</v>
      </c>
      <c r="B65" s="2943" t="s">
        <v>35</v>
      </c>
      <c r="C65" s="3494">
        <f>+SUM('Res. Global'!C166)</f>
        <v>4000</v>
      </c>
      <c r="D65" s="3494">
        <f>+SUM('Res. Global'!G166)</f>
        <v>1586.11</v>
      </c>
      <c r="E65" s="3494">
        <f t="shared" si="2"/>
        <v>2413.8900000000003</v>
      </c>
      <c r="F65" s="3495">
        <f t="shared" si="3"/>
        <v>0.39652749999999998</v>
      </c>
      <c r="G65" s="3496">
        <v>0</v>
      </c>
    </row>
    <row r="66" spans="1:7">
      <c r="A66" s="168"/>
      <c r="C66" s="241">
        <f>SUM(C6:C65)</f>
        <v>1092955.425</v>
      </c>
      <c r="D66" s="1621">
        <f>SUM(D6:D65)</f>
        <v>906380.29703999986</v>
      </c>
      <c r="E66" s="241"/>
      <c r="F66" s="241"/>
    </row>
    <row r="67" spans="1:7" ht="15">
      <c r="A67" s="168"/>
      <c r="B67" s="950" t="s">
        <v>732</v>
      </c>
      <c r="C67" s="951">
        <v>357.18</v>
      </c>
      <c r="D67" s="1622">
        <f>+D66/C66</f>
        <v>0.82929301260387611</v>
      </c>
      <c r="E67" s="168"/>
      <c r="F67" s="243"/>
    </row>
    <row r="68" spans="1:7" ht="15">
      <c r="A68" s="168"/>
      <c r="B68" s="949" t="s">
        <v>731</v>
      </c>
      <c r="C68" s="948">
        <f>SUM(C66:C67)</f>
        <v>1093312.605</v>
      </c>
      <c r="D68" s="169"/>
      <c r="E68" s="241"/>
    </row>
    <row r="69" spans="1:7">
      <c r="A69" s="168"/>
      <c r="C69" s="168"/>
    </row>
    <row r="70" spans="1:7">
      <c r="A70" s="168"/>
      <c r="C70" s="168"/>
    </row>
    <row r="71" spans="1:7">
      <c r="A71" s="168"/>
      <c r="C71" s="168"/>
    </row>
    <row r="72" spans="1:7">
      <c r="A72" s="168"/>
      <c r="C72" s="168"/>
    </row>
    <row r="73" spans="1:7">
      <c r="A73" s="168"/>
      <c r="C73" s="168"/>
    </row>
    <row r="74" spans="1:7">
      <c r="A74" s="168"/>
      <c r="C74" s="168"/>
    </row>
    <row r="75" spans="1:7">
      <c r="A75" s="168"/>
      <c r="C75" s="168"/>
    </row>
    <row r="76" spans="1:7">
      <c r="A76" s="168"/>
      <c r="C76" s="168"/>
    </row>
    <row r="77" spans="1:7">
      <c r="A77" s="168"/>
      <c r="C77" s="168"/>
    </row>
    <row r="78" spans="1:7">
      <c r="A78" s="168"/>
      <c r="C78" s="168"/>
    </row>
    <row r="79" spans="1:7">
      <c r="A79" s="168"/>
      <c r="C79" s="168"/>
    </row>
    <row r="80" spans="1:7">
      <c r="A80" s="168"/>
      <c r="C80" s="168"/>
    </row>
    <row r="81" spans="1:3">
      <c r="A81" s="168"/>
      <c r="C81" s="168"/>
    </row>
    <row r="82" spans="1:3">
      <c r="A82" s="168"/>
      <c r="C82" s="168"/>
    </row>
    <row r="83" spans="1:3">
      <c r="A83" s="168"/>
      <c r="C83" s="168"/>
    </row>
    <row r="84" spans="1:3">
      <c r="A84" s="168"/>
      <c r="C84" s="168"/>
    </row>
    <row r="85" spans="1:3">
      <c r="A85" s="168"/>
      <c r="C85" s="168"/>
    </row>
    <row r="86" spans="1:3">
      <c r="A86" s="168"/>
      <c r="C86" s="168"/>
    </row>
    <row r="87" spans="1:3">
      <c r="A87" s="168"/>
      <c r="C87" s="168"/>
    </row>
    <row r="88" spans="1:3">
      <c r="A88" s="168"/>
      <c r="C88" s="168"/>
    </row>
    <row r="89" spans="1:3">
      <c r="A89" s="168"/>
      <c r="C89" s="168"/>
    </row>
    <row r="90" spans="1:3">
      <c r="A90" s="168"/>
      <c r="C90" s="168"/>
    </row>
    <row r="91" spans="1:3">
      <c r="A91" s="168"/>
      <c r="C91" s="168"/>
    </row>
    <row r="92" spans="1:3">
      <c r="A92" s="168"/>
      <c r="C92" s="168"/>
    </row>
    <row r="93" spans="1:3">
      <c r="A93" s="168"/>
      <c r="C93" s="168"/>
    </row>
    <row r="94" spans="1:3">
      <c r="A94" s="168"/>
      <c r="C94" s="168"/>
    </row>
    <row r="95" spans="1:3">
      <c r="A95" s="168"/>
      <c r="C95" s="168"/>
    </row>
    <row r="96" spans="1:3">
      <c r="A96" s="168"/>
      <c r="C96" s="168"/>
    </row>
    <row r="97" spans="1:3">
      <c r="A97" s="168"/>
      <c r="C97" s="168"/>
    </row>
    <row r="98" spans="1:3">
      <c r="A98" s="168"/>
      <c r="C98" s="168"/>
    </row>
    <row r="99" spans="1:3">
      <c r="A99" s="168"/>
      <c r="C99" s="168"/>
    </row>
    <row r="100" spans="1:3">
      <c r="A100" s="168"/>
      <c r="C100" s="168"/>
    </row>
    <row r="101" spans="1:3">
      <c r="A101" s="168"/>
      <c r="C101" s="168"/>
    </row>
    <row r="102" spans="1:3">
      <c r="A102" s="168"/>
      <c r="C102" s="168"/>
    </row>
    <row r="103" spans="1:3">
      <c r="A103" s="168"/>
      <c r="C103" s="168"/>
    </row>
    <row r="104" spans="1:3">
      <c r="A104" s="168"/>
      <c r="C104" s="168"/>
    </row>
    <row r="105" spans="1:3">
      <c r="A105" s="168"/>
      <c r="C105" s="168"/>
    </row>
    <row r="106" spans="1:3">
      <c r="A106" s="168"/>
      <c r="C106" s="168"/>
    </row>
    <row r="107" spans="1:3">
      <c r="A107" s="168"/>
      <c r="C107" s="168"/>
    </row>
    <row r="108" spans="1:3">
      <c r="A108" s="168"/>
      <c r="C108" s="168"/>
    </row>
    <row r="109" spans="1:3">
      <c r="A109" s="168"/>
      <c r="C109" s="168"/>
    </row>
    <row r="110" spans="1:3">
      <c r="A110" s="168"/>
      <c r="C110" s="168"/>
    </row>
    <row r="111" spans="1:3">
      <c r="A111" s="168"/>
      <c r="C111" s="168"/>
    </row>
    <row r="112" spans="1:3">
      <c r="A112" s="168"/>
      <c r="C112" s="168"/>
    </row>
    <row r="113" spans="1:3">
      <c r="A113" s="168"/>
      <c r="C113" s="168"/>
    </row>
    <row r="114" spans="1:3">
      <c r="A114" s="168"/>
      <c r="C114" s="168"/>
    </row>
    <row r="115" spans="1:3">
      <c r="A115" s="168"/>
      <c r="C115" s="168"/>
    </row>
    <row r="116" spans="1:3">
      <c r="A116" s="168"/>
      <c r="C116" s="168"/>
    </row>
    <row r="117" spans="1:3">
      <c r="A117" s="168"/>
      <c r="C117" s="168"/>
    </row>
    <row r="118" spans="1:3">
      <c r="A118" s="168"/>
      <c r="C118" s="168"/>
    </row>
    <row r="119" spans="1:3">
      <c r="A119" s="168"/>
      <c r="C119" s="168"/>
    </row>
    <row r="120" spans="1:3">
      <c r="A120" s="168"/>
      <c r="C120" s="168"/>
    </row>
    <row r="121" spans="1:3">
      <c r="A121" s="168"/>
      <c r="C121" s="168"/>
    </row>
    <row r="122" spans="1:3">
      <c r="A122" s="168"/>
      <c r="C122" s="168"/>
    </row>
    <row r="123" spans="1:3">
      <c r="A123" s="168"/>
      <c r="C123" s="168"/>
    </row>
    <row r="124" spans="1:3">
      <c r="A124" s="168"/>
      <c r="C124" s="168"/>
    </row>
    <row r="125" spans="1:3">
      <c r="A125" s="168"/>
      <c r="C125" s="168"/>
    </row>
    <row r="126" spans="1:3">
      <c r="A126" s="168"/>
      <c r="C126" s="168"/>
    </row>
    <row r="127" spans="1:3">
      <c r="A127" s="168"/>
      <c r="C127" s="168"/>
    </row>
    <row r="128" spans="1:3">
      <c r="A128" s="168"/>
      <c r="C128" s="168"/>
    </row>
    <row r="129" spans="1:3">
      <c r="A129" s="168"/>
      <c r="C129" s="168"/>
    </row>
    <row r="130" spans="1:3">
      <c r="A130" s="168"/>
      <c r="C130" s="168"/>
    </row>
    <row r="131" spans="1:3">
      <c r="A131" s="168"/>
      <c r="C131" s="168"/>
    </row>
    <row r="132" spans="1:3">
      <c r="A132" s="168"/>
      <c r="C132" s="168"/>
    </row>
    <row r="133" spans="1:3">
      <c r="A133" s="168"/>
      <c r="C133" s="168"/>
    </row>
    <row r="134" spans="1:3">
      <c r="A134" s="168"/>
      <c r="C134" s="168"/>
    </row>
    <row r="135" spans="1:3">
      <c r="A135" s="168"/>
      <c r="C135" s="168"/>
    </row>
    <row r="136" spans="1:3">
      <c r="A136" s="168"/>
      <c r="C136" s="168"/>
    </row>
    <row r="137" spans="1:3">
      <c r="A137" s="168"/>
      <c r="C137" s="168"/>
    </row>
    <row r="138" spans="1:3">
      <c r="A138" s="168"/>
      <c r="C138" s="168"/>
    </row>
    <row r="139" spans="1:3">
      <c r="A139" s="168"/>
      <c r="C139" s="168"/>
    </row>
    <row r="140" spans="1:3">
      <c r="A140" s="168"/>
      <c r="C140" s="168"/>
    </row>
    <row r="141" spans="1:3">
      <c r="A141" s="168"/>
      <c r="C141" s="168"/>
    </row>
    <row r="142" spans="1:3">
      <c r="A142" s="168"/>
      <c r="C142" s="168"/>
    </row>
    <row r="143" spans="1:3">
      <c r="A143" s="168"/>
      <c r="C143" s="168"/>
    </row>
    <row r="144" spans="1:3">
      <c r="A144" s="168"/>
      <c r="C144" s="168"/>
    </row>
    <row r="145" spans="1:3">
      <c r="A145" s="168"/>
      <c r="C145" s="168"/>
    </row>
    <row r="146" spans="1:3">
      <c r="A146" s="168"/>
      <c r="C146" s="168"/>
    </row>
    <row r="147" spans="1:3">
      <c r="A147" s="168"/>
      <c r="C147" s="168"/>
    </row>
    <row r="148" spans="1:3">
      <c r="A148" s="168"/>
      <c r="C148" s="168"/>
    </row>
    <row r="149" spans="1:3">
      <c r="A149" s="168"/>
      <c r="C149" s="168"/>
    </row>
    <row r="150" spans="1:3">
      <c r="A150" s="168"/>
      <c r="C150" s="168"/>
    </row>
    <row r="151" spans="1:3">
      <c r="A151" s="168"/>
      <c r="C151" s="168"/>
    </row>
    <row r="152" spans="1:3">
      <c r="A152" s="168"/>
      <c r="C152" s="168"/>
    </row>
    <row r="153" spans="1:3">
      <c r="A153" s="168"/>
      <c r="C153" s="168"/>
    </row>
    <row r="154" spans="1:3">
      <c r="A154" s="168"/>
      <c r="C154" s="168"/>
    </row>
    <row r="155" spans="1:3">
      <c r="A155" s="168"/>
      <c r="C155" s="168"/>
    </row>
    <row r="156" spans="1:3">
      <c r="A156" s="168"/>
      <c r="C156" s="168"/>
    </row>
    <row r="157" spans="1:3">
      <c r="A157" s="168"/>
      <c r="C157" s="168"/>
    </row>
    <row r="158" spans="1:3">
      <c r="A158" s="168"/>
      <c r="C158" s="168"/>
    </row>
    <row r="159" spans="1:3">
      <c r="A159" s="168"/>
      <c r="C159" s="168"/>
    </row>
    <row r="160" spans="1:3">
      <c r="A160" s="168"/>
      <c r="C160" s="168"/>
    </row>
    <row r="161" spans="1:3">
      <c r="A161" s="168"/>
      <c r="C161" s="168"/>
    </row>
    <row r="162" spans="1:3">
      <c r="A162" s="168"/>
      <c r="C162" s="168"/>
    </row>
    <row r="163" spans="1:3">
      <c r="A163" s="168"/>
      <c r="C163" s="168"/>
    </row>
    <row r="164" spans="1:3">
      <c r="A164" s="168"/>
      <c r="C164" s="168"/>
    </row>
    <row r="165" spans="1:3">
      <c r="A165" s="168"/>
      <c r="C165" s="168"/>
    </row>
    <row r="166" spans="1:3">
      <c r="A166" s="168"/>
      <c r="C166" s="168"/>
    </row>
    <row r="167" spans="1:3">
      <c r="A167" s="168"/>
      <c r="C167" s="168"/>
    </row>
    <row r="168" spans="1:3">
      <c r="A168" s="168"/>
      <c r="C168" s="168"/>
    </row>
    <row r="169" spans="1:3">
      <c r="A169" s="168"/>
      <c r="C169" s="168"/>
    </row>
    <row r="170" spans="1:3">
      <c r="A170" s="168"/>
      <c r="C170" s="168"/>
    </row>
    <row r="171" spans="1:3">
      <c r="A171" s="168"/>
      <c r="C171" s="168"/>
    </row>
    <row r="172" spans="1:3">
      <c r="A172" s="168"/>
      <c r="C172" s="168"/>
    </row>
    <row r="173" spans="1:3">
      <c r="A173" s="168"/>
      <c r="C173" s="168"/>
    </row>
    <row r="174" spans="1:3">
      <c r="A174" s="168"/>
      <c r="C174" s="168"/>
    </row>
    <row r="175" spans="1:3">
      <c r="A175" s="168"/>
      <c r="C175" s="168"/>
    </row>
    <row r="176" spans="1:3">
      <c r="A176" s="168"/>
      <c r="C176" s="168"/>
    </row>
    <row r="177" spans="1:3">
      <c r="A177" s="168"/>
      <c r="C177" s="168"/>
    </row>
    <row r="178" spans="1:3">
      <c r="A178" s="168"/>
      <c r="C178" s="168"/>
    </row>
    <row r="179" spans="1:3">
      <c r="A179" s="168"/>
      <c r="C179" s="168"/>
    </row>
    <row r="180" spans="1:3">
      <c r="A180" s="168"/>
      <c r="C180" s="168"/>
    </row>
    <row r="181" spans="1:3">
      <c r="A181" s="168"/>
      <c r="C181" s="168"/>
    </row>
    <row r="182" spans="1:3">
      <c r="A182" s="168"/>
      <c r="C182" s="168"/>
    </row>
    <row r="183" spans="1:3">
      <c r="A183" s="168"/>
      <c r="C183" s="168"/>
    </row>
    <row r="184" spans="1:3">
      <c r="A184" s="168"/>
      <c r="C184" s="168"/>
    </row>
    <row r="185" spans="1:3">
      <c r="A185" s="168"/>
      <c r="C185" s="168"/>
    </row>
    <row r="186" spans="1:3">
      <c r="A186" s="168"/>
      <c r="C186" s="168"/>
    </row>
    <row r="187" spans="1:3">
      <c r="A187" s="168"/>
      <c r="C187" s="168"/>
    </row>
    <row r="188" spans="1:3">
      <c r="A188" s="168"/>
      <c r="C188" s="168"/>
    </row>
    <row r="189" spans="1:3">
      <c r="A189" s="168"/>
      <c r="C189" s="168"/>
    </row>
    <row r="190" spans="1:3">
      <c r="A190" s="168"/>
      <c r="C190" s="168"/>
    </row>
    <row r="191" spans="1:3">
      <c r="A191" s="168"/>
      <c r="C191" s="168"/>
    </row>
    <row r="192" spans="1:3">
      <c r="A192" s="168"/>
      <c r="C192" s="168"/>
    </row>
    <row r="193" spans="1:3">
      <c r="A193" s="168"/>
      <c r="C193" s="168"/>
    </row>
    <row r="194" spans="1:3">
      <c r="A194" s="168"/>
      <c r="C194" s="168"/>
    </row>
    <row r="195" spans="1:3">
      <c r="A195" s="168"/>
      <c r="C195" s="168"/>
    </row>
    <row r="196" spans="1:3">
      <c r="A196" s="168"/>
      <c r="C196" s="168"/>
    </row>
    <row r="197" spans="1:3">
      <c r="A197" s="168"/>
      <c r="C197" s="168"/>
    </row>
    <row r="198" spans="1:3">
      <c r="A198" s="168"/>
      <c r="C198" s="168"/>
    </row>
    <row r="199" spans="1:3">
      <c r="A199" s="168"/>
      <c r="C199" s="168"/>
    </row>
    <row r="200" spans="1:3">
      <c r="A200" s="168"/>
      <c r="C200" s="168"/>
    </row>
    <row r="201" spans="1:3">
      <c r="A201" s="168"/>
      <c r="C201" s="168"/>
    </row>
    <row r="202" spans="1:3">
      <c r="A202" s="168"/>
      <c r="C202" s="168"/>
    </row>
    <row r="203" spans="1:3">
      <c r="A203" s="168"/>
      <c r="C203" s="168"/>
    </row>
    <row r="204" spans="1:3">
      <c r="A204" s="168"/>
      <c r="C204" s="168"/>
    </row>
    <row r="205" spans="1:3">
      <c r="A205" s="168"/>
      <c r="C205" s="168"/>
    </row>
    <row r="206" spans="1:3">
      <c r="A206" s="168"/>
      <c r="C206" s="168"/>
    </row>
    <row r="207" spans="1:3">
      <c r="A207" s="168"/>
      <c r="C207" s="168"/>
    </row>
    <row r="208" spans="1:3">
      <c r="A208" s="168"/>
      <c r="C208" s="168"/>
    </row>
    <row r="209" spans="1:3">
      <c r="A209" s="168"/>
      <c r="C209" s="168"/>
    </row>
    <row r="210" spans="1:3">
      <c r="A210" s="168"/>
      <c r="C210" s="168"/>
    </row>
    <row r="211" spans="1:3">
      <c r="A211" s="168"/>
      <c r="C211" s="168"/>
    </row>
    <row r="212" spans="1:3">
      <c r="A212" s="168"/>
      <c r="C212" s="168"/>
    </row>
    <row r="213" spans="1:3">
      <c r="A213" s="168"/>
      <c r="C213" s="168"/>
    </row>
    <row r="214" spans="1:3">
      <c r="A214" s="168"/>
      <c r="C214" s="168"/>
    </row>
    <row r="215" spans="1:3">
      <c r="A215" s="168"/>
      <c r="C215" s="168"/>
    </row>
    <row r="216" spans="1:3">
      <c r="A216" s="168"/>
      <c r="C216" s="168"/>
    </row>
    <row r="217" spans="1:3">
      <c r="A217" s="168"/>
      <c r="C217" s="168"/>
    </row>
    <row r="218" spans="1:3">
      <c r="A218" s="168"/>
      <c r="C218" s="168"/>
    </row>
    <row r="219" spans="1:3">
      <c r="A219" s="168"/>
      <c r="C219" s="168"/>
    </row>
    <row r="220" spans="1:3">
      <c r="A220" s="168"/>
      <c r="C220" s="168"/>
    </row>
    <row r="221" spans="1:3">
      <c r="A221" s="168"/>
      <c r="C221" s="168"/>
    </row>
    <row r="222" spans="1:3">
      <c r="A222" s="168"/>
      <c r="C222" s="168"/>
    </row>
    <row r="223" spans="1:3">
      <c r="A223" s="168"/>
      <c r="C223" s="168"/>
    </row>
    <row r="224" spans="1:3">
      <c r="A224" s="168"/>
      <c r="C224" s="168"/>
    </row>
    <row r="225" spans="1:3">
      <c r="A225" s="168"/>
      <c r="C225" s="168"/>
    </row>
    <row r="226" spans="1:3">
      <c r="A226" s="168"/>
      <c r="C226" s="168"/>
    </row>
    <row r="227" spans="1:3">
      <c r="A227" s="168"/>
      <c r="C227" s="168"/>
    </row>
    <row r="228" spans="1:3">
      <c r="A228" s="168"/>
      <c r="C228" s="168"/>
    </row>
    <row r="229" spans="1:3">
      <c r="A229" s="168"/>
      <c r="C229" s="168"/>
    </row>
    <row r="230" spans="1:3">
      <c r="A230" s="168"/>
      <c r="C230" s="168"/>
    </row>
    <row r="231" spans="1:3">
      <c r="A231" s="168"/>
      <c r="C231" s="168"/>
    </row>
    <row r="232" spans="1:3">
      <c r="A232" s="168"/>
      <c r="C232" s="168"/>
    </row>
    <row r="233" spans="1:3">
      <c r="A233" s="168"/>
      <c r="C233" s="168"/>
    </row>
    <row r="234" spans="1:3">
      <c r="A234" s="168"/>
      <c r="C234" s="168"/>
    </row>
    <row r="235" spans="1:3">
      <c r="A235" s="168"/>
      <c r="C235" s="168"/>
    </row>
    <row r="236" spans="1:3">
      <c r="A236" s="168"/>
      <c r="C236" s="168"/>
    </row>
    <row r="237" spans="1:3">
      <c r="A237" s="168"/>
      <c r="C237" s="168"/>
    </row>
    <row r="238" spans="1:3">
      <c r="A238" s="168"/>
      <c r="C238" s="168"/>
    </row>
    <row r="239" spans="1:3">
      <c r="A239" s="168"/>
      <c r="C239" s="168"/>
    </row>
    <row r="240" spans="1:3">
      <c r="A240" s="168"/>
      <c r="C240" s="168"/>
    </row>
    <row r="241" spans="1:3">
      <c r="A241" s="168"/>
      <c r="C241" s="168"/>
    </row>
    <row r="242" spans="1:3">
      <c r="A242" s="168"/>
      <c r="C242" s="168"/>
    </row>
    <row r="243" spans="1:3">
      <c r="A243" s="168"/>
      <c r="C243" s="168"/>
    </row>
    <row r="244" spans="1:3">
      <c r="A244" s="168"/>
      <c r="C244" s="168"/>
    </row>
    <row r="245" spans="1:3">
      <c r="A245" s="168"/>
      <c r="C245" s="168"/>
    </row>
    <row r="246" spans="1:3">
      <c r="A246" s="168"/>
      <c r="C246" s="168"/>
    </row>
    <row r="247" spans="1:3">
      <c r="A247" s="168"/>
      <c r="C247" s="168"/>
    </row>
    <row r="248" spans="1:3">
      <c r="A248" s="168"/>
      <c r="C248" s="168"/>
    </row>
    <row r="249" spans="1:3">
      <c r="A249" s="168"/>
      <c r="C249" s="168"/>
    </row>
    <row r="250" spans="1:3">
      <c r="A250" s="168"/>
      <c r="C250" s="168"/>
    </row>
    <row r="251" spans="1:3">
      <c r="A251" s="168"/>
      <c r="C251" s="168"/>
    </row>
    <row r="252" spans="1:3">
      <c r="A252" s="168"/>
      <c r="C252" s="168"/>
    </row>
    <row r="253" spans="1:3">
      <c r="A253" s="168"/>
      <c r="C253" s="168"/>
    </row>
    <row r="254" spans="1:3">
      <c r="A254" s="168"/>
      <c r="C254" s="168"/>
    </row>
    <row r="255" spans="1:3">
      <c r="A255" s="168"/>
      <c r="C255" s="168"/>
    </row>
    <row r="256" spans="1:3">
      <c r="A256" s="168"/>
      <c r="C256" s="168"/>
    </row>
    <row r="257" spans="1:3">
      <c r="A257" s="168"/>
      <c r="C257" s="168"/>
    </row>
    <row r="258" spans="1:3">
      <c r="A258" s="168"/>
      <c r="C258" s="168"/>
    </row>
    <row r="259" spans="1:3">
      <c r="A259" s="168"/>
    </row>
    <row r="260" spans="1:3">
      <c r="A260" s="168"/>
    </row>
    <row r="261" spans="1:3">
      <c r="A261" s="168"/>
    </row>
    <row r="262" spans="1:3">
      <c r="A262" s="168"/>
    </row>
    <row r="263" spans="1:3">
      <c r="A263" s="168"/>
    </row>
    <row r="264" spans="1:3">
      <c r="A264" s="168"/>
    </row>
    <row r="265" spans="1:3">
      <c r="A265" s="168"/>
    </row>
    <row r="266" spans="1:3">
      <c r="A266" s="168"/>
    </row>
    <row r="267" spans="1:3">
      <c r="A267" s="168"/>
    </row>
    <row r="268" spans="1:3">
      <c r="A268" s="168"/>
    </row>
    <row r="269" spans="1:3">
      <c r="A269" s="168"/>
    </row>
    <row r="270" spans="1:3">
      <c r="A270" s="168"/>
    </row>
    <row r="271" spans="1:3">
      <c r="A271" s="168"/>
    </row>
    <row r="272" spans="1:3">
      <c r="A272" s="168"/>
    </row>
    <row r="273" spans="1:1">
      <c r="A273" s="168"/>
    </row>
    <row r="274" spans="1:1">
      <c r="A274" s="168"/>
    </row>
    <row r="275" spans="1:1">
      <c r="A275" s="168"/>
    </row>
    <row r="276" spans="1:1">
      <c r="A276" s="168"/>
    </row>
    <row r="277" spans="1:1">
      <c r="A277" s="168"/>
    </row>
    <row r="278" spans="1:1">
      <c r="A278" s="168"/>
    </row>
    <row r="279" spans="1:1">
      <c r="A279" s="168"/>
    </row>
    <row r="280" spans="1:1">
      <c r="A280" s="168"/>
    </row>
    <row r="281" spans="1:1">
      <c r="A281" s="168"/>
    </row>
    <row r="282" spans="1:1">
      <c r="A282" s="168"/>
    </row>
    <row r="283" spans="1:1">
      <c r="A283" s="168"/>
    </row>
    <row r="284" spans="1:1">
      <c r="A284" s="168"/>
    </row>
    <row r="285" spans="1:1">
      <c r="A285" s="168"/>
    </row>
    <row r="286" spans="1:1">
      <c r="A286" s="168"/>
    </row>
    <row r="287" spans="1:1">
      <c r="A287" s="168"/>
    </row>
    <row r="288" spans="1:1">
      <c r="A288" s="168"/>
    </row>
    <row r="289" spans="1:1">
      <c r="A289" s="168"/>
    </row>
    <row r="290" spans="1:1">
      <c r="A290" s="168"/>
    </row>
    <row r="291" spans="1:1">
      <c r="A291" s="168"/>
    </row>
    <row r="292" spans="1:1">
      <c r="A292" s="168"/>
    </row>
    <row r="293" spans="1:1">
      <c r="A293" s="168"/>
    </row>
    <row r="294" spans="1:1">
      <c r="A294" s="168"/>
    </row>
    <row r="295" spans="1:1">
      <c r="A295" s="168"/>
    </row>
    <row r="296" spans="1:1">
      <c r="A296" s="168"/>
    </row>
    <row r="297" spans="1:1">
      <c r="A297" s="168"/>
    </row>
    <row r="298" spans="1:1">
      <c r="A298" s="168"/>
    </row>
    <row r="299" spans="1:1">
      <c r="A299" s="168"/>
    </row>
    <row r="300" spans="1:1">
      <c r="A300" s="168"/>
    </row>
    <row r="301" spans="1:1">
      <c r="A301" s="168"/>
    </row>
    <row r="302" spans="1:1">
      <c r="A302" s="168"/>
    </row>
    <row r="303" spans="1:1">
      <c r="A303" s="168"/>
    </row>
    <row r="304" spans="1:1">
      <c r="A304" s="168"/>
    </row>
    <row r="305" spans="1:1">
      <c r="A305" s="168"/>
    </row>
    <row r="306" spans="1:1">
      <c r="A306" s="168"/>
    </row>
    <row r="307" spans="1:1">
      <c r="A307" s="168"/>
    </row>
    <row r="308" spans="1:1">
      <c r="A308" s="168"/>
    </row>
    <row r="309" spans="1:1">
      <c r="A309" s="168"/>
    </row>
    <row r="310" spans="1:1">
      <c r="A310" s="168"/>
    </row>
    <row r="311" spans="1:1">
      <c r="A311" s="168"/>
    </row>
    <row r="312" spans="1:1">
      <c r="A312" s="168"/>
    </row>
    <row r="313" spans="1:1">
      <c r="A313" s="168"/>
    </row>
    <row r="314" spans="1:1">
      <c r="A314" s="168"/>
    </row>
    <row r="315" spans="1:1">
      <c r="A315" s="168"/>
    </row>
    <row r="316" spans="1:1">
      <c r="A316" s="168"/>
    </row>
    <row r="317" spans="1:1">
      <c r="A317" s="168"/>
    </row>
    <row r="318" spans="1:1">
      <c r="A318" s="168"/>
    </row>
    <row r="319" spans="1:1">
      <c r="A319" s="168"/>
    </row>
    <row r="320" spans="1:1">
      <c r="A320" s="168"/>
    </row>
    <row r="321" spans="1:1">
      <c r="A321" s="168"/>
    </row>
    <row r="322" spans="1:1">
      <c r="A322" s="168"/>
    </row>
    <row r="323" spans="1:1">
      <c r="A323" s="168"/>
    </row>
    <row r="324" spans="1:1">
      <c r="A324" s="168"/>
    </row>
    <row r="325" spans="1:1">
      <c r="A325" s="168"/>
    </row>
    <row r="326" spans="1:1">
      <c r="A326" s="168"/>
    </row>
    <row r="327" spans="1:1">
      <c r="A327" s="168"/>
    </row>
    <row r="328" spans="1:1">
      <c r="A328" s="168"/>
    </row>
    <row r="329" spans="1:1">
      <c r="A329" s="168"/>
    </row>
    <row r="330" spans="1:1">
      <c r="A330" s="168"/>
    </row>
    <row r="331" spans="1:1">
      <c r="A331" s="168"/>
    </row>
    <row r="332" spans="1:1">
      <c r="A332" s="168"/>
    </row>
    <row r="333" spans="1:1">
      <c r="A333" s="168"/>
    </row>
    <row r="334" spans="1:1">
      <c r="A334" s="168"/>
    </row>
    <row r="335" spans="1:1">
      <c r="A335" s="168"/>
    </row>
    <row r="336" spans="1:1">
      <c r="A336" s="168"/>
    </row>
    <row r="337" spans="1:1">
      <c r="A337" s="168"/>
    </row>
    <row r="338" spans="1:1">
      <c r="A338" s="168"/>
    </row>
    <row r="339" spans="1:1">
      <c r="A339" s="168"/>
    </row>
    <row r="340" spans="1:1">
      <c r="A340" s="168"/>
    </row>
    <row r="341" spans="1:1">
      <c r="A341" s="168"/>
    </row>
    <row r="342" spans="1:1">
      <c r="A342" s="168"/>
    </row>
    <row r="343" spans="1:1">
      <c r="A343" s="168"/>
    </row>
    <row r="344" spans="1:1">
      <c r="A344" s="168"/>
    </row>
    <row r="345" spans="1:1">
      <c r="A345" s="168"/>
    </row>
    <row r="346" spans="1:1">
      <c r="A346" s="168"/>
    </row>
    <row r="347" spans="1:1">
      <c r="A347" s="168"/>
    </row>
    <row r="348" spans="1:1">
      <c r="A348" s="168"/>
    </row>
    <row r="349" spans="1:1">
      <c r="A349" s="168"/>
    </row>
    <row r="350" spans="1:1">
      <c r="A350" s="168"/>
    </row>
    <row r="351" spans="1:1">
      <c r="A351" s="168"/>
    </row>
    <row r="352" spans="1:1">
      <c r="A352" s="168"/>
    </row>
    <row r="353" spans="1:1">
      <c r="A353" s="168"/>
    </row>
    <row r="354" spans="1:1">
      <c r="A354" s="168"/>
    </row>
    <row r="355" spans="1:1">
      <c r="A355" s="168"/>
    </row>
    <row r="356" spans="1:1">
      <c r="A356" s="168"/>
    </row>
    <row r="357" spans="1:1">
      <c r="A357" s="168"/>
    </row>
    <row r="358" spans="1:1">
      <c r="A358" s="168"/>
    </row>
    <row r="359" spans="1:1">
      <c r="A359" s="168"/>
    </row>
    <row r="360" spans="1:1">
      <c r="A360" s="168"/>
    </row>
    <row r="361" spans="1:1">
      <c r="A361" s="168"/>
    </row>
    <row r="362" spans="1:1">
      <c r="A362" s="168"/>
    </row>
    <row r="363" spans="1:1">
      <c r="A363" s="168"/>
    </row>
    <row r="364" spans="1:1">
      <c r="A364" s="168"/>
    </row>
    <row r="365" spans="1:1">
      <c r="A365" s="168"/>
    </row>
    <row r="366" spans="1:1">
      <c r="A366" s="168"/>
    </row>
    <row r="367" spans="1:1">
      <c r="A367" s="168"/>
    </row>
    <row r="368" spans="1:1">
      <c r="A368" s="168"/>
    </row>
    <row r="369" spans="1:1">
      <c r="A369" s="168"/>
    </row>
    <row r="370" spans="1:1">
      <c r="A370" s="168"/>
    </row>
    <row r="371" spans="1:1">
      <c r="A371" s="168"/>
    </row>
    <row r="372" spans="1:1">
      <c r="A372" s="168"/>
    </row>
    <row r="373" spans="1:1">
      <c r="A373" s="168"/>
    </row>
    <row r="374" spans="1:1">
      <c r="A374" s="168"/>
    </row>
    <row r="375" spans="1:1">
      <c r="A375" s="168"/>
    </row>
    <row r="376" spans="1:1">
      <c r="A376" s="168"/>
    </row>
    <row r="377" spans="1:1">
      <c r="A377" s="168"/>
    </row>
    <row r="378" spans="1:1">
      <c r="A378" s="168"/>
    </row>
    <row r="379" spans="1:1">
      <c r="A379" s="168"/>
    </row>
    <row r="380" spans="1:1">
      <c r="A380" s="168"/>
    </row>
    <row r="381" spans="1:1">
      <c r="A381" s="168"/>
    </row>
    <row r="382" spans="1:1">
      <c r="A382" s="168"/>
    </row>
    <row r="383" spans="1:1">
      <c r="A383" s="168"/>
    </row>
    <row r="384" spans="1:1">
      <c r="A384" s="168"/>
    </row>
    <row r="385" spans="1:1">
      <c r="A385" s="168"/>
    </row>
    <row r="386" spans="1:1">
      <c r="A386" s="168"/>
    </row>
    <row r="387" spans="1:1">
      <c r="A387" s="168"/>
    </row>
    <row r="388" spans="1:1">
      <c r="A388" s="168"/>
    </row>
    <row r="389" spans="1:1">
      <c r="A389" s="168"/>
    </row>
    <row r="390" spans="1:1">
      <c r="A390" s="168"/>
    </row>
    <row r="391" spans="1:1">
      <c r="A391" s="168"/>
    </row>
    <row r="392" spans="1:1">
      <c r="A392" s="168"/>
    </row>
    <row r="393" spans="1:1">
      <c r="A393" s="168"/>
    </row>
    <row r="394" spans="1:1">
      <c r="A394" s="168"/>
    </row>
    <row r="395" spans="1:1">
      <c r="A395" s="168"/>
    </row>
    <row r="396" spans="1:1">
      <c r="A396" s="168"/>
    </row>
    <row r="397" spans="1:1">
      <c r="A397" s="168"/>
    </row>
    <row r="398" spans="1:1">
      <c r="A398" s="168"/>
    </row>
    <row r="399" spans="1:1">
      <c r="A399" s="168"/>
    </row>
    <row r="400" spans="1:1">
      <c r="A400" s="168"/>
    </row>
    <row r="401" spans="1:1">
      <c r="A401" s="168"/>
    </row>
    <row r="402" spans="1:1">
      <c r="A402" s="168"/>
    </row>
    <row r="403" spans="1:1">
      <c r="A403" s="168"/>
    </row>
    <row r="404" spans="1:1">
      <c r="A404" s="168"/>
    </row>
    <row r="405" spans="1:1">
      <c r="A405" s="168"/>
    </row>
    <row r="406" spans="1:1">
      <c r="A406" s="168"/>
    </row>
    <row r="407" spans="1:1">
      <c r="A407" s="168"/>
    </row>
    <row r="408" spans="1:1">
      <c r="A408" s="168"/>
    </row>
    <row r="409" spans="1:1">
      <c r="A409" s="168"/>
    </row>
  </sheetData>
  <mergeCells count="2">
    <mergeCell ref="A3:F3"/>
    <mergeCell ref="A2:F2"/>
  </mergeCells>
  <phoneticPr fontId="0" type="noConversion"/>
  <printOptions horizontalCentered="1"/>
  <pageMargins left="0.74803149606299213" right="0.74803149606299213" top="0.98425196850393704" bottom="0.98425196850393704" header="0" footer="0"/>
  <pageSetup paperSize="5" scale="78" orientation="portrait" r:id="rId1"/>
  <headerFooter alignWithMargins="0"/>
  <legacyDrawing r:id="rId2"/>
  <oleObjects>
    <oleObject progId="MSPhotoEd.3" shapeId="3080" r:id="rId3"/>
  </oleObjects>
</worksheet>
</file>

<file path=xl/worksheets/sheet3.xml><?xml version="1.0" encoding="utf-8"?>
<worksheet xmlns="http://schemas.openxmlformats.org/spreadsheetml/2006/main" xmlns:r="http://schemas.openxmlformats.org/officeDocument/2006/relationships">
  <dimension ref="A1:Q168"/>
  <sheetViews>
    <sheetView topLeftCell="A127" zoomScale="70" zoomScaleNormal="70" zoomScaleSheetLayoutView="50" workbookViewId="0">
      <selection activeCell="E7" sqref="E7:E10"/>
    </sheetView>
  </sheetViews>
  <sheetFormatPr baseColWidth="10" defaultColWidth="11.44140625" defaultRowHeight="13.2"/>
  <cols>
    <col min="1" max="1" width="18.6640625" style="189" customWidth="1"/>
    <col min="2" max="2" width="17.44140625" style="189" customWidth="1"/>
    <col min="3" max="3" width="18.44140625" style="189" customWidth="1"/>
    <col min="4" max="4" width="14.109375" style="189" customWidth="1"/>
    <col min="5" max="5" width="12.5546875" style="189" customWidth="1"/>
    <col min="6" max="6" width="14.109375" style="189" customWidth="1"/>
    <col min="7" max="7" width="11.6640625" style="189" customWidth="1"/>
    <col min="8" max="8" width="13.6640625" style="189" customWidth="1"/>
    <col min="9" max="9" width="15.33203125" style="189" customWidth="1"/>
    <col min="10" max="10" width="13.33203125" style="189" customWidth="1"/>
    <col min="11" max="11" width="12.5546875" style="189" customWidth="1"/>
    <col min="12" max="12" width="11.88671875" style="189" customWidth="1"/>
    <col min="13" max="13" width="19.33203125" style="189" customWidth="1"/>
    <col min="14" max="14" width="33.109375" style="189" bestFit="1" customWidth="1"/>
    <col min="15" max="15" width="13" style="189" customWidth="1"/>
    <col min="16" max="16384" width="11.44140625" style="189"/>
  </cols>
  <sheetData>
    <row r="1" spans="1:17">
      <c r="H1" s="671"/>
    </row>
    <row r="2" spans="1:17" ht="15">
      <c r="A2" s="3722" t="s">
        <v>405</v>
      </c>
      <c r="B2" s="3836"/>
      <c r="C2" s="3836"/>
      <c r="D2" s="3836"/>
      <c r="E2" s="3836"/>
      <c r="F2" s="3836"/>
      <c r="G2" s="3836"/>
      <c r="H2" s="3836"/>
      <c r="I2" s="3836"/>
      <c r="J2" s="3836"/>
      <c r="K2" s="3836"/>
      <c r="L2" s="3836"/>
      <c r="M2" s="3837"/>
    </row>
    <row r="3" spans="1:17" ht="15">
      <c r="A3" s="3719" t="s">
        <v>1312</v>
      </c>
      <c r="B3" s="3841"/>
      <c r="C3" s="3841"/>
      <c r="D3" s="3841"/>
      <c r="E3" s="3841"/>
      <c r="F3" s="3841"/>
      <c r="G3" s="3841"/>
      <c r="H3" s="3841"/>
      <c r="I3" s="3841"/>
      <c r="J3" s="3841"/>
      <c r="K3" s="3841"/>
      <c r="L3" s="3841"/>
      <c r="M3" s="3842"/>
    </row>
    <row r="4" spans="1:17" ht="15">
      <c r="A4" s="1"/>
      <c r="B4" s="1"/>
      <c r="C4" s="9"/>
      <c r="D4" s="1"/>
      <c r="E4" s="10"/>
      <c r="F4" s="11"/>
      <c r="G4" s="12"/>
      <c r="H4" s="13"/>
      <c r="I4" s="12"/>
      <c r="J4" s="13"/>
      <c r="K4" s="3838"/>
      <c r="L4" s="3838"/>
      <c r="M4" s="14"/>
    </row>
    <row r="5" spans="1:17" ht="15">
      <c r="A5" s="15"/>
      <c r="B5" s="15"/>
      <c r="C5" s="16"/>
      <c r="D5" s="713"/>
      <c r="E5" s="3839" t="s">
        <v>46</v>
      </c>
      <c r="F5" s="3839"/>
      <c r="G5" s="3839" t="s">
        <v>47</v>
      </c>
      <c r="H5" s="3839"/>
      <c r="I5" s="3839" t="s">
        <v>48</v>
      </c>
      <c r="J5" s="3839"/>
      <c r="K5" s="3840" t="s">
        <v>49</v>
      </c>
      <c r="L5" s="3840"/>
      <c r="M5" s="3839" t="s">
        <v>50</v>
      </c>
    </row>
    <row r="6" spans="1:17" ht="30">
      <c r="A6" s="235" t="s">
        <v>0</v>
      </c>
      <c r="B6" s="235" t="s">
        <v>51</v>
      </c>
      <c r="C6" s="236" t="s">
        <v>2</v>
      </c>
      <c r="D6" s="234" t="s">
        <v>52</v>
      </c>
      <c r="E6" s="236" t="s">
        <v>53</v>
      </c>
      <c r="F6" s="234" t="s">
        <v>54</v>
      </c>
      <c r="G6" s="237" t="s">
        <v>52</v>
      </c>
      <c r="H6" s="236" t="s">
        <v>55</v>
      </c>
      <c r="I6" s="237" t="s">
        <v>52</v>
      </c>
      <c r="J6" s="236" t="s">
        <v>55</v>
      </c>
      <c r="K6" s="234" t="s">
        <v>52</v>
      </c>
      <c r="L6" s="234" t="s">
        <v>55</v>
      </c>
      <c r="M6" s="3843"/>
      <c r="O6" s="3083" t="s">
        <v>1316</v>
      </c>
    </row>
    <row r="7" spans="1:17" ht="15">
      <c r="A7" s="3767" t="s">
        <v>11</v>
      </c>
      <c r="B7" s="3797" t="s">
        <v>37</v>
      </c>
      <c r="C7" s="3754">
        <f>SUM(E7:E8)</f>
        <v>73879</v>
      </c>
      <c r="D7" s="350" t="s">
        <v>56</v>
      </c>
      <c r="E7" s="17">
        <v>54045</v>
      </c>
      <c r="F7" s="17">
        <f>+E7</f>
        <v>54045</v>
      </c>
      <c r="G7" s="18">
        <f>+SUM(Anchoveta!B7:B12)</f>
        <v>61617.401999999995</v>
      </c>
      <c r="H7" s="3846">
        <f>SUM(G7:G8)</f>
        <v>73839.433999999994</v>
      </c>
      <c r="I7" s="1577">
        <f t="shared" ref="I7:I38" si="0">+F7-G7</f>
        <v>-7572.4019999999946</v>
      </c>
      <c r="J7" s="3805">
        <f>+C7-H7</f>
        <v>39.56600000000617</v>
      </c>
      <c r="K7" s="20">
        <f t="shared" ref="K7:K38" si="1">1-G7/F7</f>
        <v>-0.14011290591174008</v>
      </c>
      <c r="L7" s="3743">
        <f>1-H7/C7</f>
        <v>5.3555137454497359E-4</v>
      </c>
      <c r="M7" s="1659">
        <v>41054</v>
      </c>
      <c r="N7" s="1509" t="s">
        <v>1317</v>
      </c>
      <c r="O7" s="3698">
        <v>135764.647</v>
      </c>
    </row>
    <row r="8" spans="1:17" ht="15">
      <c r="A8" s="3734"/>
      <c r="B8" s="3756"/>
      <c r="C8" s="3761"/>
      <c r="D8" s="356" t="s">
        <v>57</v>
      </c>
      <c r="E8" s="21">
        <v>19834</v>
      </c>
      <c r="F8" s="22">
        <f>+E8+I7</f>
        <v>12261.598000000005</v>
      </c>
      <c r="G8" s="23">
        <f>+SUM(Anchoveta!B13:B18)</f>
        <v>12222.031999999999</v>
      </c>
      <c r="H8" s="3847"/>
      <c r="I8" s="25">
        <f t="shared" si="0"/>
        <v>39.56600000000617</v>
      </c>
      <c r="J8" s="3753"/>
      <c r="K8" s="26">
        <f t="shared" si="1"/>
        <v>3.2268224745262142E-3</v>
      </c>
      <c r="L8" s="3744"/>
      <c r="M8" s="1677">
        <v>41123</v>
      </c>
      <c r="N8" s="295"/>
      <c r="O8" s="3699"/>
      <c r="P8" s="312"/>
      <c r="Q8" s="312"/>
    </row>
    <row r="9" spans="1:17" ht="15">
      <c r="A9" s="3767" t="s">
        <v>11</v>
      </c>
      <c r="B9" s="3797" t="s">
        <v>33</v>
      </c>
      <c r="C9" s="3754">
        <f>SUM(E9:E10)</f>
        <v>22068</v>
      </c>
      <c r="D9" s="350" t="s">
        <v>56</v>
      </c>
      <c r="E9" s="17">
        <v>16144</v>
      </c>
      <c r="F9" s="17">
        <f>+E9</f>
        <v>16144</v>
      </c>
      <c r="G9" s="18">
        <f>+SUM(Anchoveta!B23:B28)</f>
        <v>11195.229999999998</v>
      </c>
      <c r="H9" s="3846">
        <f>SUM(G9:G10)</f>
        <v>20013.478999999999</v>
      </c>
      <c r="I9" s="19">
        <f t="shared" si="0"/>
        <v>4948.7700000000023</v>
      </c>
      <c r="J9" s="3762">
        <f>+C9-H9</f>
        <v>2054.5210000000006</v>
      </c>
      <c r="K9" s="20">
        <f t="shared" si="1"/>
        <v>0.30653927155599614</v>
      </c>
      <c r="L9" s="3743">
        <f>1-H9/C9</f>
        <v>9.3099555918071397E-2</v>
      </c>
      <c r="M9" s="1661"/>
      <c r="N9" s="1509" t="s">
        <v>1318</v>
      </c>
      <c r="O9" s="3698">
        <v>20451.726999999999</v>
      </c>
    </row>
    <row r="10" spans="1:17" ht="15">
      <c r="A10" s="3734"/>
      <c r="B10" s="3756"/>
      <c r="C10" s="3761"/>
      <c r="D10" s="356" t="s">
        <v>57</v>
      </c>
      <c r="E10" s="21">
        <v>5924</v>
      </c>
      <c r="F10" s="2764">
        <f>+E10+I9</f>
        <v>10872.770000000002</v>
      </c>
      <c r="G10" s="23">
        <f>+SUM(Anchoveta!B29:B34)</f>
        <v>8818.2489999999998</v>
      </c>
      <c r="H10" s="3847"/>
      <c r="I10" s="25">
        <f t="shared" si="0"/>
        <v>2054.5210000000025</v>
      </c>
      <c r="J10" s="3764"/>
      <c r="K10" s="26">
        <f t="shared" si="1"/>
        <v>0.18896021896903936</v>
      </c>
      <c r="L10" s="3744"/>
      <c r="M10" s="1660"/>
      <c r="O10" s="3699"/>
    </row>
    <row r="11" spans="1:17" ht="15">
      <c r="A11" s="3767" t="s">
        <v>11</v>
      </c>
      <c r="B11" s="3804" t="s">
        <v>6</v>
      </c>
      <c r="C11" s="3754">
        <f>SUM(E11:E12)</f>
        <v>20615</v>
      </c>
      <c r="D11" s="402" t="s">
        <v>58</v>
      </c>
      <c r="E11" s="17">
        <v>19584</v>
      </c>
      <c r="F11" s="17">
        <f>+E11</f>
        <v>19584</v>
      </c>
      <c r="G11" s="18">
        <f>+SUM(Anchoveta!B39:B48)</f>
        <v>16350.21</v>
      </c>
      <c r="H11" s="3731">
        <f>SUM(G11:G12)</f>
        <v>19012.21</v>
      </c>
      <c r="I11" s="19">
        <f t="shared" si="0"/>
        <v>3233.7900000000009</v>
      </c>
      <c r="J11" s="3762">
        <f>+C11-H11</f>
        <v>1602.7900000000009</v>
      </c>
      <c r="K11" s="20">
        <f t="shared" si="1"/>
        <v>0.16512408088235297</v>
      </c>
      <c r="L11" s="3743">
        <f>1-H11/C11</f>
        <v>7.7748726655348044E-2</v>
      </c>
      <c r="M11" s="1662"/>
    </row>
    <row r="12" spans="1:17" ht="15">
      <c r="A12" s="3734"/>
      <c r="B12" s="3740"/>
      <c r="C12" s="3761"/>
      <c r="D12" s="403" t="s">
        <v>59</v>
      </c>
      <c r="E12" s="21">
        <v>1031</v>
      </c>
      <c r="F12" s="22">
        <f>+E12+I11</f>
        <v>4264.7900000000009</v>
      </c>
      <c r="G12" s="23">
        <f>+SUM(Anchoveta!B49:B50)</f>
        <v>2662</v>
      </c>
      <c r="H12" s="3730"/>
      <c r="I12" s="25">
        <f t="shared" si="0"/>
        <v>1602.7900000000009</v>
      </c>
      <c r="J12" s="3764"/>
      <c r="K12" s="26">
        <f t="shared" si="1"/>
        <v>0.37581920797975998</v>
      </c>
      <c r="L12" s="3744"/>
      <c r="M12" s="1660"/>
    </row>
    <row r="13" spans="1:17" ht="15">
      <c r="A13" s="3767" t="s">
        <v>11</v>
      </c>
      <c r="B13" s="3797" t="s">
        <v>7</v>
      </c>
      <c r="C13" s="3754">
        <f>SUM(E13:E14)</f>
        <v>8835</v>
      </c>
      <c r="D13" s="402" t="s">
        <v>58</v>
      </c>
      <c r="E13" s="17">
        <f>+'Resumen RAE Anchoveta'!C10</f>
        <v>8393</v>
      </c>
      <c r="F13" s="27">
        <f>+E13</f>
        <v>8393</v>
      </c>
      <c r="G13" s="18">
        <f>+SUM('Resumen RAE Anchoveta'!F10)</f>
        <v>8483.6869999999981</v>
      </c>
      <c r="H13" s="3731">
        <f>SUM(G13:G14)</f>
        <v>8530.7769999999982</v>
      </c>
      <c r="I13" s="18">
        <f t="shared" si="0"/>
        <v>-90.686999999998079</v>
      </c>
      <c r="J13" s="3762">
        <f>+C13-H13</f>
        <v>304.22300000000178</v>
      </c>
      <c r="K13" s="354">
        <f t="shared" si="1"/>
        <v>-1.0805075658286478E-2</v>
      </c>
      <c r="L13" s="3743">
        <f>1-H13/C13</f>
        <v>3.4433842671194315E-2</v>
      </c>
      <c r="M13" s="3168"/>
      <c r="P13" s="3083"/>
    </row>
    <row r="14" spans="1:17" ht="15">
      <c r="A14" s="3796"/>
      <c r="B14" s="3799"/>
      <c r="C14" s="3774"/>
      <c r="D14" s="404" t="s">
        <v>59</v>
      </c>
      <c r="E14" s="28">
        <f>+'Resumen RAE Anchoveta'!C16</f>
        <v>442</v>
      </c>
      <c r="F14" s="29">
        <f>+E14+I13</f>
        <v>351.31300000000192</v>
      </c>
      <c r="G14" s="30">
        <f>+SUM('Resumen RAE Anchoveta'!F16)</f>
        <v>47.090000000000011</v>
      </c>
      <c r="H14" s="3793"/>
      <c r="I14" s="31">
        <f t="shared" si="0"/>
        <v>304.22300000000189</v>
      </c>
      <c r="J14" s="3778"/>
      <c r="K14" s="3167">
        <f t="shared" si="1"/>
        <v>0.865959984401375</v>
      </c>
      <c r="L14" s="3779"/>
      <c r="M14" s="3169"/>
      <c r="N14" s="3083"/>
      <c r="O14" s="193"/>
    </row>
    <row r="15" spans="1:17" ht="15">
      <c r="A15" s="3767" t="s">
        <v>11</v>
      </c>
      <c r="B15" s="3800" t="s">
        <v>60</v>
      </c>
      <c r="C15" s="3754">
        <f>SUM(E15:E17)</f>
        <v>2410</v>
      </c>
      <c r="D15" s="402" t="s">
        <v>61</v>
      </c>
      <c r="E15" s="17">
        <f>+SUM('Resumen RAE Anchoveta'!C23)</f>
        <v>2049</v>
      </c>
      <c r="F15" s="17">
        <f>+E15</f>
        <v>2049</v>
      </c>
      <c r="G15" s="18">
        <f>+'Resumen RAE Anchoveta'!F23</f>
        <v>742.53600000000006</v>
      </c>
      <c r="H15" s="3731">
        <f>SUM(G15:G17)</f>
        <v>2409.701</v>
      </c>
      <c r="I15" s="19">
        <f t="shared" si="0"/>
        <v>1306.4639999999999</v>
      </c>
      <c r="J15" s="3762">
        <f>+C15-H15</f>
        <v>0.29899999999997817</v>
      </c>
      <c r="K15" s="20">
        <f t="shared" si="1"/>
        <v>0.63761054172767206</v>
      </c>
      <c r="L15" s="3743">
        <f>1-H15/C15</f>
        <v>1.2406639004147735E-4</v>
      </c>
      <c r="M15" s="3170"/>
      <c r="N15" s="3083"/>
    </row>
    <row r="16" spans="1:17" ht="15">
      <c r="A16" s="3733"/>
      <c r="B16" s="3736"/>
      <c r="C16" s="3755"/>
      <c r="D16" s="405" t="s">
        <v>62</v>
      </c>
      <c r="E16" s="33">
        <f>+SUM('Resumen RAE Anchoveta'!C28)</f>
        <v>241</v>
      </c>
      <c r="F16" s="33">
        <f>+E16+I15</f>
        <v>1547.4639999999999</v>
      </c>
      <c r="G16" s="34">
        <f>+'Resumen RAE Anchoveta'!F28</f>
        <v>865.05499999999995</v>
      </c>
      <c r="H16" s="3729"/>
      <c r="I16" s="36">
        <f t="shared" si="0"/>
        <v>682.40899999999999</v>
      </c>
      <c r="J16" s="3763"/>
      <c r="K16" s="37">
        <f t="shared" si="1"/>
        <v>0.44098537995068066</v>
      </c>
      <c r="L16" s="3751"/>
      <c r="M16" s="3171"/>
    </row>
    <row r="17" spans="1:16" ht="15">
      <c r="A17" s="3796"/>
      <c r="B17" s="3801"/>
      <c r="C17" s="3774"/>
      <c r="D17" s="406" t="s">
        <v>63</v>
      </c>
      <c r="E17" s="28">
        <f>+SUM('Resumen RAE Anchoveta'!C33)</f>
        <v>120</v>
      </c>
      <c r="F17" s="29">
        <f>+E17+I16</f>
        <v>802.40899999999999</v>
      </c>
      <c r="G17" s="30">
        <f>+'Resumen RAE Anchoveta'!F33</f>
        <v>802.1099999999999</v>
      </c>
      <c r="H17" s="3793"/>
      <c r="I17" s="31">
        <f t="shared" si="0"/>
        <v>0.29900000000009186</v>
      </c>
      <c r="J17" s="3778"/>
      <c r="K17" s="32">
        <f t="shared" si="1"/>
        <v>3.7262792416348223E-4</v>
      </c>
      <c r="L17" s="3779"/>
      <c r="M17" s="3169"/>
    </row>
    <row r="18" spans="1:16" ht="15">
      <c r="A18" s="3767" t="s">
        <v>11</v>
      </c>
      <c r="B18" s="3800" t="s">
        <v>39</v>
      </c>
      <c r="C18" s="3754">
        <f>SUM(E18:E20)</f>
        <v>15</v>
      </c>
      <c r="D18" s="402" t="s">
        <v>61</v>
      </c>
      <c r="E18" s="17">
        <v>12</v>
      </c>
      <c r="F18" s="17">
        <f>+E18</f>
        <v>12</v>
      </c>
      <c r="G18" s="18">
        <f>+SUM(Anchoveta!B55:B58)</f>
        <v>0</v>
      </c>
      <c r="H18" s="3731">
        <f>SUM(G18:G20)</f>
        <v>0</v>
      </c>
      <c r="I18" s="19">
        <f t="shared" si="0"/>
        <v>12</v>
      </c>
      <c r="J18" s="3762">
        <f>+C18-H18</f>
        <v>15</v>
      </c>
      <c r="K18" s="20">
        <f t="shared" si="1"/>
        <v>1</v>
      </c>
      <c r="L18" s="3743">
        <f>1-H18/C18</f>
        <v>1</v>
      </c>
      <c r="M18" s="1663"/>
    </row>
    <row r="19" spans="1:16" ht="15">
      <c r="A19" s="3733"/>
      <c r="B19" s="3736"/>
      <c r="C19" s="3755"/>
      <c r="D19" s="405" t="s">
        <v>62</v>
      </c>
      <c r="E19" s="33">
        <v>2</v>
      </c>
      <c r="F19" s="33">
        <f>+E19+I18</f>
        <v>14</v>
      </c>
      <c r="G19" s="34">
        <f>+SUM(Anchoveta!B59:B62)</f>
        <v>0</v>
      </c>
      <c r="H19" s="3729"/>
      <c r="I19" s="36">
        <f t="shared" si="0"/>
        <v>14</v>
      </c>
      <c r="J19" s="3763"/>
      <c r="K19" s="37">
        <f t="shared" si="1"/>
        <v>1</v>
      </c>
      <c r="L19" s="3751"/>
      <c r="M19" s="1665"/>
    </row>
    <row r="20" spans="1:16" ht="15">
      <c r="A20" s="3796"/>
      <c r="B20" s="3801"/>
      <c r="C20" s="3774"/>
      <c r="D20" s="406" t="s">
        <v>63</v>
      </c>
      <c r="E20" s="28">
        <v>1</v>
      </c>
      <c r="F20" s="28">
        <f>+E20+I19</f>
        <v>15</v>
      </c>
      <c r="G20" s="30">
        <f>+SUM(Anchoveta!B63:B66)</f>
        <v>0</v>
      </c>
      <c r="H20" s="3793"/>
      <c r="I20" s="31">
        <f t="shared" si="0"/>
        <v>15</v>
      </c>
      <c r="J20" s="3778"/>
      <c r="K20" s="32">
        <f t="shared" si="1"/>
        <v>1</v>
      </c>
      <c r="L20" s="3779"/>
      <c r="M20" s="1664"/>
    </row>
    <row r="21" spans="1:16" ht="15">
      <c r="A21" s="3767" t="s">
        <v>11</v>
      </c>
      <c r="B21" s="3788" t="s">
        <v>40</v>
      </c>
      <c r="C21" s="3783">
        <f>SUM(E21:E23)</f>
        <v>258</v>
      </c>
      <c r="D21" s="402" t="s">
        <v>61</v>
      </c>
      <c r="E21" s="350">
        <v>219</v>
      </c>
      <c r="F21" s="350">
        <f>+E21</f>
        <v>219</v>
      </c>
      <c r="G21" s="351">
        <f>+SUM('Resumen RAE Anchoveta'!F40)</f>
        <v>453.15199999999999</v>
      </c>
      <c r="H21" s="3784">
        <f>SUM(G21:G23)</f>
        <v>580.08399999999995</v>
      </c>
      <c r="I21" s="1566">
        <f t="shared" si="0"/>
        <v>-234.15199999999999</v>
      </c>
      <c r="J21" s="3828">
        <f>+C21-H21</f>
        <v>-322.08399999999995</v>
      </c>
      <c r="K21" s="354">
        <f t="shared" si="1"/>
        <v>-1.0691872146118722</v>
      </c>
      <c r="L21" s="3831">
        <f>1-H21/C21</f>
        <v>-1.2483875968992244</v>
      </c>
      <c r="M21" s="484">
        <v>41031</v>
      </c>
    </row>
    <row r="22" spans="1:16" ht="15">
      <c r="A22" s="3733"/>
      <c r="B22" s="3790"/>
      <c r="C22" s="3791"/>
      <c r="D22" s="405" t="s">
        <v>62</v>
      </c>
      <c r="E22" s="343">
        <v>26</v>
      </c>
      <c r="F22" s="343">
        <f>+E22+I21</f>
        <v>-208.15199999999999</v>
      </c>
      <c r="G22" s="345">
        <f>+SUM('Resumen RAE Anchoveta'!F45+'Resumen RAE Anchoveta'!F45)</f>
        <v>126.93199999999999</v>
      </c>
      <c r="H22" s="3792"/>
      <c r="I22" s="1567">
        <f t="shared" si="0"/>
        <v>-335.08399999999995</v>
      </c>
      <c r="J22" s="3829"/>
      <c r="K22" s="332">
        <v>0</v>
      </c>
      <c r="L22" s="3832"/>
      <c r="M22" s="484"/>
    </row>
    <row r="23" spans="1:16" ht="15">
      <c r="A23" s="3796"/>
      <c r="B23" s="3827"/>
      <c r="C23" s="3785"/>
      <c r="D23" s="406" t="s">
        <v>63</v>
      </c>
      <c r="E23" s="347">
        <v>13</v>
      </c>
      <c r="F23" s="347">
        <f>+E23+I22</f>
        <v>-322.08399999999995</v>
      </c>
      <c r="G23" s="349">
        <f>+SUM('Resumen RAE Anchoveta'!F50)</f>
        <v>0</v>
      </c>
      <c r="H23" s="3786"/>
      <c r="I23" s="1568">
        <f t="shared" si="0"/>
        <v>-322.08399999999995</v>
      </c>
      <c r="J23" s="3830"/>
      <c r="K23" s="355">
        <v>0</v>
      </c>
      <c r="L23" s="3833"/>
      <c r="M23" s="484"/>
    </row>
    <row r="24" spans="1:16" ht="15">
      <c r="A24" s="3767" t="s">
        <v>11</v>
      </c>
      <c r="B24" s="3788" t="s">
        <v>64</v>
      </c>
      <c r="C24" s="3783">
        <f>SUM(E24:E25)</f>
        <v>30884</v>
      </c>
      <c r="D24" s="402" t="s">
        <v>65</v>
      </c>
      <c r="E24" s="350">
        <v>29340</v>
      </c>
      <c r="F24" s="350">
        <f>+E24</f>
        <v>29340</v>
      </c>
      <c r="G24" s="351">
        <f>SUM('Resumen RAE Anchoveta'!F116)+-SUM('Resumen RAE Anchoveta'!D116)</f>
        <v>42783.287000000018</v>
      </c>
      <c r="H24" s="3784">
        <f>SUM(G24:G25)</f>
        <v>44144.65300000002</v>
      </c>
      <c r="I24" s="1566">
        <f t="shared" si="0"/>
        <v>-13443.287000000018</v>
      </c>
      <c r="J24" s="3828">
        <f>+C24-H24</f>
        <v>-13260.65300000002</v>
      </c>
      <c r="K24" s="354">
        <f>1-G24/F24</f>
        <v>-0.4581897409679625</v>
      </c>
      <c r="L24" s="3831">
        <f>1-H24/C24</f>
        <v>-0.42936967361740774</v>
      </c>
      <c r="M24" s="1666">
        <v>41031</v>
      </c>
      <c r="N24" s="312"/>
    </row>
    <row r="25" spans="1:16" ht="15">
      <c r="A25" s="3734"/>
      <c r="B25" s="3789"/>
      <c r="C25" s="3750"/>
      <c r="D25" s="403" t="s">
        <v>66</v>
      </c>
      <c r="E25" s="356">
        <v>1544</v>
      </c>
      <c r="F25" s="743">
        <f>+E25+I24</f>
        <v>-11899.287000000018</v>
      </c>
      <c r="G25" s="357">
        <f>+SUM('Resumen RAE Anchoveta'!F180)+-SUM('Resumen RAE Anchoveta'!D180)</f>
        <v>1361.3660000000002</v>
      </c>
      <c r="H25" s="3766"/>
      <c r="I25" s="1569">
        <f t="shared" si="0"/>
        <v>-13260.653000000018</v>
      </c>
      <c r="J25" s="3834"/>
      <c r="K25" s="358">
        <f t="shared" si="1"/>
        <v>1.1144073590291586</v>
      </c>
      <c r="L25" s="3835"/>
      <c r="M25" s="1667"/>
      <c r="N25" s="312"/>
      <c r="O25" s="671"/>
    </row>
    <row r="26" spans="1:16" ht="15">
      <c r="A26" s="3767" t="s">
        <v>11</v>
      </c>
      <c r="B26" s="3788" t="s">
        <v>34</v>
      </c>
      <c r="C26" s="3754">
        <f>SUM(E26:E28)</f>
        <v>481</v>
      </c>
      <c r="D26" s="402" t="s">
        <v>61</v>
      </c>
      <c r="E26" s="17">
        <v>409</v>
      </c>
      <c r="F26" s="17">
        <f>+E26</f>
        <v>409</v>
      </c>
      <c r="G26" s="18">
        <f>+SUM(Anchoveta!B72:B75)</f>
        <v>7.8639999999999999</v>
      </c>
      <c r="H26" s="3731">
        <f>SUM(G26:G28)</f>
        <v>90.125</v>
      </c>
      <c r="I26" s="19">
        <f t="shared" si="0"/>
        <v>401.13600000000002</v>
      </c>
      <c r="J26" s="3762">
        <f>+C26-H26</f>
        <v>390.875</v>
      </c>
      <c r="K26" s="20">
        <f t="shared" si="1"/>
        <v>0.98077261613691935</v>
      </c>
      <c r="L26" s="3743">
        <f>1-H26/C26</f>
        <v>0.81262993762993763</v>
      </c>
      <c r="M26" s="1668">
        <v>41014</v>
      </c>
    </row>
    <row r="27" spans="1:16" ht="15">
      <c r="A27" s="3733"/>
      <c r="B27" s="3790"/>
      <c r="C27" s="3755"/>
      <c r="D27" s="405" t="s">
        <v>62</v>
      </c>
      <c r="E27" s="33">
        <v>48</v>
      </c>
      <c r="F27" s="33">
        <f>+E27+I26</f>
        <v>449.13600000000002</v>
      </c>
      <c r="G27" s="34">
        <f>+SUM(Anchoveta!B76:B79)</f>
        <v>82.260999999999996</v>
      </c>
      <c r="H27" s="3729"/>
      <c r="I27" s="36">
        <f t="shared" si="0"/>
        <v>366.875</v>
      </c>
      <c r="J27" s="3763"/>
      <c r="K27" s="37">
        <f t="shared" si="1"/>
        <v>0.81684612233265652</v>
      </c>
      <c r="L27" s="3751"/>
      <c r="M27" s="1669"/>
      <c r="N27" s="312"/>
      <c r="O27" s="312"/>
      <c r="P27" s="312"/>
    </row>
    <row r="28" spans="1:16" ht="15">
      <c r="A28" s="3734"/>
      <c r="B28" s="3789"/>
      <c r="C28" s="3761"/>
      <c r="D28" s="396" t="s">
        <v>63</v>
      </c>
      <c r="E28" s="21">
        <v>24</v>
      </c>
      <c r="F28" s="21">
        <f>+E28+I27</f>
        <v>390.875</v>
      </c>
      <c r="G28" s="23">
        <f>+SUM(Anchoveta!B80:B83)</f>
        <v>0</v>
      </c>
      <c r="H28" s="3730"/>
      <c r="I28" s="25">
        <f t="shared" si="0"/>
        <v>390.875</v>
      </c>
      <c r="J28" s="3764"/>
      <c r="K28" s="26">
        <f t="shared" si="1"/>
        <v>1</v>
      </c>
      <c r="L28" s="3744"/>
      <c r="M28" s="1670"/>
      <c r="N28" s="295"/>
      <c r="O28" s="295"/>
      <c r="P28" s="295"/>
    </row>
    <row r="29" spans="1:16" ht="15">
      <c r="A29" s="3767" t="s">
        <v>11</v>
      </c>
      <c r="B29" s="3788" t="s">
        <v>67</v>
      </c>
      <c r="C29" s="3783">
        <f>SUM(E29:E31)</f>
        <v>2900</v>
      </c>
      <c r="D29" s="402" t="s">
        <v>61</v>
      </c>
      <c r="E29" s="350">
        <v>2465</v>
      </c>
      <c r="F29" s="350">
        <f>+E29</f>
        <v>2465</v>
      </c>
      <c r="G29" s="351">
        <f>+'Resumen RAE Anchoveta'!F202</f>
        <v>280.68100000000004</v>
      </c>
      <c r="H29" s="3784">
        <f>SUM(G29:G31)</f>
        <v>751.22900000000004</v>
      </c>
      <c r="I29" s="352">
        <f t="shared" si="0"/>
        <v>2184.319</v>
      </c>
      <c r="J29" s="3805">
        <f>+C29-H29</f>
        <v>2148.7709999999997</v>
      </c>
      <c r="K29" s="354">
        <f t="shared" si="1"/>
        <v>0.88613346855983766</v>
      </c>
      <c r="L29" s="3781">
        <f>1-H29/C29</f>
        <v>0.74095551724137931</v>
      </c>
      <c r="M29" s="1685"/>
    </row>
    <row r="30" spans="1:16" ht="15">
      <c r="A30" s="3733"/>
      <c r="B30" s="3790"/>
      <c r="C30" s="3791"/>
      <c r="D30" s="405" t="s">
        <v>62</v>
      </c>
      <c r="E30" s="343">
        <v>290</v>
      </c>
      <c r="F30" s="343">
        <f>+E30+I29</f>
        <v>2474.319</v>
      </c>
      <c r="G30" s="345">
        <f>+'Resumen RAE Anchoveta'!F222</f>
        <v>143.83199999999999</v>
      </c>
      <c r="H30" s="3792"/>
      <c r="I30" s="346">
        <f t="shared" si="0"/>
        <v>2330.4870000000001</v>
      </c>
      <c r="J30" s="3817"/>
      <c r="K30" s="332">
        <f t="shared" si="1"/>
        <v>0.94187006606666324</v>
      </c>
      <c r="L30" s="3815"/>
      <c r="M30" s="1686"/>
    </row>
    <row r="31" spans="1:16" ht="15">
      <c r="A31" s="3734"/>
      <c r="B31" s="3789"/>
      <c r="C31" s="3750"/>
      <c r="D31" s="396" t="s">
        <v>63</v>
      </c>
      <c r="E31" s="356">
        <v>145</v>
      </c>
      <c r="F31" s="356">
        <f>+E31+I30</f>
        <v>2475.4870000000001</v>
      </c>
      <c r="G31" s="357">
        <f>+'Resumen RAE Anchoveta'!F242</f>
        <v>326.71600000000001</v>
      </c>
      <c r="H31" s="3766"/>
      <c r="I31" s="2112">
        <f t="shared" si="0"/>
        <v>2148.7710000000002</v>
      </c>
      <c r="J31" s="3753"/>
      <c r="K31" s="358">
        <f t="shared" si="1"/>
        <v>0.86801950484894486</v>
      </c>
      <c r="L31" s="3758"/>
      <c r="M31" s="1667"/>
    </row>
    <row r="32" spans="1:16" ht="15">
      <c r="A32" s="3767" t="s">
        <v>11</v>
      </c>
      <c r="B32" s="3800" t="s">
        <v>68</v>
      </c>
      <c r="C32" s="3754">
        <f>SUM(E32:E33)</f>
        <v>1787</v>
      </c>
      <c r="D32" s="402" t="s">
        <v>69</v>
      </c>
      <c r="E32" s="17">
        <v>1430</v>
      </c>
      <c r="F32" s="17">
        <f>+E32</f>
        <v>1430</v>
      </c>
      <c r="G32" s="18">
        <f>+SUM('Resumen RAE Anchoveta'!F257)</f>
        <v>97.511999999999986</v>
      </c>
      <c r="H32" s="3731">
        <f>SUM(G32:G33)</f>
        <v>98.711999999999989</v>
      </c>
      <c r="I32" s="19">
        <f t="shared" si="0"/>
        <v>1332.4880000000001</v>
      </c>
      <c r="J32" s="3762">
        <f>+C32-H32</f>
        <v>1688.288</v>
      </c>
      <c r="K32" s="20">
        <f t="shared" si="1"/>
        <v>0.93180979020979027</v>
      </c>
      <c r="L32" s="3743">
        <f>1-H32/C32</f>
        <v>0.94476105204252936</v>
      </c>
      <c r="M32" s="1663"/>
    </row>
    <row r="33" spans="1:16" ht="15">
      <c r="A33" s="3734"/>
      <c r="B33" s="3737"/>
      <c r="C33" s="3761"/>
      <c r="D33" s="403" t="s">
        <v>70</v>
      </c>
      <c r="E33" s="21">
        <v>357</v>
      </c>
      <c r="F33" s="22">
        <f>+E33+I32</f>
        <v>1689.4880000000001</v>
      </c>
      <c r="G33" s="23">
        <f>+'Resumen RAE Anchoveta'!F270</f>
        <v>1.2</v>
      </c>
      <c r="H33" s="3730"/>
      <c r="I33" s="25">
        <f t="shared" si="0"/>
        <v>1688.288</v>
      </c>
      <c r="J33" s="3764"/>
      <c r="K33" s="26">
        <f t="shared" si="1"/>
        <v>0.99928972564469232</v>
      </c>
      <c r="L33" s="3744"/>
      <c r="M33" s="1660"/>
    </row>
    <row r="34" spans="1:16" ht="15">
      <c r="A34" s="3767" t="s">
        <v>26</v>
      </c>
      <c r="B34" s="3797" t="s">
        <v>33</v>
      </c>
      <c r="C34" s="3754">
        <f>SUM(E34:E36)</f>
        <v>15</v>
      </c>
      <c r="D34" s="402" t="s">
        <v>71</v>
      </c>
      <c r="E34" s="17">
        <v>6</v>
      </c>
      <c r="F34" s="17">
        <f>+E34</f>
        <v>6</v>
      </c>
      <c r="G34" s="18">
        <f>+SUM(C.Nailon!B7:B9)</f>
        <v>0</v>
      </c>
      <c r="H34" s="3731">
        <f>SUM(G34:G36)</f>
        <v>0</v>
      </c>
      <c r="I34" s="19">
        <f t="shared" si="0"/>
        <v>6</v>
      </c>
      <c r="J34" s="3762">
        <f>+C34-H34</f>
        <v>15</v>
      </c>
      <c r="K34" s="20">
        <f t="shared" si="1"/>
        <v>1</v>
      </c>
      <c r="L34" s="3743">
        <f>1-H34/C34</f>
        <v>1</v>
      </c>
      <c r="M34" s="1663"/>
    </row>
    <row r="35" spans="1:16" ht="15">
      <c r="A35" s="3733"/>
      <c r="B35" s="3802"/>
      <c r="C35" s="3755"/>
      <c r="D35" s="405" t="s">
        <v>72</v>
      </c>
      <c r="E35" s="33">
        <v>4</v>
      </c>
      <c r="F35" s="38">
        <f>+E35+I34</f>
        <v>10</v>
      </c>
      <c r="G35" s="34">
        <f>+SUM(C.Nailon!B10:B14)</f>
        <v>0</v>
      </c>
      <c r="H35" s="3729"/>
      <c r="I35" s="36">
        <f t="shared" si="0"/>
        <v>10</v>
      </c>
      <c r="J35" s="3763"/>
      <c r="K35" s="37">
        <f t="shared" si="1"/>
        <v>1</v>
      </c>
      <c r="L35" s="3751"/>
      <c r="M35" s="1665"/>
    </row>
    <row r="36" spans="1:16" ht="15">
      <c r="A36" s="3734"/>
      <c r="B36" s="3756"/>
      <c r="C36" s="3761"/>
      <c r="D36" s="403" t="s">
        <v>66</v>
      </c>
      <c r="E36" s="21">
        <v>5</v>
      </c>
      <c r="F36" s="22">
        <f>+E36+I35</f>
        <v>15</v>
      </c>
      <c r="G36" s="23">
        <f>+SUM(C.Nailon!B15:B18)</f>
        <v>0</v>
      </c>
      <c r="H36" s="3730"/>
      <c r="I36" s="25">
        <f t="shared" si="0"/>
        <v>15</v>
      </c>
      <c r="J36" s="3764"/>
      <c r="K36" s="26">
        <f t="shared" si="1"/>
        <v>1</v>
      </c>
      <c r="L36" s="3744"/>
      <c r="M36" s="1660"/>
    </row>
    <row r="37" spans="1:16" ht="15">
      <c r="A37" s="3767" t="s">
        <v>26</v>
      </c>
      <c r="B37" s="3804" t="s">
        <v>6</v>
      </c>
      <c r="C37" s="3754">
        <f>SUM(E37:E39)</f>
        <v>90</v>
      </c>
      <c r="D37" s="407" t="s">
        <v>71</v>
      </c>
      <c r="E37" s="17">
        <v>41</v>
      </c>
      <c r="F37" s="17">
        <f>+E37</f>
        <v>41</v>
      </c>
      <c r="G37" s="39">
        <f>+SUM(C.Nailon!B23:B25)</f>
        <v>0</v>
      </c>
      <c r="H37" s="3731">
        <f>SUM(G37:G39)</f>
        <v>1.083</v>
      </c>
      <c r="I37" s="19">
        <f t="shared" si="0"/>
        <v>41</v>
      </c>
      <c r="J37" s="3762">
        <f>+C37-H37</f>
        <v>88.917000000000002</v>
      </c>
      <c r="K37" s="20">
        <f t="shared" si="1"/>
        <v>1</v>
      </c>
      <c r="L37" s="3743">
        <f>1-H37/C37</f>
        <v>0.98796666666666666</v>
      </c>
      <c r="M37" s="1663"/>
    </row>
    <row r="38" spans="1:16" ht="15">
      <c r="A38" s="3733"/>
      <c r="B38" s="3739"/>
      <c r="C38" s="3755"/>
      <c r="D38" s="408" t="s">
        <v>72</v>
      </c>
      <c r="E38" s="33">
        <v>23</v>
      </c>
      <c r="F38" s="38">
        <f>+E38+I37</f>
        <v>64</v>
      </c>
      <c r="G38" s="40">
        <f>+SUM(C.Nailon!B26:B30)</f>
        <v>0</v>
      </c>
      <c r="H38" s="3729"/>
      <c r="I38" s="36">
        <f t="shared" si="0"/>
        <v>64</v>
      </c>
      <c r="J38" s="3763"/>
      <c r="K38" s="37">
        <f t="shared" si="1"/>
        <v>1</v>
      </c>
      <c r="L38" s="3751"/>
      <c r="M38" s="1665"/>
    </row>
    <row r="39" spans="1:16" ht="15">
      <c r="A39" s="3796"/>
      <c r="B39" s="3811"/>
      <c r="C39" s="3774"/>
      <c r="D39" s="409" t="s">
        <v>66</v>
      </c>
      <c r="E39" s="28">
        <v>26</v>
      </c>
      <c r="F39" s="29">
        <f>+E39+I38</f>
        <v>90</v>
      </c>
      <c r="G39" s="41">
        <f>+SUM(C.Nailon!B31:B34)</f>
        <v>1.083</v>
      </c>
      <c r="H39" s="3793"/>
      <c r="I39" s="31">
        <f t="shared" ref="I39:I70" si="2">+F39-G39</f>
        <v>88.917000000000002</v>
      </c>
      <c r="J39" s="3778"/>
      <c r="K39" s="32">
        <f t="shared" ref="K39:K70" si="3">1-G39/F39</f>
        <v>0.98796666666666666</v>
      </c>
      <c r="L39" s="3779"/>
      <c r="M39" s="1664"/>
    </row>
    <row r="40" spans="1:16" ht="15">
      <c r="A40" s="3767" t="s">
        <v>26</v>
      </c>
      <c r="B40" s="3797" t="s">
        <v>7</v>
      </c>
      <c r="C40" s="3754">
        <f>SUM(E40:E42)</f>
        <v>430</v>
      </c>
      <c r="D40" s="402" t="s">
        <v>71</v>
      </c>
      <c r="E40" s="17">
        <v>193</v>
      </c>
      <c r="F40" s="17">
        <f>+E40</f>
        <v>193</v>
      </c>
      <c r="G40" s="351">
        <f>+SUM(C.Nailon!B39:B41)</f>
        <v>203.86799999999997</v>
      </c>
      <c r="H40" s="3731">
        <f>SUM(G40:G42)</f>
        <v>437.98999999999995</v>
      </c>
      <c r="I40" s="1570">
        <f t="shared" si="2"/>
        <v>-10.867999999999967</v>
      </c>
      <c r="J40" s="3731">
        <f>+C40-H40</f>
        <v>-7.9899999999999523</v>
      </c>
      <c r="K40" s="1564">
        <f t="shared" si="3"/>
        <v>-5.6310880829015364E-2</v>
      </c>
      <c r="L40" s="3824">
        <f>1-H40/C40</f>
        <v>-1.8581395348837182E-2</v>
      </c>
      <c r="M40" s="1671">
        <v>40980</v>
      </c>
      <c r="N40" s="486"/>
    </row>
    <row r="41" spans="1:16" ht="15">
      <c r="A41" s="3733"/>
      <c r="B41" s="3802"/>
      <c r="C41" s="3755"/>
      <c r="D41" s="405" t="s">
        <v>72</v>
      </c>
      <c r="E41" s="33">
        <v>107</v>
      </c>
      <c r="F41" s="38">
        <f>+E41+I40</f>
        <v>96.132000000000033</v>
      </c>
      <c r="G41" s="34">
        <f>+SUM(C.Nailon!B42:B46)</f>
        <v>103.271</v>
      </c>
      <c r="H41" s="3729"/>
      <c r="I41" s="1571">
        <f t="shared" si="2"/>
        <v>-7.1389999999999674</v>
      </c>
      <c r="J41" s="3729"/>
      <c r="K41" s="37">
        <f t="shared" si="3"/>
        <v>-7.4262472433736626E-2</v>
      </c>
      <c r="L41" s="3825"/>
      <c r="M41" s="1672">
        <v>41081</v>
      </c>
    </row>
    <row r="42" spans="1:16" ht="15">
      <c r="A42" s="3734"/>
      <c r="B42" s="3756"/>
      <c r="C42" s="3761"/>
      <c r="D42" s="403" t="s">
        <v>66</v>
      </c>
      <c r="E42" s="21">
        <v>130</v>
      </c>
      <c r="F42" s="22">
        <f>+E42+I41</f>
        <v>122.86100000000003</v>
      </c>
      <c r="G42" s="23">
        <f>+SUM(C.Nailon!B47:B50)</f>
        <v>130.851</v>
      </c>
      <c r="H42" s="3730"/>
      <c r="I42" s="1569">
        <f t="shared" si="2"/>
        <v>-7.9899999999999665</v>
      </c>
      <c r="J42" s="3730"/>
      <c r="K42" s="26">
        <f t="shared" si="3"/>
        <v>-6.5032841992169743E-2</v>
      </c>
      <c r="L42" s="3826"/>
      <c r="M42" s="1673">
        <v>41225</v>
      </c>
      <c r="N42" s="295"/>
    </row>
    <row r="43" spans="1:16" ht="15">
      <c r="A43" s="3767" t="s">
        <v>26</v>
      </c>
      <c r="B43" s="3798" t="s">
        <v>27</v>
      </c>
      <c r="C43" s="3760">
        <f>SUM(E43:E45)</f>
        <v>430</v>
      </c>
      <c r="D43" s="410" t="s">
        <v>71</v>
      </c>
      <c r="E43" s="42">
        <v>193</v>
      </c>
      <c r="F43" s="42">
        <f>+E43</f>
        <v>193</v>
      </c>
      <c r="G43" s="2288">
        <f>+SUM(C.Nailon!B55:B57)</f>
        <v>190.357</v>
      </c>
      <c r="H43" s="3728">
        <f>SUM(G43:G45)</f>
        <v>432.29199999999997</v>
      </c>
      <c r="I43" s="565">
        <f t="shared" si="2"/>
        <v>2.6430000000000007</v>
      </c>
      <c r="J43" s="3765">
        <f>+C43-H43</f>
        <v>-2.2919999999999732</v>
      </c>
      <c r="K43" s="45">
        <f t="shared" si="3"/>
        <v>1.3694300518134694E-2</v>
      </c>
      <c r="L43" s="3759">
        <f>1-H43/C43</f>
        <v>-5.3302325581394694E-3</v>
      </c>
      <c r="M43" s="1674">
        <v>40986</v>
      </c>
      <c r="N43" s="486"/>
      <c r="O43" s="564"/>
      <c r="P43" s="312"/>
    </row>
    <row r="44" spans="1:16" ht="15">
      <c r="A44" s="3733"/>
      <c r="B44" s="3802"/>
      <c r="C44" s="3755"/>
      <c r="D44" s="405" t="s">
        <v>72</v>
      </c>
      <c r="E44" s="33">
        <v>107</v>
      </c>
      <c r="F44" s="489">
        <f>+E44+I43</f>
        <v>109.643</v>
      </c>
      <c r="G44" s="131">
        <f>+SUM(C.Nailon!B58:B62)</f>
        <v>100.79099999999998</v>
      </c>
      <c r="H44" s="3729"/>
      <c r="I44" s="36">
        <f t="shared" si="2"/>
        <v>8.8520000000000181</v>
      </c>
      <c r="J44" s="3792"/>
      <c r="K44" s="37">
        <f t="shared" si="3"/>
        <v>8.0734748228341258E-2</v>
      </c>
      <c r="L44" s="3751"/>
      <c r="M44" s="1675">
        <v>41065</v>
      </c>
    </row>
    <row r="45" spans="1:16" ht="15">
      <c r="A45" s="3734"/>
      <c r="B45" s="3799"/>
      <c r="C45" s="3774"/>
      <c r="D45" s="404" t="s">
        <v>66</v>
      </c>
      <c r="E45" s="28">
        <v>130</v>
      </c>
      <c r="F45" s="2018">
        <f>+E45+I44</f>
        <v>138.85200000000003</v>
      </c>
      <c r="G45" s="2289">
        <f>+SUM(C.Nailon!B63:B66)</f>
        <v>141.14400000000001</v>
      </c>
      <c r="H45" s="3793"/>
      <c r="I45" s="2767">
        <f t="shared" si="2"/>
        <v>-2.2919999999999732</v>
      </c>
      <c r="J45" s="3786"/>
      <c r="K45" s="32">
        <f t="shared" si="3"/>
        <v>-1.6506784201883784E-2</v>
      </c>
      <c r="L45" s="3779"/>
      <c r="M45" s="1675">
        <v>41213</v>
      </c>
      <c r="N45" s="295"/>
    </row>
    <row r="46" spans="1:16" ht="15">
      <c r="A46" s="3767" t="s">
        <v>26</v>
      </c>
      <c r="B46" s="3797" t="s">
        <v>39</v>
      </c>
      <c r="C46" s="3754">
        <f>SUM(E46:E48)</f>
        <v>8</v>
      </c>
      <c r="D46" s="402" t="s">
        <v>71</v>
      </c>
      <c r="E46" s="17">
        <v>4</v>
      </c>
      <c r="F46" s="17">
        <f>+E46</f>
        <v>4</v>
      </c>
      <c r="G46" s="18">
        <f>+SUM(C.Nailon!B71:B73)</f>
        <v>0</v>
      </c>
      <c r="H46" s="3731">
        <f>SUM(G46:G48)</f>
        <v>0</v>
      </c>
      <c r="I46" s="19">
        <f t="shared" si="2"/>
        <v>4</v>
      </c>
      <c r="J46" s="3762">
        <f>+C46-H46</f>
        <v>8</v>
      </c>
      <c r="K46" s="20">
        <f t="shared" si="3"/>
        <v>1</v>
      </c>
      <c r="L46" s="3743">
        <f>1-H46/C46</f>
        <v>1</v>
      </c>
      <c r="M46" s="1663"/>
    </row>
    <row r="47" spans="1:16" ht="15">
      <c r="A47" s="3733"/>
      <c r="B47" s="3802"/>
      <c r="C47" s="3755"/>
      <c r="D47" s="405" t="s">
        <v>72</v>
      </c>
      <c r="E47" s="33">
        <v>2</v>
      </c>
      <c r="F47" s="38">
        <f>+E47+I46</f>
        <v>6</v>
      </c>
      <c r="G47" s="34">
        <f>+SUM(C.Nailon!B74:B78)</f>
        <v>0</v>
      </c>
      <c r="H47" s="3729"/>
      <c r="I47" s="36">
        <f t="shared" si="2"/>
        <v>6</v>
      </c>
      <c r="J47" s="3763"/>
      <c r="K47" s="37">
        <f t="shared" si="3"/>
        <v>1</v>
      </c>
      <c r="L47" s="3751"/>
      <c r="M47" s="1665"/>
    </row>
    <row r="48" spans="1:16" ht="15">
      <c r="A48" s="3734"/>
      <c r="B48" s="3756"/>
      <c r="C48" s="3761"/>
      <c r="D48" s="403" t="s">
        <v>66</v>
      </c>
      <c r="E48" s="21">
        <v>2</v>
      </c>
      <c r="F48" s="22">
        <f>+E48+I47</f>
        <v>8</v>
      </c>
      <c r="G48" s="23">
        <f>+SUM(C.Nailon!B79:B82)</f>
        <v>0</v>
      </c>
      <c r="H48" s="3730"/>
      <c r="I48" s="25">
        <f t="shared" si="2"/>
        <v>8</v>
      </c>
      <c r="J48" s="3764"/>
      <c r="K48" s="26">
        <f t="shared" si="3"/>
        <v>1</v>
      </c>
      <c r="L48" s="3744"/>
      <c r="M48" s="1660"/>
    </row>
    <row r="49" spans="1:16" ht="15">
      <c r="A49" s="3732" t="s">
        <v>26</v>
      </c>
      <c r="B49" s="3798" t="s">
        <v>40</v>
      </c>
      <c r="C49" s="3760">
        <f>SUM(E49:E51)</f>
        <v>8</v>
      </c>
      <c r="D49" s="410" t="s">
        <v>71</v>
      </c>
      <c r="E49" s="42">
        <v>4</v>
      </c>
      <c r="F49" s="42">
        <f>+E49</f>
        <v>4</v>
      </c>
      <c r="G49" s="43">
        <f>+SUM(C.Nailon!B87:B89)</f>
        <v>0</v>
      </c>
      <c r="H49" s="3728">
        <f>SUM(G49:G51)</f>
        <v>0</v>
      </c>
      <c r="I49" s="44">
        <f t="shared" si="2"/>
        <v>4</v>
      </c>
      <c r="J49" s="3780">
        <f>+C49-H49</f>
        <v>8</v>
      </c>
      <c r="K49" s="45">
        <f t="shared" si="3"/>
        <v>1</v>
      </c>
      <c r="L49" s="3759">
        <f>1-H49/C49</f>
        <v>1</v>
      </c>
      <c r="M49" s="1676"/>
    </row>
    <row r="50" spans="1:16" ht="15">
      <c r="A50" s="3733"/>
      <c r="B50" s="3802"/>
      <c r="C50" s="3755"/>
      <c r="D50" s="405" t="s">
        <v>72</v>
      </c>
      <c r="E50" s="33">
        <v>2</v>
      </c>
      <c r="F50" s="38">
        <f>+E50+I49</f>
        <v>6</v>
      </c>
      <c r="G50" s="34">
        <f>+SUM(C.Nailon!B90:B94)</f>
        <v>0</v>
      </c>
      <c r="H50" s="3729"/>
      <c r="I50" s="36">
        <f t="shared" si="2"/>
        <v>6</v>
      </c>
      <c r="J50" s="3763"/>
      <c r="K50" s="37">
        <f t="shared" si="3"/>
        <v>1</v>
      </c>
      <c r="L50" s="3751"/>
      <c r="M50" s="1665"/>
    </row>
    <row r="51" spans="1:16" ht="15">
      <c r="A51" s="3796"/>
      <c r="B51" s="3799"/>
      <c r="C51" s="3774"/>
      <c r="D51" s="404" t="s">
        <v>66</v>
      </c>
      <c r="E51" s="28">
        <v>2</v>
      </c>
      <c r="F51" s="29">
        <f>+E51+I50</f>
        <v>8</v>
      </c>
      <c r="G51" s="30">
        <f>+SUM(C.Nailon!B95:B98)</f>
        <v>0</v>
      </c>
      <c r="H51" s="3793"/>
      <c r="I51" s="31">
        <f t="shared" si="2"/>
        <v>8</v>
      </c>
      <c r="J51" s="3778"/>
      <c r="K51" s="32">
        <f t="shared" si="3"/>
        <v>1</v>
      </c>
      <c r="L51" s="3779"/>
      <c r="M51" s="1664"/>
    </row>
    <row r="52" spans="1:16" ht="15">
      <c r="A52" s="3767" t="s">
        <v>26</v>
      </c>
      <c r="B52" s="3797" t="s">
        <v>9</v>
      </c>
      <c r="C52" s="3754">
        <f>SUM(E52:E54)</f>
        <v>8</v>
      </c>
      <c r="D52" s="402" t="s">
        <v>71</v>
      </c>
      <c r="E52" s="17">
        <v>4</v>
      </c>
      <c r="F52" s="17">
        <f>+E52</f>
        <v>4</v>
      </c>
      <c r="G52" s="18">
        <f>+SUM(C.Nailon!B103:B105)</f>
        <v>0</v>
      </c>
      <c r="H52" s="3731">
        <f>SUM(G52:G54)</f>
        <v>0</v>
      </c>
      <c r="I52" s="19">
        <f t="shared" si="2"/>
        <v>4</v>
      </c>
      <c r="J52" s="3762">
        <f>+C52-H52</f>
        <v>8</v>
      </c>
      <c r="K52" s="20">
        <f t="shared" si="3"/>
        <v>1</v>
      </c>
      <c r="L52" s="3743">
        <f>1-H52/C52</f>
        <v>1</v>
      </c>
      <c r="M52" s="1663"/>
    </row>
    <row r="53" spans="1:16" ht="15">
      <c r="A53" s="3733"/>
      <c r="B53" s="3802"/>
      <c r="C53" s="3755"/>
      <c r="D53" s="405" t="s">
        <v>72</v>
      </c>
      <c r="E53" s="33">
        <v>2</v>
      </c>
      <c r="F53" s="38">
        <f>+E53+I52</f>
        <v>6</v>
      </c>
      <c r="G53" s="34">
        <f>+SUM(C.Nailon!B106:B110)</f>
        <v>0</v>
      </c>
      <c r="H53" s="3729"/>
      <c r="I53" s="36">
        <f t="shared" si="2"/>
        <v>6</v>
      </c>
      <c r="J53" s="3763"/>
      <c r="K53" s="37">
        <f t="shared" si="3"/>
        <v>1</v>
      </c>
      <c r="L53" s="3751"/>
      <c r="M53" s="1665"/>
    </row>
    <row r="54" spans="1:16" ht="15">
      <c r="A54" s="3734"/>
      <c r="B54" s="3756"/>
      <c r="C54" s="3761"/>
      <c r="D54" s="403" t="s">
        <v>66</v>
      </c>
      <c r="E54" s="21">
        <v>2</v>
      </c>
      <c r="F54" s="22">
        <f>+E54+I53</f>
        <v>8</v>
      </c>
      <c r="G54" s="23">
        <v>0</v>
      </c>
      <c r="H54" s="3730"/>
      <c r="I54" s="31">
        <f t="shared" si="2"/>
        <v>8</v>
      </c>
      <c r="J54" s="3764"/>
      <c r="K54" s="26">
        <f t="shared" si="3"/>
        <v>1</v>
      </c>
      <c r="L54" s="3744"/>
      <c r="M54" s="1660"/>
    </row>
    <row r="55" spans="1:16" ht="15">
      <c r="A55" s="3767" t="s">
        <v>29</v>
      </c>
      <c r="B55" s="3804" t="s">
        <v>23</v>
      </c>
      <c r="C55" s="3754">
        <f>SUM(E55:E56)</f>
        <v>259</v>
      </c>
      <c r="D55" s="402" t="s">
        <v>488</v>
      </c>
      <c r="E55" s="17">
        <v>188</v>
      </c>
      <c r="F55" s="17">
        <f>+E55</f>
        <v>188</v>
      </c>
      <c r="G55" s="18">
        <f>+SUM('C.Dorado y fauna ac.'!B7:B8)</f>
        <v>188.80143111111113</v>
      </c>
      <c r="H55" s="3770">
        <f>SUM(G55:G56)</f>
        <v>261.83689444444445</v>
      </c>
      <c r="I55" s="1575">
        <f t="shared" si="2"/>
        <v>-0.8014311111111283</v>
      </c>
      <c r="J55" s="3772">
        <f>+C55-H55</f>
        <v>-2.8368944444444537</v>
      </c>
      <c r="K55" s="1565">
        <f t="shared" si="3"/>
        <v>-4.2629314420805642E-3</v>
      </c>
      <c r="L55" s="3768">
        <f>1-H55/C55</f>
        <v>-1.0953260403260501E-2</v>
      </c>
      <c r="M55" s="1662">
        <v>40942</v>
      </c>
      <c r="N55" s="312"/>
      <c r="O55" s="312"/>
    </row>
    <row r="56" spans="1:16" ht="15">
      <c r="A56" s="3734"/>
      <c r="B56" s="3740"/>
      <c r="C56" s="3761"/>
      <c r="D56" s="403" t="s">
        <v>614</v>
      </c>
      <c r="E56" s="21">
        <v>71</v>
      </c>
      <c r="F56" s="22">
        <f>+E56+I55</f>
        <v>70.198568888888872</v>
      </c>
      <c r="G56" s="23">
        <f>+SUM('C.Dorado y fauna ac.'!B9:B18)</f>
        <v>73.035463333333325</v>
      </c>
      <c r="H56" s="3771"/>
      <c r="I56" s="1917">
        <f t="shared" si="2"/>
        <v>-2.8368944444444537</v>
      </c>
      <c r="J56" s="3773"/>
      <c r="K56" s="1563">
        <f t="shared" si="3"/>
        <v>-4.0412425628430171E-2</v>
      </c>
      <c r="L56" s="3769"/>
      <c r="M56" s="1677">
        <v>41008</v>
      </c>
      <c r="N56" s="359"/>
      <c r="O56" s="359"/>
    </row>
    <row r="57" spans="1:16" ht="15">
      <c r="A57" s="3767" t="s">
        <v>29</v>
      </c>
      <c r="B57" s="3804" t="s">
        <v>35</v>
      </c>
      <c r="C57" s="3754">
        <f>SUM(E57:E58)</f>
        <v>85</v>
      </c>
      <c r="D57" s="402" t="s">
        <v>488</v>
      </c>
      <c r="E57" s="17">
        <v>8</v>
      </c>
      <c r="F57" s="17">
        <f>+E57</f>
        <v>8</v>
      </c>
      <c r="G57" s="18">
        <f>+SUM('C.Dorado y fauna ac.'!B23:B24)</f>
        <v>18.478999999999999</v>
      </c>
      <c r="H57" s="3770">
        <f>SUM(G57:G58)</f>
        <v>86.10799999999999</v>
      </c>
      <c r="I57" s="1573">
        <f t="shared" si="2"/>
        <v>-10.478999999999999</v>
      </c>
      <c r="J57" s="3772">
        <f>+C57-H57</f>
        <v>-1.1079999999999899</v>
      </c>
      <c r="K57" s="1564">
        <f t="shared" si="3"/>
        <v>-1.3098749999999999</v>
      </c>
      <c r="L57" s="3768">
        <f>1-H57/C57</f>
        <v>-1.3035294117647034E-2</v>
      </c>
      <c r="M57" s="1662"/>
      <c r="N57" s="359"/>
      <c r="O57" s="359"/>
    </row>
    <row r="58" spans="1:16" ht="15">
      <c r="A58" s="3734"/>
      <c r="B58" s="3740"/>
      <c r="C58" s="3761"/>
      <c r="D58" s="403" t="s">
        <v>614</v>
      </c>
      <c r="E58" s="21">
        <v>77</v>
      </c>
      <c r="F58" s="22">
        <f>+E58+I57</f>
        <v>66.521000000000001</v>
      </c>
      <c r="G58" s="23">
        <f>+SUM('C.Dorado y fauna ac.'!B25:B34)</f>
        <v>67.628999999999991</v>
      </c>
      <c r="H58" s="3771"/>
      <c r="I58" s="1573">
        <f t="shared" si="2"/>
        <v>-1.1079999999999899</v>
      </c>
      <c r="J58" s="3773"/>
      <c r="K58" s="1563">
        <f t="shared" si="3"/>
        <v>-1.6656394221373549E-2</v>
      </c>
      <c r="L58" s="3769"/>
      <c r="M58" s="1677">
        <v>41204</v>
      </c>
      <c r="N58" s="359"/>
      <c r="O58" s="359"/>
      <c r="P58" s="331"/>
    </row>
    <row r="59" spans="1:16" ht="15">
      <c r="A59" s="3767" t="s">
        <v>29</v>
      </c>
      <c r="B59" s="3804" t="s">
        <v>25</v>
      </c>
      <c r="C59" s="3754">
        <f>SUM(E59:E60)</f>
        <v>61</v>
      </c>
      <c r="D59" s="402" t="s">
        <v>488</v>
      </c>
      <c r="E59" s="17">
        <v>46</v>
      </c>
      <c r="F59" s="17">
        <f>+E59</f>
        <v>46</v>
      </c>
      <c r="G59" s="18">
        <f>+SUM('C.Dorado y fauna ac.'!B39:B40)</f>
        <v>46.095500000000001</v>
      </c>
      <c r="H59" s="3770">
        <f>SUM(G59:G60)</f>
        <v>62.746300000000005</v>
      </c>
      <c r="I59" s="1575">
        <f t="shared" si="2"/>
        <v>-9.5500000000001251E-2</v>
      </c>
      <c r="J59" s="3772">
        <f>+C59-H59</f>
        <v>-1.7463000000000051</v>
      </c>
      <c r="K59" s="1564">
        <f t="shared" si="3"/>
        <v>-2.0760869565217277E-3</v>
      </c>
      <c r="L59" s="3768">
        <f>1-H59/C59</f>
        <v>-2.8627868852459049E-2</v>
      </c>
      <c r="M59" s="1668">
        <v>40942</v>
      </c>
      <c r="N59" s="359"/>
      <c r="O59" s="359"/>
    </row>
    <row r="60" spans="1:16" ht="15">
      <c r="A60" s="3734"/>
      <c r="B60" s="3740"/>
      <c r="C60" s="3761"/>
      <c r="D60" s="403" t="s">
        <v>614</v>
      </c>
      <c r="E60" s="21">
        <v>15</v>
      </c>
      <c r="F60" s="239">
        <f>+E60+I59</f>
        <v>14.904499999999999</v>
      </c>
      <c r="G60" s="23">
        <f>+SUM('C.Dorado y fauna ac.'!B41:B50)</f>
        <v>16.6508</v>
      </c>
      <c r="H60" s="3771"/>
      <c r="I60" s="1572">
        <f t="shared" si="2"/>
        <v>-1.7463000000000015</v>
      </c>
      <c r="J60" s="3773"/>
      <c r="K60" s="1563">
        <f t="shared" si="3"/>
        <v>-0.11716595659029161</v>
      </c>
      <c r="L60" s="3769"/>
      <c r="M60" s="1677">
        <v>41017</v>
      </c>
      <c r="N60" s="359"/>
      <c r="O60" s="359"/>
    </row>
    <row r="61" spans="1:16" ht="15">
      <c r="A61" s="3767" t="s">
        <v>5</v>
      </c>
      <c r="B61" s="3804" t="s">
        <v>37</v>
      </c>
      <c r="C61" s="3783">
        <f>SUM(E61:E62)</f>
        <v>875</v>
      </c>
      <c r="D61" s="402" t="s">
        <v>279</v>
      </c>
      <c r="E61" s="350">
        <v>831</v>
      </c>
      <c r="F61" s="350">
        <f>+E61</f>
        <v>831</v>
      </c>
      <c r="G61" s="351">
        <f>+SUM(Jurel!B7:B15)</f>
        <v>6.95</v>
      </c>
      <c r="H61" s="3818">
        <f>SUM(G61:G62)</f>
        <v>8.4489999999999998</v>
      </c>
      <c r="I61" s="1845">
        <f t="shared" si="2"/>
        <v>824.05</v>
      </c>
      <c r="J61" s="3822">
        <f>+C61-H61</f>
        <v>866.55100000000004</v>
      </c>
      <c r="K61" s="20">
        <f t="shared" si="3"/>
        <v>0.99163658243080621</v>
      </c>
      <c r="L61" s="3743">
        <f>1-H61/C61</f>
        <v>0.990344</v>
      </c>
      <c r="M61" s="1663"/>
      <c r="N61" s="295"/>
      <c r="O61" s="295"/>
    </row>
    <row r="62" spans="1:16" ht="15">
      <c r="A62" s="3734" t="s">
        <v>73</v>
      </c>
      <c r="B62" s="3740"/>
      <c r="C62" s="3750"/>
      <c r="D62" s="403" t="s">
        <v>74</v>
      </c>
      <c r="E62" s="356">
        <v>44</v>
      </c>
      <c r="F62" s="1846">
        <f>+E62+I61</f>
        <v>868.05</v>
      </c>
      <c r="G62" s="357">
        <f>+SUM(Jurel!B16:B18)</f>
        <v>1.4989999999999999</v>
      </c>
      <c r="H62" s="3819"/>
      <c r="I62" s="1847">
        <f t="shared" si="2"/>
        <v>866.55099999999993</v>
      </c>
      <c r="J62" s="3823"/>
      <c r="K62" s="26">
        <f t="shared" si="3"/>
        <v>0.99827314094810204</v>
      </c>
      <c r="L62" s="3744"/>
      <c r="M62" s="1660"/>
      <c r="N62" s="312"/>
    </row>
    <row r="63" spans="1:16" ht="15">
      <c r="A63" s="3732" t="s">
        <v>5</v>
      </c>
      <c r="B63" s="3798" t="s">
        <v>33</v>
      </c>
      <c r="C63" s="3760">
        <f>SUM(E63:E64)</f>
        <v>875</v>
      </c>
      <c r="D63" s="402" t="s">
        <v>279</v>
      </c>
      <c r="E63" s="42">
        <v>831</v>
      </c>
      <c r="F63" s="42">
        <f>+E63</f>
        <v>831</v>
      </c>
      <c r="G63" s="43">
        <f>+SUM(Jurel!B23:B31)</f>
        <v>77.795000000000002</v>
      </c>
      <c r="H63" s="3728">
        <f>SUM(G63:G64)</f>
        <v>107.57</v>
      </c>
      <c r="I63" s="1574">
        <f t="shared" si="2"/>
        <v>753.20500000000004</v>
      </c>
      <c r="J63" s="3780">
        <f>+C63-H63</f>
        <v>767.43000000000006</v>
      </c>
      <c r="K63" s="45">
        <f t="shared" si="3"/>
        <v>0.90638387484957883</v>
      </c>
      <c r="L63" s="3759">
        <f>1-H63/C63</f>
        <v>0.87706285714285714</v>
      </c>
      <c r="M63" s="1676"/>
    </row>
    <row r="64" spans="1:16" ht="15">
      <c r="A64" s="3733" t="s">
        <v>73</v>
      </c>
      <c r="B64" s="3802"/>
      <c r="C64" s="3755"/>
      <c r="D64" s="403" t="s">
        <v>74</v>
      </c>
      <c r="E64" s="33">
        <v>44</v>
      </c>
      <c r="F64" s="38">
        <f>+E64+I63</f>
        <v>797.20500000000004</v>
      </c>
      <c r="G64" s="34">
        <f>+SUM(Jurel!B32:B34)</f>
        <v>29.774999999999999</v>
      </c>
      <c r="H64" s="3729"/>
      <c r="I64" s="1571">
        <f t="shared" si="2"/>
        <v>767.43000000000006</v>
      </c>
      <c r="J64" s="3763"/>
      <c r="K64" s="37">
        <f t="shared" si="3"/>
        <v>0.96265076109658121</v>
      </c>
      <c r="L64" s="3751"/>
      <c r="M64" s="1665"/>
    </row>
    <row r="65" spans="1:14" ht="15">
      <c r="A65" s="3767" t="s">
        <v>5</v>
      </c>
      <c r="B65" s="3804" t="s">
        <v>6</v>
      </c>
      <c r="C65" s="3754">
        <f>SUM(E65:E66)</f>
        <v>1141</v>
      </c>
      <c r="D65" s="402" t="s">
        <v>75</v>
      </c>
      <c r="E65" s="17">
        <v>1084</v>
      </c>
      <c r="F65" s="350">
        <f>+E65</f>
        <v>1084</v>
      </c>
      <c r="G65" s="18">
        <f>+SUM(Jurel!B39:B48)</f>
        <v>1104.8229999999999</v>
      </c>
      <c r="H65" s="3731">
        <f>SUM(G65:G66)</f>
        <v>1116.0609999999999</v>
      </c>
      <c r="I65" s="1570">
        <f t="shared" si="2"/>
        <v>-20.822999999999865</v>
      </c>
      <c r="J65" s="3820">
        <f>+C65-H65</f>
        <v>24.939000000000078</v>
      </c>
      <c r="K65" s="1564">
        <f t="shared" si="3"/>
        <v>-1.9209409594095783E-2</v>
      </c>
      <c r="L65" s="3743">
        <f>1-H65/C65</f>
        <v>2.1857142857142908E-2</v>
      </c>
      <c r="M65" s="1662">
        <v>40973</v>
      </c>
      <c r="N65" s="486"/>
    </row>
    <row r="66" spans="1:14" ht="15">
      <c r="A66" s="3734" t="s">
        <v>73</v>
      </c>
      <c r="B66" s="3740"/>
      <c r="C66" s="3761"/>
      <c r="D66" s="403" t="s">
        <v>76</v>
      </c>
      <c r="E66" s="21">
        <v>57</v>
      </c>
      <c r="F66" s="22">
        <f>+E66+I65</f>
        <v>36.177000000000135</v>
      </c>
      <c r="G66" s="23">
        <f>+SUM(Jurel!B49:B50)</f>
        <v>11.238</v>
      </c>
      <c r="H66" s="3730"/>
      <c r="I66" s="25">
        <f t="shared" si="2"/>
        <v>24.939000000000135</v>
      </c>
      <c r="J66" s="3821"/>
      <c r="K66" s="26">
        <f>1-G66/F66</f>
        <v>0.68936064350277926</v>
      </c>
      <c r="L66" s="3744"/>
      <c r="M66" s="1660"/>
    </row>
    <row r="67" spans="1:14" ht="15">
      <c r="A67" s="3732" t="s">
        <v>5</v>
      </c>
      <c r="B67" s="3798" t="s">
        <v>7</v>
      </c>
      <c r="C67" s="3760">
        <f>SUM(E67:E68)</f>
        <v>2662</v>
      </c>
      <c r="D67" s="410" t="s">
        <v>75</v>
      </c>
      <c r="E67" s="42">
        <v>2529</v>
      </c>
      <c r="F67" s="42">
        <f>+E67</f>
        <v>2529</v>
      </c>
      <c r="G67" s="43">
        <f>+'Resumen RAE Jurel'!F10</f>
        <v>2322.1830000000004</v>
      </c>
      <c r="H67" s="3728">
        <f>SUM(G67:G68)</f>
        <v>2464.3780000000006</v>
      </c>
      <c r="I67" s="44">
        <f t="shared" si="2"/>
        <v>206.81699999999955</v>
      </c>
      <c r="J67" s="3752">
        <f>+C67-H67</f>
        <v>197.62199999999939</v>
      </c>
      <c r="K67" s="45">
        <f t="shared" si="3"/>
        <v>8.1778173190984349E-2</v>
      </c>
      <c r="L67" s="3759">
        <f>1-H67/C67</f>
        <v>7.4238166791885551E-2</v>
      </c>
      <c r="M67" s="3172"/>
      <c r="N67" s="486"/>
    </row>
    <row r="68" spans="1:14" ht="15">
      <c r="A68" s="3796" t="s">
        <v>73</v>
      </c>
      <c r="B68" s="3799"/>
      <c r="C68" s="3774"/>
      <c r="D68" s="404" t="s">
        <v>76</v>
      </c>
      <c r="E68" s="28">
        <v>133</v>
      </c>
      <c r="F68" s="29">
        <f>+E68+I67</f>
        <v>339.81699999999955</v>
      </c>
      <c r="G68" s="30">
        <f>+'Resumen RAE Jurel'!F16</f>
        <v>142.19500000000002</v>
      </c>
      <c r="H68" s="3793"/>
      <c r="I68" s="31">
        <f t="shared" si="2"/>
        <v>197.62199999999953</v>
      </c>
      <c r="J68" s="3787"/>
      <c r="K68" s="32">
        <f t="shared" si="3"/>
        <v>0.5815541894607974</v>
      </c>
      <c r="L68" s="3779"/>
      <c r="M68" s="3169"/>
    </row>
    <row r="69" spans="1:14" ht="15">
      <c r="A69" s="3767" t="s">
        <v>5</v>
      </c>
      <c r="B69" s="3800" t="s">
        <v>77</v>
      </c>
      <c r="C69" s="3754">
        <f>SUM(E69:E70)</f>
        <v>1253</v>
      </c>
      <c r="D69" s="402" t="s">
        <v>279</v>
      </c>
      <c r="E69" s="17">
        <v>1190</v>
      </c>
      <c r="F69" s="17">
        <f>+E69</f>
        <v>1190</v>
      </c>
      <c r="G69" s="18">
        <f>+'Resumen RAE Jurel'!F23</f>
        <v>383.892</v>
      </c>
      <c r="H69" s="3731">
        <f>SUM(G69:G70)</f>
        <v>395.98500000000001</v>
      </c>
      <c r="I69" s="19">
        <f t="shared" si="2"/>
        <v>806.10799999999995</v>
      </c>
      <c r="J69" s="3762">
        <f>+C69-H69</f>
        <v>857.01499999999999</v>
      </c>
      <c r="K69" s="20">
        <f t="shared" si="3"/>
        <v>0.67740168067226891</v>
      </c>
      <c r="L69" s="3743">
        <f>1-H69/C69</f>
        <v>0.68397047086991214</v>
      </c>
      <c r="M69" s="1663"/>
    </row>
    <row r="70" spans="1:14" ht="15">
      <c r="A70" s="3734" t="s">
        <v>73</v>
      </c>
      <c r="B70" s="3737"/>
      <c r="C70" s="3761"/>
      <c r="D70" s="403" t="s">
        <v>74</v>
      </c>
      <c r="E70" s="21">
        <v>63</v>
      </c>
      <c r="F70" s="22">
        <f>+E70+I69</f>
        <v>869.10799999999995</v>
      </c>
      <c r="G70" s="23">
        <f>+'Resumen RAE Jurel'!F28</f>
        <v>12.092999999999998</v>
      </c>
      <c r="H70" s="3730"/>
      <c r="I70" s="25">
        <f t="shared" si="2"/>
        <v>857.01499999999999</v>
      </c>
      <c r="J70" s="3764"/>
      <c r="K70" s="26">
        <f t="shared" si="3"/>
        <v>0.98608573387887355</v>
      </c>
      <c r="L70" s="3744"/>
      <c r="M70" s="1660"/>
    </row>
    <row r="71" spans="1:14" ht="15">
      <c r="A71" s="3732" t="s">
        <v>5</v>
      </c>
      <c r="B71" s="3798" t="s">
        <v>39</v>
      </c>
      <c r="C71" s="3760">
        <f>SUM(E71:E72)</f>
        <v>5</v>
      </c>
      <c r="D71" s="410" t="s">
        <v>279</v>
      </c>
      <c r="E71" s="240">
        <v>4</v>
      </c>
      <c r="F71" s="240">
        <f>+E71</f>
        <v>4</v>
      </c>
      <c r="G71" s="43">
        <f>+SUM(Jurel!B55:B63)</f>
        <v>0.41300000000000009</v>
      </c>
      <c r="H71" s="3728">
        <f>SUM(G71:G72)</f>
        <v>0.46300000000000008</v>
      </c>
      <c r="I71" s="44">
        <f t="shared" ref="I71:I102" si="4">+F71-G71</f>
        <v>3.5869999999999997</v>
      </c>
      <c r="J71" s="3780">
        <f>+C71-H71</f>
        <v>4.5369999999999999</v>
      </c>
      <c r="K71" s="45">
        <f t="shared" ref="K71:K102" si="5">1-G71/F71</f>
        <v>0.89674999999999994</v>
      </c>
      <c r="L71" s="3759">
        <f>1-H71/C71</f>
        <v>0.90739999999999998</v>
      </c>
      <c r="M71" s="1676"/>
    </row>
    <row r="72" spans="1:14" ht="15">
      <c r="A72" s="3733" t="s">
        <v>73</v>
      </c>
      <c r="B72" s="3802"/>
      <c r="C72" s="3755"/>
      <c r="D72" s="403" t="s">
        <v>74</v>
      </c>
      <c r="E72" s="35">
        <v>1</v>
      </c>
      <c r="F72" s="489">
        <f>+E72+I71</f>
        <v>4.5869999999999997</v>
      </c>
      <c r="G72" s="34">
        <f>+SUM(Jurel!B64:B66)</f>
        <v>0.05</v>
      </c>
      <c r="H72" s="3729"/>
      <c r="I72" s="36">
        <f t="shared" si="4"/>
        <v>4.5369999999999999</v>
      </c>
      <c r="J72" s="3763"/>
      <c r="K72" s="37">
        <f t="shared" si="5"/>
        <v>0.98909962938739915</v>
      </c>
      <c r="L72" s="3751"/>
      <c r="M72" s="1665"/>
    </row>
    <row r="73" spans="1:14" ht="15">
      <c r="A73" s="3767" t="s">
        <v>5</v>
      </c>
      <c r="B73" s="3797" t="s">
        <v>40</v>
      </c>
      <c r="C73" s="3754">
        <f>SUM(E73:E74)</f>
        <v>41</v>
      </c>
      <c r="D73" s="402" t="s">
        <v>279</v>
      </c>
      <c r="E73" s="366">
        <v>39</v>
      </c>
      <c r="F73" s="367">
        <f>+E73</f>
        <v>39</v>
      </c>
      <c r="G73" s="18">
        <f>+SUM(Jurel!B71:B79)</f>
        <v>14.568</v>
      </c>
      <c r="H73" s="3731">
        <f>SUM(G73:G74)</f>
        <v>14.818</v>
      </c>
      <c r="I73" s="19">
        <f t="shared" si="4"/>
        <v>24.432000000000002</v>
      </c>
      <c r="J73" s="3762">
        <f>+C73-H73</f>
        <v>26.182000000000002</v>
      </c>
      <c r="K73" s="20">
        <f t="shared" si="5"/>
        <v>0.6264615384615384</v>
      </c>
      <c r="L73" s="3743">
        <f>1-H73/C73</f>
        <v>0.63858536585365855</v>
      </c>
      <c r="M73" s="1678"/>
    </row>
    <row r="74" spans="1:14" ht="15">
      <c r="A74" s="3733" t="s">
        <v>73</v>
      </c>
      <c r="B74" s="3802"/>
      <c r="C74" s="3755"/>
      <c r="D74" s="403" t="s">
        <v>74</v>
      </c>
      <c r="E74" s="21">
        <v>2</v>
      </c>
      <c r="F74" s="368">
        <f>+E74+I73</f>
        <v>26.432000000000002</v>
      </c>
      <c r="G74" s="23">
        <f>+SUM(Jurel!B80:B82)</f>
        <v>0.24999999999999997</v>
      </c>
      <c r="H74" s="3730"/>
      <c r="I74" s="25">
        <f t="shared" si="4"/>
        <v>26.182000000000002</v>
      </c>
      <c r="J74" s="3764"/>
      <c r="K74" s="26">
        <f t="shared" si="5"/>
        <v>0.99054176755447942</v>
      </c>
      <c r="L74" s="3744"/>
      <c r="M74" s="1660"/>
    </row>
    <row r="75" spans="1:14" ht="15">
      <c r="A75" s="3732" t="s">
        <v>5</v>
      </c>
      <c r="B75" s="3738" t="s">
        <v>9</v>
      </c>
      <c r="C75" s="3760">
        <f>SUM(E75:E76)</f>
        <v>2671</v>
      </c>
      <c r="D75" s="402" t="s">
        <v>279</v>
      </c>
      <c r="E75" s="42">
        <v>2537</v>
      </c>
      <c r="F75" s="42">
        <f>+E75</f>
        <v>2537</v>
      </c>
      <c r="G75" s="43">
        <f>+SUM(Jurel!B87:B95)</f>
        <v>2495.13</v>
      </c>
      <c r="H75" s="3728">
        <f>SUM(G75:G76)</f>
        <v>2670.0630000000001</v>
      </c>
      <c r="I75" s="44">
        <f t="shared" si="4"/>
        <v>41.869999999999891</v>
      </c>
      <c r="J75" s="3780">
        <f>+C75-H75</f>
        <v>0.93699999999989814</v>
      </c>
      <c r="K75" s="45">
        <f t="shared" si="5"/>
        <v>1.6503744580212754E-2</v>
      </c>
      <c r="L75" s="3759">
        <f>1-H75/C75</f>
        <v>3.5080494196926271E-4</v>
      </c>
      <c r="M75" s="2048">
        <v>41164</v>
      </c>
      <c r="N75" s="486"/>
    </row>
    <row r="76" spans="1:14" ht="15">
      <c r="A76" s="3733" t="s">
        <v>73</v>
      </c>
      <c r="B76" s="3739"/>
      <c r="C76" s="3755"/>
      <c r="D76" s="403" t="s">
        <v>74</v>
      </c>
      <c r="E76" s="21">
        <v>134</v>
      </c>
      <c r="F76" s="22">
        <f>+E76+I75</f>
        <v>175.86999999999989</v>
      </c>
      <c r="G76" s="23">
        <f>+SUM(Jurel!B96:B98)</f>
        <v>174.93299999999999</v>
      </c>
      <c r="H76" s="3730"/>
      <c r="I76" s="25">
        <f t="shared" si="4"/>
        <v>0.93699999999989814</v>
      </c>
      <c r="J76" s="3764"/>
      <c r="K76" s="26">
        <f t="shared" si="5"/>
        <v>5.3277989424000971E-3</v>
      </c>
      <c r="L76" s="3744"/>
      <c r="M76" s="1679">
        <v>41267</v>
      </c>
    </row>
    <row r="77" spans="1:14" ht="15">
      <c r="A77" s="3767" t="s">
        <v>5</v>
      </c>
      <c r="B77" s="3804" t="s">
        <v>34</v>
      </c>
      <c r="C77" s="3754">
        <f>SUM(E77:E78)</f>
        <v>60</v>
      </c>
      <c r="D77" s="402" t="s">
        <v>279</v>
      </c>
      <c r="E77" s="17">
        <v>57</v>
      </c>
      <c r="F77" s="17">
        <f>+E77</f>
        <v>57</v>
      </c>
      <c r="G77" s="18">
        <f>+SUM(Jurel!B112:B114)</f>
        <v>0</v>
      </c>
      <c r="H77" s="3731">
        <f>SUM(G77:G78)</f>
        <v>0</v>
      </c>
      <c r="I77" s="19">
        <f t="shared" si="4"/>
        <v>57</v>
      </c>
      <c r="J77" s="3762">
        <f>+C77-H77</f>
        <v>60</v>
      </c>
      <c r="K77" s="20">
        <f t="shared" si="5"/>
        <v>1</v>
      </c>
      <c r="L77" s="3743">
        <f>1-H77/C77</f>
        <v>1</v>
      </c>
      <c r="M77" s="1663"/>
    </row>
    <row r="78" spans="1:14" ht="15">
      <c r="A78" s="3733" t="s">
        <v>73</v>
      </c>
      <c r="B78" s="3739"/>
      <c r="C78" s="3755"/>
      <c r="D78" s="403" t="s">
        <v>74</v>
      </c>
      <c r="E78" s="33">
        <v>3</v>
      </c>
      <c r="F78" s="38">
        <f>+E78+I77</f>
        <v>60</v>
      </c>
      <c r="G78" s="34">
        <f>+SUM(Jurel!B106:B108)</f>
        <v>0</v>
      </c>
      <c r="H78" s="3729"/>
      <c r="I78" s="36">
        <f t="shared" si="4"/>
        <v>60</v>
      </c>
      <c r="J78" s="3763"/>
      <c r="K78" s="37">
        <f t="shared" si="5"/>
        <v>1</v>
      </c>
      <c r="L78" s="3751"/>
      <c r="M78" s="1665"/>
    </row>
    <row r="79" spans="1:14" ht="15">
      <c r="A79" s="3767" t="s">
        <v>5</v>
      </c>
      <c r="B79" s="3754" t="s">
        <v>78</v>
      </c>
      <c r="C79" s="3754">
        <f>SUM(E79:E80)</f>
        <v>312</v>
      </c>
      <c r="D79" s="402" t="s">
        <v>279</v>
      </c>
      <c r="E79" s="17">
        <v>296</v>
      </c>
      <c r="F79" s="17">
        <f>+E79</f>
        <v>296</v>
      </c>
      <c r="G79" s="18">
        <f>+'Resumen RAE Jurel'!F51</f>
        <v>0.52800000000000002</v>
      </c>
      <c r="H79" s="3731">
        <f>SUM(G79:G80)</f>
        <v>0.52800000000000002</v>
      </c>
      <c r="I79" s="19">
        <f t="shared" si="4"/>
        <v>295.47199999999998</v>
      </c>
      <c r="J79" s="3762">
        <f>+C79-H79</f>
        <v>311.47199999999998</v>
      </c>
      <c r="K79" s="20">
        <f t="shared" si="5"/>
        <v>0.99821621621621626</v>
      </c>
      <c r="L79" s="3743">
        <f>1-H79/C79</f>
        <v>0.99830769230769234</v>
      </c>
      <c r="M79" s="1663"/>
    </row>
    <row r="80" spans="1:14" ht="15">
      <c r="A80" s="3733" t="s">
        <v>73</v>
      </c>
      <c r="B80" s="3755"/>
      <c r="C80" s="3755"/>
      <c r="D80" s="403" t="s">
        <v>74</v>
      </c>
      <c r="E80" s="33">
        <v>16</v>
      </c>
      <c r="F80" s="38">
        <f>+E80+I79</f>
        <v>311.47199999999998</v>
      </c>
      <c r="G80" s="34">
        <f>+'Resumen RAE Jurel'!F71</f>
        <v>0</v>
      </c>
      <c r="H80" s="3729"/>
      <c r="I80" s="36">
        <f t="shared" si="4"/>
        <v>311.47199999999998</v>
      </c>
      <c r="J80" s="3763"/>
      <c r="K80" s="37">
        <f t="shared" si="5"/>
        <v>1</v>
      </c>
      <c r="L80" s="3751"/>
      <c r="M80" s="1665"/>
    </row>
    <row r="81" spans="1:14" ht="15">
      <c r="A81" s="3767" t="s">
        <v>5</v>
      </c>
      <c r="B81" s="3800" t="s">
        <v>68</v>
      </c>
      <c r="C81" s="3754">
        <f>SUM(E81:E82)</f>
        <v>2090</v>
      </c>
      <c r="D81" s="402" t="s">
        <v>279</v>
      </c>
      <c r="E81" s="17">
        <v>1985</v>
      </c>
      <c r="F81" s="17">
        <f>+E81</f>
        <v>1985</v>
      </c>
      <c r="G81" s="18">
        <f>+SUM('Resumen RAE Jurel'!F86)</f>
        <v>608.221</v>
      </c>
      <c r="H81" s="3731">
        <f>SUM(G81:G82)</f>
        <v>608.221</v>
      </c>
      <c r="I81" s="19">
        <f t="shared" si="4"/>
        <v>1376.779</v>
      </c>
      <c r="J81" s="3762">
        <f>+C81-H81</f>
        <v>1481.779</v>
      </c>
      <c r="K81" s="20">
        <f t="shared" si="5"/>
        <v>0.69359143576826199</v>
      </c>
      <c r="L81" s="3743">
        <f>1-H81/C81</f>
        <v>0.70898516746411477</v>
      </c>
      <c r="M81" s="1663"/>
    </row>
    <row r="82" spans="1:14" ht="15">
      <c r="A82" s="3796" t="s">
        <v>73</v>
      </c>
      <c r="B82" s="3801"/>
      <c r="C82" s="3774"/>
      <c r="D82" s="404" t="s">
        <v>74</v>
      </c>
      <c r="E82" s="28">
        <v>105</v>
      </c>
      <c r="F82" s="29">
        <f>+E82+I81</f>
        <v>1481.779</v>
      </c>
      <c r="G82" s="30">
        <f>+SUM('Resumen RAE Jurel'!F99)</f>
        <v>0</v>
      </c>
      <c r="H82" s="3793"/>
      <c r="I82" s="31">
        <f t="shared" si="4"/>
        <v>1481.779</v>
      </c>
      <c r="J82" s="3778"/>
      <c r="K82" s="32">
        <f t="shared" si="5"/>
        <v>1</v>
      </c>
      <c r="L82" s="3779"/>
      <c r="M82" s="1664"/>
    </row>
    <row r="83" spans="1:14" ht="21.75" customHeight="1">
      <c r="A83" s="566" t="s">
        <v>524</v>
      </c>
      <c r="B83" s="515" t="s">
        <v>525</v>
      </c>
      <c r="C83" s="516">
        <f>+E83</f>
        <v>138240</v>
      </c>
      <c r="D83" s="514" t="s">
        <v>526</v>
      </c>
      <c r="E83" s="517">
        <v>138240</v>
      </c>
      <c r="F83" s="518">
        <f>+E83</f>
        <v>138240</v>
      </c>
      <c r="G83" s="519">
        <f>+SUM('resumen Jibia XV a XII'!E19)</f>
        <v>100599.53880000001</v>
      </c>
      <c r="H83" s="520">
        <f>+G83</f>
        <v>100599.53880000001</v>
      </c>
      <c r="I83" s="521">
        <f t="shared" si="4"/>
        <v>37640.461199999991</v>
      </c>
      <c r="J83" s="522">
        <f>+C83-G83</f>
        <v>37640.461199999991</v>
      </c>
      <c r="K83" s="523">
        <f t="shared" si="5"/>
        <v>0.27228342881944434</v>
      </c>
      <c r="L83" s="524">
        <f>1-H83/C83</f>
        <v>0.27228342881944434</v>
      </c>
      <c r="M83" s="1680"/>
    </row>
    <row r="84" spans="1:14" ht="15">
      <c r="A84" s="3732" t="s">
        <v>31</v>
      </c>
      <c r="B84" s="3738" t="s">
        <v>6</v>
      </c>
      <c r="C84" s="3760">
        <f>SUM(E84:E86)</f>
        <v>196</v>
      </c>
      <c r="D84" s="410" t="s">
        <v>79</v>
      </c>
      <c r="E84" s="42">
        <v>98</v>
      </c>
      <c r="F84" s="42">
        <f>+E84</f>
        <v>98</v>
      </c>
      <c r="G84" s="43">
        <f>+SUM(L.Amarillo!B10:B12)</f>
        <v>0</v>
      </c>
      <c r="H84" s="3728">
        <f>SUM(G84:G86)</f>
        <v>13.638</v>
      </c>
      <c r="I84" s="44">
        <f t="shared" si="4"/>
        <v>98</v>
      </c>
      <c r="J84" s="3780">
        <f>+C84-H84</f>
        <v>182.36199999999999</v>
      </c>
      <c r="K84" s="45">
        <f t="shared" si="5"/>
        <v>1</v>
      </c>
      <c r="L84" s="3759">
        <f>1-H84/C84</f>
        <v>0.93041836734693883</v>
      </c>
      <c r="M84" s="1676"/>
    </row>
    <row r="85" spans="1:14" ht="15">
      <c r="A85" s="3733"/>
      <c r="B85" s="3739"/>
      <c r="C85" s="3755"/>
      <c r="D85" s="405" t="s">
        <v>80</v>
      </c>
      <c r="E85" s="33">
        <v>59</v>
      </c>
      <c r="F85" s="38">
        <f>+E85+I84</f>
        <v>157</v>
      </c>
      <c r="G85" s="34">
        <f>+SUM(L.Amarillo!B13:B15)</f>
        <v>13.638</v>
      </c>
      <c r="H85" s="3729"/>
      <c r="I85" s="36">
        <f t="shared" si="4"/>
        <v>143.36199999999999</v>
      </c>
      <c r="J85" s="3763"/>
      <c r="K85" s="37">
        <f t="shared" si="5"/>
        <v>0.91313375796178342</v>
      </c>
      <c r="L85" s="3751"/>
      <c r="M85" s="1681"/>
    </row>
    <row r="86" spans="1:14" ht="15">
      <c r="A86" s="3796"/>
      <c r="B86" s="3811"/>
      <c r="C86" s="3774"/>
      <c r="D86" s="404" t="s">
        <v>81</v>
      </c>
      <c r="E86" s="28">
        <v>39</v>
      </c>
      <c r="F86" s="29">
        <f>+E86+I85</f>
        <v>182.36199999999999</v>
      </c>
      <c r="G86" s="30">
        <f>+SUM(L.Amarillo!B16:B18)</f>
        <v>0</v>
      </c>
      <c r="H86" s="3793"/>
      <c r="I86" s="1576">
        <f t="shared" si="4"/>
        <v>182.36199999999999</v>
      </c>
      <c r="J86" s="3778"/>
      <c r="K86" s="32">
        <f t="shared" si="5"/>
        <v>1</v>
      </c>
      <c r="L86" s="3779"/>
      <c r="M86" s="1682"/>
    </row>
    <row r="87" spans="1:14" ht="15">
      <c r="A87" s="3767" t="s">
        <v>31</v>
      </c>
      <c r="B87" s="3797" t="s">
        <v>7</v>
      </c>
      <c r="C87" s="3783">
        <f>SUM(E87:E89)</f>
        <v>781</v>
      </c>
      <c r="D87" s="402" t="s">
        <v>79</v>
      </c>
      <c r="E87" s="17">
        <v>391</v>
      </c>
      <c r="F87" s="17">
        <f>+E87</f>
        <v>391</v>
      </c>
      <c r="G87" s="18">
        <f>+SUM(L.Amarillo!B26:B28)</f>
        <v>404.57299999999998</v>
      </c>
      <c r="H87" s="3731">
        <f>SUM(G87:G89)</f>
        <v>817.72199999999998</v>
      </c>
      <c r="I87" s="1577">
        <f t="shared" si="4"/>
        <v>-13.572999999999979</v>
      </c>
      <c r="J87" s="3731">
        <f>+C87-H87</f>
        <v>-36.72199999999998</v>
      </c>
      <c r="K87" s="20">
        <f t="shared" si="5"/>
        <v>-3.4713554987212181E-2</v>
      </c>
      <c r="L87" s="3781">
        <f>1-H87/C87</f>
        <v>-4.7019206145966663E-2</v>
      </c>
      <c r="M87" s="1662">
        <v>41048</v>
      </c>
    </row>
    <row r="88" spans="1:14" ht="15">
      <c r="A88" s="3733"/>
      <c r="B88" s="3802"/>
      <c r="C88" s="3791"/>
      <c r="D88" s="405" t="s">
        <v>80</v>
      </c>
      <c r="E88" s="33">
        <v>234</v>
      </c>
      <c r="F88" s="38">
        <f>+E88+I87</f>
        <v>220.42700000000002</v>
      </c>
      <c r="G88" s="34">
        <f>+SUM(L.Amarillo!B29:B31)</f>
        <v>237.84800000000001</v>
      </c>
      <c r="H88" s="3729"/>
      <c r="I88" s="1578">
        <f t="shared" si="4"/>
        <v>-17.420999999999992</v>
      </c>
      <c r="J88" s="3729"/>
      <c r="K88" s="37">
        <f t="shared" si="5"/>
        <v>-7.9032967830619638E-2</v>
      </c>
      <c r="L88" s="3815"/>
      <c r="M88" s="1683">
        <v>41115</v>
      </c>
    </row>
    <row r="89" spans="1:14" ht="15">
      <c r="A89" s="3734"/>
      <c r="B89" s="3756"/>
      <c r="C89" s="3750"/>
      <c r="D89" s="403" t="s">
        <v>81</v>
      </c>
      <c r="E89" s="21">
        <v>156</v>
      </c>
      <c r="F89" s="22">
        <f>+E89+I88</f>
        <v>138.57900000000001</v>
      </c>
      <c r="G89" s="23">
        <f>+SUM(L.Amarillo!B32:B34)</f>
        <v>175.30099999999999</v>
      </c>
      <c r="H89" s="3730"/>
      <c r="I89" s="1579">
        <f t="shared" si="4"/>
        <v>-36.72199999999998</v>
      </c>
      <c r="J89" s="3730"/>
      <c r="K89" s="26">
        <f t="shared" si="5"/>
        <v>-0.26498964489569121</v>
      </c>
      <c r="L89" s="3758"/>
      <c r="M89" s="2481">
        <v>41206</v>
      </c>
      <c r="N89" s="312"/>
    </row>
    <row r="90" spans="1:14" ht="15">
      <c r="A90" s="3732" t="s">
        <v>32</v>
      </c>
      <c r="B90" s="3798" t="s">
        <v>33</v>
      </c>
      <c r="C90" s="3749">
        <f>SUM(E90:E92)</f>
        <v>20</v>
      </c>
      <c r="D90" s="410" t="s">
        <v>79</v>
      </c>
      <c r="E90" s="42">
        <v>10</v>
      </c>
      <c r="F90" s="42">
        <f>+E90</f>
        <v>10</v>
      </c>
      <c r="G90" s="43">
        <f>+SUM(L.colorado!B10:B12)</f>
        <v>0</v>
      </c>
      <c r="H90" s="3728">
        <f>SUM(G90:G92)</f>
        <v>0</v>
      </c>
      <c r="I90" s="1580">
        <f t="shared" si="4"/>
        <v>10</v>
      </c>
      <c r="J90" s="3780">
        <f>+C90-H90</f>
        <v>20</v>
      </c>
      <c r="K90" s="45">
        <f t="shared" si="5"/>
        <v>1</v>
      </c>
      <c r="L90" s="3759">
        <f>1-H90/C90</f>
        <v>1</v>
      </c>
      <c r="M90" s="1676"/>
    </row>
    <row r="91" spans="1:14" ht="15">
      <c r="A91" s="3733"/>
      <c r="B91" s="3802"/>
      <c r="C91" s="3791"/>
      <c r="D91" s="405" t="s">
        <v>80</v>
      </c>
      <c r="E91" s="33">
        <v>7</v>
      </c>
      <c r="F91" s="38">
        <f>+E91+I90</f>
        <v>17</v>
      </c>
      <c r="G91" s="34">
        <f>+SUM(L.colorado!B13:B15)</f>
        <v>0</v>
      </c>
      <c r="H91" s="3729"/>
      <c r="I91" s="1578">
        <f t="shared" si="4"/>
        <v>17</v>
      </c>
      <c r="J91" s="3763"/>
      <c r="K91" s="37">
        <f t="shared" si="5"/>
        <v>1</v>
      </c>
      <c r="L91" s="3751"/>
      <c r="M91" s="1665"/>
    </row>
    <row r="92" spans="1:14" ht="15">
      <c r="A92" s="3796"/>
      <c r="B92" s="3799"/>
      <c r="C92" s="3785"/>
      <c r="D92" s="404" t="s">
        <v>81</v>
      </c>
      <c r="E92" s="28">
        <v>3</v>
      </c>
      <c r="F92" s="29">
        <f>+E92+I91</f>
        <v>20</v>
      </c>
      <c r="G92" s="30">
        <f>+SUM(L.colorado!B16:B18)</f>
        <v>0</v>
      </c>
      <c r="H92" s="3793"/>
      <c r="I92" s="1576">
        <f t="shared" si="4"/>
        <v>20</v>
      </c>
      <c r="J92" s="3778"/>
      <c r="K92" s="32">
        <f t="shared" si="5"/>
        <v>1</v>
      </c>
      <c r="L92" s="3779"/>
      <c r="M92" s="1664"/>
    </row>
    <row r="93" spans="1:14" ht="15">
      <c r="A93" s="3767" t="s">
        <v>32</v>
      </c>
      <c r="B93" s="3804" t="s">
        <v>6</v>
      </c>
      <c r="C93" s="3783">
        <f>SUM(E93:E95)</f>
        <v>150</v>
      </c>
      <c r="D93" s="402" t="s">
        <v>79</v>
      </c>
      <c r="E93" s="17">
        <v>75</v>
      </c>
      <c r="F93" s="17">
        <f>+E93</f>
        <v>75</v>
      </c>
      <c r="G93" s="18">
        <f>+SUM(L.colorado!B26:B28)</f>
        <v>0</v>
      </c>
      <c r="H93" s="3731">
        <f>SUM(G93:G95)</f>
        <v>0</v>
      </c>
      <c r="I93" s="1577">
        <f t="shared" si="4"/>
        <v>75</v>
      </c>
      <c r="J93" s="3762">
        <f>+C93-H93</f>
        <v>150</v>
      </c>
      <c r="K93" s="20">
        <f t="shared" si="5"/>
        <v>1</v>
      </c>
      <c r="L93" s="3743">
        <f>1-H93/C93</f>
        <v>1</v>
      </c>
      <c r="M93" s="1663"/>
    </row>
    <row r="94" spans="1:14" ht="15">
      <c r="A94" s="3733"/>
      <c r="B94" s="3739"/>
      <c r="C94" s="3791"/>
      <c r="D94" s="405" t="s">
        <v>80</v>
      </c>
      <c r="E94" s="33">
        <v>53</v>
      </c>
      <c r="F94" s="38">
        <f>+E94+I93</f>
        <v>128</v>
      </c>
      <c r="G94" s="34">
        <f>+SUM(L.colorado!B29:B31)</f>
        <v>0</v>
      </c>
      <c r="H94" s="3729"/>
      <c r="I94" s="1578">
        <f t="shared" si="4"/>
        <v>128</v>
      </c>
      <c r="J94" s="3763"/>
      <c r="K94" s="37">
        <f t="shared" si="5"/>
        <v>1</v>
      </c>
      <c r="L94" s="3751"/>
      <c r="M94" s="1665"/>
    </row>
    <row r="95" spans="1:14" ht="15">
      <c r="A95" s="3734"/>
      <c r="B95" s="3740"/>
      <c r="C95" s="3750"/>
      <c r="D95" s="403" t="s">
        <v>81</v>
      </c>
      <c r="E95" s="21">
        <v>22</v>
      </c>
      <c r="F95" s="22">
        <f>+E95+I94</f>
        <v>150</v>
      </c>
      <c r="G95" s="23">
        <f>+SUM(L.colorado!B32:B34)</f>
        <v>0</v>
      </c>
      <c r="H95" s="3730"/>
      <c r="I95" s="1579">
        <f t="shared" si="4"/>
        <v>150</v>
      </c>
      <c r="J95" s="3764"/>
      <c r="K95" s="26">
        <f t="shared" si="5"/>
        <v>1</v>
      </c>
      <c r="L95" s="3744"/>
      <c r="M95" s="1660"/>
    </row>
    <row r="96" spans="1:14" ht="15">
      <c r="A96" s="3732" t="s">
        <v>32</v>
      </c>
      <c r="B96" s="3798" t="s">
        <v>7</v>
      </c>
      <c r="C96" s="3749">
        <f>SUM(E96:E98)</f>
        <v>515</v>
      </c>
      <c r="D96" s="410" t="s">
        <v>79</v>
      </c>
      <c r="E96" s="341">
        <v>258</v>
      </c>
      <c r="F96" s="341">
        <f>+E96</f>
        <v>258</v>
      </c>
      <c r="G96" s="342">
        <f>+SUM(L.colorado!B42:B44)</f>
        <v>264.56600000000003</v>
      </c>
      <c r="H96" s="3765">
        <f>SUM(G96:G98)</f>
        <v>516.56600000000003</v>
      </c>
      <c r="I96" s="1581">
        <f t="shared" si="4"/>
        <v>-6.5660000000000309</v>
      </c>
      <c r="J96" s="3728">
        <f>+C96-H96</f>
        <v>-1.5660000000000309</v>
      </c>
      <c r="K96" s="45">
        <f t="shared" si="5"/>
        <v>-2.5449612403100952E-2</v>
      </c>
      <c r="L96" s="3757">
        <f>1-H96/C96</f>
        <v>-3.0407766990292462E-3</v>
      </c>
      <c r="M96" s="1662">
        <v>41080</v>
      </c>
      <c r="N96" s="486"/>
    </row>
    <row r="97" spans="1:14" ht="15">
      <c r="A97" s="3733"/>
      <c r="B97" s="3802"/>
      <c r="C97" s="3791"/>
      <c r="D97" s="405" t="s">
        <v>80</v>
      </c>
      <c r="E97" s="343">
        <v>180</v>
      </c>
      <c r="F97" s="344">
        <f>+E97+I96</f>
        <v>173.43399999999997</v>
      </c>
      <c r="G97" s="345">
        <f>+SUM(L.colorado!B45:B47)</f>
        <v>182.489</v>
      </c>
      <c r="H97" s="3792"/>
      <c r="I97" s="1582">
        <f t="shared" si="4"/>
        <v>-9.0550000000000352</v>
      </c>
      <c r="J97" s="3729"/>
      <c r="K97" s="37">
        <f t="shared" si="5"/>
        <v>-5.2210062617479958E-2</v>
      </c>
      <c r="L97" s="3815"/>
      <c r="M97" s="1683">
        <v>41141</v>
      </c>
    </row>
    <row r="98" spans="1:14" ht="15">
      <c r="A98" s="3796"/>
      <c r="B98" s="3799"/>
      <c r="C98" s="3785"/>
      <c r="D98" s="404" t="s">
        <v>81</v>
      </c>
      <c r="E98" s="347">
        <v>77</v>
      </c>
      <c r="F98" s="348">
        <f>+E98+I97</f>
        <v>67.944999999999965</v>
      </c>
      <c r="G98" s="349">
        <f>+SUM(L.colorado!B48:B50)</f>
        <v>69.51100000000001</v>
      </c>
      <c r="H98" s="3786"/>
      <c r="I98" s="1583">
        <f t="shared" si="4"/>
        <v>-1.5660000000000451</v>
      </c>
      <c r="J98" s="3793"/>
      <c r="K98" s="32">
        <f t="shared" si="5"/>
        <v>-2.304805357274331E-2</v>
      </c>
      <c r="L98" s="3782"/>
      <c r="M98" s="1684">
        <v>41213</v>
      </c>
      <c r="N98" s="295"/>
    </row>
    <row r="99" spans="1:14" ht="15">
      <c r="A99" s="3812" t="s">
        <v>18</v>
      </c>
      <c r="B99" s="3800" t="s">
        <v>82</v>
      </c>
      <c r="C99" s="3809">
        <f>SUM(E99:E104)</f>
        <v>665.96400000000006</v>
      </c>
      <c r="D99" s="402" t="s">
        <v>56</v>
      </c>
      <c r="E99" s="308">
        <f>+'Resumen RAE Merluza'!C8</f>
        <v>19.344999999999999</v>
      </c>
      <c r="F99" s="350">
        <f>+E99</f>
        <v>19.344999999999999</v>
      </c>
      <c r="G99" s="351">
        <f>+'Resumen RAE Merluza'!E8</f>
        <v>3.4160000000000004</v>
      </c>
      <c r="H99" s="3784">
        <f>SUM(G99:G100)</f>
        <v>3.4160000000000004</v>
      </c>
      <c r="I99" s="352">
        <f t="shared" si="4"/>
        <v>15.928999999999998</v>
      </c>
      <c r="J99" s="3762">
        <f>+C99-H99</f>
        <v>662.548</v>
      </c>
      <c r="K99" s="20">
        <f t="shared" si="5"/>
        <v>0.82341690359265951</v>
      </c>
      <c r="L99" s="3743">
        <f>1-H99/C99</f>
        <v>0.99487059360566032</v>
      </c>
      <c r="M99" s="1663"/>
    </row>
    <row r="100" spans="1:14" ht="15">
      <c r="A100" s="3813"/>
      <c r="B100" s="3736"/>
      <c r="C100" s="3816"/>
      <c r="D100" s="405" t="s">
        <v>57</v>
      </c>
      <c r="E100" s="318">
        <f>+'Resumen RAE Merluza'!C14</f>
        <v>6.4480000000000004</v>
      </c>
      <c r="F100" s="344">
        <f>+E100+I99</f>
        <v>22.376999999999999</v>
      </c>
      <c r="G100" s="345">
        <f>+'Resumen RAE Merluza'!E14</f>
        <v>0</v>
      </c>
      <c r="H100" s="3792"/>
      <c r="I100" s="346">
        <f t="shared" si="4"/>
        <v>22.376999999999999</v>
      </c>
      <c r="J100" s="3763"/>
      <c r="K100" s="37">
        <f t="shared" si="5"/>
        <v>1</v>
      </c>
      <c r="L100" s="3751"/>
      <c r="M100" s="1665"/>
    </row>
    <row r="101" spans="1:14" ht="15">
      <c r="A101" s="3813"/>
      <c r="B101" s="3736" t="s">
        <v>83</v>
      </c>
      <c r="C101" s="3816"/>
      <c r="D101" s="405" t="s">
        <v>56</v>
      </c>
      <c r="E101" s="47">
        <f>+'Resumen RAE Merluza'!C9</f>
        <v>415.61900000000003</v>
      </c>
      <c r="F101" s="33">
        <f>+E101+I100</f>
        <v>437.99600000000004</v>
      </c>
      <c r="G101" s="34">
        <f>+'Resumen RAE Merluza'!E9</f>
        <v>307.387</v>
      </c>
      <c r="H101" s="3729">
        <f>SUM(G101:G102)</f>
        <v>510.26599999999996</v>
      </c>
      <c r="I101" s="36">
        <f t="shared" si="4"/>
        <v>130.60900000000004</v>
      </c>
      <c r="J101" s="3763"/>
      <c r="K101" s="37">
        <f t="shared" si="5"/>
        <v>0.29819678718527121</v>
      </c>
      <c r="L101" s="3751"/>
      <c r="M101" s="1665"/>
    </row>
    <row r="102" spans="1:14" ht="15">
      <c r="A102" s="3813"/>
      <c r="B102" s="3736"/>
      <c r="C102" s="3816"/>
      <c r="D102" s="405" t="s">
        <v>57</v>
      </c>
      <c r="E102" s="47">
        <f>+'Resumen RAE Merluza'!C15</f>
        <v>138.54</v>
      </c>
      <c r="F102" s="38">
        <f>+E102+I101</f>
        <v>269.149</v>
      </c>
      <c r="G102" s="34">
        <f>+'Resumen RAE Merluza'!E15</f>
        <v>202.87899999999999</v>
      </c>
      <c r="H102" s="3729"/>
      <c r="I102" s="36">
        <f t="shared" si="4"/>
        <v>66.27000000000001</v>
      </c>
      <c r="J102" s="3763"/>
      <c r="K102" s="37">
        <f t="shared" si="5"/>
        <v>0.24622049496747156</v>
      </c>
      <c r="L102" s="3751"/>
      <c r="M102" s="1665"/>
    </row>
    <row r="103" spans="1:14" ht="15">
      <c r="A103" s="3813"/>
      <c r="B103" s="3736" t="s">
        <v>84</v>
      </c>
      <c r="C103" s="3816"/>
      <c r="D103" s="405" t="s">
        <v>56</v>
      </c>
      <c r="E103" s="47">
        <f>+'Resumen RAE Merluza'!C10</f>
        <v>64.509</v>
      </c>
      <c r="F103" s="33">
        <f>+E103+I102</f>
        <v>130.779</v>
      </c>
      <c r="G103" s="34">
        <f>+'Resumen RAE Merluza'!E10</f>
        <v>0.21000000000000002</v>
      </c>
      <c r="H103" s="3729">
        <f>SUM(G103:G104)</f>
        <v>0.6180000000000001</v>
      </c>
      <c r="I103" s="36">
        <f t="shared" ref="I103:I134" si="6">+F103-G103</f>
        <v>130.56899999999999</v>
      </c>
      <c r="J103" s="3763"/>
      <c r="K103" s="37">
        <f t="shared" ref="K103:K134" si="7">1-G103/F103</f>
        <v>0.99839423760695523</v>
      </c>
      <c r="L103" s="3751"/>
      <c r="M103" s="1665"/>
    </row>
    <row r="104" spans="1:14" ht="15">
      <c r="A104" s="3814"/>
      <c r="B104" s="3737"/>
      <c r="C104" s="3810"/>
      <c r="D104" s="403" t="s">
        <v>57</v>
      </c>
      <c r="E104" s="48">
        <f>+'Resumen RAE Merluza'!C16</f>
        <v>21.503</v>
      </c>
      <c r="F104" s="22">
        <f>+E104+I103</f>
        <v>152.072</v>
      </c>
      <c r="G104" s="23">
        <f>+'Resumen RAE Merluza'!E16</f>
        <v>0.40800000000000003</v>
      </c>
      <c r="H104" s="3730"/>
      <c r="I104" s="25">
        <f t="shared" si="6"/>
        <v>151.66400000000002</v>
      </c>
      <c r="J104" s="3764"/>
      <c r="K104" s="26">
        <f t="shared" si="7"/>
        <v>0.99731706033983902</v>
      </c>
      <c r="L104" s="3744"/>
      <c r="M104" s="1660"/>
    </row>
    <row r="105" spans="1:14" ht="15">
      <c r="A105" s="3812" t="s">
        <v>18</v>
      </c>
      <c r="B105" s="3800" t="s">
        <v>85</v>
      </c>
      <c r="C105" s="3809">
        <f>SUM(E105:E110)</f>
        <v>4024.3310000000001</v>
      </c>
      <c r="D105" s="402" t="s">
        <v>56</v>
      </c>
      <c r="E105" s="308">
        <f>+'Resumen RAE Merluza'!C22</f>
        <v>143.75699999999995</v>
      </c>
      <c r="F105" s="17">
        <f>+E105</f>
        <v>143.75699999999995</v>
      </c>
      <c r="G105" s="18">
        <f>+'Resumen RAE Merluza'!E22</f>
        <v>13.964</v>
      </c>
      <c r="H105" s="3731">
        <f>+SUM(G105:G110)</f>
        <v>3475.0329999999999</v>
      </c>
      <c r="I105" s="19">
        <f t="shared" si="6"/>
        <v>129.79299999999995</v>
      </c>
      <c r="J105" s="3762">
        <f>+C105-H105</f>
        <v>549.29800000000023</v>
      </c>
      <c r="K105" s="20">
        <f t="shared" si="7"/>
        <v>0.90286386054244305</v>
      </c>
      <c r="L105" s="3743">
        <f>1-H105/C105</f>
        <v>0.13649423966368579</v>
      </c>
      <c r="M105" s="3168"/>
      <c r="N105" s="295"/>
    </row>
    <row r="106" spans="1:14" ht="15">
      <c r="A106" s="3813"/>
      <c r="B106" s="3736"/>
      <c r="C106" s="3816"/>
      <c r="D106" s="405" t="s">
        <v>57</v>
      </c>
      <c r="E106" s="318">
        <f>+'Resumen RAE Merluza'!C31</f>
        <v>81.251999999999995</v>
      </c>
      <c r="F106" s="38">
        <f>+E106+I105</f>
        <v>211.04499999999996</v>
      </c>
      <c r="G106" s="34">
        <f>+'Resumen RAE Merluza'!E31</f>
        <v>44.908999999999999</v>
      </c>
      <c r="H106" s="3729"/>
      <c r="I106" s="36">
        <f t="shared" si="6"/>
        <v>166.13599999999997</v>
      </c>
      <c r="J106" s="3763"/>
      <c r="K106" s="37">
        <f t="shared" si="7"/>
        <v>0.78720651993650637</v>
      </c>
      <c r="L106" s="3751"/>
      <c r="M106" s="3171"/>
    </row>
    <row r="107" spans="1:14" ht="15">
      <c r="A107" s="3813"/>
      <c r="B107" s="3790" t="s">
        <v>86</v>
      </c>
      <c r="C107" s="3816"/>
      <c r="D107" s="405" t="s">
        <v>56</v>
      </c>
      <c r="E107" s="318">
        <f>+SUM('Resumen RAE Merluza'!C23:C26)</f>
        <v>1043.4690000000001</v>
      </c>
      <c r="F107" s="33">
        <f>+E107</f>
        <v>1043.4690000000001</v>
      </c>
      <c r="G107" s="345">
        <f>+SUM('Resumen RAE Merluza'!E23:E26)</f>
        <v>628.95399999999995</v>
      </c>
      <c r="H107" s="3729"/>
      <c r="I107" s="36">
        <f t="shared" si="6"/>
        <v>414.5150000000001</v>
      </c>
      <c r="J107" s="3763"/>
      <c r="K107" s="37">
        <f t="shared" si="7"/>
        <v>0.39724706723438841</v>
      </c>
      <c r="L107" s="3751"/>
      <c r="M107" s="3171"/>
    </row>
    <row r="108" spans="1:14" ht="15">
      <c r="A108" s="3813"/>
      <c r="B108" s="3790"/>
      <c r="C108" s="3816"/>
      <c r="D108" s="405" t="s">
        <v>57</v>
      </c>
      <c r="E108" s="318">
        <f>+SUM('Resumen RAE Merluza'!C32:C34)</f>
        <v>286.15699999999998</v>
      </c>
      <c r="F108" s="33">
        <f>+E108+I107</f>
        <v>700.67200000000003</v>
      </c>
      <c r="G108" s="345">
        <f>+SUM('Resumen RAE Merluza'!E32:E34)</f>
        <v>566.84400000000005</v>
      </c>
      <c r="H108" s="3729"/>
      <c r="I108" s="36">
        <f t="shared" si="6"/>
        <v>133.82799999999997</v>
      </c>
      <c r="J108" s="3763"/>
      <c r="K108" s="37">
        <f t="shared" si="7"/>
        <v>0.19099949762513702</v>
      </c>
      <c r="L108" s="3751"/>
      <c r="M108" s="3171"/>
    </row>
    <row r="109" spans="1:14" ht="15">
      <c r="A109" s="3813"/>
      <c r="B109" s="3736" t="s">
        <v>87</v>
      </c>
      <c r="C109" s="3816"/>
      <c r="D109" s="405" t="s">
        <v>56</v>
      </c>
      <c r="E109" s="318">
        <f>+'Resumen RAE Merluza'!C27</f>
        <v>1477.2719999999999</v>
      </c>
      <c r="F109" s="33">
        <f>+E109</f>
        <v>1477.2719999999999</v>
      </c>
      <c r="G109" s="34">
        <f>+'Resumen RAE Merluza'!E27</f>
        <v>434.303</v>
      </c>
      <c r="H109" s="3729"/>
      <c r="I109" s="36">
        <f t="shared" si="6"/>
        <v>1042.9690000000001</v>
      </c>
      <c r="J109" s="3763"/>
      <c r="K109" s="37">
        <f t="shared" si="7"/>
        <v>0.70601013218960351</v>
      </c>
      <c r="L109" s="3751"/>
      <c r="M109" s="3171"/>
    </row>
    <row r="110" spans="1:14" ht="15">
      <c r="A110" s="3814"/>
      <c r="B110" s="3737"/>
      <c r="C110" s="3810"/>
      <c r="D110" s="403" t="s">
        <v>57</v>
      </c>
      <c r="E110" s="309">
        <f>+'Resumen RAE Merluza'!C35</f>
        <v>992.42399999999998</v>
      </c>
      <c r="F110" s="22">
        <f>+E110+I109</f>
        <v>2035.393</v>
      </c>
      <c r="G110" s="34">
        <f>+'Resumen RAE Merluza'!E35</f>
        <v>1786.0589999999997</v>
      </c>
      <c r="H110" s="3730"/>
      <c r="I110" s="23">
        <f t="shared" si="6"/>
        <v>249.33400000000029</v>
      </c>
      <c r="J110" s="3764"/>
      <c r="K110" s="335">
        <f t="shared" si="7"/>
        <v>0.12249919303053525</v>
      </c>
      <c r="L110" s="3744"/>
      <c r="M110" s="3173"/>
      <c r="N110" s="333"/>
    </row>
    <row r="111" spans="1:14" ht="15">
      <c r="A111" s="3812" t="s">
        <v>18</v>
      </c>
      <c r="B111" s="3800" t="s">
        <v>88</v>
      </c>
      <c r="C111" s="3809">
        <f>SUM(E111:E114)</f>
        <v>1095.2080000000001</v>
      </c>
      <c r="D111" s="402" t="s">
        <v>56</v>
      </c>
      <c r="E111" s="46">
        <f>+'Resumen RAE Merluza'!C42</f>
        <v>23.349</v>
      </c>
      <c r="F111" s="17">
        <f>+E111</f>
        <v>23.349</v>
      </c>
      <c r="G111" s="18">
        <f>+'Resumen RAE Merluza'!E42</f>
        <v>1.948</v>
      </c>
      <c r="H111" s="3731">
        <f>SUM(G111:G114)</f>
        <v>972.07499999999982</v>
      </c>
      <c r="I111" s="19">
        <f t="shared" si="6"/>
        <v>21.401</v>
      </c>
      <c r="J111" s="3762">
        <f>+C111-H111</f>
        <v>123.13300000000027</v>
      </c>
      <c r="K111" s="20">
        <f t="shared" si="7"/>
        <v>0.9165703027966936</v>
      </c>
      <c r="L111" s="3781">
        <f>1-H111/C111</f>
        <v>0.11242887195856888</v>
      </c>
      <c r="M111" s="3168"/>
    </row>
    <row r="112" spans="1:14" ht="15">
      <c r="A112" s="3813"/>
      <c r="B112" s="3736"/>
      <c r="C112" s="3816"/>
      <c r="D112" s="405" t="s">
        <v>57</v>
      </c>
      <c r="E112" s="47">
        <f>+'Resumen RAE Merluza'!C47</f>
        <v>7.7830000000000004</v>
      </c>
      <c r="F112" s="38">
        <f>+E112+I111</f>
        <v>29.184000000000001</v>
      </c>
      <c r="G112" s="34">
        <f>+'Resumen RAE Merluza'!E47</f>
        <v>1.5680000000000001</v>
      </c>
      <c r="H112" s="3729"/>
      <c r="I112" s="36">
        <f t="shared" si="6"/>
        <v>27.616</v>
      </c>
      <c r="J112" s="3763"/>
      <c r="K112" s="37">
        <f t="shared" si="7"/>
        <v>0.94627192982456143</v>
      </c>
      <c r="L112" s="3815"/>
      <c r="M112" s="3171"/>
    </row>
    <row r="113" spans="1:16" ht="15">
      <c r="A113" s="3813"/>
      <c r="B113" s="3736" t="s">
        <v>89</v>
      </c>
      <c r="C113" s="3816"/>
      <c r="D113" s="405" t="s">
        <v>56</v>
      </c>
      <c r="E113" s="47">
        <f>+'Resumen RAE Merluza'!C43</f>
        <v>423.05700000000002</v>
      </c>
      <c r="F113" s="33">
        <f>+E113+I112</f>
        <v>450.673</v>
      </c>
      <c r="G113" s="34">
        <f>+'Resumen RAE Merluza'!E43</f>
        <v>426.37099999999998</v>
      </c>
      <c r="H113" s="3729"/>
      <c r="I113" s="36">
        <f t="shared" si="6"/>
        <v>24.302000000000021</v>
      </c>
      <c r="J113" s="3763"/>
      <c r="K113" s="37">
        <f t="shared" si="7"/>
        <v>5.392379840815853E-2</v>
      </c>
      <c r="L113" s="3815"/>
      <c r="M113" s="3171"/>
    </row>
    <row r="114" spans="1:16" ht="15">
      <c r="A114" s="3814"/>
      <c r="B114" s="3737"/>
      <c r="C114" s="3810"/>
      <c r="D114" s="403" t="s">
        <v>57</v>
      </c>
      <c r="E114" s="48">
        <f>+'Resumen RAE Merluza'!C48</f>
        <v>641.01900000000001</v>
      </c>
      <c r="F114" s="21">
        <f>+E114+I113</f>
        <v>665.32100000000003</v>
      </c>
      <c r="G114" s="23">
        <f>+'Resumen RAE Merluza'!E48</f>
        <v>542.18799999999987</v>
      </c>
      <c r="H114" s="3730"/>
      <c r="I114" s="25">
        <f t="shared" si="6"/>
        <v>123.13300000000015</v>
      </c>
      <c r="J114" s="3764"/>
      <c r="K114" s="26">
        <f t="shared" si="7"/>
        <v>0.18507306999177864</v>
      </c>
      <c r="L114" s="3758"/>
      <c r="M114" s="3174"/>
    </row>
    <row r="115" spans="1:16" ht="15">
      <c r="A115" s="3812" t="s">
        <v>18</v>
      </c>
      <c r="B115" s="3800" t="s">
        <v>90</v>
      </c>
      <c r="C115" s="3809">
        <f>SUM(E115:E122)</f>
        <v>5408.8180000000002</v>
      </c>
      <c r="D115" s="402" t="s">
        <v>56</v>
      </c>
      <c r="E115" s="46">
        <f>+'Resumen RAE Merluza'!C54</f>
        <v>376.86599999999999</v>
      </c>
      <c r="F115" s="42">
        <f>+E115</f>
        <v>376.86599999999999</v>
      </c>
      <c r="G115" s="18">
        <f>+'Resumen RAE Merluza'!E54</f>
        <v>377.483</v>
      </c>
      <c r="H115" s="3731">
        <f>SUM(G115:G122)</f>
        <v>4698.3050000000003</v>
      </c>
      <c r="I115" s="1584">
        <f t="shared" si="6"/>
        <v>-0.61700000000001864</v>
      </c>
      <c r="J115" s="3762">
        <f>+C115-H115</f>
        <v>710.51299999999992</v>
      </c>
      <c r="K115" s="20">
        <f t="shared" si="7"/>
        <v>-1.6371866923521328E-3</v>
      </c>
      <c r="L115" s="3743">
        <f>1-H115/C115</f>
        <v>0.13136197224606183</v>
      </c>
      <c r="M115" s="1683"/>
    </row>
    <row r="116" spans="1:16" ht="15">
      <c r="A116" s="3813"/>
      <c r="B116" s="3736"/>
      <c r="C116" s="3816"/>
      <c r="D116" s="405" t="s">
        <v>57</v>
      </c>
      <c r="E116" s="47">
        <f>+'Resumen RAE Merluza'!C72</f>
        <v>365.62200000000001</v>
      </c>
      <c r="F116" s="33">
        <f t="shared" ref="F116:F122" si="8">+E116+I115</f>
        <v>365.005</v>
      </c>
      <c r="G116" s="34">
        <f>+'Resumen RAE Merluza'!E72</f>
        <v>388.00100000000009</v>
      </c>
      <c r="H116" s="3729"/>
      <c r="I116" s="1585">
        <f t="shared" si="6"/>
        <v>-22.996000000000095</v>
      </c>
      <c r="J116" s="3763"/>
      <c r="K116" s="37">
        <f t="shared" si="7"/>
        <v>-6.3001876686620939E-2</v>
      </c>
      <c r="L116" s="3751"/>
      <c r="M116" s="1665"/>
    </row>
    <row r="117" spans="1:16" ht="15">
      <c r="A117" s="3813"/>
      <c r="B117" s="3736" t="s">
        <v>91</v>
      </c>
      <c r="C117" s="3816"/>
      <c r="D117" s="405" t="s">
        <v>56</v>
      </c>
      <c r="E117" s="47">
        <f>+SUM('Resumen RAE Merluza'!C55:C59)</f>
        <v>1472.1899999999998</v>
      </c>
      <c r="F117" s="33">
        <f t="shared" si="8"/>
        <v>1449.1939999999997</v>
      </c>
      <c r="G117" s="34">
        <f>+SUM('Resumen RAE Merluza'!E55:E59)</f>
        <v>1104.6880000000001</v>
      </c>
      <c r="H117" s="3729"/>
      <c r="I117" s="1585">
        <f t="shared" si="6"/>
        <v>344.50599999999963</v>
      </c>
      <c r="J117" s="3763"/>
      <c r="K117" s="37">
        <f t="shared" si="7"/>
        <v>0.23772248574034927</v>
      </c>
      <c r="L117" s="3751"/>
      <c r="M117" s="1665"/>
    </row>
    <row r="118" spans="1:16" ht="15">
      <c r="A118" s="3813"/>
      <c r="B118" s="3736"/>
      <c r="C118" s="3816"/>
      <c r="D118" s="405" t="s">
        <v>57</v>
      </c>
      <c r="E118" s="47">
        <f>+SUM('Resumen RAE Merluza'!C73:C76)</f>
        <v>725.505</v>
      </c>
      <c r="F118" s="35">
        <f t="shared" si="8"/>
        <v>1070.0109999999995</v>
      </c>
      <c r="G118" s="34">
        <f>+'Resumen RAE Merluza'!E73+'Resumen RAE Merluza'!E76</f>
        <v>337.58</v>
      </c>
      <c r="H118" s="3729"/>
      <c r="I118" s="1585">
        <f t="shared" si="6"/>
        <v>732.43099999999959</v>
      </c>
      <c r="J118" s="3763"/>
      <c r="K118" s="37">
        <f t="shared" si="7"/>
        <v>0.68450791627375773</v>
      </c>
      <c r="L118" s="3751"/>
      <c r="M118" s="1665"/>
    </row>
    <row r="119" spans="1:16" ht="15">
      <c r="A119" s="3813"/>
      <c r="B119" s="3736" t="s">
        <v>92</v>
      </c>
      <c r="C119" s="3816"/>
      <c r="D119" s="405" t="s">
        <v>56</v>
      </c>
      <c r="E119" s="47">
        <f>+'Resumen RAE Merluza'!C60</f>
        <v>92.11</v>
      </c>
      <c r="F119" s="33">
        <f t="shared" si="8"/>
        <v>824.5409999999996</v>
      </c>
      <c r="G119" s="34">
        <f>+'Resumen RAE Merluza'!E60</f>
        <v>79.635999999999996</v>
      </c>
      <c r="H119" s="3729"/>
      <c r="I119" s="1585">
        <f t="shared" si="6"/>
        <v>744.90499999999963</v>
      </c>
      <c r="J119" s="3763"/>
      <c r="K119" s="37">
        <f t="shared" si="7"/>
        <v>0.90341778031656395</v>
      </c>
      <c r="L119" s="3751"/>
      <c r="M119" s="1665"/>
    </row>
    <row r="120" spans="1:16" ht="15">
      <c r="A120" s="3813"/>
      <c r="B120" s="3736"/>
      <c r="C120" s="3816"/>
      <c r="D120" s="405" t="s">
        <v>57</v>
      </c>
      <c r="E120" s="47">
        <f>+'Resumen RAE Merluza'!C77</f>
        <v>13.419</v>
      </c>
      <c r="F120" s="33">
        <f t="shared" si="8"/>
        <v>758.32399999999961</v>
      </c>
      <c r="G120" s="34">
        <f>+'Resumen RAE Merluza'!E77</f>
        <v>27.771999999999998</v>
      </c>
      <c r="H120" s="3729"/>
      <c r="I120" s="1585">
        <f t="shared" si="6"/>
        <v>730.55199999999957</v>
      </c>
      <c r="J120" s="3763"/>
      <c r="K120" s="37">
        <f t="shared" si="7"/>
        <v>0.96337713167458761</v>
      </c>
      <c r="L120" s="3751"/>
      <c r="M120" s="2469">
        <v>41206</v>
      </c>
    </row>
    <row r="121" spans="1:16" ht="15">
      <c r="A121" s="3813"/>
      <c r="B121" s="3736" t="s">
        <v>93</v>
      </c>
      <c r="C121" s="3816"/>
      <c r="D121" s="405" t="s">
        <v>56</v>
      </c>
      <c r="E121" s="47">
        <f>+SUM('Resumen RAE Merluza'!C61:C68)</f>
        <v>1505.3330000000001</v>
      </c>
      <c r="F121" s="33">
        <f t="shared" si="8"/>
        <v>2235.8849999999998</v>
      </c>
      <c r="G121" s="34">
        <f>+SUM('Resumen RAE Merluza'!E61:E68)</f>
        <v>1368.0389999999998</v>
      </c>
      <c r="H121" s="3729"/>
      <c r="I121" s="1585">
        <f t="shared" si="6"/>
        <v>867.846</v>
      </c>
      <c r="J121" s="3763"/>
      <c r="K121" s="37">
        <f t="shared" si="7"/>
        <v>0.38814429185758659</v>
      </c>
      <c r="L121" s="3751"/>
      <c r="M121" s="1683"/>
    </row>
    <row r="122" spans="1:16" ht="15">
      <c r="A122" s="3814"/>
      <c r="B122" s="3737"/>
      <c r="C122" s="3810"/>
      <c r="D122" s="403" t="s">
        <v>57</v>
      </c>
      <c r="E122" s="48">
        <f>+SUM('Resumen RAE Merluza'!C78:C84)</f>
        <v>857.77300000000002</v>
      </c>
      <c r="F122" s="21">
        <f t="shared" si="8"/>
        <v>1725.6190000000001</v>
      </c>
      <c r="G122" s="23">
        <f>+SUM('Resumen RAE Merluza'!E78:E84)</f>
        <v>1015.1059999999999</v>
      </c>
      <c r="H122" s="3730"/>
      <c r="I122" s="1586">
        <f t="shared" si="6"/>
        <v>710.51300000000026</v>
      </c>
      <c r="J122" s="3764"/>
      <c r="K122" s="26">
        <f t="shared" si="7"/>
        <v>0.41174384380329621</v>
      </c>
      <c r="L122" s="3744"/>
      <c r="M122" s="1660"/>
      <c r="N122" s="490"/>
    </row>
    <row r="123" spans="1:16" ht="15">
      <c r="A123" s="3812" t="s">
        <v>18</v>
      </c>
      <c r="B123" s="3788" t="s">
        <v>94</v>
      </c>
      <c r="C123" s="3806">
        <f>SUM(E123:E128)</f>
        <v>4867.2139999999999</v>
      </c>
      <c r="D123" s="402" t="s">
        <v>56</v>
      </c>
      <c r="E123" s="308">
        <f>+SUM('Resumen RAE Merluza'!C90:C105)</f>
        <v>2196.1150000000002</v>
      </c>
      <c r="F123" s="341">
        <f>+E123</f>
        <v>2196.1150000000002</v>
      </c>
      <c r="G123" s="351">
        <f>+SUM('Resumen RAE Merluza'!E90:E105)</f>
        <v>1146.4239999999998</v>
      </c>
      <c r="H123" s="3806">
        <f>SUM(G123:G128)</f>
        <v>3372.1099999999997</v>
      </c>
      <c r="I123" s="1587">
        <f t="shared" si="6"/>
        <v>1049.6910000000005</v>
      </c>
      <c r="J123" s="3805">
        <f>+C123-H123</f>
        <v>1495.1040000000003</v>
      </c>
      <c r="K123" s="354">
        <f t="shared" si="7"/>
        <v>0.4779763354833424</v>
      </c>
      <c r="L123" s="3781">
        <f>1-H123/C123</f>
        <v>0.30717860361184046</v>
      </c>
      <c r="M123" s="1685"/>
      <c r="N123" s="591"/>
      <c r="O123" s="477"/>
      <c r="P123" s="477"/>
    </row>
    <row r="124" spans="1:16" ht="15">
      <c r="A124" s="3813"/>
      <c r="B124" s="3790"/>
      <c r="C124" s="3808"/>
      <c r="D124" s="405" t="s">
        <v>57</v>
      </c>
      <c r="E124" s="318">
        <f>+SUM('Resumen RAE Merluza'!C112:C126)</f>
        <v>687.87199999999996</v>
      </c>
      <c r="F124" s="343">
        <f>+E124+I123</f>
        <v>1737.5630000000006</v>
      </c>
      <c r="G124" s="345">
        <f>+SUM('Resumen RAE Merluza'!E112:E126)</f>
        <v>1488.9659999999997</v>
      </c>
      <c r="H124" s="3808"/>
      <c r="I124" s="1588">
        <f t="shared" si="6"/>
        <v>248.59700000000089</v>
      </c>
      <c r="J124" s="3817"/>
      <c r="K124" s="332">
        <f t="shared" si="7"/>
        <v>0.14307222241725959</v>
      </c>
      <c r="L124" s="3815"/>
      <c r="M124" s="1686"/>
      <c r="N124" s="545"/>
      <c r="O124" s="477"/>
      <c r="P124" s="477"/>
    </row>
    <row r="125" spans="1:16" ht="15">
      <c r="A125" s="3813"/>
      <c r="B125" s="3790" t="s">
        <v>95</v>
      </c>
      <c r="C125" s="3808"/>
      <c r="D125" s="405" t="s">
        <v>56</v>
      </c>
      <c r="E125" s="318">
        <f>+'Resumen RAE Merluza'!C106</f>
        <v>1140.1410000000001</v>
      </c>
      <c r="F125" s="343">
        <f>+E125+I124</f>
        <v>1388.738000000001</v>
      </c>
      <c r="G125" s="345">
        <f>+'Resumen RAE Merluza'!E106</f>
        <v>108.502</v>
      </c>
      <c r="H125" s="3808"/>
      <c r="I125" s="1588">
        <f t="shared" si="6"/>
        <v>1280.236000000001</v>
      </c>
      <c r="J125" s="3817">
        <f>+C125-H125</f>
        <v>0</v>
      </c>
      <c r="K125" s="332">
        <f t="shared" si="7"/>
        <v>0.92187007196461823</v>
      </c>
      <c r="L125" s="3815"/>
      <c r="M125" s="1686"/>
    </row>
    <row r="126" spans="1:16" ht="15">
      <c r="A126" s="3813"/>
      <c r="B126" s="3790"/>
      <c r="C126" s="3808"/>
      <c r="D126" s="405" t="s">
        <v>57</v>
      </c>
      <c r="E126" s="318">
        <f>+'Resumen RAE Merluza'!C127</f>
        <v>380.04700000000003</v>
      </c>
      <c r="F126" s="343">
        <f>+E126+I125</f>
        <v>1660.283000000001</v>
      </c>
      <c r="G126" s="345">
        <f>+'Resumen RAE Merluza'!E127</f>
        <v>380.75900000000001</v>
      </c>
      <c r="H126" s="3808"/>
      <c r="I126" s="1588">
        <f t="shared" si="6"/>
        <v>1279.524000000001</v>
      </c>
      <c r="J126" s="3817"/>
      <c r="K126" s="332">
        <f t="shared" si="7"/>
        <v>0.77066620570107636</v>
      </c>
      <c r="L126" s="3815"/>
      <c r="M126" s="1686"/>
    </row>
    <row r="127" spans="1:16" ht="15">
      <c r="A127" s="3813"/>
      <c r="B127" s="3790" t="s">
        <v>96</v>
      </c>
      <c r="C127" s="3808"/>
      <c r="D127" s="405" t="s">
        <v>56</v>
      </c>
      <c r="E127" s="318">
        <f>+'Resumen RAE Merluza'!C107</f>
        <v>347.279</v>
      </c>
      <c r="F127" s="343">
        <f>+E127+I126</f>
        <v>1626.803000000001</v>
      </c>
      <c r="G127" s="345">
        <f>+'Resumen RAE Merluza'!E107</f>
        <v>245.48699999999999</v>
      </c>
      <c r="H127" s="3808"/>
      <c r="I127" s="1588">
        <f t="shared" si="6"/>
        <v>1381.3160000000009</v>
      </c>
      <c r="J127" s="3817">
        <f>+C127-H127</f>
        <v>0</v>
      </c>
      <c r="K127" s="332">
        <f t="shared" si="7"/>
        <v>0.84909850793242958</v>
      </c>
      <c r="L127" s="3815"/>
      <c r="M127" s="1686"/>
    </row>
    <row r="128" spans="1:16" ht="15">
      <c r="A128" s="3814"/>
      <c r="B128" s="3789"/>
      <c r="C128" s="3807"/>
      <c r="D128" s="403" t="s">
        <v>57</v>
      </c>
      <c r="E128" s="309">
        <f>+'Resumen RAE Merluza'!C128</f>
        <v>115.76</v>
      </c>
      <c r="F128" s="356">
        <f>+E128+I127</f>
        <v>1497.0760000000009</v>
      </c>
      <c r="G128" s="357">
        <f>+'Resumen RAE Merluza'!E128</f>
        <v>1.9720000000000084</v>
      </c>
      <c r="H128" s="3807"/>
      <c r="I128" s="1589">
        <f t="shared" si="6"/>
        <v>1495.104000000001</v>
      </c>
      <c r="J128" s="3753"/>
      <c r="K128" s="358">
        <f t="shared" si="7"/>
        <v>0.99868276560441815</v>
      </c>
      <c r="L128" s="3758"/>
      <c r="M128" s="1667"/>
      <c r="N128" s="392"/>
    </row>
    <row r="129" spans="1:14" ht="15">
      <c r="A129" s="3767" t="s">
        <v>18</v>
      </c>
      <c r="B129" s="3788" t="s">
        <v>44</v>
      </c>
      <c r="C129" s="3809">
        <f>SUM(E129:E130)</f>
        <v>24.841000000000001</v>
      </c>
      <c r="D129" s="402" t="s">
        <v>56</v>
      </c>
      <c r="E129" s="46">
        <v>18.631</v>
      </c>
      <c r="F129" s="42">
        <f>+E129</f>
        <v>18.631</v>
      </c>
      <c r="G129" s="18">
        <f>+SUM(M.Común!B484:B489)</f>
        <v>0</v>
      </c>
      <c r="H129" s="3731">
        <f>SUM(G129:G130)</f>
        <v>0</v>
      </c>
      <c r="I129" s="1584">
        <f t="shared" si="6"/>
        <v>18.631</v>
      </c>
      <c r="J129" s="3762">
        <f>+C129-H129</f>
        <v>24.841000000000001</v>
      </c>
      <c r="K129" s="20">
        <f>1-G129/F129</f>
        <v>1</v>
      </c>
      <c r="L129" s="3743">
        <f>1-H129/C129</f>
        <v>1</v>
      </c>
      <c r="M129" s="1663"/>
    </row>
    <row r="130" spans="1:14" ht="15">
      <c r="A130" s="3734"/>
      <c r="B130" s="3789"/>
      <c r="C130" s="3810"/>
      <c r="D130" s="403" t="s">
        <v>57</v>
      </c>
      <c r="E130" s="48">
        <v>6.21</v>
      </c>
      <c r="F130" s="21">
        <f>+E130+I129</f>
        <v>24.841000000000001</v>
      </c>
      <c r="G130" s="23">
        <f>+SUM(M.Común!B490:B495)</f>
        <v>0</v>
      </c>
      <c r="H130" s="3730"/>
      <c r="I130" s="1586">
        <f t="shared" si="6"/>
        <v>24.841000000000001</v>
      </c>
      <c r="J130" s="3764"/>
      <c r="K130" s="26">
        <f t="shared" si="7"/>
        <v>1</v>
      </c>
      <c r="L130" s="3744"/>
      <c r="M130" s="1660"/>
    </row>
    <row r="131" spans="1:14" ht="15">
      <c r="A131" s="3767" t="s">
        <v>18</v>
      </c>
      <c r="B131" s="3788" t="s">
        <v>97</v>
      </c>
      <c r="C131" s="3806">
        <f>SUM(E131:E132)</f>
        <v>22.979000000000003</v>
      </c>
      <c r="D131" s="402" t="s">
        <v>56</v>
      </c>
      <c r="E131" s="308">
        <v>17.234000000000002</v>
      </c>
      <c r="F131" s="42">
        <f>+E131</f>
        <v>17.234000000000002</v>
      </c>
      <c r="G131" s="351">
        <f>+SUM(M.Común!B502:B507)</f>
        <v>0.53500000000000003</v>
      </c>
      <c r="H131" s="3784">
        <f>SUM(G131:G132)</f>
        <v>0.53500000000000003</v>
      </c>
      <c r="I131" s="1587">
        <f t="shared" si="6"/>
        <v>16.699000000000002</v>
      </c>
      <c r="J131" s="3805">
        <f>+C131-H131</f>
        <v>22.444000000000003</v>
      </c>
      <c r="K131" s="354">
        <f t="shared" si="7"/>
        <v>0.96895671347336665</v>
      </c>
      <c r="L131" s="3781">
        <f>1-H131/C131</f>
        <v>0.97671787284041955</v>
      </c>
      <c r="M131" s="1685"/>
      <c r="N131" s="312"/>
    </row>
    <row r="132" spans="1:14" ht="15">
      <c r="A132" s="3734"/>
      <c r="B132" s="3789"/>
      <c r="C132" s="3807"/>
      <c r="D132" s="403" t="s">
        <v>57</v>
      </c>
      <c r="E132" s="309">
        <v>5.7450000000000001</v>
      </c>
      <c r="F132" s="21">
        <f>+E132+I131</f>
        <v>22.444000000000003</v>
      </c>
      <c r="G132" s="357">
        <f>+SUM(M.Común!B508:B513)</f>
        <v>0</v>
      </c>
      <c r="H132" s="3766"/>
      <c r="I132" s="1589">
        <f t="shared" si="6"/>
        <v>22.444000000000003</v>
      </c>
      <c r="J132" s="3753"/>
      <c r="K132" s="358">
        <f t="shared" si="7"/>
        <v>1</v>
      </c>
      <c r="L132" s="3758"/>
      <c r="M132" s="1667"/>
      <c r="N132" s="312"/>
    </row>
    <row r="133" spans="1:14" ht="15">
      <c r="A133" s="3767" t="s">
        <v>22</v>
      </c>
      <c r="B133" s="3804" t="s">
        <v>23</v>
      </c>
      <c r="C133" s="3783">
        <f>SUM(E133:E134)</f>
        <v>5999.9999999999991</v>
      </c>
      <c r="D133" s="402" t="s">
        <v>136</v>
      </c>
      <c r="E133" s="350">
        <f>+SUM('M.Sur X'!J8:J19)</f>
        <v>3816.9999999999991</v>
      </c>
      <c r="F133" s="17">
        <f>+E133</f>
        <v>3816.9999999999991</v>
      </c>
      <c r="G133" s="351">
        <f>+SUM('M.Sur X'!N8:N19)</f>
        <v>2642.2595555555554</v>
      </c>
      <c r="H133" s="3784">
        <f>SUM(G133:G134)</f>
        <v>4089.0715555555557</v>
      </c>
      <c r="I133" s="1587">
        <f t="shared" si="6"/>
        <v>1174.7404444444437</v>
      </c>
      <c r="J133" s="3805">
        <f>+C133-H133</f>
        <v>1910.9284444444434</v>
      </c>
      <c r="K133" s="354">
        <f t="shared" si="7"/>
        <v>0.30776537711408014</v>
      </c>
      <c r="L133" s="3781">
        <f>1-H133/C133</f>
        <v>0.31848807407407398</v>
      </c>
      <c r="M133" s="1687"/>
      <c r="N133" s="312"/>
    </row>
    <row r="134" spans="1:14" ht="15">
      <c r="A134" s="3734"/>
      <c r="B134" s="3740"/>
      <c r="C134" s="3750"/>
      <c r="D134" s="403" t="s">
        <v>63</v>
      </c>
      <c r="E134" s="356">
        <v>2183</v>
      </c>
      <c r="F134" s="21">
        <f>+E134+I133</f>
        <v>3357.7404444444437</v>
      </c>
      <c r="G134" s="357">
        <f>+SUM('M.Sur X'!N31:N42)</f>
        <v>1446.8120000000004</v>
      </c>
      <c r="H134" s="3766"/>
      <c r="I134" s="1589">
        <f t="shared" si="6"/>
        <v>1910.9284444444434</v>
      </c>
      <c r="J134" s="3753"/>
      <c r="K134" s="358">
        <f t="shared" si="7"/>
        <v>0.56911142360815115</v>
      </c>
      <c r="L134" s="3758"/>
      <c r="M134" s="1667"/>
      <c r="N134" s="312"/>
    </row>
    <row r="135" spans="1:14" s="312" customFormat="1" ht="15">
      <c r="A135" s="3732" t="s">
        <v>22</v>
      </c>
      <c r="B135" s="3738" t="s">
        <v>24</v>
      </c>
      <c r="C135" s="3749">
        <f>SUM(E135:E136)</f>
        <v>3655.9940000000006</v>
      </c>
      <c r="D135" s="410" t="s">
        <v>71</v>
      </c>
      <c r="E135" s="341">
        <f>+SUM('M.sur XI'!J8:J11)</f>
        <v>2321.9970000000003</v>
      </c>
      <c r="F135" s="341">
        <f>+E135</f>
        <v>2321.9970000000003</v>
      </c>
      <c r="G135" s="342">
        <f>+SUM('M.sur XI'!M8:M11)</f>
        <v>1024.703</v>
      </c>
      <c r="H135" s="3765">
        <f>SUM(G135:G136)</f>
        <v>1954.5930000000001</v>
      </c>
      <c r="I135" s="1590">
        <f t="shared" ref="I135:I163" si="9">+F135-G135</f>
        <v>1297.2940000000003</v>
      </c>
      <c r="J135" s="3752">
        <f>+C135-H135</f>
        <v>1701.4010000000005</v>
      </c>
      <c r="K135" s="720">
        <f t="shared" ref="K135:K163" si="10">1-G135/F135</f>
        <v>0.55869753492360252</v>
      </c>
      <c r="L135" s="3757">
        <f>1-H135/C135</f>
        <v>0.46537302851153484</v>
      </c>
      <c r="M135" s="1688"/>
    </row>
    <row r="136" spans="1:14" s="312" customFormat="1" ht="15">
      <c r="A136" s="3796"/>
      <c r="B136" s="3811"/>
      <c r="C136" s="3785"/>
      <c r="D136" s="404" t="s">
        <v>99</v>
      </c>
      <c r="E136" s="347">
        <f>+SUM('M.sur XI'!J16:J19)</f>
        <v>1333.9970000000001</v>
      </c>
      <c r="F136" s="347">
        <f>+E136+I135</f>
        <v>2631.2910000000002</v>
      </c>
      <c r="G136" s="349">
        <f>+SUM('M.sur XI'!M16:M19)</f>
        <v>929.8900000000001</v>
      </c>
      <c r="H136" s="3786"/>
      <c r="I136" s="1591">
        <f t="shared" si="9"/>
        <v>1701.4010000000001</v>
      </c>
      <c r="J136" s="3787"/>
      <c r="K136" s="355">
        <f t="shared" si="10"/>
        <v>0.64660313131462843</v>
      </c>
      <c r="L136" s="3782"/>
      <c r="M136" s="1689"/>
    </row>
    <row r="137" spans="1:14" ht="15">
      <c r="A137" s="3767" t="s">
        <v>22</v>
      </c>
      <c r="B137" s="3804" t="s">
        <v>25</v>
      </c>
      <c r="C137" s="3783">
        <f>SUM(E137:E138)</f>
        <v>1664</v>
      </c>
      <c r="D137" s="402" t="s">
        <v>98</v>
      </c>
      <c r="E137" s="350">
        <f>+SUM('M.sur  RESUMEN XII'!H6:H7)</f>
        <v>1055</v>
      </c>
      <c r="F137" s="350">
        <f>+E137</f>
        <v>1055</v>
      </c>
      <c r="G137" s="351">
        <f>+SUM('M.sur  RESUMEN XII'!K6:K7)</f>
        <v>452.67660999999998</v>
      </c>
      <c r="H137" s="3784">
        <f>SUM(G137:G138)</f>
        <v>1369.8014900000001</v>
      </c>
      <c r="I137" s="1587">
        <f t="shared" si="9"/>
        <v>602.32339000000002</v>
      </c>
      <c r="J137" s="3805">
        <f>+C137-H137</f>
        <v>294.19850999999994</v>
      </c>
      <c r="K137" s="354">
        <f t="shared" si="10"/>
        <v>0.57092264454976305</v>
      </c>
      <c r="L137" s="3781">
        <f>1-H137/C137</f>
        <v>0.1768019891826923</v>
      </c>
      <c r="M137" s="1685"/>
    </row>
    <row r="138" spans="1:14" ht="15">
      <c r="A138" s="3734"/>
      <c r="B138" s="3740"/>
      <c r="C138" s="3750"/>
      <c r="D138" s="403" t="s">
        <v>99</v>
      </c>
      <c r="E138" s="356">
        <f>+SUM('M.sur  RESUMEN XII'!H9:H10)</f>
        <v>609</v>
      </c>
      <c r="F138" s="356">
        <f>+E138+I137</f>
        <v>1211.32339</v>
      </c>
      <c r="G138" s="357">
        <f>+SUM('M.sur  RESUMEN XII'!K9:K10)</f>
        <v>917.12488000000008</v>
      </c>
      <c r="H138" s="3766"/>
      <c r="I138" s="1589">
        <f t="shared" si="9"/>
        <v>294.19850999999994</v>
      </c>
      <c r="J138" s="3753"/>
      <c r="K138" s="358">
        <f t="shared" si="10"/>
        <v>0.24287363096323922</v>
      </c>
      <c r="L138" s="3758"/>
      <c r="M138" s="1667"/>
    </row>
    <row r="139" spans="1:14" ht="15">
      <c r="A139" s="3732" t="s">
        <v>36</v>
      </c>
      <c r="B139" s="3798" t="s">
        <v>37</v>
      </c>
      <c r="C139" s="3760">
        <f>SUM(E139:E140)</f>
        <v>525</v>
      </c>
      <c r="D139" s="341" t="s">
        <v>56</v>
      </c>
      <c r="E139" s="341">
        <v>394</v>
      </c>
      <c r="F139" s="42">
        <f>+E139</f>
        <v>394</v>
      </c>
      <c r="G139" s="43">
        <f>+SUM(S.española!B7:B12)</f>
        <v>9.3279999999999994</v>
      </c>
      <c r="H139" s="3728">
        <f>SUM(G139:G140)</f>
        <v>12.128</v>
      </c>
      <c r="I139" s="1592">
        <f t="shared" si="9"/>
        <v>384.67200000000003</v>
      </c>
      <c r="J139" s="3780">
        <f>+C139-H139</f>
        <v>512.87199999999996</v>
      </c>
      <c r="K139" s="45">
        <f t="shared" si="10"/>
        <v>0.97632487309644667</v>
      </c>
      <c r="L139" s="3759">
        <f>1-H139/C139</f>
        <v>0.97689904761904767</v>
      </c>
      <c r="M139" s="1676"/>
    </row>
    <row r="140" spans="1:14" ht="15">
      <c r="A140" s="3796"/>
      <c r="B140" s="3799"/>
      <c r="C140" s="3774"/>
      <c r="D140" s="347" t="s">
        <v>57</v>
      </c>
      <c r="E140" s="347">
        <v>131</v>
      </c>
      <c r="F140" s="28">
        <f>+E140+I139</f>
        <v>515.67200000000003</v>
      </c>
      <c r="G140" s="30">
        <f>+SUM(S.española!B13:B18)</f>
        <v>2.8</v>
      </c>
      <c r="H140" s="3793"/>
      <c r="I140" s="1593">
        <f t="shared" si="9"/>
        <v>512.87200000000007</v>
      </c>
      <c r="J140" s="3778"/>
      <c r="K140" s="32">
        <f t="shared" si="10"/>
        <v>0.99457019190493179</v>
      </c>
      <c r="L140" s="3779"/>
      <c r="M140" s="1664"/>
    </row>
    <row r="141" spans="1:14" ht="15">
      <c r="A141" s="3767" t="s">
        <v>36</v>
      </c>
      <c r="B141" s="3797" t="s">
        <v>33</v>
      </c>
      <c r="C141" s="3754">
        <f>SUM(E141:E142)</f>
        <v>1975</v>
      </c>
      <c r="D141" s="350" t="s">
        <v>56</v>
      </c>
      <c r="E141" s="350">
        <v>1481</v>
      </c>
      <c r="F141" s="17">
        <f>+E141</f>
        <v>1481</v>
      </c>
      <c r="G141" s="18">
        <f>+SUM(S.española!B23:B28)</f>
        <v>147.70499999999998</v>
      </c>
      <c r="H141" s="3731">
        <f>SUM(G141:G142)</f>
        <v>172.922</v>
      </c>
      <c r="I141" s="1584">
        <f t="shared" si="9"/>
        <v>1333.2950000000001</v>
      </c>
      <c r="J141" s="3762">
        <f>+C141-H141</f>
        <v>1802.078</v>
      </c>
      <c r="K141" s="20">
        <f t="shared" si="10"/>
        <v>0.90026671168129646</v>
      </c>
      <c r="L141" s="3743">
        <f>1-H141/C141</f>
        <v>0.91244455696202531</v>
      </c>
      <c r="M141" s="1663"/>
    </row>
    <row r="142" spans="1:14" ht="15">
      <c r="A142" s="3734"/>
      <c r="B142" s="3756"/>
      <c r="C142" s="3761"/>
      <c r="D142" s="356" t="s">
        <v>57</v>
      </c>
      <c r="E142" s="356">
        <v>494</v>
      </c>
      <c r="F142" s="21">
        <f>+E142+I141</f>
        <v>1827.2950000000001</v>
      </c>
      <c r="G142" s="23">
        <f>+SUM(S.española!B29:B34)</f>
        <v>25.217000000000002</v>
      </c>
      <c r="H142" s="3730"/>
      <c r="I142" s="1586">
        <f t="shared" si="9"/>
        <v>1802.078</v>
      </c>
      <c r="J142" s="3764"/>
      <c r="K142" s="26">
        <f t="shared" si="10"/>
        <v>0.98619981995244332</v>
      </c>
      <c r="L142" s="3744"/>
      <c r="M142" s="1660"/>
    </row>
    <row r="143" spans="1:14" ht="15">
      <c r="A143" s="3732" t="s">
        <v>36</v>
      </c>
      <c r="B143" s="3794" t="s">
        <v>38</v>
      </c>
      <c r="C143" s="3760">
        <f>SUM(E143:E144)</f>
        <v>625</v>
      </c>
      <c r="D143" s="410" t="s">
        <v>58</v>
      </c>
      <c r="E143" s="42">
        <v>563</v>
      </c>
      <c r="F143" s="42">
        <f>+E143</f>
        <v>563</v>
      </c>
      <c r="G143" s="43">
        <f>+SUM(S.española!B39:B48)</f>
        <v>7.2960000000000003</v>
      </c>
      <c r="H143" s="3728">
        <f>SUM(G143:G144)</f>
        <v>8.4260000000000002</v>
      </c>
      <c r="I143" s="1592">
        <f t="shared" si="9"/>
        <v>555.70399999999995</v>
      </c>
      <c r="J143" s="3780">
        <f>+C143-H143</f>
        <v>616.57399999999996</v>
      </c>
      <c r="K143" s="45">
        <f t="shared" si="10"/>
        <v>0.98704085257548846</v>
      </c>
      <c r="L143" s="3759">
        <f>1-H143/C143</f>
        <v>0.98651840000000002</v>
      </c>
      <c r="M143" s="1676"/>
    </row>
    <row r="144" spans="1:14" ht="15">
      <c r="A144" s="3734"/>
      <c r="B144" s="3795"/>
      <c r="C144" s="3761"/>
      <c r="D144" s="403" t="s">
        <v>59</v>
      </c>
      <c r="E144" s="21">
        <v>62</v>
      </c>
      <c r="F144" s="21">
        <f>+E144</f>
        <v>62</v>
      </c>
      <c r="G144" s="23">
        <f>+SUM(S.española!B49:B50)</f>
        <v>1.1300000000000001</v>
      </c>
      <c r="H144" s="3730"/>
      <c r="I144" s="1586">
        <f t="shared" si="9"/>
        <v>60.87</v>
      </c>
      <c r="J144" s="3764"/>
      <c r="K144" s="26">
        <f t="shared" si="10"/>
        <v>0.98177419354838713</v>
      </c>
      <c r="L144" s="3744"/>
      <c r="M144" s="1660"/>
    </row>
    <row r="145" spans="1:17" ht="15">
      <c r="A145" s="3767" t="s">
        <v>16</v>
      </c>
      <c r="B145" s="3800" t="s">
        <v>100</v>
      </c>
      <c r="C145" s="3754">
        <f>SUM(E145:E147)</f>
        <v>10352</v>
      </c>
      <c r="D145" s="402" t="s">
        <v>101</v>
      </c>
      <c r="E145" s="17">
        <v>8800</v>
      </c>
      <c r="F145" s="42">
        <f>+E145</f>
        <v>8800</v>
      </c>
      <c r="G145" s="18">
        <f>+'Resumen RAE S.Común'!F10</f>
        <v>3067.3199999999997</v>
      </c>
      <c r="H145" s="3731">
        <f>SUM(G145:G147)</f>
        <v>9712.112000000001</v>
      </c>
      <c r="I145" s="1584">
        <f t="shared" si="9"/>
        <v>5732.68</v>
      </c>
      <c r="J145" s="3762">
        <f>+C145-H145</f>
        <v>639.88799999999901</v>
      </c>
      <c r="K145" s="20">
        <f t="shared" si="10"/>
        <v>0.65144090909090913</v>
      </c>
      <c r="L145" s="3743">
        <f>1-H145/C145</f>
        <v>6.181298299845428E-2</v>
      </c>
      <c r="M145" s="3168"/>
    </row>
    <row r="146" spans="1:17" ht="15">
      <c r="A146" s="3733"/>
      <c r="B146" s="3736"/>
      <c r="C146" s="3755"/>
      <c r="D146" s="405" t="s">
        <v>102</v>
      </c>
      <c r="E146" s="33">
        <v>1035</v>
      </c>
      <c r="F146" s="33">
        <f>+E146+I145</f>
        <v>6767.68</v>
      </c>
      <c r="G146" s="34">
        <f>+'Resumen RAE S.Común'!F15</f>
        <v>3907.8520000000003</v>
      </c>
      <c r="H146" s="3729"/>
      <c r="I146" s="1585">
        <f t="shared" si="9"/>
        <v>2859.828</v>
      </c>
      <c r="J146" s="3763"/>
      <c r="K146" s="37">
        <f t="shared" si="10"/>
        <v>0.42257139817485456</v>
      </c>
      <c r="L146" s="3751"/>
      <c r="M146" s="3171"/>
    </row>
    <row r="147" spans="1:17" ht="15">
      <c r="A147" s="3796"/>
      <c r="B147" s="3801"/>
      <c r="C147" s="3774"/>
      <c r="D147" s="404" t="s">
        <v>66</v>
      </c>
      <c r="E147" s="28">
        <v>517</v>
      </c>
      <c r="F147" s="28">
        <f>+E147+I146</f>
        <v>3376.828</v>
      </c>
      <c r="G147" s="30">
        <f>+'Resumen RAE S.Común'!F20</f>
        <v>2736.94</v>
      </c>
      <c r="H147" s="3793"/>
      <c r="I147" s="1593">
        <f t="shared" si="9"/>
        <v>639.88799999999992</v>
      </c>
      <c r="J147" s="3778"/>
      <c r="K147" s="32">
        <f t="shared" si="10"/>
        <v>0.18949380898286794</v>
      </c>
      <c r="L147" s="3779"/>
      <c r="M147" s="3169"/>
    </row>
    <row r="148" spans="1:17" ht="15">
      <c r="A148" s="3767" t="s">
        <v>16</v>
      </c>
      <c r="B148" s="3797" t="s">
        <v>39</v>
      </c>
      <c r="C148" s="3754">
        <f>SUM(E148:E150)</f>
        <v>244</v>
      </c>
      <c r="D148" s="402" t="s">
        <v>101</v>
      </c>
      <c r="E148" s="17">
        <v>208</v>
      </c>
      <c r="F148" s="17">
        <f>+E148</f>
        <v>208</v>
      </c>
      <c r="G148" s="18">
        <f>+SUM(S.común!B7:B10)</f>
        <v>0</v>
      </c>
      <c r="H148" s="3731">
        <f>SUM(G148:G150)</f>
        <v>0</v>
      </c>
      <c r="I148" s="1584">
        <f t="shared" si="9"/>
        <v>208</v>
      </c>
      <c r="J148" s="3762">
        <f>+C148-H148</f>
        <v>244</v>
      </c>
      <c r="K148" s="20">
        <f t="shared" si="10"/>
        <v>1</v>
      </c>
      <c r="L148" s="3775">
        <f>1-H148/C148</f>
        <v>1</v>
      </c>
      <c r="M148" s="1663"/>
    </row>
    <row r="149" spans="1:17" ht="15">
      <c r="A149" s="3733"/>
      <c r="B149" s="3802"/>
      <c r="C149" s="3755"/>
      <c r="D149" s="405" t="s">
        <v>102</v>
      </c>
      <c r="E149" s="33">
        <v>24</v>
      </c>
      <c r="F149" s="33">
        <f>+E149+I148</f>
        <v>232</v>
      </c>
      <c r="G149" s="34">
        <f>+SUM(S.común!B11:B14)</f>
        <v>0</v>
      </c>
      <c r="H149" s="3729"/>
      <c r="I149" s="1585">
        <f t="shared" si="9"/>
        <v>232</v>
      </c>
      <c r="J149" s="3763"/>
      <c r="K149" s="37">
        <f t="shared" si="10"/>
        <v>1</v>
      </c>
      <c r="L149" s="3776"/>
      <c r="M149" s="1665"/>
    </row>
    <row r="150" spans="1:17" ht="15">
      <c r="A150" s="3734"/>
      <c r="B150" s="3756"/>
      <c r="C150" s="3756"/>
      <c r="D150" s="403" t="s">
        <v>66</v>
      </c>
      <c r="E150" s="21">
        <v>12</v>
      </c>
      <c r="F150" s="21">
        <f>+E150+I149</f>
        <v>244</v>
      </c>
      <c r="G150" s="23">
        <f>+SUM(S.común!B15:B18)</f>
        <v>0</v>
      </c>
      <c r="H150" s="3730"/>
      <c r="I150" s="1586">
        <f t="shared" si="9"/>
        <v>244</v>
      </c>
      <c r="J150" s="3764"/>
      <c r="K150" s="26">
        <f t="shared" si="10"/>
        <v>1</v>
      </c>
      <c r="L150" s="3777"/>
      <c r="M150" s="1660"/>
    </row>
    <row r="151" spans="1:17" ht="15">
      <c r="A151" s="3767" t="s">
        <v>16</v>
      </c>
      <c r="B151" s="3797" t="s">
        <v>40</v>
      </c>
      <c r="C151" s="3754">
        <f>SUM(E151:E153)</f>
        <v>3743</v>
      </c>
      <c r="D151" s="402" t="s">
        <v>101</v>
      </c>
      <c r="E151" s="17">
        <v>3182</v>
      </c>
      <c r="F151" s="17">
        <f>+E151</f>
        <v>3182</v>
      </c>
      <c r="G151" s="18">
        <f>+SUM('Resumen RAE S.Común'!F27)</f>
        <v>1351.8609999999999</v>
      </c>
      <c r="H151" s="3731">
        <f>SUM(G151:G153)</f>
        <v>1907.9879999999998</v>
      </c>
      <c r="I151" s="1584">
        <f t="shared" si="9"/>
        <v>1830.1390000000001</v>
      </c>
      <c r="J151" s="3762">
        <f>+C151-H151</f>
        <v>1835.0120000000002</v>
      </c>
      <c r="K151" s="20">
        <f t="shared" si="10"/>
        <v>0.57515367693274677</v>
      </c>
      <c r="L151" s="3743">
        <f>1-H151/C151</f>
        <v>0.49025166978359613</v>
      </c>
      <c r="M151" s="1690"/>
    </row>
    <row r="152" spans="1:17" ht="15">
      <c r="A152" s="3733"/>
      <c r="B152" s="3802"/>
      <c r="C152" s="3755"/>
      <c r="D152" s="405" t="s">
        <v>102</v>
      </c>
      <c r="E152" s="33">
        <v>374</v>
      </c>
      <c r="F152" s="33">
        <f>+E152+I151</f>
        <v>2204.1390000000001</v>
      </c>
      <c r="G152" s="34">
        <f>+SUM('Resumen RAE S.Común'!F32)</f>
        <v>435.95699999999999</v>
      </c>
      <c r="H152" s="3729"/>
      <c r="I152" s="1585">
        <f t="shared" si="9"/>
        <v>1768.1820000000002</v>
      </c>
      <c r="J152" s="3763"/>
      <c r="K152" s="37">
        <f t="shared" si="10"/>
        <v>0.80220984248271099</v>
      </c>
      <c r="L152" s="3751"/>
      <c r="M152" s="1665"/>
    </row>
    <row r="153" spans="1:17" ht="15">
      <c r="A153" s="3734"/>
      <c r="B153" s="3756"/>
      <c r="C153" s="3756"/>
      <c r="D153" s="403" t="s">
        <v>66</v>
      </c>
      <c r="E153" s="21">
        <v>187</v>
      </c>
      <c r="F153" s="21">
        <f>+E153+I152</f>
        <v>1955.1820000000002</v>
      </c>
      <c r="G153" s="23">
        <f>+SUM('Resumen RAE S.Común'!F37)</f>
        <v>120.16999999999999</v>
      </c>
      <c r="H153" s="3730"/>
      <c r="I153" s="1586">
        <f t="shared" si="9"/>
        <v>1835.0120000000002</v>
      </c>
      <c r="J153" s="3764"/>
      <c r="K153" s="26">
        <f t="shared" si="10"/>
        <v>0.93853769112031515</v>
      </c>
      <c r="L153" s="3744"/>
      <c r="M153" s="1660"/>
    </row>
    <row r="154" spans="1:17" ht="21" customHeight="1">
      <c r="A154" s="3732" t="s">
        <v>16</v>
      </c>
      <c r="B154" s="3803" t="s">
        <v>103</v>
      </c>
      <c r="C154" s="3749">
        <f>SUM(E154:E155)</f>
        <v>588550.23200000008</v>
      </c>
      <c r="D154" s="410" t="s">
        <v>65</v>
      </c>
      <c r="E154" s="341">
        <f>+'Resumen RAE S.Común'!C102</f>
        <v>559682.52</v>
      </c>
      <c r="F154" s="744">
        <f>+E154</f>
        <v>559682.52</v>
      </c>
      <c r="G154" s="342">
        <f>+SUM('Resumen RAE S.Común'!F102)+-'Resumen RAE S.Común'!D102</f>
        <v>413065.35700000013</v>
      </c>
      <c r="H154" s="3765">
        <f>SUM(G154:G155)</f>
        <v>475542.86900000012</v>
      </c>
      <c r="I154" s="1590">
        <f t="shared" si="9"/>
        <v>146617.16299999988</v>
      </c>
      <c r="J154" s="3752">
        <f>+C154-H154</f>
        <v>113007.36299999995</v>
      </c>
      <c r="K154" s="720">
        <f t="shared" si="10"/>
        <v>0.26196487787397738</v>
      </c>
      <c r="L154" s="3757">
        <f>1-H154/C154</f>
        <v>0.19200971617321516</v>
      </c>
      <c r="M154" s="1688"/>
      <c r="N154" s="732"/>
    </row>
    <row r="155" spans="1:17" ht="18.75" customHeight="1">
      <c r="A155" s="3734"/>
      <c r="B155" s="3789"/>
      <c r="C155" s="3750"/>
      <c r="D155" s="403" t="s">
        <v>66</v>
      </c>
      <c r="E155" s="356">
        <f>+'Resumen RAE S.Común'!C166</f>
        <v>28867.712</v>
      </c>
      <c r="F155" s="745">
        <f>+E155+I154</f>
        <v>175484.87499999988</v>
      </c>
      <c r="G155" s="357">
        <f>+SUM('Resumen RAE S.Común'!F166)</f>
        <v>62477.512000000002</v>
      </c>
      <c r="H155" s="3766"/>
      <c r="I155" s="1589">
        <f t="shared" si="9"/>
        <v>113007.36299999988</v>
      </c>
      <c r="J155" s="3753"/>
      <c r="K155" s="358">
        <f t="shared" si="10"/>
        <v>0.64397209731038041</v>
      </c>
      <c r="L155" s="3758"/>
      <c r="M155" s="1667"/>
      <c r="N155" s="331"/>
    </row>
    <row r="156" spans="1:17" ht="15">
      <c r="A156" s="3732" t="s">
        <v>16</v>
      </c>
      <c r="B156" s="3738" t="s">
        <v>34</v>
      </c>
      <c r="C156" s="3760">
        <f>SUM(E156:E158)</f>
        <v>8640</v>
      </c>
      <c r="D156" s="410" t="s">
        <v>101</v>
      </c>
      <c r="E156" s="42">
        <v>7344</v>
      </c>
      <c r="F156" s="42">
        <f>+E156</f>
        <v>7344</v>
      </c>
      <c r="G156" s="43">
        <f>+SUM(S.común!B23:B26)</f>
        <v>5583.8249999999998</v>
      </c>
      <c r="H156" s="3728">
        <f>SUM(G156:G158)</f>
        <v>8665.3639999999996</v>
      </c>
      <c r="I156" s="1594">
        <f t="shared" si="9"/>
        <v>1760.1750000000002</v>
      </c>
      <c r="J156" s="3731">
        <f>+C156-H156</f>
        <v>-25.363999999999578</v>
      </c>
      <c r="K156" s="1119">
        <f t="shared" si="10"/>
        <v>0.23967524509803928</v>
      </c>
      <c r="L156" s="3743">
        <f>1-H156/C156</f>
        <v>-2.9356481481481733E-3</v>
      </c>
      <c r="M156" s="1691">
        <v>41014</v>
      </c>
      <c r="N156" s="312"/>
      <c r="O156" s="312"/>
      <c r="P156" s="312"/>
      <c r="Q156" s="312"/>
    </row>
    <row r="157" spans="1:17" ht="15">
      <c r="A157" s="3733"/>
      <c r="B157" s="3739"/>
      <c r="C157" s="3755"/>
      <c r="D157" s="405" t="s">
        <v>102</v>
      </c>
      <c r="E157" s="33">
        <v>864</v>
      </c>
      <c r="F157" s="33">
        <f>+E157+I156</f>
        <v>2624.1750000000002</v>
      </c>
      <c r="G157" s="34">
        <f>+SUM(S.común!B27:B30)</f>
        <v>2741.7040000000002</v>
      </c>
      <c r="H157" s="3729"/>
      <c r="I157" s="1596">
        <f>+F157-G157</f>
        <v>-117.529</v>
      </c>
      <c r="J157" s="3729"/>
      <c r="K157" s="1118">
        <f>1-G157/F157</f>
        <v>-4.4787028304133614E-2</v>
      </c>
      <c r="L157" s="3751"/>
      <c r="M157" s="1692">
        <v>41101</v>
      </c>
      <c r="N157" s="1469"/>
      <c r="O157" s="334"/>
      <c r="P157" s="334"/>
      <c r="Q157" s="312"/>
    </row>
    <row r="158" spans="1:17" ht="15">
      <c r="A158" s="3734"/>
      <c r="B158" s="3740"/>
      <c r="C158" s="3756"/>
      <c r="D158" s="403" t="s">
        <v>66</v>
      </c>
      <c r="E158" s="21">
        <v>432</v>
      </c>
      <c r="F158" s="21">
        <f>+E158+I157</f>
        <v>314.471</v>
      </c>
      <c r="G158" s="23">
        <f>+SUM(S.común!B31:B34)</f>
        <v>339.83499999999998</v>
      </c>
      <c r="H158" s="3730"/>
      <c r="I158" s="1595">
        <f t="shared" si="9"/>
        <v>-25.363999999999976</v>
      </c>
      <c r="J158" s="3730"/>
      <c r="K158" s="1120">
        <f t="shared" si="10"/>
        <v>-8.065608593479201E-2</v>
      </c>
      <c r="L158" s="3744"/>
      <c r="M158" s="1693">
        <v>41205</v>
      </c>
      <c r="N158" s="362"/>
      <c r="O158" s="334"/>
      <c r="P158" s="334"/>
      <c r="Q158" s="312"/>
    </row>
    <row r="159" spans="1:17" ht="15">
      <c r="A159" s="3732" t="s">
        <v>16</v>
      </c>
      <c r="B159" s="3735" t="s">
        <v>67</v>
      </c>
      <c r="C159" s="3760">
        <f>SUM(E159:E161)</f>
        <v>88434.014000000025</v>
      </c>
      <c r="D159" s="410" t="s">
        <v>101</v>
      </c>
      <c r="E159" s="42">
        <f>+SUM('Resumen RAE S.Común'!C188)</f>
        <v>71094.261000000028</v>
      </c>
      <c r="F159" s="42">
        <f>+E159</f>
        <v>71094.261000000028</v>
      </c>
      <c r="G159" s="43">
        <f>+'Resumen RAE S.Común'!F188</f>
        <v>47563.674999999996</v>
      </c>
      <c r="H159" s="3728">
        <f>SUM(G159:G161)</f>
        <v>88025.84199999999</v>
      </c>
      <c r="I159" s="1592">
        <f t="shared" si="9"/>
        <v>23530.586000000032</v>
      </c>
      <c r="J159" s="3728">
        <f>+C159-H159</f>
        <v>408.17200000003504</v>
      </c>
      <c r="K159" s="45">
        <f>1-G159/F159</f>
        <v>0.33097729224585404</v>
      </c>
      <c r="L159" s="3759">
        <f>1-H159/C159</f>
        <v>4.615554372552122E-3</v>
      </c>
      <c r="M159" s="3175"/>
    </row>
    <row r="160" spans="1:17" ht="15">
      <c r="A160" s="3733"/>
      <c r="B160" s="3736"/>
      <c r="C160" s="3755"/>
      <c r="D160" s="405" t="s">
        <v>102</v>
      </c>
      <c r="E160" s="33">
        <f>+SUM('Resumen RAE S.Común'!C208)</f>
        <v>13163.503000000001</v>
      </c>
      <c r="F160" s="33">
        <f>+E160+I159</f>
        <v>36694.089000000036</v>
      </c>
      <c r="G160" s="34">
        <f>+'Resumen RAE S.Común'!F208</f>
        <v>19516.607</v>
      </c>
      <c r="H160" s="3729"/>
      <c r="I160" s="1585">
        <f t="shared" si="9"/>
        <v>17177.482000000036</v>
      </c>
      <c r="J160" s="3729"/>
      <c r="K160" s="37">
        <f t="shared" si="10"/>
        <v>0.46812667838681099</v>
      </c>
      <c r="L160" s="3751"/>
      <c r="M160" s="3176"/>
    </row>
    <row r="161" spans="1:13" ht="15">
      <c r="A161" s="3734"/>
      <c r="B161" s="3737"/>
      <c r="C161" s="3761"/>
      <c r="D161" s="403" t="s">
        <v>66</v>
      </c>
      <c r="E161" s="21">
        <f>+SUM('Resumen RAE S.Común'!C228)</f>
        <v>4176.2500000000009</v>
      </c>
      <c r="F161" s="21">
        <f>+E161+I160</f>
        <v>21353.732000000036</v>
      </c>
      <c r="G161" s="23">
        <f>+'Resumen RAE S.Común'!F228</f>
        <v>20945.559999999998</v>
      </c>
      <c r="H161" s="3730"/>
      <c r="I161" s="1586">
        <f t="shared" si="9"/>
        <v>408.17200000003868</v>
      </c>
      <c r="J161" s="3730"/>
      <c r="K161" s="26">
        <f t="shared" si="10"/>
        <v>1.9114785181346239E-2</v>
      </c>
      <c r="L161" s="3744"/>
      <c r="M161" s="3177"/>
    </row>
    <row r="162" spans="1:13" ht="15">
      <c r="A162" s="3732" t="s">
        <v>16</v>
      </c>
      <c r="B162" s="3735" t="s">
        <v>68</v>
      </c>
      <c r="C162" s="3745">
        <f>SUM(E162:E163)</f>
        <v>39582</v>
      </c>
      <c r="D162" s="402" t="s">
        <v>104</v>
      </c>
      <c r="E162" s="17">
        <f>+SUM('Resumen RAE S.Común'!C243)</f>
        <v>31666</v>
      </c>
      <c r="F162" s="17">
        <f>+E162</f>
        <v>31666</v>
      </c>
      <c r="G162" s="18">
        <f>+'Resumen RAE S.Común'!F243</f>
        <v>17647.705000000002</v>
      </c>
      <c r="H162" s="3731">
        <f>SUM(G162:G163)</f>
        <v>17754.391000000003</v>
      </c>
      <c r="I162" s="1584">
        <f t="shared" si="9"/>
        <v>14018.294999999998</v>
      </c>
      <c r="J162" s="3747">
        <f>+C162-H162</f>
        <v>21827.608999999997</v>
      </c>
      <c r="K162" s="20">
        <f>1-G162/F162</f>
        <v>0.44269231983831236</v>
      </c>
      <c r="L162" s="3743">
        <f>1-H162/C162</f>
        <v>0.55145290788742352</v>
      </c>
      <c r="M162" s="1695"/>
    </row>
    <row r="163" spans="1:13" ht="15">
      <c r="A163" s="3734"/>
      <c r="B163" s="3737"/>
      <c r="C163" s="3746"/>
      <c r="D163" s="403" t="s">
        <v>70</v>
      </c>
      <c r="E163" s="21">
        <f>+'Resumen RAE S.Común'!C256</f>
        <v>7916</v>
      </c>
      <c r="F163" s="21">
        <f>+E163+I162</f>
        <v>21934.294999999998</v>
      </c>
      <c r="G163" s="23">
        <f>+'Resumen RAE S.Común'!F256</f>
        <v>106.68600000000001</v>
      </c>
      <c r="H163" s="3730"/>
      <c r="I163" s="1586">
        <f t="shared" si="9"/>
        <v>21827.608999999997</v>
      </c>
      <c r="J163" s="3748"/>
      <c r="K163" s="26">
        <f t="shared" si="10"/>
        <v>0.99513610991372192</v>
      </c>
      <c r="L163" s="3744"/>
      <c r="M163" s="1694"/>
    </row>
    <row r="164" spans="1:13" ht="18" customHeight="1">
      <c r="A164" s="3848" t="s">
        <v>838</v>
      </c>
      <c r="B164" s="3741" t="s">
        <v>836</v>
      </c>
      <c r="C164" s="3850">
        <f>+E164+E165</f>
        <v>1800</v>
      </c>
      <c r="D164" s="1598" t="s">
        <v>80</v>
      </c>
      <c r="E164" s="1599">
        <v>800</v>
      </c>
      <c r="F164" s="1606">
        <f>+E164</f>
        <v>800</v>
      </c>
      <c r="G164" s="1607">
        <f>+SUM('Sardina austral X - XI'!B11:B13)</f>
        <v>2459.86</v>
      </c>
      <c r="H164" s="3725">
        <f>SUM(G164:G165)</f>
        <v>2459.86</v>
      </c>
      <c r="I164" s="1612">
        <f>+F164-G164</f>
        <v>-1659.8600000000001</v>
      </c>
      <c r="J164" s="3726">
        <f>+C164-H164</f>
        <v>-659.86000000000013</v>
      </c>
      <c r="K164" s="1617">
        <f>1-G164/F164</f>
        <v>-2.0748250000000001</v>
      </c>
      <c r="L164" s="3844">
        <f>1-H164/C164</f>
        <v>-0.36658888888888885</v>
      </c>
      <c r="M164" s="2713">
        <v>41107</v>
      </c>
    </row>
    <row r="165" spans="1:13" ht="16.5" customHeight="1">
      <c r="A165" s="3849"/>
      <c r="B165" s="3742"/>
      <c r="C165" s="3851"/>
      <c r="D165" s="1597" t="s">
        <v>81</v>
      </c>
      <c r="E165" s="1600">
        <v>1000</v>
      </c>
      <c r="F165" s="1604">
        <f>+E165+I164</f>
        <v>-659.86000000000013</v>
      </c>
      <c r="G165" s="1605">
        <f>+SUM('Sardina austral X - XI'!B14:B16)</f>
        <v>0</v>
      </c>
      <c r="H165" s="3725"/>
      <c r="I165" s="1613">
        <f>+F165-G165</f>
        <v>-659.86000000000013</v>
      </c>
      <c r="J165" s="3727"/>
      <c r="K165" s="1618">
        <f>1-G165/F165</f>
        <v>1</v>
      </c>
      <c r="L165" s="3845"/>
      <c r="M165" s="2712"/>
    </row>
    <row r="166" spans="1:13" ht="19.5" customHeight="1">
      <c r="A166" s="1614" t="s">
        <v>838</v>
      </c>
      <c r="B166" s="1616" t="s">
        <v>835</v>
      </c>
      <c r="C166" s="1615">
        <f>+E166</f>
        <v>4000</v>
      </c>
      <c r="D166" s="1609" t="s">
        <v>841</v>
      </c>
      <c r="E166" s="1602">
        <v>4000</v>
      </c>
      <c r="F166" s="1602">
        <f>+E166</f>
        <v>4000</v>
      </c>
      <c r="G166" s="1610">
        <f>+SUM('Sardina austral X - XI'!B34:B39)</f>
        <v>1586.11</v>
      </c>
      <c r="H166" s="1603">
        <f>+G166</f>
        <v>1586.11</v>
      </c>
      <c r="I166" s="1601">
        <f>+F166-G166</f>
        <v>2413.8900000000003</v>
      </c>
      <c r="J166" s="1603">
        <f>+C166-H166</f>
        <v>2413.8900000000003</v>
      </c>
      <c r="K166" s="1611">
        <f>1-G166/F166</f>
        <v>0.60347250000000008</v>
      </c>
      <c r="L166" s="1611">
        <f>1-H166/C166</f>
        <v>0.60347250000000008</v>
      </c>
      <c r="M166" s="1608"/>
    </row>
    <row r="167" spans="1:13">
      <c r="D167" s="312"/>
    </row>
    <row r="168" spans="1:13">
      <c r="G168" s="365"/>
    </row>
  </sheetData>
  <mergeCells count="368">
    <mergeCell ref="A2:M2"/>
    <mergeCell ref="K4:L4"/>
    <mergeCell ref="E5:F5"/>
    <mergeCell ref="G5:H5"/>
    <mergeCell ref="I5:J5"/>
    <mergeCell ref="K5:L5"/>
    <mergeCell ref="A3:M3"/>
    <mergeCell ref="M5:M6"/>
    <mergeCell ref="L164:L165"/>
    <mergeCell ref="L9:L10"/>
    <mergeCell ref="H9:H10"/>
    <mergeCell ref="A7:A8"/>
    <mergeCell ref="B7:B8"/>
    <mergeCell ref="C7:C8"/>
    <mergeCell ref="H7:H8"/>
    <mergeCell ref="J7:J8"/>
    <mergeCell ref="L7:L8"/>
    <mergeCell ref="J9:J10"/>
    <mergeCell ref="A164:A165"/>
    <mergeCell ref="C164:C165"/>
    <mergeCell ref="A9:A10"/>
    <mergeCell ref="B9:B10"/>
    <mergeCell ref="C9:C10"/>
    <mergeCell ref="J18:J20"/>
    <mergeCell ref="J11:J12"/>
    <mergeCell ref="C15:C17"/>
    <mergeCell ref="H15:H17"/>
    <mergeCell ref="C18:C20"/>
    <mergeCell ref="H18:H20"/>
    <mergeCell ref="C11:C12"/>
    <mergeCell ref="A11:A12"/>
    <mergeCell ref="B11:B12"/>
    <mergeCell ref="L11:L12"/>
    <mergeCell ref="C13:C14"/>
    <mergeCell ref="H13:H14"/>
    <mergeCell ref="A18:A20"/>
    <mergeCell ref="B18:B20"/>
    <mergeCell ref="A13:A14"/>
    <mergeCell ref="B13:B14"/>
    <mergeCell ref="A15:A17"/>
    <mergeCell ref="H11:H12"/>
    <mergeCell ref="L18:L20"/>
    <mergeCell ref="J13:J14"/>
    <mergeCell ref="L13:L14"/>
    <mergeCell ref="J15:J17"/>
    <mergeCell ref="L15:L17"/>
    <mergeCell ref="B15:B17"/>
    <mergeCell ref="L29:L31"/>
    <mergeCell ref="A21:A23"/>
    <mergeCell ref="B21:B23"/>
    <mergeCell ref="A26:A28"/>
    <mergeCell ref="B26:B28"/>
    <mergeCell ref="A29:A31"/>
    <mergeCell ref="B29:B31"/>
    <mergeCell ref="A24:A25"/>
    <mergeCell ref="B24:B25"/>
    <mergeCell ref="H24:H25"/>
    <mergeCell ref="C29:C31"/>
    <mergeCell ref="H29:H31"/>
    <mergeCell ref="C26:C28"/>
    <mergeCell ref="H26:H28"/>
    <mergeCell ref="J29:J31"/>
    <mergeCell ref="C21:C23"/>
    <mergeCell ref="H21:H23"/>
    <mergeCell ref="J26:J28"/>
    <mergeCell ref="L26:L28"/>
    <mergeCell ref="J21:J23"/>
    <mergeCell ref="L21:L23"/>
    <mergeCell ref="J24:J25"/>
    <mergeCell ref="L24:L25"/>
    <mergeCell ref="C24:C25"/>
    <mergeCell ref="A32:A33"/>
    <mergeCell ref="B32:B33"/>
    <mergeCell ref="C32:C33"/>
    <mergeCell ref="H32:H33"/>
    <mergeCell ref="A34:A36"/>
    <mergeCell ref="B34:B36"/>
    <mergeCell ref="A37:A39"/>
    <mergeCell ref="J32:J33"/>
    <mergeCell ref="L32:L33"/>
    <mergeCell ref="J34:J36"/>
    <mergeCell ref="L34:L36"/>
    <mergeCell ref="C34:C36"/>
    <mergeCell ref="H34:H36"/>
    <mergeCell ref="J37:J39"/>
    <mergeCell ref="L37:L39"/>
    <mergeCell ref="L59:L60"/>
    <mergeCell ref="L55:L56"/>
    <mergeCell ref="B37:B39"/>
    <mergeCell ref="B49:B51"/>
    <mergeCell ref="C40:C42"/>
    <mergeCell ref="H40:H42"/>
    <mergeCell ref="J40:J42"/>
    <mergeCell ref="A40:A42"/>
    <mergeCell ref="B40:B42"/>
    <mergeCell ref="C46:C48"/>
    <mergeCell ref="A43:A45"/>
    <mergeCell ref="B43:B45"/>
    <mergeCell ref="A46:A48"/>
    <mergeCell ref="C37:C39"/>
    <mergeCell ref="H37:H39"/>
    <mergeCell ref="C43:C45"/>
    <mergeCell ref="L40:L42"/>
    <mergeCell ref="A52:A54"/>
    <mergeCell ref="B52:B54"/>
    <mergeCell ref="C52:C54"/>
    <mergeCell ref="A49:A51"/>
    <mergeCell ref="J43:J45"/>
    <mergeCell ref="L43:L45"/>
    <mergeCell ref="J46:J48"/>
    <mergeCell ref="L46:L48"/>
    <mergeCell ref="H46:H48"/>
    <mergeCell ref="H43:H45"/>
    <mergeCell ref="J52:J54"/>
    <mergeCell ref="L52:L54"/>
    <mergeCell ref="J49:J51"/>
    <mergeCell ref="B46:B48"/>
    <mergeCell ref="L49:L51"/>
    <mergeCell ref="C49:C51"/>
    <mergeCell ref="H52:H54"/>
    <mergeCell ref="H49:H51"/>
    <mergeCell ref="A59:A60"/>
    <mergeCell ref="B59:B60"/>
    <mergeCell ref="C59:C60"/>
    <mergeCell ref="H63:H64"/>
    <mergeCell ref="C63:C64"/>
    <mergeCell ref="A61:A62"/>
    <mergeCell ref="B61:B62"/>
    <mergeCell ref="A55:A56"/>
    <mergeCell ref="B55:B56"/>
    <mergeCell ref="C55:C56"/>
    <mergeCell ref="H55:H56"/>
    <mergeCell ref="A57:A58"/>
    <mergeCell ref="B57:B58"/>
    <mergeCell ref="C57:C58"/>
    <mergeCell ref="L67:L68"/>
    <mergeCell ref="J67:J68"/>
    <mergeCell ref="A67:A68"/>
    <mergeCell ref="B67:B68"/>
    <mergeCell ref="C67:C68"/>
    <mergeCell ref="C61:C62"/>
    <mergeCell ref="H61:H62"/>
    <mergeCell ref="J65:J66"/>
    <mergeCell ref="L65:L66"/>
    <mergeCell ref="A63:A64"/>
    <mergeCell ref="B63:B64"/>
    <mergeCell ref="A65:A66"/>
    <mergeCell ref="B65:B66"/>
    <mergeCell ref="J61:J62"/>
    <mergeCell ref="L61:L62"/>
    <mergeCell ref="H67:H68"/>
    <mergeCell ref="C65:C66"/>
    <mergeCell ref="H65:H66"/>
    <mergeCell ref="J63:J64"/>
    <mergeCell ref="L63:L64"/>
    <mergeCell ref="L69:L70"/>
    <mergeCell ref="J71:J72"/>
    <mergeCell ref="L71:L72"/>
    <mergeCell ref="J75:J76"/>
    <mergeCell ref="L75:L76"/>
    <mergeCell ref="J77:J78"/>
    <mergeCell ref="L77:L78"/>
    <mergeCell ref="L73:L74"/>
    <mergeCell ref="L79:L80"/>
    <mergeCell ref="J73:J74"/>
    <mergeCell ref="A79:A80"/>
    <mergeCell ref="B79:B80"/>
    <mergeCell ref="A75:A76"/>
    <mergeCell ref="B75:B76"/>
    <mergeCell ref="A77:A78"/>
    <mergeCell ref="B77:B78"/>
    <mergeCell ref="J69:J70"/>
    <mergeCell ref="C77:C78"/>
    <mergeCell ref="H77:H78"/>
    <mergeCell ref="J79:J80"/>
    <mergeCell ref="A71:A72"/>
    <mergeCell ref="C79:C80"/>
    <mergeCell ref="H79:H80"/>
    <mergeCell ref="A69:A70"/>
    <mergeCell ref="B69:B70"/>
    <mergeCell ref="C69:C70"/>
    <mergeCell ref="H69:H70"/>
    <mergeCell ref="C73:C74"/>
    <mergeCell ref="H73:H74"/>
    <mergeCell ref="B71:B72"/>
    <mergeCell ref="C71:C72"/>
    <mergeCell ref="H71:H72"/>
    <mergeCell ref="A73:A74"/>
    <mergeCell ref="B73:B74"/>
    <mergeCell ref="L81:L82"/>
    <mergeCell ref="J84:J86"/>
    <mergeCell ref="L84:L86"/>
    <mergeCell ref="H81:H82"/>
    <mergeCell ref="A90:A92"/>
    <mergeCell ref="B90:B92"/>
    <mergeCell ref="C90:C92"/>
    <mergeCell ref="H90:H92"/>
    <mergeCell ref="H87:H89"/>
    <mergeCell ref="A84:A86"/>
    <mergeCell ref="A81:A82"/>
    <mergeCell ref="B81:B82"/>
    <mergeCell ref="H84:H86"/>
    <mergeCell ref="J81:J82"/>
    <mergeCell ref="C81:C82"/>
    <mergeCell ref="B84:B86"/>
    <mergeCell ref="C84:C86"/>
    <mergeCell ref="L90:L92"/>
    <mergeCell ref="L96:L98"/>
    <mergeCell ref="J87:J89"/>
    <mergeCell ref="L93:L95"/>
    <mergeCell ref="J93:J95"/>
    <mergeCell ref="L87:L89"/>
    <mergeCell ref="A99:A104"/>
    <mergeCell ref="A87:A89"/>
    <mergeCell ref="B87:B89"/>
    <mergeCell ref="B101:B102"/>
    <mergeCell ref="A93:A95"/>
    <mergeCell ref="A96:A98"/>
    <mergeCell ref="B103:B104"/>
    <mergeCell ref="B93:B95"/>
    <mergeCell ref="B96:B98"/>
    <mergeCell ref="J96:J98"/>
    <mergeCell ref="B99:B100"/>
    <mergeCell ref="C99:C104"/>
    <mergeCell ref="H99:H100"/>
    <mergeCell ref="J99:J104"/>
    <mergeCell ref="H101:H102"/>
    <mergeCell ref="H103:H104"/>
    <mergeCell ref="C87:C89"/>
    <mergeCell ref="C93:C95"/>
    <mergeCell ref="H93:H95"/>
    <mergeCell ref="A105:A110"/>
    <mergeCell ref="B105:B106"/>
    <mergeCell ref="C105:C110"/>
    <mergeCell ref="H105:H110"/>
    <mergeCell ref="B107:B108"/>
    <mergeCell ref="B113:B114"/>
    <mergeCell ref="B109:B110"/>
    <mergeCell ref="A111:A114"/>
    <mergeCell ref="B111:B112"/>
    <mergeCell ref="C111:C114"/>
    <mergeCell ref="A115:A122"/>
    <mergeCell ref="B115:B116"/>
    <mergeCell ref="L111:L114"/>
    <mergeCell ref="L131:L132"/>
    <mergeCell ref="C115:C122"/>
    <mergeCell ref="H115:H122"/>
    <mergeCell ref="J129:J130"/>
    <mergeCell ref="L129:L130"/>
    <mergeCell ref="J123:J128"/>
    <mergeCell ref="J131:J132"/>
    <mergeCell ref="H123:H128"/>
    <mergeCell ref="L115:L122"/>
    <mergeCell ref="H129:H130"/>
    <mergeCell ref="J111:J114"/>
    <mergeCell ref="L123:L128"/>
    <mergeCell ref="J115:J122"/>
    <mergeCell ref="A123:A128"/>
    <mergeCell ref="B125:B126"/>
    <mergeCell ref="A129:A130"/>
    <mergeCell ref="J139:J140"/>
    <mergeCell ref="B127:B128"/>
    <mergeCell ref="A137:A138"/>
    <mergeCell ref="B137:B138"/>
    <mergeCell ref="J133:J134"/>
    <mergeCell ref="C131:C132"/>
    <mergeCell ref="C123:C128"/>
    <mergeCell ref="A131:A132"/>
    <mergeCell ref="B131:B132"/>
    <mergeCell ref="C129:C130"/>
    <mergeCell ref="B135:B136"/>
    <mergeCell ref="J137:J138"/>
    <mergeCell ref="C137:C138"/>
    <mergeCell ref="H137:H138"/>
    <mergeCell ref="A148:A150"/>
    <mergeCell ref="B148:B150"/>
    <mergeCell ref="A154:A155"/>
    <mergeCell ref="B154:B155"/>
    <mergeCell ref="B151:B153"/>
    <mergeCell ref="C148:C150"/>
    <mergeCell ref="A135:A136"/>
    <mergeCell ref="A133:A134"/>
    <mergeCell ref="B133:B134"/>
    <mergeCell ref="H145:H147"/>
    <mergeCell ref="C143:C144"/>
    <mergeCell ref="A143:A144"/>
    <mergeCell ref="B143:B144"/>
    <mergeCell ref="A139:A140"/>
    <mergeCell ref="H139:H140"/>
    <mergeCell ref="A141:A142"/>
    <mergeCell ref="B141:B142"/>
    <mergeCell ref="B139:B140"/>
    <mergeCell ref="A145:A147"/>
    <mergeCell ref="B145:B147"/>
    <mergeCell ref="J55:J56"/>
    <mergeCell ref="J57:J58"/>
    <mergeCell ref="C133:C134"/>
    <mergeCell ref="H133:H134"/>
    <mergeCell ref="C135:C136"/>
    <mergeCell ref="H135:H136"/>
    <mergeCell ref="B119:B120"/>
    <mergeCell ref="H131:H132"/>
    <mergeCell ref="J135:J136"/>
    <mergeCell ref="B129:B130"/>
    <mergeCell ref="B123:B124"/>
    <mergeCell ref="H111:H114"/>
    <mergeCell ref="B121:B122"/>
    <mergeCell ref="B117:B118"/>
    <mergeCell ref="J105:J110"/>
    <mergeCell ref="J90:J92"/>
    <mergeCell ref="C75:C76"/>
    <mergeCell ref="H75:H76"/>
    <mergeCell ref="C96:C98"/>
    <mergeCell ref="H96:H98"/>
    <mergeCell ref="L57:L58"/>
    <mergeCell ref="H59:H60"/>
    <mergeCell ref="J59:J60"/>
    <mergeCell ref="H57:H58"/>
    <mergeCell ref="C145:C147"/>
    <mergeCell ref="J148:J150"/>
    <mergeCell ref="L148:L150"/>
    <mergeCell ref="H148:H150"/>
    <mergeCell ref="J145:J147"/>
    <mergeCell ref="L145:L147"/>
    <mergeCell ref="L139:L140"/>
    <mergeCell ref="J141:J142"/>
    <mergeCell ref="L141:L142"/>
    <mergeCell ref="J143:J144"/>
    <mergeCell ref="L137:L138"/>
    <mergeCell ref="C141:C142"/>
    <mergeCell ref="H141:H142"/>
    <mergeCell ref="L143:L144"/>
    <mergeCell ref="L133:L134"/>
    <mergeCell ref="L135:L136"/>
    <mergeCell ref="L99:L104"/>
    <mergeCell ref="L105:L110"/>
    <mergeCell ref="H143:H144"/>
    <mergeCell ref="C139:C140"/>
    <mergeCell ref="L162:L163"/>
    <mergeCell ref="A162:A163"/>
    <mergeCell ref="B162:B163"/>
    <mergeCell ref="C162:C163"/>
    <mergeCell ref="H162:H163"/>
    <mergeCell ref="J162:J163"/>
    <mergeCell ref="C154:C155"/>
    <mergeCell ref="L151:L153"/>
    <mergeCell ref="J154:J155"/>
    <mergeCell ref="L156:L158"/>
    <mergeCell ref="C151:C153"/>
    <mergeCell ref="H151:H153"/>
    <mergeCell ref="L154:L155"/>
    <mergeCell ref="L159:L161"/>
    <mergeCell ref="C159:C161"/>
    <mergeCell ref="J151:J153"/>
    <mergeCell ref="C156:C158"/>
    <mergeCell ref="A156:A158"/>
    <mergeCell ref="H154:H155"/>
    <mergeCell ref="A151:A153"/>
    <mergeCell ref="H164:H165"/>
    <mergeCell ref="J164:J165"/>
    <mergeCell ref="J159:J161"/>
    <mergeCell ref="J156:J158"/>
    <mergeCell ref="A159:A161"/>
    <mergeCell ref="B159:B161"/>
    <mergeCell ref="H159:H161"/>
    <mergeCell ref="H156:H158"/>
    <mergeCell ref="B156:B158"/>
    <mergeCell ref="B164:B165"/>
  </mergeCells>
  <phoneticPr fontId="0" type="noConversion"/>
  <pageMargins left="0.75" right="0.75" top="1" bottom="1" header="0" footer="0"/>
  <pageSetup paperSize="5" scale="80" orientation="landscape" r:id="rId1"/>
  <headerFooter alignWithMargins="0"/>
  <legacyDrawing r:id="rId2"/>
  <oleObjects>
    <oleObject progId="MSPhotoEd.3" shapeId="6145" r:id="rId3"/>
  </oleObjects>
</worksheet>
</file>

<file path=xl/worksheets/sheet4.xml><?xml version="1.0" encoding="utf-8"?>
<worksheet xmlns="http://schemas.openxmlformats.org/spreadsheetml/2006/main" xmlns:r="http://schemas.openxmlformats.org/officeDocument/2006/relationships">
  <dimension ref="A1:N271"/>
  <sheetViews>
    <sheetView zoomScale="82" zoomScaleNormal="82" zoomScaleSheetLayoutView="75" workbookViewId="0">
      <selection activeCell="A18" sqref="A18:I34"/>
    </sheetView>
  </sheetViews>
  <sheetFormatPr baseColWidth="10" defaultRowHeight="13.2"/>
  <cols>
    <col min="1" max="1" width="60.44140625" customWidth="1"/>
    <col min="2" max="2" width="18.6640625" customWidth="1"/>
    <col min="3" max="3" width="21.88671875" customWidth="1"/>
    <col min="4" max="4" width="17.44140625" customWidth="1"/>
    <col min="5" max="5" width="20" customWidth="1"/>
    <col min="6" max="6" width="22.6640625" customWidth="1"/>
    <col min="7" max="7" width="15" style="169" customWidth="1"/>
    <col min="8" max="8" width="14.6640625" customWidth="1"/>
    <col min="9" max="9" width="20" style="794" customWidth="1"/>
    <col min="10" max="10" width="6.109375" customWidth="1"/>
    <col min="11" max="11" width="6.6640625" customWidth="1"/>
    <col min="12" max="12" width="19" customWidth="1"/>
    <col min="13" max="13" width="17.6640625" customWidth="1"/>
    <col min="14" max="14" width="11.88671875" customWidth="1"/>
  </cols>
  <sheetData>
    <row r="1" spans="1:10" ht="15" customHeight="1"/>
    <row r="2" spans="1:10" ht="15" customHeight="1">
      <c r="A2" s="3854" t="s">
        <v>322</v>
      </c>
      <c r="B2" s="3855"/>
      <c r="C2" s="3855"/>
      <c r="D2" s="3855"/>
      <c r="E2" s="3855"/>
      <c r="F2" s="3855"/>
      <c r="G2" s="3855"/>
      <c r="H2" s="3855"/>
      <c r="I2" s="3856"/>
    </row>
    <row r="3" spans="1:10" ht="15" customHeight="1">
      <c r="A3" s="115"/>
      <c r="B3" s="115"/>
      <c r="C3" s="115"/>
      <c r="D3" s="115"/>
      <c r="E3" s="115"/>
      <c r="F3" s="115"/>
      <c r="G3" s="115"/>
      <c r="H3" s="115"/>
      <c r="I3" s="795"/>
    </row>
    <row r="4" spans="1:10" ht="15" customHeight="1">
      <c r="A4" s="3852" t="s">
        <v>319</v>
      </c>
      <c r="B4" s="3853"/>
      <c r="C4" s="50"/>
      <c r="D4" s="50"/>
      <c r="E4" s="50"/>
      <c r="F4" s="11"/>
      <c r="G4" s="11"/>
      <c r="H4" s="14"/>
      <c r="I4" s="796"/>
    </row>
    <row r="5" spans="1:10" ht="15" customHeight="1">
      <c r="A5" s="14"/>
      <c r="B5" s="11"/>
      <c r="C5" s="50"/>
      <c r="D5" s="50"/>
      <c r="E5" s="50"/>
      <c r="F5" s="11"/>
      <c r="G5" s="11"/>
      <c r="H5" s="14"/>
      <c r="I5" s="796"/>
    </row>
    <row r="6" spans="1:10" ht="15" customHeight="1">
      <c r="A6" s="199" t="s">
        <v>106</v>
      </c>
      <c r="B6" s="199" t="s">
        <v>107</v>
      </c>
      <c r="C6" s="233" t="s">
        <v>108</v>
      </c>
      <c r="D6" s="233" t="s">
        <v>646</v>
      </c>
      <c r="E6" s="233" t="s">
        <v>109</v>
      </c>
      <c r="F6" s="199" t="s">
        <v>47</v>
      </c>
      <c r="G6" s="199" t="s">
        <v>48</v>
      </c>
      <c r="H6" s="199" t="s">
        <v>110</v>
      </c>
      <c r="I6" s="2499" t="s">
        <v>50</v>
      </c>
    </row>
    <row r="7" spans="1:10" ht="15" customHeight="1">
      <c r="A7" s="51" t="s">
        <v>323</v>
      </c>
      <c r="B7" s="373" t="s">
        <v>75</v>
      </c>
      <c r="C7" s="52">
        <v>8321</v>
      </c>
      <c r="D7" s="52"/>
      <c r="E7" s="52">
        <f>+C7</f>
        <v>8321</v>
      </c>
      <c r="F7" s="56">
        <f>+SUM('RAE Anchoveta'!B8:B17)</f>
        <v>8387.0659999999989</v>
      </c>
      <c r="G7" s="71">
        <f>+E7-F7</f>
        <v>-66.065999999998894</v>
      </c>
      <c r="H7" s="2500">
        <f>+G7/E7</f>
        <v>-7.9396707126545962E-3</v>
      </c>
      <c r="I7" s="787">
        <v>41207</v>
      </c>
      <c r="J7" s="1469"/>
    </row>
    <row r="8" spans="1:10" ht="15" customHeight="1">
      <c r="A8" s="51" t="s">
        <v>320</v>
      </c>
      <c r="B8" s="373" t="s">
        <v>75</v>
      </c>
      <c r="C8" s="52">
        <v>56</v>
      </c>
      <c r="D8" s="52"/>
      <c r="E8" s="52">
        <f>+C8</f>
        <v>56</v>
      </c>
      <c r="F8" s="56">
        <f>+SUM('RAE Anchoveta'!B24:B33)</f>
        <v>2.92</v>
      </c>
      <c r="G8" s="71">
        <f>+E8-F8</f>
        <v>53.08</v>
      </c>
      <c r="H8" s="2501">
        <f>+G8/E8</f>
        <v>0.94785714285714284</v>
      </c>
      <c r="I8" s="798"/>
      <c r="J8" s="1373"/>
    </row>
    <row r="9" spans="1:10" ht="15" customHeight="1">
      <c r="A9" s="51" t="s">
        <v>321</v>
      </c>
      <c r="B9" s="373" t="s">
        <v>75</v>
      </c>
      <c r="C9" s="52">
        <v>16</v>
      </c>
      <c r="D9" s="52"/>
      <c r="E9" s="52">
        <f>+C9</f>
        <v>16</v>
      </c>
      <c r="F9" s="56">
        <f>+SUM('RAE Anchoveta'!B40:B49)</f>
        <v>93.700999999999993</v>
      </c>
      <c r="G9" s="71">
        <f>+E9-F9</f>
        <v>-77.700999999999993</v>
      </c>
      <c r="H9" s="1372">
        <f>+G9/E9</f>
        <v>-4.8563124999999996</v>
      </c>
      <c r="I9" s="798">
        <v>41033</v>
      </c>
    </row>
    <row r="10" spans="1:10" ht="15" customHeight="1">
      <c r="A10" s="58" t="s">
        <v>111</v>
      </c>
      <c r="B10" s="385" t="s">
        <v>75</v>
      </c>
      <c r="C10" s="59">
        <f>SUM(C7:C9)</f>
        <v>8393</v>
      </c>
      <c r="D10" s="59"/>
      <c r="E10" s="59">
        <f>SUM(E7:E9)</f>
        <v>8393</v>
      </c>
      <c r="F10" s="60">
        <f>SUM(F7:F9)</f>
        <v>8483.6869999999981</v>
      </c>
      <c r="G10" s="386">
        <f>+E10-F10</f>
        <v>-90.686999999998079</v>
      </c>
      <c r="H10" s="14"/>
      <c r="I10" s="796"/>
    </row>
    <row r="11" spans="1:10" ht="6" customHeight="1">
      <c r="A11" s="14"/>
      <c r="B11" s="11"/>
      <c r="C11" s="50"/>
      <c r="D11" s="50"/>
      <c r="E11" s="50"/>
      <c r="F11" s="11"/>
      <c r="G11" s="11"/>
      <c r="H11" s="14"/>
      <c r="I11" s="796"/>
    </row>
    <row r="12" spans="1:10" ht="15" customHeight="1">
      <c r="A12" s="199" t="s">
        <v>106</v>
      </c>
      <c r="B12" s="199" t="s">
        <v>107</v>
      </c>
      <c r="C12" s="233" t="s">
        <v>108</v>
      </c>
      <c r="D12" s="233"/>
      <c r="E12" s="233" t="s">
        <v>109</v>
      </c>
      <c r="F12" s="199" t="s">
        <v>47</v>
      </c>
      <c r="G12" s="199" t="s">
        <v>48</v>
      </c>
      <c r="H12" s="199" t="s">
        <v>110</v>
      </c>
      <c r="I12" s="797" t="s">
        <v>50</v>
      </c>
    </row>
    <row r="13" spans="1:10" ht="15" customHeight="1">
      <c r="A13" s="51" t="s">
        <v>323</v>
      </c>
      <c r="B13" s="373" t="s">
        <v>76</v>
      </c>
      <c r="C13" s="52">
        <v>438</v>
      </c>
      <c r="D13" s="52"/>
      <c r="E13" s="75">
        <f>+C13+G7</f>
        <v>371.93400000000111</v>
      </c>
      <c r="F13" s="53">
        <f>+SUM('RAE Anchoveta'!B18:B19)</f>
        <v>45.090000000000011</v>
      </c>
      <c r="G13" s="71">
        <f>+E13-F13</f>
        <v>326.84400000000107</v>
      </c>
      <c r="H13" s="553">
        <f>+G13/E13</f>
        <v>0.87876881382180738</v>
      </c>
      <c r="I13" s="710"/>
    </row>
    <row r="14" spans="1:10" ht="15" customHeight="1">
      <c r="A14" s="51" t="s">
        <v>320</v>
      </c>
      <c r="B14" s="373" t="s">
        <v>76</v>
      </c>
      <c r="C14" s="52">
        <v>3</v>
      </c>
      <c r="D14" s="52"/>
      <c r="E14" s="52">
        <f>+C14+G8</f>
        <v>56.08</v>
      </c>
      <c r="F14" s="56">
        <f>+SUM('RAE Anchoveta'!B34:B35)</f>
        <v>2</v>
      </c>
      <c r="G14" s="71">
        <f>+E14-F14</f>
        <v>54.08</v>
      </c>
      <c r="H14" s="553">
        <f>+G14/E14</f>
        <v>0.96433666191155487</v>
      </c>
      <c r="I14" s="798"/>
    </row>
    <row r="15" spans="1:10" ht="15" customHeight="1">
      <c r="A15" s="51" t="s">
        <v>321</v>
      </c>
      <c r="B15" s="373" t="s">
        <v>76</v>
      </c>
      <c r="C15" s="52">
        <v>1</v>
      </c>
      <c r="D15" s="52"/>
      <c r="E15" s="52">
        <f>+C15+G9</f>
        <v>-76.700999999999993</v>
      </c>
      <c r="F15" s="56">
        <f>+SUM('RAE Anchoveta'!B50:B51)</f>
        <v>0</v>
      </c>
      <c r="G15" s="71">
        <f>+E15-F15</f>
        <v>-76.700999999999993</v>
      </c>
      <c r="H15" s="553">
        <f>+G15/E15</f>
        <v>1</v>
      </c>
      <c r="I15" s="798">
        <v>41218</v>
      </c>
    </row>
    <row r="16" spans="1:10" ht="15" customHeight="1">
      <c r="A16" s="58" t="s">
        <v>111</v>
      </c>
      <c r="B16" s="385" t="s">
        <v>76</v>
      </c>
      <c r="C16" s="59">
        <f>SUM(C13:C15)</f>
        <v>442</v>
      </c>
      <c r="D16" s="59"/>
      <c r="E16" s="390">
        <f>+C16+G10</f>
        <v>351.31300000000192</v>
      </c>
      <c r="F16" s="60">
        <f>SUM(F13:F15)</f>
        <v>47.090000000000011</v>
      </c>
      <c r="G16" s="386">
        <f>+E16-F16</f>
        <v>304.22300000000189</v>
      </c>
      <c r="H16" s="846"/>
      <c r="I16" s="796"/>
    </row>
    <row r="17" spans="1:11" ht="15" customHeight="1">
      <c r="A17" s="115"/>
      <c r="B17" s="115"/>
      <c r="C17" s="454"/>
      <c r="D17" s="454"/>
      <c r="E17" s="417"/>
      <c r="F17" s="115"/>
      <c r="G17" s="115"/>
      <c r="H17" s="115"/>
      <c r="I17" s="795"/>
    </row>
    <row r="18" spans="1:11" ht="15" customHeight="1">
      <c r="A18" s="3852" t="s">
        <v>105</v>
      </c>
      <c r="B18" s="3853"/>
      <c r="C18" s="50"/>
      <c r="D18" s="50"/>
      <c r="E18" s="50"/>
      <c r="F18" s="11"/>
      <c r="G18" s="11"/>
      <c r="H18" s="14"/>
      <c r="I18" s="796"/>
    </row>
    <row r="19" spans="1:11" ht="5.0999999999999996" customHeight="1">
      <c r="A19" s="14"/>
      <c r="B19" s="11"/>
      <c r="C19" s="50"/>
      <c r="D19" s="50"/>
      <c r="E19" s="50"/>
      <c r="F19" s="11"/>
      <c r="G19" s="11"/>
      <c r="H19" s="14"/>
      <c r="I19" s="796"/>
    </row>
    <row r="20" spans="1:11" ht="15" customHeight="1">
      <c r="A20" s="199" t="s">
        <v>106</v>
      </c>
      <c r="B20" s="199" t="s">
        <v>107</v>
      </c>
      <c r="C20" s="233" t="s">
        <v>108</v>
      </c>
      <c r="D20" s="233"/>
      <c r="E20" s="233" t="s">
        <v>109</v>
      </c>
      <c r="F20" s="199" t="s">
        <v>47</v>
      </c>
      <c r="G20" s="199" t="s">
        <v>48</v>
      </c>
      <c r="H20" s="199" t="s">
        <v>110</v>
      </c>
      <c r="I20" s="797" t="s">
        <v>50</v>
      </c>
    </row>
    <row r="21" spans="1:11" ht="15" customHeight="1">
      <c r="A21" s="51" t="s">
        <v>272</v>
      </c>
      <c r="B21" s="373" t="s">
        <v>61</v>
      </c>
      <c r="C21" s="52">
        <v>2026</v>
      </c>
      <c r="D21" s="52"/>
      <c r="E21" s="52">
        <f>+C21</f>
        <v>2026</v>
      </c>
      <c r="F21" s="53">
        <f>+SUM('RAE Anchoveta'!B58:B61)</f>
        <v>706.44100000000003</v>
      </c>
      <c r="G21" s="71">
        <f>+E21-F21</f>
        <v>1319.559</v>
      </c>
      <c r="H21" s="553">
        <f>+G21/E21</f>
        <v>0.65131243830207308</v>
      </c>
      <c r="I21" s="710"/>
    </row>
    <row r="22" spans="1:11" ht="15" customHeight="1">
      <c r="A22" s="51" t="s">
        <v>273</v>
      </c>
      <c r="B22" s="413" t="s">
        <v>61</v>
      </c>
      <c r="C22" s="52">
        <v>23</v>
      </c>
      <c r="D22" s="52"/>
      <c r="E22" s="52">
        <f>+C22</f>
        <v>23</v>
      </c>
      <c r="F22" s="56">
        <f>+SUM('RAE Anchoveta'!B74:B77)</f>
        <v>36.094999999999999</v>
      </c>
      <c r="G22" s="185">
        <f>+E22-F22</f>
        <v>-13.094999999999999</v>
      </c>
      <c r="H22" s="3062">
        <f>+G22/E22</f>
        <v>-0.56934782608695644</v>
      </c>
      <c r="I22" s="798">
        <v>41031</v>
      </c>
    </row>
    <row r="23" spans="1:11" ht="15" customHeight="1">
      <c r="A23" s="58" t="s">
        <v>111</v>
      </c>
      <c r="B23" s="58" t="s">
        <v>61</v>
      </c>
      <c r="C23" s="59">
        <f>SUM(C21:C22)</f>
        <v>2049</v>
      </c>
      <c r="D23" s="59"/>
      <c r="E23" s="59">
        <f>SUM(E21:E22)</f>
        <v>2049</v>
      </c>
      <c r="F23" s="60">
        <f>SUM(F21:F22)</f>
        <v>742.53600000000006</v>
      </c>
      <c r="G23" s="79">
        <f>+E23-F23</f>
        <v>1306.4639999999999</v>
      </c>
      <c r="H23" s="14"/>
      <c r="I23" s="796"/>
    </row>
    <row r="24" spans="1:11" ht="5.0999999999999996" customHeight="1">
      <c r="A24" s="62"/>
      <c r="B24" s="11"/>
      <c r="C24" s="63"/>
      <c r="D24" s="63"/>
      <c r="E24" s="63"/>
      <c r="F24" s="64"/>
      <c r="G24" s="178"/>
      <c r="H24" s="14"/>
      <c r="I24" s="796"/>
    </row>
    <row r="25" spans="1:11" ht="15" customHeight="1">
      <c r="A25" s="199" t="s">
        <v>106</v>
      </c>
      <c r="B25" s="199" t="s">
        <v>107</v>
      </c>
      <c r="C25" s="233" t="s">
        <v>108</v>
      </c>
      <c r="D25" s="233"/>
      <c r="E25" s="233" t="s">
        <v>109</v>
      </c>
      <c r="F25" s="199" t="s">
        <v>47</v>
      </c>
      <c r="G25" s="230" t="s">
        <v>48</v>
      </c>
      <c r="H25" s="199" t="s">
        <v>110</v>
      </c>
      <c r="I25" s="797" t="s">
        <v>50</v>
      </c>
    </row>
    <row r="26" spans="1:11" ht="15" customHeight="1">
      <c r="A26" s="51" t="s">
        <v>272</v>
      </c>
      <c r="B26" s="373" t="s">
        <v>62</v>
      </c>
      <c r="C26" s="52">
        <v>238</v>
      </c>
      <c r="D26" s="52"/>
      <c r="E26" s="52">
        <f>+C26+G21</f>
        <v>1557.559</v>
      </c>
      <c r="F26" s="53">
        <f>+SUM('RAE Anchoveta'!B62:B65)</f>
        <v>865.05499999999995</v>
      </c>
      <c r="G26" s="71">
        <f>+E26-F26</f>
        <v>692.50400000000002</v>
      </c>
      <c r="H26" s="553">
        <f>+G26/E26</f>
        <v>0.44460851884262492</v>
      </c>
      <c r="I26" s="798"/>
    </row>
    <row r="27" spans="1:11" ht="15" customHeight="1">
      <c r="A27" s="51" t="s">
        <v>273</v>
      </c>
      <c r="B27" s="413" t="s">
        <v>62</v>
      </c>
      <c r="C27" s="52">
        <v>3</v>
      </c>
      <c r="D27" s="52"/>
      <c r="E27" s="52">
        <f>+C27+G22</f>
        <v>-10.094999999999999</v>
      </c>
      <c r="F27" s="56">
        <f>+SUM('RAE Anchoveta'!B78:B81)</f>
        <v>0</v>
      </c>
      <c r="G27" s="185">
        <f>+E27-F27</f>
        <v>-10.094999999999999</v>
      </c>
      <c r="H27" s="2915">
        <v>0</v>
      </c>
      <c r="I27" s="798">
        <v>41031</v>
      </c>
    </row>
    <row r="28" spans="1:11" ht="15" customHeight="1">
      <c r="A28" s="58" t="s">
        <v>111</v>
      </c>
      <c r="B28" s="65" t="s">
        <v>62</v>
      </c>
      <c r="C28" s="59">
        <f>SUM(C26:C27)</f>
        <v>241</v>
      </c>
      <c r="D28" s="59"/>
      <c r="E28" s="59">
        <f>+C28+G23</f>
        <v>1547.4639999999999</v>
      </c>
      <c r="F28" s="59">
        <f>SUM(F26:F27)</f>
        <v>865.05499999999995</v>
      </c>
      <c r="G28" s="386">
        <f>+E28-F28</f>
        <v>682.40899999999999</v>
      </c>
      <c r="H28" s="11"/>
      <c r="I28" s="796"/>
    </row>
    <row r="29" spans="1:11" ht="5.0999999999999996" customHeight="1">
      <c r="A29" s="66"/>
      <c r="B29" s="67"/>
      <c r="C29" s="63"/>
      <c r="D29" s="63"/>
      <c r="E29" s="63"/>
      <c r="F29" s="63"/>
      <c r="G29" s="178"/>
      <c r="H29" s="11"/>
      <c r="I29" s="796"/>
    </row>
    <row r="30" spans="1:11" ht="15" customHeight="1">
      <c r="A30" s="199" t="s">
        <v>106</v>
      </c>
      <c r="B30" s="199" t="s">
        <v>107</v>
      </c>
      <c r="C30" s="233" t="s">
        <v>108</v>
      </c>
      <c r="D30" s="233"/>
      <c r="E30" s="233" t="s">
        <v>109</v>
      </c>
      <c r="F30" s="199" t="s">
        <v>47</v>
      </c>
      <c r="G30" s="230" t="s">
        <v>48</v>
      </c>
      <c r="H30" s="199" t="s">
        <v>110</v>
      </c>
      <c r="I30" s="797" t="s">
        <v>50</v>
      </c>
    </row>
    <row r="31" spans="1:11" ht="15" customHeight="1">
      <c r="A31" s="51" t="s">
        <v>272</v>
      </c>
      <c r="B31" s="373" t="s">
        <v>63</v>
      </c>
      <c r="C31" s="52">
        <v>119</v>
      </c>
      <c r="D31" s="52"/>
      <c r="E31" s="52">
        <f>+C31+G26</f>
        <v>811.50400000000002</v>
      </c>
      <c r="F31" s="53">
        <f>+SUM('RAE Anchoveta'!B66:B69)</f>
        <v>802.1099999999999</v>
      </c>
      <c r="G31" s="71">
        <f>+E31-F31</f>
        <v>9.3940000000001191</v>
      </c>
      <c r="H31" s="553">
        <f>+G31/E31</f>
        <v>1.157603659378157E-2</v>
      </c>
      <c r="I31" s="710"/>
      <c r="J31" s="3063" t="s">
        <v>644</v>
      </c>
      <c r="K31" s="3061"/>
    </row>
    <row r="32" spans="1:11" ht="15" customHeight="1">
      <c r="A32" s="51" t="s">
        <v>273</v>
      </c>
      <c r="B32" s="413" t="s">
        <v>63</v>
      </c>
      <c r="C32" s="52">
        <v>1</v>
      </c>
      <c r="D32" s="52"/>
      <c r="E32" s="76">
        <f>+C32+G27</f>
        <v>-9.0949999999999989</v>
      </c>
      <c r="F32" s="56">
        <f>+SUM('RAE Anchoveta'!B82:B85)</f>
        <v>0</v>
      </c>
      <c r="G32" s="185">
        <f>+E32-F32</f>
        <v>-9.0949999999999989</v>
      </c>
      <c r="H32" s="2915">
        <v>0</v>
      </c>
      <c r="I32" s="798">
        <v>41031</v>
      </c>
    </row>
    <row r="33" spans="1:9" ht="15" customHeight="1">
      <c r="A33" s="58" t="s">
        <v>111</v>
      </c>
      <c r="B33" s="65" t="s">
        <v>63</v>
      </c>
      <c r="C33" s="59">
        <f>SUM(C31:C32)</f>
        <v>120</v>
      </c>
      <c r="D33" s="59"/>
      <c r="E33" s="59">
        <f>+C33+G28</f>
        <v>802.40899999999999</v>
      </c>
      <c r="F33" s="59">
        <f>SUM(F31:F32)</f>
        <v>802.1099999999999</v>
      </c>
      <c r="G33" s="79">
        <f>+E33-F33</f>
        <v>0.29900000000009186</v>
      </c>
      <c r="H33" s="14"/>
      <c r="I33" s="796"/>
    </row>
    <row r="34" spans="1:9" ht="15" customHeight="1">
      <c r="A34" s="748"/>
      <c r="B34" s="749"/>
      <c r="C34" s="750">
        <f>+C21+C26+C31</f>
        <v>2383</v>
      </c>
      <c r="D34" s="750"/>
      <c r="E34" s="750">
        <f>+C34</f>
        <v>2383</v>
      </c>
      <c r="F34" s="750">
        <f>+F21+F26+F31</f>
        <v>2373.6059999999998</v>
      </c>
      <c r="G34" s="194">
        <f>+C34-F34</f>
        <v>9.3940000000002328</v>
      </c>
      <c r="H34" s="553">
        <f>+G34/E34</f>
        <v>3.9420898027697155E-3</v>
      </c>
      <c r="I34" s="796"/>
    </row>
    <row r="35" spans="1:9" ht="15" customHeight="1">
      <c r="A35" s="3860" t="s">
        <v>650</v>
      </c>
      <c r="B35" s="3861"/>
      <c r="C35" s="751"/>
      <c r="D35" s="751"/>
      <c r="E35" s="751"/>
      <c r="F35" s="752"/>
      <c r="G35" s="752"/>
      <c r="H35" s="753"/>
      <c r="I35" s="800"/>
    </row>
    <row r="36" spans="1:9" ht="15" customHeight="1">
      <c r="A36" s="753"/>
      <c r="B36" s="752"/>
      <c r="C36" s="751"/>
      <c r="D36" s="751"/>
      <c r="E36" s="751"/>
      <c r="F36" s="752"/>
      <c r="G36" s="752"/>
      <c r="H36" s="753"/>
      <c r="I36" s="800"/>
    </row>
    <row r="37" spans="1:9" ht="15" customHeight="1">
      <c r="A37" s="746" t="s">
        <v>106</v>
      </c>
      <c r="B37" s="746" t="s">
        <v>107</v>
      </c>
      <c r="C37" s="754" t="s">
        <v>108</v>
      </c>
      <c r="D37" s="754" t="s">
        <v>645</v>
      </c>
      <c r="E37" s="754" t="s">
        <v>109</v>
      </c>
      <c r="F37" s="746" t="s">
        <v>47</v>
      </c>
      <c r="G37" s="746" t="s">
        <v>48</v>
      </c>
      <c r="H37" s="746" t="s">
        <v>110</v>
      </c>
      <c r="I37" s="801" t="s">
        <v>50</v>
      </c>
    </row>
    <row r="38" spans="1:9" ht="15" customHeight="1">
      <c r="A38" s="755" t="s">
        <v>651</v>
      </c>
      <c r="B38" s="756" t="s">
        <v>61</v>
      </c>
      <c r="C38" s="757">
        <v>206.1</v>
      </c>
      <c r="D38" s="757"/>
      <c r="E38" s="757">
        <f>+C38</f>
        <v>206.1</v>
      </c>
      <c r="F38" s="758">
        <f>+SUM('RAE Anchoveta'!B91:B94)</f>
        <v>333.60599999999999</v>
      </c>
      <c r="G38" s="759">
        <f>+E38-F38</f>
        <v>-127.506</v>
      </c>
      <c r="H38" s="553">
        <f>+G38/E38</f>
        <v>-0.61866084425036394</v>
      </c>
      <c r="I38" s="787">
        <v>41029</v>
      </c>
    </row>
    <row r="39" spans="1:9" ht="15" customHeight="1">
      <c r="A39" s="755" t="s">
        <v>206</v>
      </c>
      <c r="B39" s="760" t="s">
        <v>61</v>
      </c>
      <c r="C39" s="757">
        <v>12.9</v>
      </c>
      <c r="D39" s="757"/>
      <c r="E39" s="757">
        <f>+C39</f>
        <v>12.9</v>
      </c>
      <c r="F39" s="758">
        <f>+SUM('RAE Anchoveta'!B107:B110)</f>
        <v>119.54599999999999</v>
      </c>
      <c r="G39" s="793">
        <f>+E39-F39</f>
        <v>-106.64599999999999</v>
      </c>
      <c r="H39" s="553">
        <f>+G39/E39</f>
        <v>-8.2671317829457358</v>
      </c>
      <c r="I39" s="803">
        <v>41031</v>
      </c>
    </row>
    <row r="40" spans="1:9" ht="15" customHeight="1">
      <c r="A40" s="761" t="s">
        <v>111</v>
      </c>
      <c r="B40" s="761" t="s">
        <v>61</v>
      </c>
      <c r="C40" s="390">
        <f>SUM(C38:C39)</f>
        <v>219</v>
      </c>
      <c r="D40" s="390"/>
      <c r="E40" s="390">
        <f>SUM(E38:E39)</f>
        <v>219</v>
      </c>
      <c r="F40" s="762">
        <f>SUM(F38:F39)</f>
        <v>453.15199999999999</v>
      </c>
      <c r="G40" s="793">
        <f>+E40-F40</f>
        <v>-234.15199999999999</v>
      </c>
      <c r="H40" s="752"/>
      <c r="I40" s="800"/>
    </row>
    <row r="41" spans="1:9" ht="15" customHeight="1">
      <c r="A41" s="763"/>
      <c r="B41" s="752"/>
      <c r="C41" s="764"/>
      <c r="D41" s="764"/>
      <c r="E41" s="764"/>
      <c r="F41" s="765"/>
      <c r="G41" s="765"/>
      <c r="H41" s="752"/>
      <c r="I41" s="800"/>
    </row>
    <row r="42" spans="1:9" ht="15" customHeight="1">
      <c r="A42" s="746" t="s">
        <v>106</v>
      </c>
      <c r="B42" s="746" t="s">
        <v>107</v>
      </c>
      <c r="C42" s="754" t="s">
        <v>108</v>
      </c>
      <c r="D42" s="754"/>
      <c r="E42" s="754" t="s">
        <v>109</v>
      </c>
      <c r="F42" s="746" t="s">
        <v>47</v>
      </c>
      <c r="G42" s="746" t="s">
        <v>48</v>
      </c>
      <c r="H42" s="746" t="s">
        <v>110</v>
      </c>
      <c r="I42" s="801" t="s">
        <v>50</v>
      </c>
    </row>
    <row r="43" spans="1:9" ht="15" customHeight="1">
      <c r="A43" s="755" t="s">
        <v>651</v>
      </c>
      <c r="B43" s="756" t="s">
        <v>62</v>
      </c>
      <c r="C43" s="757">
        <v>24.5</v>
      </c>
      <c r="D43" s="757"/>
      <c r="E43" s="757">
        <f>+C43+G38</f>
        <v>-103.006</v>
      </c>
      <c r="F43" s="758">
        <f>+SUM('RAE Anchoveta'!B95:B98)</f>
        <v>61.3</v>
      </c>
      <c r="G43" s="759">
        <f>+E43-F43</f>
        <v>-164.30599999999998</v>
      </c>
      <c r="H43" s="553">
        <v>0</v>
      </c>
      <c r="I43" s="787">
        <v>41029</v>
      </c>
    </row>
    <row r="44" spans="1:9" ht="15" customHeight="1">
      <c r="A44" s="755" t="s">
        <v>206</v>
      </c>
      <c r="B44" s="760" t="s">
        <v>62</v>
      </c>
      <c r="C44" s="757">
        <v>1.5</v>
      </c>
      <c r="D44" s="757"/>
      <c r="E44" s="757">
        <f>+C44+G39</f>
        <v>-105.14599999999999</v>
      </c>
      <c r="F44" s="758">
        <f>+SUM('RAE Anchoveta'!B111:B114)</f>
        <v>2.1659999999999999</v>
      </c>
      <c r="G44" s="804">
        <f>+E44-F44</f>
        <v>-107.31199999999998</v>
      </c>
      <c r="H44" s="553">
        <v>0</v>
      </c>
      <c r="I44" s="803">
        <v>41031</v>
      </c>
    </row>
    <row r="45" spans="1:9" ht="15" customHeight="1">
      <c r="A45" s="761" t="s">
        <v>111</v>
      </c>
      <c r="B45" s="766" t="s">
        <v>62</v>
      </c>
      <c r="C45" s="390">
        <f>SUM(C43:C44)</f>
        <v>26</v>
      </c>
      <c r="D45" s="390"/>
      <c r="E45" s="390">
        <f>+C45+G40</f>
        <v>-208.15199999999999</v>
      </c>
      <c r="F45" s="767">
        <f>SUM(F43:F44)</f>
        <v>63.465999999999994</v>
      </c>
      <c r="G45" s="768">
        <f>+E45-F45</f>
        <v>-271.61799999999999</v>
      </c>
      <c r="H45" s="752"/>
      <c r="I45" s="800"/>
    </row>
    <row r="46" spans="1:9" ht="15" customHeight="1">
      <c r="A46" s="769"/>
      <c r="B46" s="770"/>
      <c r="C46" s="771"/>
      <c r="D46" s="771"/>
      <c r="E46" s="771"/>
      <c r="F46" s="772"/>
      <c r="G46" s="773"/>
      <c r="H46" s="752"/>
      <c r="I46" s="800"/>
    </row>
    <row r="47" spans="1:9" ht="15" customHeight="1">
      <c r="A47" s="746" t="s">
        <v>106</v>
      </c>
      <c r="B47" s="746" t="s">
        <v>107</v>
      </c>
      <c r="C47" s="754" t="s">
        <v>108</v>
      </c>
      <c r="D47" s="754"/>
      <c r="E47" s="754" t="s">
        <v>109</v>
      </c>
      <c r="F47" s="746" t="s">
        <v>47</v>
      </c>
      <c r="G47" s="774" t="s">
        <v>48</v>
      </c>
      <c r="H47" s="746" t="s">
        <v>110</v>
      </c>
      <c r="I47" s="801" t="s">
        <v>50</v>
      </c>
    </row>
    <row r="48" spans="1:9" ht="15" customHeight="1">
      <c r="A48" s="755" t="s">
        <v>651</v>
      </c>
      <c r="B48" s="756" t="s">
        <v>63</v>
      </c>
      <c r="C48" s="757">
        <v>12.2</v>
      </c>
      <c r="D48" s="757"/>
      <c r="E48" s="757">
        <f>+C48+G43</f>
        <v>-152.10599999999999</v>
      </c>
      <c r="F48" s="758">
        <f>+SUM('RAE Anchoveta'!B99:B102)</f>
        <v>0</v>
      </c>
      <c r="G48" s="775">
        <f>+E48-F48</f>
        <v>-152.10599999999999</v>
      </c>
      <c r="H48" s="553">
        <v>0</v>
      </c>
      <c r="I48" s="787">
        <v>41029</v>
      </c>
    </row>
    <row r="49" spans="1:11" ht="15" customHeight="1">
      <c r="A49" s="755" t="s">
        <v>206</v>
      </c>
      <c r="B49" s="760" t="s">
        <v>63</v>
      </c>
      <c r="C49" s="757">
        <v>0.8</v>
      </c>
      <c r="D49" s="757"/>
      <c r="E49" s="757">
        <f>+C49+G44</f>
        <v>-106.51199999999999</v>
      </c>
      <c r="F49" s="776">
        <f>+SUM('RAE Anchoveta'!B115:B118)</f>
        <v>0</v>
      </c>
      <c r="G49" s="805">
        <f>+E49-F49</f>
        <v>-106.51199999999999</v>
      </c>
      <c r="H49" s="553">
        <v>0</v>
      </c>
      <c r="I49" s="803">
        <v>41031</v>
      </c>
    </row>
    <row r="50" spans="1:11" ht="15" customHeight="1">
      <c r="A50" s="761" t="s">
        <v>111</v>
      </c>
      <c r="B50" s="766" t="s">
        <v>63</v>
      </c>
      <c r="C50" s="390">
        <f>SUM(C48:C49)</f>
        <v>13</v>
      </c>
      <c r="D50" s="390"/>
      <c r="E50" s="390">
        <f>+C50+G45</f>
        <v>-258.61799999999999</v>
      </c>
      <c r="F50" s="767">
        <f>SUM(F48:F49)</f>
        <v>0</v>
      </c>
      <c r="G50" s="386">
        <f>+E50-F50</f>
        <v>-258.61799999999999</v>
      </c>
      <c r="H50" s="753"/>
      <c r="I50" s="800"/>
    </row>
    <row r="51" spans="1:11" ht="15" customHeight="1">
      <c r="A51" s="68"/>
      <c r="B51" s="67"/>
      <c r="C51" s="63"/>
      <c r="D51" s="63"/>
      <c r="E51" s="63"/>
      <c r="F51" s="63"/>
      <c r="G51" s="64"/>
      <c r="H51" s="14"/>
      <c r="I51" s="796"/>
    </row>
    <row r="52" spans="1:11" ht="15" customHeight="1">
      <c r="A52" s="3857" t="s">
        <v>112</v>
      </c>
      <c r="B52" s="3857"/>
      <c r="C52" s="63"/>
      <c r="D52" s="63"/>
      <c r="E52" s="63"/>
      <c r="F52" s="63"/>
      <c r="G52" s="3858">
        <v>41011</v>
      </c>
      <c r="H52" s="3859"/>
      <c r="I52" s="796"/>
    </row>
    <row r="53" spans="1:11" ht="5.0999999999999996" customHeight="1">
      <c r="A53" s="14"/>
      <c r="B53" s="11"/>
      <c r="C53" s="63"/>
      <c r="D53" s="63"/>
      <c r="E53" s="63"/>
      <c r="F53" s="64"/>
      <c r="G53" s="64"/>
      <c r="H53" s="14"/>
      <c r="I53" s="796"/>
    </row>
    <row r="54" spans="1:11" ht="15" customHeight="1" thickBot="1">
      <c r="A54" s="199" t="s">
        <v>106</v>
      </c>
      <c r="B54" s="199" t="s">
        <v>107</v>
      </c>
      <c r="C54" s="233" t="s">
        <v>108</v>
      </c>
      <c r="D54" s="233" t="s">
        <v>658</v>
      </c>
      <c r="E54" s="233" t="s">
        <v>109</v>
      </c>
      <c r="F54" s="199" t="s">
        <v>47</v>
      </c>
      <c r="G54" s="199" t="s">
        <v>48</v>
      </c>
      <c r="H54" s="199" t="s">
        <v>110</v>
      </c>
      <c r="I54" s="797" t="s">
        <v>50</v>
      </c>
    </row>
    <row r="55" spans="1:11" ht="15" customHeight="1">
      <c r="A55" s="69" t="s">
        <v>227</v>
      </c>
      <c r="B55" s="412" t="s">
        <v>113</v>
      </c>
      <c r="C55" s="320">
        <v>92</v>
      </c>
      <c r="D55" s="2874">
        <v>-20.2</v>
      </c>
      <c r="E55" s="3674">
        <f>+C55+D55</f>
        <v>71.8</v>
      </c>
      <c r="F55" s="933">
        <v>16.838000000000001</v>
      </c>
      <c r="G55" s="322">
        <f>+E55-F55</f>
        <v>54.961999999999996</v>
      </c>
      <c r="H55" s="553">
        <f t="shared" ref="H55:H116" si="0">+G55/E55</f>
        <v>0.76548746518105848</v>
      </c>
      <c r="I55" s="705"/>
      <c r="J55">
        <v>1</v>
      </c>
    </row>
    <row r="56" spans="1:11" ht="15" customHeight="1">
      <c r="A56" s="69" t="s">
        <v>228</v>
      </c>
      <c r="B56" s="412" t="s">
        <v>113</v>
      </c>
      <c r="C56" s="320">
        <v>204</v>
      </c>
      <c r="D56" s="320"/>
      <c r="E56" s="3674">
        <f t="shared" ref="E56:E115" si="1">+C56</f>
        <v>204</v>
      </c>
      <c r="F56" s="935">
        <v>438.66800000000001</v>
      </c>
      <c r="G56" s="322">
        <f t="shared" ref="G56:G115" si="2">+E56-F56</f>
        <v>-234.66800000000001</v>
      </c>
      <c r="H56" s="553">
        <f t="shared" si="0"/>
        <v>-1.1503333333333334</v>
      </c>
      <c r="I56" s="705">
        <v>41031</v>
      </c>
      <c r="J56" s="392">
        <f>+J55+1</f>
        <v>2</v>
      </c>
    </row>
    <row r="57" spans="1:11" ht="15" customHeight="1">
      <c r="A57" s="69" t="s">
        <v>642</v>
      </c>
      <c r="B57" s="412" t="s">
        <v>113</v>
      </c>
      <c r="C57" s="320">
        <v>463</v>
      </c>
      <c r="D57" s="320"/>
      <c r="E57" s="3674">
        <f t="shared" si="1"/>
        <v>463</v>
      </c>
      <c r="F57" s="935">
        <v>219.601</v>
      </c>
      <c r="G57" s="322">
        <f t="shared" si="2"/>
        <v>243.399</v>
      </c>
      <c r="H57" s="553">
        <f t="shared" si="0"/>
        <v>0.52569978401727857</v>
      </c>
      <c r="I57" s="705"/>
      <c r="J57" s="392">
        <f t="shared" ref="J57:J116" si="3">+J56+1</f>
        <v>3</v>
      </c>
    </row>
    <row r="58" spans="1:11" ht="15" customHeight="1">
      <c r="A58" s="69" t="s">
        <v>230</v>
      </c>
      <c r="B58" s="412" t="s">
        <v>113</v>
      </c>
      <c r="C58" s="320">
        <v>1137</v>
      </c>
      <c r="D58" s="320"/>
      <c r="E58" s="320">
        <f t="shared" si="1"/>
        <v>1137</v>
      </c>
      <c r="F58" s="934">
        <v>1628.876</v>
      </c>
      <c r="G58" s="322">
        <f t="shared" si="2"/>
        <v>-491.87599999999998</v>
      </c>
      <c r="H58" s="553">
        <f t="shared" si="0"/>
        <v>-0.43260861917326293</v>
      </c>
      <c r="I58" s="705">
        <v>41031</v>
      </c>
      <c r="J58" s="392">
        <f t="shared" si="3"/>
        <v>4</v>
      </c>
    </row>
    <row r="59" spans="1:11" ht="15" customHeight="1">
      <c r="A59" s="69" t="s">
        <v>231</v>
      </c>
      <c r="B59" s="412" t="s">
        <v>113</v>
      </c>
      <c r="C59" s="320">
        <v>88</v>
      </c>
      <c r="D59" s="320"/>
      <c r="E59" s="320">
        <f t="shared" si="1"/>
        <v>88</v>
      </c>
      <c r="F59" s="934">
        <v>252.738</v>
      </c>
      <c r="G59" s="322">
        <f t="shared" si="2"/>
        <v>-164.738</v>
      </c>
      <c r="H59" s="553">
        <f t="shared" si="0"/>
        <v>-1.8720227272727272</v>
      </c>
      <c r="I59" s="705">
        <v>41016</v>
      </c>
      <c r="J59" s="392">
        <f t="shared" si="3"/>
        <v>5</v>
      </c>
    </row>
    <row r="60" spans="1:11" ht="15" customHeight="1">
      <c r="A60" s="69" t="s">
        <v>232</v>
      </c>
      <c r="B60" s="412" t="s">
        <v>113</v>
      </c>
      <c r="C60" s="320">
        <v>859</v>
      </c>
      <c r="D60" s="320"/>
      <c r="E60" s="320">
        <f t="shared" si="1"/>
        <v>859</v>
      </c>
      <c r="F60" s="934">
        <v>1262.93</v>
      </c>
      <c r="G60" s="322">
        <f t="shared" si="2"/>
        <v>-403.93000000000006</v>
      </c>
      <c r="H60" s="553">
        <f t="shared" si="0"/>
        <v>-0.47023282887078005</v>
      </c>
      <c r="I60" s="705">
        <v>41031</v>
      </c>
      <c r="J60" s="392">
        <f t="shared" si="3"/>
        <v>6</v>
      </c>
    </row>
    <row r="61" spans="1:11" ht="15" customHeight="1">
      <c r="A61" s="74" t="s">
        <v>233</v>
      </c>
      <c r="B61" s="412" t="s">
        <v>113</v>
      </c>
      <c r="C61" s="320">
        <v>898</v>
      </c>
      <c r="D61" s="320"/>
      <c r="E61" s="320">
        <f t="shared" si="1"/>
        <v>898</v>
      </c>
      <c r="F61" s="934">
        <v>1071.92</v>
      </c>
      <c r="G61" s="322">
        <f t="shared" si="2"/>
        <v>-173.92000000000007</v>
      </c>
      <c r="H61" s="553">
        <f t="shared" si="0"/>
        <v>-0.19367483296213817</v>
      </c>
      <c r="I61" s="567">
        <v>41038</v>
      </c>
      <c r="J61" s="392">
        <f t="shared" si="3"/>
        <v>7</v>
      </c>
    </row>
    <row r="62" spans="1:11" ht="15" customHeight="1">
      <c r="A62" s="69" t="s">
        <v>234</v>
      </c>
      <c r="B62" s="412" t="s">
        <v>113</v>
      </c>
      <c r="C62" s="320">
        <v>703</v>
      </c>
      <c r="D62" s="320"/>
      <c r="E62" s="320">
        <f t="shared" si="1"/>
        <v>703</v>
      </c>
      <c r="F62" s="934">
        <v>2112.9639999999999</v>
      </c>
      <c r="G62" s="322">
        <f t="shared" si="2"/>
        <v>-1409.9639999999999</v>
      </c>
      <c r="H62" s="553">
        <f t="shared" si="0"/>
        <v>-2.0056386913229018</v>
      </c>
      <c r="I62" s="705">
        <v>41031</v>
      </c>
      <c r="J62" s="392">
        <f t="shared" si="3"/>
        <v>8</v>
      </c>
    </row>
    <row r="63" spans="1:11" ht="15" customHeight="1">
      <c r="A63" s="69" t="s">
        <v>235</v>
      </c>
      <c r="B63" s="412" t="s">
        <v>113</v>
      </c>
      <c r="C63" s="320">
        <v>274</v>
      </c>
      <c r="D63" s="320"/>
      <c r="E63" s="320">
        <f t="shared" si="1"/>
        <v>274</v>
      </c>
      <c r="F63" s="934">
        <v>309.11500000000001</v>
      </c>
      <c r="G63" s="322">
        <f t="shared" si="2"/>
        <v>-35.115000000000009</v>
      </c>
      <c r="H63" s="553">
        <f t="shared" si="0"/>
        <v>-0.12815693430656938</v>
      </c>
      <c r="I63" s="567">
        <v>41036</v>
      </c>
      <c r="J63" s="392">
        <f t="shared" si="3"/>
        <v>9</v>
      </c>
    </row>
    <row r="64" spans="1:11" ht="15" customHeight="1">
      <c r="A64" s="307" t="s">
        <v>236</v>
      </c>
      <c r="B64" s="412" t="s">
        <v>113</v>
      </c>
      <c r="C64" s="320">
        <v>2528</v>
      </c>
      <c r="D64" s="320"/>
      <c r="E64" s="320">
        <f t="shared" si="1"/>
        <v>2528</v>
      </c>
      <c r="F64" s="934">
        <v>2356.701</v>
      </c>
      <c r="G64" s="322">
        <f t="shared" si="2"/>
        <v>171.29899999999998</v>
      </c>
      <c r="H64" s="553">
        <f t="shared" si="0"/>
        <v>6.7760680379746821E-2</v>
      </c>
      <c r="I64" s="705"/>
      <c r="J64" s="377">
        <f t="shared" si="3"/>
        <v>10</v>
      </c>
      <c r="K64" s="477"/>
    </row>
    <row r="65" spans="1:10" ht="15" customHeight="1">
      <c r="A65" s="307" t="s">
        <v>303</v>
      </c>
      <c r="B65" s="412" t="s">
        <v>113</v>
      </c>
      <c r="C65" s="320">
        <v>154</v>
      </c>
      <c r="D65" s="320"/>
      <c r="E65" s="320">
        <f t="shared" si="1"/>
        <v>154</v>
      </c>
      <c r="F65" s="934">
        <v>194.886</v>
      </c>
      <c r="G65" s="322">
        <f t="shared" si="2"/>
        <v>-40.885999999999996</v>
      </c>
      <c r="H65" s="553">
        <f t="shared" si="0"/>
        <v>-0.26549350649350645</v>
      </c>
      <c r="I65" s="567">
        <v>41038</v>
      </c>
      <c r="J65" s="392">
        <f t="shared" si="3"/>
        <v>11</v>
      </c>
    </row>
    <row r="66" spans="1:10" ht="15" customHeight="1">
      <c r="A66" s="321" t="s">
        <v>237</v>
      </c>
      <c r="B66" s="412" t="s">
        <v>113</v>
      </c>
      <c r="C66" s="320">
        <v>464</v>
      </c>
      <c r="D66" s="320"/>
      <c r="E66" s="320">
        <f t="shared" si="1"/>
        <v>464</v>
      </c>
      <c r="F66" s="934">
        <v>818.06100000000004</v>
      </c>
      <c r="G66" s="322">
        <f t="shared" si="2"/>
        <v>-354.06100000000004</v>
      </c>
      <c r="H66" s="553">
        <f t="shared" si="0"/>
        <v>-0.76306250000000009</v>
      </c>
      <c r="I66" s="705">
        <v>41031</v>
      </c>
      <c r="J66" s="392">
        <f t="shared" si="3"/>
        <v>12</v>
      </c>
    </row>
    <row r="67" spans="1:10" ht="15" customHeight="1">
      <c r="A67" s="321" t="s">
        <v>529</v>
      </c>
      <c r="B67" s="412" t="s">
        <v>113</v>
      </c>
      <c r="C67" s="320">
        <v>0</v>
      </c>
      <c r="D67" s="320"/>
      <c r="E67" s="320">
        <f t="shared" si="1"/>
        <v>0</v>
      </c>
      <c r="F67" s="934">
        <v>0</v>
      </c>
      <c r="G67" s="322">
        <f t="shared" si="2"/>
        <v>0</v>
      </c>
      <c r="H67" s="553" t="e">
        <f t="shared" si="0"/>
        <v>#DIV/0!</v>
      </c>
      <c r="I67" s="567"/>
      <c r="J67" s="392">
        <f t="shared" si="3"/>
        <v>13</v>
      </c>
    </row>
    <row r="68" spans="1:10" ht="15" customHeight="1">
      <c r="A68" s="321" t="s">
        <v>238</v>
      </c>
      <c r="B68" s="412" t="s">
        <v>113</v>
      </c>
      <c r="C68" s="320">
        <v>860</v>
      </c>
      <c r="D68" s="320"/>
      <c r="E68" s="320">
        <f t="shared" si="1"/>
        <v>860</v>
      </c>
      <c r="F68" s="934">
        <v>1692.2249999999999</v>
      </c>
      <c r="G68" s="322">
        <f t="shared" si="2"/>
        <v>-832.22499999999991</v>
      </c>
      <c r="H68" s="553">
        <f t="shared" si="0"/>
        <v>-0.96770348837209297</v>
      </c>
      <c r="I68" s="705">
        <v>41031</v>
      </c>
      <c r="J68" s="392">
        <f t="shared" si="3"/>
        <v>14</v>
      </c>
    </row>
    <row r="69" spans="1:10" ht="15" customHeight="1">
      <c r="A69" s="321" t="s">
        <v>239</v>
      </c>
      <c r="B69" s="412" t="s">
        <v>113</v>
      </c>
      <c r="C69" s="320">
        <v>514</v>
      </c>
      <c r="D69" s="320"/>
      <c r="E69" s="320">
        <f t="shared" si="1"/>
        <v>514</v>
      </c>
      <c r="F69" s="934">
        <v>1102.1669999999999</v>
      </c>
      <c r="G69" s="322">
        <f t="shared" si="2"/>
        <v>-588.16699999999992</v>
      </c>
      <c r="H69" s="553">
        <f t="shared" si="0"/>
        <v>-1.144293774319066</v>
      </c>
      <c r="I69" s="705">
        <v>41031</v>
      </c>
      <c r="J69" s="392">
        <f t="shared" si="3"/>
        <v>15</v>
      </c>
    </row>
    <row r="70" spans="1:10" ht="15" customHeight="1">
      <c r="A70" s="321" t="s">
        <v>240</v>
      </c>
      <c r="B70" s="412" t="s">
        <v>113</v>
      </c>
      <c r="C70" s="320">
        <v>1673</v>
      </c>
      <c r="D70" s="320"/>
      <c r="E70" s="320">
        <f t="shared" si="1"/>
        <v>1673</v>
      </c>
      <c r="F70" s="934">
        <v>1328.1489999999999</v>
      </c>
      <c r="G70" s="322">
        <f t="shared" si="2"/>
        <v>344.85100000000011</v>
      </c>
      <c r="H70" s="553">
        <f t="shared" si="0"/>
        <v>0.20612731619844599</v>
      </c>
      <c r="I70" s="567"/>
      <c r="J70" s="392">
        <f t="shared" si="3"/>
        <v>16</v>
      </c>
    </row>
    <row r="71" spans="1:10" ht="15" customHeight="1">
      <c r="A71" s="307" t="s">
        <v>241</v>
      </c>
      <c r="B71" s="412" t="s">
        <v>113</v>
      </c>
      <c r="C71" s="320">
        <v>29</v>
      </c>
      <c r="D71" s="320"/>
      <c r="E71" s="320">
        <f t="shared" si="1"/>
        <v>29</v>
      </c>
      <c r="F71" s="934">
        <v>13.728</v>
      </c>
      <c r="G71" s="322">
        <f t="shared" si="2"/>
        <v>15.272</v>
      </c>
      <c r="H71" s="553">
        <f t="shared" si="0"/>
        <v>0.52662068965517239</v>
      </c>
      <c r="I71" s="705"/>
      <c r="J71" s="392">
        <f t="shared" si="3"/>
        <v>17</v>
      </c>
    </row>
    <row r="72" spans="1:10" ht="15" customHeight="1">
      <c r="A72" s="3618" t="s">
        <v>242</v>
      </c>
      <c r="B72" s="412" t="s">
        <v>113</v>
      </c>
      <c r="C72" s="320">
        <f>455</f>
        <v>455</v>
      </c>
      <c r="D72" s="320"/>
      <c r="E72" s="320">
        <f t="shared" si="1"/>
        <v>455</v>
      </c>
      <c r="F72" s="934">
        <v>343.07400000000001</v>
      </c>
      <c r="G72" s="322">
        <f t="shared" si="2"/>
        <v>111.92599999999999</v>
      </c>
      <c r="H72" s="553">
        <f t="shared" si="0"/>
        <v>0.24599120879120875</v>
      </c>
      <c r="I72" s="567"/>
      <c r="J72" s="392">
        <f t="shared" si="3"/>
        <v>18</v>
      </c>
    </row>
    <row r="73" spans="1:10" ht="15" customHeight="1">
      <c r="A73" s="321" t="s">
        <v>243</v>
      </c>
      <c r="B73" s="412" t="s">
        <v>113</v>
      </c>
      <c r="C73" s="320">
        <v>917</v>
      </c>
      <c r="D73" s="734">
        <f>-137-3.74</f>
        <v>-140.74</v>
      </c>
      <c r="E73" s="320">
        <f>+C73+D73</f>
        <v>776.26</v>
      </c>
      <c r="F73" s="934">
        <v>868.25699999999995</v>
      </c>
      <c r="G73" s="322">
        <f t="shared" si="2"/>
        <v>-91.996999999999957</v>
      </c>
      <c r="H73" s="553">
        <f t="shared" si="0"/>
        <v>-0.11851312704506217</v>
      </c>
      <c r="I73" s="705">
        <v>41036</v>
      </c>
      <c r="J73" s="392">
        <f t="shared" si="3"/>
        <v>19</v>
      </c>
    </row>
    <row r="74" spans="1:10" ht="15" customHeight="1">
      <c r="A74" s="321" t="s">
        <v>244</v>
      </c>
      <c r="B74" s="412" t="s">
        <v>113</v>
      </c>
      <c r="C74" s="320">
        <v>1156</v>
      </c>
      <c r="D74" s="320"/>
      <c r="E74" s="320">
        <f t="shared" si="1"/>
        <v>1156</v>
      </c>
      <c r="F74" s="934">
        <v>1604.1790000000001</v>
      </c>
      <c r="G74" s="322">
        <f t="shared" si="2"/>
        <v>-448.17900000000009</v>
      </c>
      <c r="H74" s="553">
        <f t="shared" si="0"/>
        <v>-0.38769809688581325</v>
      </c>
      <c r="I74" s="705">
        <v>41031</v>
      </c>
      <c r="J74" s="392">
        <f t="shared" si="3"/>
        <v>20</v>
      </c>
    </row>
    <row r="75" spans="1:10" ht="15" customHeight="1">
      <c r="A75" s="321" t="s">
        <v>530</v>
      </c>
      <c r="B75" s="412" t="s">
        <v>113</v>
      </c>
      <c r="C75" s="320">
        <v>248</v>
      </c>
      <c r="D75" s="320"/>
      <c r="E75" s="320">
        <f t="shared" si="1"/>
        <v>248</v>
      </c>
      <c r="F75" s="934">
        <v>519.55600000000004</v>
      </c>
      <c r="G75" s="322">
        <f t="shared" si="2"/>
        <v>-271.55600000000004</v>
      </c>
      <c r="H75" s="553">
        <f t="shared" si="0"/>
        <v>-1.0949838709677422</v>
      </c>
      <c r="I75" s="705">
        <v>41031</v>
      </c>
      <c r="J75" s="392">
        <f t="shared" si="3"/>
        <v>21</v>
      </c>
    </row>
    <row r="76" spans="1:10" ht="15" customHeight="1">
      <c r="A76" s="321" t="s">
        <v>245</v>
      </c>
      <c r="B76" s="412" t="s">
        <v>113</v>
      </c>
      <c r="C76" s="320">
        <v>444.9</v>
      </c>
      <c r="D76" s="320"/>
      <c r="E76" s="320">
        <f t="shared" si="1"/>
        <v>444.9</v>
      </c>
      <c r="F76" s="934">
        <v>1094.7080000000001</v>
      </c>
      <c r="G76" s="322">
        <f t="shared" si="2"/>
        <v>-649.80800000000011</v>
      </c>
      <c r="H76" s="553">
        <f t="shared" si="0"/>
        <v>-1.4605709148123176</v>
      </c>
      <c r="I76" s="705">
        <v>41031</v>
      </c>
      <c r="J76" s="392">
        <f t="shared" si="3"/>
        <v>22</v>
      </c>
    </row>
    <row r="77" spans="1:10" ht="15" customHeight="1">
      <c r="A77" s="321" t="s">
        <v>246</v>
      </c>
      <c r="B77" s="412" t="s">
        <v>113</v>
      </c>
      <c r="C77" s="320">
        <v>0</v>
      </c>
      <c r="D77" s="320"/>
      <c r="E77" s="320">
        <f t="shared" si="1"/>
        <v>0</v>
      </c>
      <c r="F77" s="934">
        <v>0</v>
      </c>
      <c r="G77" s="322">
        <f t="shared" si="2"/>
        <v>0</v>
      </c>
      <c r="H77" s="553" t="e">
        <f t="shared" si="0"/>
        <v>#DIV/0!</v>
      </c>
      <c r="I77" s="567"/>
      <c r="J77" s="392">
        <f t="shared" si="3"/>
        <v>23</v>
      </c>
    </row>
    <row r="78" spans="1:10" ht="15" customHeight="1">
      <c r="A78" s="307" t="s">
        <v>296</v>
      </c>
      <c r="B78" s="412" t="s">
        <v>113</v>
      </c>
      <c r="C78" s="320">
        <v>182</v>
      </c>
      <c r="D78" s="320"/>
      <c r="E78" s="320">
        <f t="shared" si="1"/>
        <v>182</v>
      </c>
      <c r="F78" s="934">
        <v>564.49300000000005</v>
      </c>
      <c r="G78" s="322">
        <f t="shared" si="2"/>
        <v>-382.49300000000005</v>
      </c>
      <c r="H78" s="553">
        <f t="shared" si="0"/>
        <v>-2.1016098901098905</v>
      </c>
      <c r="I78" s="705">
        <v>41031</v>
      </c>
      <c r="J78" s="392">
        <f t="shared" si="3"/>
        <v>24</v>
      </c>
    </row>
    <row r="79" spans="1:10" ht="15" customHeight="1">
      <c r="A79" s="307" t="s">
        <v>247</v>
      </c>
      <c r="B79" s="412" t="s">
        <v>113</v>
      </c>
      <c r="C79" s="320">
        <v>144</v>
      </c>
      <c r="D79" s="320"/>
      <c r="E79" s="320">
        <f t="shared" si="1"/>
        <v>144</v>
      </c>
      <c r="F79" s="934">
        <v>158.88999999999999</v>
      </c>
      <c r="G79" s="322">
        <f t="shared" si="2"/>
        <v>-14.889999999999986</v>
      </c>
      <c r="H79" s="553">
        <f t="shared" si="0"/>
        <v>-0.10340277777777768</v>
      </c>
      <c r="I79" s="705">
        <v>41039</v>
      </c>
      <c r="J79" s="392">
        <f t="shared" si="3"/>
        <v>25</v>
      </c>
    </row>
    <row r="80" spans="1:10" ht="15" customHeight="1">
      <c r="A80" s="307" t="s">
        <v>248</v>
      </c>
      <c r="B80" s="412" t="s">
        <v>113</v>
      </c>
      <c r="C80" s="320">
        <v>268</v>
      </c>
      <c r="D80" s="320"/>
      <c r="E80" s="320">
        <f t="shared" si="1"/>
        <v>268</v>
      </c>
      <c r="F80" s="934">
        <v>47.917000000000002</v>
      </c>
      <c r="G80" s="322">
        <f t="shared" si="2"/>
        <v>220.083</v>
      </c>
      <c r="H80" s="553">
        <f t="shared" si="0"/>
        <v>0.82120522388059702</v>
      </c>
      <c r="I80" s="567"/>
      <c r="J80" s="392">
        <f t="shared" si="3"/>
        <v>26</v>
      </c>
    </row>
    <row r="81" spans="1:11" ht="15" customHeight="1">
      <c r="A81" s="307" t="s">
        <v>531</v>
      </c>
      <c r="B81" s="412" t="s">
        <v>113</v>
      </c>
      <c r="C81" s="320">
        <v>297</v>
      </c>
      <c r="D81" s="320"/>
      <c r="E81" s="320">
        <f t="shared" si="1"/>
        <v>297</v>
      </c>
      <c r="F81" s="934">
        <v>580.76199999999994</v>
      </c>
      <c r="G81" s="322">
        <f t="shared" si="2"/>
        <v>-283.76199999999994</v>
      </c>
      <c r="H81" s="553">
        <f t="shared" si="0"/>
        <v>-0.95542760942760929</v>
      </c>
      <c r="I81" s="705">
        <v>41031</v>
      </c>
      <c r="J81" s="392">
        <f t="shared" si="3"/>
        <v>27</v>
      </c>
    </row>
    <row r="82" spans="1:11" ht="15" customHeight="1">
      <c r="A82" s="307" t="s">
        <v>269</v>
      </c>
      <c r="B82" s="412" t="s">
        <v>113</v>
      </c>
      <c r="C82" s="320">
        <v>55</v>
      </c>
      <c r="D82" s="320"/>
      <c r="E82" s="320">
        <f t="shared" si="1"/>
        <v>55</v>
      </c>
      <c r="F82" s="935">
        <v>69.47</v>
      </c>
      <c r="G82" s="322">
        <f t="shared" si="2"/>
        <v>-14.469999999999999</v>
      </c>
      <c r="H82" s="553">
        <f t="shared" si="0"/>
        <v>-0.2630909090909091</v>
      </c>
      <c r="I82" s="705">
        <v>41031</v>
      </c>
      <c r="J82" s="377">
        <f t="shared" si="3"/>
        <v>28</v>
      </c>
      <c r="K82" s="391"/>
    </row>
    <row r="83" spans="1:11" ht="15" customHeight="1">
      <c r="A83" s="307" t="s">
        <v>249</v>
      </c>
      <c r="B83" s="412" t="s">
        <v>113</v>
      </c>
      <c r="C83" s="320">
        <v>330</v>
      </c>
      <c r="D83" s="320"/>
      <c r="E83" s="320">
        <f t="shared" si="1"/>
        <v>330</v>
      </c>
      <c r="F83" s="935">
        <v>514.54</v>
      </c>
      <c r="G83" s="322">
        <f t="shared" si="2"/>
        <v>-184.53999999999996</v>
      </c>
      <c r="H83" s="553">
        <f t="shared" si="0"/>
        <v>-0.55921212121212105</v>
      </c>
      <c r="I83" s="705">
        <v>41031</v>
      </c>
      <c r="J83" s="392">
        <f t="shared" si="3"/>
        <v>29</v>
      </c>
    </row>
    <row r="84" spans="1:11" ht="15" customHeight="1">
      <c r="A84" s="3627" t="s">
        <v>250</v>
      </c>
      <c r="B84" s="412" t="s">
        <v>113</v>
      </c>
      <c r="C84" s="320">
        <f>474</f>
        <v>474</v>
      </c>
      <c r="D84" s="320"/>
      <c r="E84" s="320">
        <f t="shared" si="1"/>
        <v>474</v>
      </c>
      <c r="F84" s="935">
        <v>982.18200000000002</v>
      </c>
      <c r="G84" s="322">
        <f t="shared" si="2"/>
        <v>-508.18200000000002</v>
      </c>
      <c r="H84" s="553">
        <f t="shared" si="0"/>
        <v>-1.072113924050633</v>
      </c>
      <c r="I84" s="705">
        <v>41031</v>
      </c>
      <c r="J84" s="392">
        <f t="shared" si="3"/>
        <v>30</v>
      </c>
    </row>
    <row r="85" spans="1:11" ht="15" customHeight="1">
      <c r="A85" s="321" t="s">
        <v>297</v>
      </c>
      <c r="B85" s="412" t="s">
        <v>113</v>
      </c>
      <c r="C85" s="320">
        <v>29</v>
      </c>
      <c r="D85" s="320"/>
      <c r="E85" s="320">
        <f t="shared" si="1"/>
        <v>29</v>
      </c>
      <c r="F85" s="935">
        <v>3.2480000000000002</v>
      </c>
      <c r="G85" s="322">
        <f t="shared" si="2"/>
        <v>25.751999999999999</v>
      </c>
      <c r="H85" s="553">
        <f t="shared" si="0"/>
        <v>0.88800000000000001</v>
      </c>
      <c r="I85" s="567"/>
      <c r="J85" s="392">
        <f t="shared" si="3"/>
        <v>31</v>
      </c>
    </row>
    <row r="86" spans="1:11" ht="15" customHeight="1">
      <c r="A86" s="707" t="s">
        <v>251</v>
      </c>
      <c r="B86" s="412" t="s">
        <v>113</v>
      </c>
      <c r="C86" s="320">
        <v>38</v>
      </c>
      <c r="D86" s="320"/>
      <c r="E86" s="320">
        <f t="shared" si="1"/>
        <v>38</v>
      </c>
      <c r="F86" s="935">
        <v>4.5819999999999999</v>
      </c>
      <c r="G86" s="322">
        <f t="shared" si="2"/>
        <v>33.417999999999999</v>
      </c>
      <c r="H86" s="553">
        <f t="shared" si="0"/>
        <v>0.87942105263157888</v>
      </c>
      <c r="I86" s="567"/>
      <c r="J86" s="377">
        <f t="shared" si="3"/>
        <v>32</v>
      </c>
    </row>
    <row r="87" spans="1:11" ht="15" customHeight="1">
      <c r="A87" s="307" t="s">
        <v>252</v>
      </c>
      <c r="B87" s="412" t="s">
        <v>113</v>
      </c>
      <c r="C87" s="320">
        <v>443</v>
      </c>
      <c r="D87" s="320"/>
      <c r="E87" s="320">
        <f t="shared" si="1"/>
        <v>443</v>
      </c>
      <c r="F87" s="935">
        <v>935.197</v>
      </c>
      <c r="G87" s="322">
        <f t="shared" si="2"/>
        <v>-492.197</v>
      </c>
      <c r="H87" s="553">
        <f t="shared" si="0"/>
        <v>-1.1110541760722348</v>
      </c>
      <c r="I87" s="705">
        <v>41031</v>
      </c>
      <c r="J87" s="392">
        <f t="shared" si="3"/>
        <v>33</v>
      </c>
    </row>
    <row r="88" spans="1:11" ht="15" customHeight="1">
      <c r="A88" s="307" t="s">
        <v>253</v>
      </c>
      <c r="B88" s="412" t="s">
        <v>113</v>
      </c>
      <c r="C88" s="320">
        <v>186</v>
      </c>
      <c r="D88" s="320"/>
      <c r="E88" s="320">
        <f t="shared" si="1"/>
        <v>186</v>
      </c>
      <c r="F88" s="935">
        <v>123.503</v>
      </c>
      <c r="G88" s="322">
        <f t="shared" si="2"/>
        <v>62.497</v>
      </c>
      <c r="H88" s="553">
        <f t="shared" si="0"/>
        <v>0.336005376344086</v>
      </c>
      <c r="I88" s="705"/>
      <c r="J88" s="392">
        <f t="shared" si="3"/>
        <v>34</v>
      </c>
    </row>
    <row r="89" spans="1:11" ht="15" customHeight="1">
      <c r="A89" s="114" t="s">
        <v>254</v>
      </c>
      <c r="B89" s="412" t="s">
        <v>113</v>
      </c>
      <c r="C89" s="320">
        <v>1320</v>
      </c>
      <c r="D89" s="320"/>
      <c r="E89" s="320">
        <f t="shared" si="1"/>
        <v>1320</v>
      </c>
      <c r="F89" s="935">
        <v>1828.17</v>
      </c>
      <c r="G89" s="322">
        <f t="shared" si="2"/>
        <v>-508.17000000000007</v>
      </c>
      <c r="H89" s="553">
        <f t="shared" si="0"/>
        <v>-0.38497727272727278</v>
      </c>
      <c r="I89" s="705">
        <v>41031</v>
      </c>
      <c r="J89" s="392">
        <f t="shared" si="3"/>
        <v>35</v>
      </c>
    </row>
    <row r="90" spans="1:11" ht="15" customHeight="1">
      <c r="A90" s="307" t="s">
        <v>255</v>
      </c>
      <c r="B90" s="412" t="s">
        <v>113</v>
      </c>
      <c r="C90" s="320">
        <v>209</v>
      </c>
      <c r="D90" s="320"/>
      <c r="E90" s="320">
        <f t="shared" si="1"/>
        <v>209</v>
      </c>
      <c r="F90" s="935">
        <v>228.435</v>
      </c>
      <c r="G90" s="322">
        <f t="shared" si="2"/>
        <v>-19.435000000000002</v>
      </c>
      <c r="H90" s="553">
        <f t="shared" si="0"/>
        <v>-9.2990430622009582E-2</v>
      </c>
      <c r="I90" s="705">
        <v>41039</v>
      </c>
      <c r="J90" s="392">
        <f t="shared" si="3"/>
        <v>36</v>
      </c>
    </row>
    <row r="91" spans="1:11" ht="15" customHeight="1">
      <c r="A91" s="307" t="s">
        <v>256</v>
      </c>
      <c r="B91" s="412" t="s">
        <v>113</v>
      </c>
      <c r="C91" s="320">
        <v>498</v>
      </c>
      <c r="D91" s="320"/>
      <c r="E91" s="320">
        <f t="shared" si="1"/>
        <v>498</v>
      </c>
      <c r="F91" s="935">
        <v>632.92499999999995</v>
      </c>
      <c r="G91" s="322">
        <f t="shared" si="2"/>
        <v>-134.92499999999995</v>
      </c>
      <c r="H91" s="553">
        <f t="shared" si="0"/>
        <v>-0.27093373493975892</v>
      </c>
      <c r="I91" s="705">
        <v>41031</v>
      </c>
      <c r="J91" s="392">
        <f t="shared" si="3"/>
        <v>37</v>
      </c>
    </row>
    <row r="92" spans="1:11" ht="15" customHeight="1">
      <c r="A92" s="307" t="s">
        <v>257</v>
      </c>
      <c r="B92" s="412" t="s">
        <v>113</v>
      </c>
      <c r="C92" s="320">
        <v>38</v>
      </c>
      <c r="D92" s="733">
        <v>-18</v>
      </c>
      <c r="E92" s="320">
        <f>+C92+D92</f>
        <v>20</v>
      </c>
      <c r="F92" s="935">
        <v>1.909</v>
      </c>
      <c r="G92" s="322">
        <f t="shared" si="2"/>
        <v>18.091000000000001</v>
      </c>
      <c r="H92" s="553">
        <f t="shared" si="0"/>
        <v>0.90455000000000008</v>
      </c>
      <c r="I92" s="567"/>
      <c r="J92" s="392">
        <f t="shared" si="3"/>
        <v>38</v>
      </c>
    </row>
    <row r="93" spans="1:11" ht="15" customHeight="1">
      <c r="A93" s="307" t="s">
        <v>298</v>
      </c>
      <c r="B93" s="412" t="s">
        <v>113</v>
      </c>
      <c r="C93" s="320">
        <v>211</v>
      </c>
      <c r="D93" s="733">
        <v>-50</v>
      </c>
      <c r="E93" s="320">
        <f>+C93+D93</f>
        <v>161</v>
      </c>
      <c r="F93" s="935">
        <v>35.957000000000001</v>
      </c>
      <c r="G93" s="322">
        <f t="shared" si="2"/>
        <v>125.04300000000001</v>
      </c>
      <c r="H93" s="553">
        <f t="shared" si="0"/>
        <v>0.77666459627329199</v>
      </c>
      <c r="I93" s="567"/>
      <c r="J93" s="392">
        <f t="shared" si="3"/>
        <v>39</v>
      </c>
    </row>
    <row r="94" spans="1:11" ht="15" customHeight="1">
      <c r="A94" s="307" t="s">
        <v>258</v>
      </c>
      <c r="B94" s="412" t="s">
        <v>113</v>
      </c>
      <c r="C94" s="320">
        <v>816</v>
      </c>
      <c r="D94" s="733">
        <v>-1</v>
      </c>
      <c r="E94" s="320">
        <f>+C94+D94</f>
        <v>815</v>
      </c>
      <c r="F94" s="935">
        <v>902.71600000000001</v>
      </c>
      <c r="G94" s="322">
        <f t="shared" si="2"/>
        <v>-87.716000000000008</v>
      </c>
      <c r="H94" s="553">
        <f t="shared" si="0"/>
        <v>-0.10762699386503069</v>
      </c>
      <c r="I94" s="705">
        <v>41052</v>
      </c>
      <c r="J94" s="392">
        <f t="shared" si="3"/>
        <v>40</v>
      </c>
    </row>
    <row r="95" spans="1:11" ht="15" customHeight="1">
      <c r="A95" s="307" t="s">
        <v>259</v>
      </c>
      <c r="B95" s="412" t="s">
        <v>113</v>
      </c>
      <c r="C95" s="320">
        <v>583</v>
      </c>
      <c r="D95" s="320"/>
      <c r="E95" s="320">
        <f t="shared" si="1"/>
        <v>583</v>
      </c>
      <c r="F95" s="935">
        <v>619.72299999999996</v>
      </c>
      <c r="G95" s="322">
        <f t="shared" si="2"/>
        <v>-36.722999999999956</v>
      </c>
      <c r="H95" s="553">
        <f t="shared" si="0"/>
        <v>-6.2989708404802669E-2</v>
      </c>
      <c r="I95" s="705">
        <v>41031</v>
      </c>
      <c r="J95" s="392">
        <f t="shared" si="3"/>
        <v>41</v>
      </c>
    </row>
    <row r="96" spans="1:11" ht="15" customHeight="1">
      <c r="A96" s="307" t="s">
        <v>260</v>
      </c>
      <c r="B96" s="412" t="s">
        <v>113</v>
      </c>
      <c r="C96" s="320">
        <v>38</v>
      </c>
      <c r="D96" s="320"/>
      <c r="E96" s="320">
        <f t="shared" si="1"/>
        <v>38</v>
      </c>
      <c r="F96" s="935">
        <v>10.887</v>
      </c>
      <c r="G96" s="322">
        <f t="shared" si="2"/>
        <v>27.113</v>
      </c>
      <c r="H96" s="553">
        <f t="shared" si="0"/>
        <v>0.71350000000000002</v>
      </c>
      <c r="I96" s="834"/>
      <c r="J96" s="392">
        <f t="shared" si="3"/>
        <v>42</v>
      </c>
    </row>
    <row r="97" spans="1:10" ht="15" customHeight="1">
      <c r="A97" s="307" t="s">
        <v>261</v>
      </c>
      <c r="B97" s="412" t="s">
        <v>113</v>
      </c>
      <c r="C97" s="320">
        <v>1399</v>
      </c>
      <c r="D97" s="320"/>
      <c r="E97" s="320">
        <f t="shared" si="1"/>
        <v>1399</v>
      </c>
      <c r="F97" s="935">
        <v>2909.7280000000001</v>
      </c>
      <c r="G97" s="322">
        <f t="shared" si="2"/>
        <v>-1510.7280000000001</v>
      </c>
      <c r="H97" s="553">
        <f t="shared" si="0"/>
        <v>-1.0798627591136527</v>
      </c>
      <c r="I97" s="705">
        <v>41031</v>
      </c>
      <c r="J97" s="392">
        <f t="shared" si="3"/>
        <v>43</v>
      </c>
    </row>
    <row r="98" spans="1:10" ht="15" customHeight="1">
      <c r="A98" s="307" t="s">
        <v>263</v>
      </c>
      <c r="B98" s="412" t="s">
        <v>113</v>
      </c>
      <c r="C98" s="320">
        <v>527</v>
      </c>
      <c r="D98" s="320"/>
      <c r="E98" s="320">
        <f t="shared" si="1"/>
        <v>527</v>
      </c>
      <c r="F98" s="935">
        <v>1252.932</v>
      </c>
      <c r="G98" s="322">
        <f t="shared" si="2"/>
        <v>-725.93200000000002</v>
      </c>
      <c r="H98" s="553">
        <f t="shared" si="0"/>
        <v>-1.3774800759013284</v>
      </c>
      <c r="I98" s="842">
        <v>41010</v>
      </c>
      <c r="J98" s="392">
        <f t="shared" si="3"/>
        <v>44</v>
      </c>
    </row>
    <row r="99" spans="1:10" ht="15" customHeight="1">
      <c r="A99" s="307" t="s">
        <v>299</v>
      </c>
      <c r="B99" s="412" t="s">
        <v>113</v>
      </c>
      <c r="C99" s="320">
        <v>120</v>
      </c>
      <c r="D99" s="320"/>
      <c r="E99" s="320">
        <f t="shared" si="1"/>
        <v>120</v>
      </c>
      <c r="F99" s="935">
        <v>166.953</v>
      </c>
      <c r="G99" s="322">
        <f t="shared" si="2"/>
        <v>-46.953000000000003</v>
      </c>
      <c r="H99" s="553">
        <f t="shared" si="0"/>
        <v>-0.39127500000000004</v>
      </c>
      <c r="I99" s="567">
        <v>41012</v>
      </c>
      <c r="J99" s="392">
        <f t="shared" si="3"/>
        <v>45</v>
      </c>
    </row>
    <row r="100" spans="1:10" ht="15" customHeight="1">
      <c r="A100" s="307" t="s">
        <v>262</v>
      </c>
      <c r="B100" s="412" t="s">
        <v>113</v>
      </c>
      <c r="C100" s="320">
        <v>439</v>
      </c>
      <c r="D100" s="320"/>
      <c r="E100" s="320">
        <f t="shared" si="1"/>
        <v>439</v>
      </c>
      <c r="F100" s="935">
        <v>732.89200000000005</v>
      </c>
      <c r="G100" s="322">
        <f t="shared" si="2"/>
        <v>-293.89200000000005</v>
      </c>
      <c r="H100" s="553">
        <f t="shared" si="0"/>
        <v>-0.6694578587699318</v>
      </c>
      <c r="I100" s="705">
        <v>41031</v>
      </c>
      <c r="J100" s="392">
        <f t="shared" si="3"/>
        <v>46</v>
      </c>
    </row>
    <row r="101" spans="1:10" ht="15" customHeight="1">
      <c r="A101" s="307" t="s">
        <v>264</v>
      </c>
      <c r="B101" s="412" t="s">
        <v>113</v>
      </c>
      <c r="C101" s="320">
        <v>416</v>
      </c>
      <c r="D101" s="320"/>
      <c r="E101" s="320">
        <f t="shared" si="1"/>
        <v>416</v>
      </c>
      <c r="F101" s="935">
        <v>514.91499999999996</v>
      </c>
      <c r="G101" s="322">
        <f t="shared" si="2"/>
        <v>-98.914999999999964</v>
      </c>
      <c r="H101" s="553">
        <f t="shared" si="0"/>
        <v>-0.23777644230769221</v>
      </c>
      <c r="I101" s="567">
        <v>41064</v>
      </c>
      <c r="J101" s="392">
        <f t="shared" si="3"/>
        <v>47</v>
      </c>
    </row>
    <row r="102" spans="1:10" ht="15" customHeight="1">
      <c r="A102" s="307" t="s">
        <v>265</v>
      </c>
      <c r="B102" s="412" t="s">
        <v>113</v>
      </c>
      <c r="C102" s="320">
        <v>904</v>
      </c>
      <c r="D102" s="320"/>
      <c r="E102" s="320">
        <f t="shared" si="1"/>
        <v>904</v>
      </c>
      <c r="F102" s="935">
        <v>912.92700000000002</v>
      </c>
      <c r="G102" s="322">
        <f t="shared" si="2"/>
        <v>-8.9270000000000209</v>
      </c>
      <c r="H102" s="553">
        <f t="shared" si="0"/>
        <v>-9.8750000000000226E-3</v>
      </c>
      <c r="I102" s="705">
        <v>41052</v>
      </c>
      <c r="J102" s="392">
        <f t="shared" si="3"/>
        <v>48</v>
      </c>
    </row>
    <row r="103" spans="1:10" ht="15" customHeight="1">
      <c r="A103" s="2849" t="s">
        <v>532</v>
      </c>
      <c r="B103" s="412" t="s">
        <v>113</v>
      </c>
      <c r="C103" s="320">
        <v>36</v>
      </c>
      <c r="D103" s="733">
        <v>-15</v>
      </c>
      <c r="E103" s="320">
        <f>+C103+D103</f>
        <v>21</v>
      </c>
      <c r="F103" s="935">
        <v>0</v>
      </c>
      <c r="G103" s="322">
        <f t="shared" si="2"/>
        <v>21</v>
      </c>
      <c r="H103" s="553">
        <f t="shared" si="0"/>
        <v>1</v>
      </c>
      <c r="I103" s="567"/>
      <c r="J103" s="392">
        <f t="shared" si="3"/>
        <v>49</v>
      </c>
    </row>
    <row r="104" spans="1:10" ht="15" customHeight="1">
      <c r="A104" s="2849" t="s">
        <v>266</v>
      </c>
      <c r="B104" s="412" t="s">
        <v>113</v>
      </c>
      <c r="C104" s="320">
        <v>288</v>
      </c>
      <c r="D104" s="320"/>
      <c r="E104" s="320">
        <f t="shared" si="1"/>
        <v>288</v>
      </c>
      <c r="F104" s="935">
        <v>570.81600000000003</v>
      </c>
      <c r="G104" s="322">
        <f t="shared" si="2"/>
        <v>-282.81600000000003</v>
      </c>
      <c r="H104" s="553">
        <f t="shared" si="0"/>
        <v>-0.9820000000000001</v>
      </c>
      <c r="I104" s="567">
        <v>41036</v>
      </c>
      <c r="J104" s="392">
        <f t="shared" si="3"/>
        <v>50</v>
      </c>
    </row>
    <row r="105" spans="1:10" ht="15" customHeight="1">
      <c r="A105" s="2849" t="s">
        <v>533</v>
      </c>
      <c r="B105" s="412" t="s">
        <v>113</v>
      </c>
      <c r="C105" s="320">
        <v>556</v>
      </c>
      <c r="D105" s="320"/>
      <c r="E105" s="320">
        <f t="shared" si="1"/>
        <v>556</v>
      </c>
      <c r="F105" s="935">
        <v>912.28499999999997</v>
      </c>
      <c r="G105" s="322">
        <f t="shared" si="2"/>
        <v>-356.28499999999997</v>
      </c>
      <c r="H105" s="553">
        <f t="shared" si="0"/>
        <v>-0.64080035971223015</v>
      </c>
      <c r="I105" s="705">
        <v>41031</v>
      </c>
      <c r="J105" s="392">
        <f t="shared" si="3"/>
        <v>51</v>
      </c>
    </row>
    <row r="106" spans="1:10" ht="15" customHeight="1">
      <c r="A106" s="2849" t="s">
        <v>300</v>
      </c>
      <c r="B106" s="412" t="s">
        <v>113</v>
      </c>
      <c r="C106" s="320">
        <v>168</v>
      </c>
      <c r="D106" s="320"/>
      <c r="E106" s="320">
        <f t="shared" si="1"/>
        <v>168</v>
      </c>
      <c r="F106" s="935">
        <v>238.035</v>
      </c>
      <c r="G106" s="322">
        <f t="shared" si="2"/>
        <v>-70.034999999999997</v>
      </c>
      <c r="H106" s="553">
        <f t="shared" si="0"/>
        <v>-0.416875</v>
      </c>
      <c r="I106" s="705">
        <v>41031</v>
      </c>
      <c r="J106" s="392">
        <f t="shared" si="3"/>
        <v>52</v>
      </c>
    </row>
    <row r="107" spans="1:10" ht="15" customHeight="1">
      <c r="A107" s="2849" t="s">
        <v>302</v>
      </c>
      <c r="B107" s="412" t="s">
        <v>113</v>
      </c>
      <c r="C107" s="320">
        <v>55</v>
      </c>
      <c r="D107" s="320"/>
      <c r="E107" s="320">
        <f t="shared" si="1"/>
        <v>55</v>
      </c>
      <c r="F107" s="935">
        <v>79.271000000000001</v>
      </c>
      <c r="G107" s="322">
        <f t="shared" si="2"/>
        <v>-24.271000000000001</v>
      </c>
      <c r="H107" s="553">
        <f t="shared" si="0"/>
        <v>-0.44129090909090912</v>
      </c>
      <c r="I107" s="705">
        <v>41031</v>
      </c>
      <c r="J107" s="392">
        <f t="shared" si="3"/>
        <v>53</v>
      </c>
    </row>
    <row r="108" spans="1:10" ht="15" customHeight="1">
      <c r="A108" s="2849" t="s">
        <v>267</v>
      </c>
      <c r="B108" s="412" t="s">
        <v>113</v>
      </c>
      <c r="C108" s="434">
        <f>1104+148.476</f>
        <v>1252.4760000000001</v>
      </c>
      <c r="D108" s="320"/>
      <c r="E108" s="320">
        <f t="shared" si="1"/>
        <v>1252.4760000000001</v>
      </c>
      <c r="F108" s="935">
        <v>2056.4969999999998</v>
      </c>
      <c r="G108" s="322">
        <f t="shared" si="2"/>
        <v>-804.02099999999973</v>
      </c>
      <c r="H108" s="553">
        <f t="shared" si="0"/>
        <v>-0.64194523487875188</v>
      </c>
      <c r="I108" s="567">
        <v>41036</v>
      </c>
      <c r="J108" s="392">
        <f t="shared" si="3"/>
        <v>54</v>
      </c>
    </row>
    <row r="109" spans="1:10" ht="15" customHeight="1">
      <c r="A109" s="2849" t="s">
        <v>268</v>
      </c>
      <c r="B109" s="412" t="s">
        <v>113</v>
      </c>
      <c r="C109" s="320">
        <v>909</v>
      </c>
      <c r="D109" s="320"/>
      <c r="E109" s="320">
        <f t="shared" si="1"/>
        <v>909</v>
      </c>
      <c r="F109" s="935">
        <v>1838.2670000000001</v>
      </c>
      <c r="G109" s="322">
        <f t="shared" si="2"/>
        <v>-929.26700000000005</v>
      </c>
      <c r="H109" s="553">
        <f t="shared" si="0"/>
        <v>-1.0222959295929595</v>
      </c>
      <c r="I109" s="705">
        <v>41031</v>
      </c>
      <c r="J109" s="392">
        <f t="shared" si="3"/>
        <v>55</v>
      </c>
    </row>
    <row r="110" spans="1:10" ht="15" customHeight="1">
      <c r="A110" s="69" t="s">
        <v>270</v>
      </c>
      <c r="B110" s="412" t="s">
        <v>113</v>
      </c>
      <c r="C110" s="320">
        <v>1054</v>
      </c>
      <c r="D110" s="320"/>
      <c r="E110" s="320">
        <f t="shared" si="1"/>
        <v>1054</v>
      </c>
      <c r="F110" s="935">
        <v>2085.8789999999999</v>
      </c>
      <c r="G110" s="322">
        <f t="shared" si="2"/>
        <v>-1031.8789999999999</v>
      </c>
      <c r="H110" s="553">
        <f t="shared" si="0"/>
        <v>-0.97901233396584431</v>
      </c>
      <c r="I110" s="705">
        <v>41031</v>
      </c>
      <c r="J110" s="392">
        <f t="shared" si="3"/>
        <v>56</v>
      </c>
    </row>
    <row r="111" spans="1:10" ht="15" customHeight="1">
      <c r="A111" s="307" t="s">
        <v>301</v>
      </c>
      <c r="B111" s="412" t="s">
        <v>113</v>
      </c>
      <c r="C111" s="320">
        <v>197</v>
      </c>
      <c r="D111" s="320"/>
      <c r="E111" s="320">
        <f t="shared" si="1"/>
        <v>197</v>
      </c>
      <c r="F111" s="935">
        <v>316.08600000000001</v>
      </c>
      <c r="G111" s="322">
        <f t="shared" si="2"/>
        <v>-119.08600000000001</v>
      </c>
      <c r="H111" s="553">
        <f t="shared" si="0"/>
        <v>-0.60449746192893405</v>
      </c>
      <c r="I111" s="705">
        <v>41031</v>
      </c>
      <c r="J111" s="392">
        <f t="shared" si="3"/>
        <v>57</v>
      </c>
    </row>
    <row r="112" spans="1:10" ht="15" customHeight="1">
      <c r="A112" s="69" t="s">
        <v>271</v>
      </c>
      <c r="B112" s="412" t="s">
        <v>113</v>
      </c>
      <c r="C112" s="320">
        <v>14</v>
      </c>
      <c r="D112" s="320"/>
      <c r="E112" s="320">
        <f t="shared" si="1"/>
        <v>14</v>
      </c>
      <c r="F112" s="935">
        <v>146.399</v>
      </c>
      <c r="G112" s="322">
        <f t="shared" si="2"/>
        <v>-132.399</v>
      </c>
      <c r="H112" s="553">
        <f t="shared" si="0"/>
        <v>-9.4570714285714281</v>
      </c>
      <c r="I112" s="567">
        <v>41019</v>
      </c>
      <c r="J112" s="392">
        <f t="shared" si="3"/>
        <v>58</v>
      </c>
    </row>
    <row r="113" spans="1:14" ht="15" customHeight="1">
      <c r="A113" s="541" t="s">
        <v>528</v>
      </c>
      <c r="B113" s="540" t="s">
        <v>113</v>
      </c>
      <c r="C113" s="320">
        <v>816</v>
      </c>
      <c r="D113" s="320"/>
      <c r="E113" s="320">
        <f t="shared" si="1"/>
        <v>816</v>
      </c>
      <c r="F113" s="935">
        <v>252.61799999999999</v>
      </c>
      <c r="G113" s="322">
        <f t="shared" si="2"/>
        <v>563.38200000000006</v>
      </c>
      <c r="H113" s="553">
        <f t="shared" si="0"/>
        <v>0.69041911764705888</v>
      </c>
      <c r="I113" s="832" t="s">
        <v>657</v>
      </c>
      <c r="J113" s="392">
        <f t="shared" si="3"/>
        <v>59</v>
      </c>
    </row>
    <row r="114" spans="1:14" ht="15" customHeight="1">
      <c r="A114" s="702" t="s">
        <v>632</v>
      </c>
      <c r="B114" s="540" t="s">
        <v>113</v>
      </c>
      <c r="C114" s="320">
        <v>57</v>
      </c>
      <c r="D114" s="733">
        <v>-57</v>
      </c>
      <c r="E114" s="320">
        <f>+C114+D114</f>
        <v>0</v>
      </c>
      <c r="F114" s="935">
        <v>0</v>
      </c>
      <c r="G114" s="322">
        <f t="shared" si="2"/>
        <v>0</v>
      </c>
      <c r="H114" s="553" t="e">
        <f t="shared" si="0"/>
        <v>#DIV/0!</v>
      </c>
      <c r="I114" s="567"/>
      <c r="J114" s="392">
        <f t="shared" si="3"/>
        <v>60</v>
      </c>
    </row>
    <row r="115" spans="1:14" ht="15" customHeight="1" thickBot="1">
      <c r="A115" s="869" t="s">
        <v>653</v>
      </c>
      <c r="B115" s="870" t="s">
        <v>113</v>
      </c>
      <c r="C115" s="1811">
        <v>4.0999999999999996</v>
      </c>
      <c r="D115" s="871"/>
      <c r="E115" s="871">
        <f t="shared" si="1"/>
        <v>4.0999999999999996</v>
      </c>
      <c r="F115" s="936">
        <v>0</v>
      </c>
      <c r="G115" s="322">
        <f t="shared" si="2"/>
        <v>4.0999999999999996</v>
      </c>
      <c r="H115" s="872">
        <f t="shared" si="0"/>
        <v>1</v>
      </c>
      <c r="I115" s="873"/>
      <c r="J115" s="392">
        <f t="shared" si="3"/>
        <v>61</v>
      </c>
    </row>
    <row r="116" spans="1:14" ht="15" customHeight="1" thickBot="1">
      <c r="A116" s="874" t="s">
        <v>111</v>
      </c>
      <c r="B116" s="875" t="s">
        <v>113</v>
      </c>
      <c r="C116" s="2316">
        <f>SUM(C55:C115)</f>
        <v>29531.475999999999</v>
      </c>
      <c r="D116" s="2317">
        <f>SUM(D55:D115)</f>
        <v>-301.94</v>
      </c>
      <c r="E116" s="876">
        <f>SUM(E55:E115)</f>
        <v>29229.535999999996</v>
      </c>
      <c r="F116" s="2319">
        <f>SUM(F55:F115)</f>
        <v>42481.347000000016</v>
      </c>
      <c r="G116" s="2318">
        <f>+E116-F116</f>
        <v>-13251.81100000002</v>
      </c>
      <c r="H116" s="877">
        <f t="shared" si="0"/>
        <v>-0.4533705564125281</v>
      </c>
      <c r="I116" s="878"/>
      <c r="J116" s="392">
        <f t="shared" si="3"/>
        <v>62</v>
      </c>
    </row>
    <row r="117" spans="1:14" ht="5.0999999999999996" customHeight="1">
      <c r="A117" s="62"/>
      <c r="B117" s="11"/>
      <c r="C117" s="63"/>
      <c r="D117" s="63"/>
      <c r="E117" s="63"/>
      <c r="F117" s="64"/>
      <c r="G117" s="64"/>
      <c r="H117" s="1850"/>
      <c r="I117" s="796"/>
      <c r="J117" s="392"/>
    </row>
    <row r="118" spans="1:14" ht="15" customHeight="1">
      <c r="A118" s="199" t="s">
        <v>106</v>
      </c>
      <c r="B118" s="199" t="s">
        <v>107</v>
      </c>
      <c r="C118" s="233" t="s">
        <v>108</v>
      </c>
      <c r="D118" s="233" t="s">
        <v>645</v>
      </c>
      <c r="E118" s="233" t="s">
        <v>109</v>
      </c>
      <c r="F118" s="199" t="s">
        <v>47</v>
      </c>
      <c r="G118" s="199" t="s">
        <v>48</v>
      </c>
      <c r="H118" s="199" t="s">
        <v>110</v>
      </c>
      <c r="I118" s="797" t="s">
        <v>50</v>
      </c>
      <c r="J118" s="392"/>
      <c r="K118" s="2483"/>
      <c r="L118" s="2483" t="s">
        <v>1080</v>
      </c>
      <c r="M118" s="2483" t="s">
        <v>1196</v>
      </c>
      <c r="N118" s="2483" t="s">
        <v>1195</v>
      </c>
    </row>
    <row r="119" spans="1:14" ht="15" customHeight="1">
      <c r="A119" s="69" t="s">
        <v>227</v>
      </c>
      <c r="B119" s="373" t="s">
        <v>63</v>
      </c>
      <c r="C119" s="1810">
        <v>5</v>
      </c>
      <c r="D119" s="542"/>
      <c r="E119" s="833">
        <f t="shared" ref="E119:E179" si="4">+C119+G55</f>
        <v>59.961999999999996</v>
      </c>
      <c r="F119" s="319">
        <f>+M119</f>
        <v>21.935000000000002</v>
      </c>
      <c r="G119" s="2485">
        <f>+E119-F119</f>
        <v>38.026999999999994</v>
      </c>
      <c r="H119" s="553">
        <f>+G119/E119</f>
        <v>0.63418498382308786</v>
      </c>
      <c r="I119" s="2704"/>
      <c r="J119" s="391">
        <v>1</v>
      </c>
      <c r="K119" s="391"/>
      <c r="L119">
        <v>16.838000000000001</v>
      </c>
      <c r="M119" s="3675">
        <f>+N119-L119</f>
        <v>21.935000000000002</v>
      </c>
      <c r="N119">
        <v>38.773000000000003</v>
      </c>
    </row>
    <row r="120" spans="1:14" ht="15" customHeight="1">
      <c r="A120" s="2878" t="s">
        <v>228</v>
      </c>
      <c r="B120" s="373" t="s">
        <v>63</v>
      </c>
      <c r="C120" s="1810">
        <v>11</v>
      </c>
      <c r="D120" s="542"/>
      <c r="E120" s="833">
        <f t="shared" si="4"/>
        <v>-223.66800000000001</v>
      </c>
      <c r="F120" s="319">
        <f t="shared" ref="F120:F179" si="5">+M120</f>
        <v>0</v>
      </c>
      <c r="G120" s="2485">
        <f t="shared" ref="G120:G179" si="6">+E120-F120</f>
        <v>-223.66800000000001</v>
      </c>
      <c r="H120" s="553">
        <v>0</v>
      </c>
      <c r="I120" s="705">
        <v>41031</v>
      </c>
      <c r="J120" s="392">
        <f>+J119+1</f>
        <v>2</v>
      </c>
      <c r="L120">
        <v>438.66800000000001</v>
      </c>
      <c r="M120" s="3675">
        <f t="shared" ref="M120:M179" si="7">+N120-L120</f>
        <v>0</v>
      </c>
      <c r="N120">
        <v>438.66800000000001</v>
      </c>
    </row>
    <row r="121" spans="1:14" ht="15" customHeight="1">
      <c r="A121" s="69" t="s">
        <v>229</v>
      </c>
      <c r="B121" s="373" t="s">
        <v>63</v>
      </c>
      <c r="C121" s="1810">
        <v>24</v>
      </c>
      <c r="D121" s="542"/>
      <c r="E121" s="833">
        <f t="shared" si="4"/>
        <v>267.399</v>
      </c>
      <c r="F121" s="319">
        <f>+M121</f>
        <v>9.7400000000000091</v>
      </c>
      <c r="G121" s="2485">
        <f t="shared" si="6"/>
        <v>257.65899999999999</v>
      </c>
      <c r="H121" s="553">
        <f>+G121/E121</f>
        <v>0.96357503206818274</v>
      </c>
      <c r="I121" s="708"/>
      <c r="J121" s="392">
        <f t="shared" ref="J121:J179" si="8">+J120+1</f>
        <v>3</v>
      </c>
      <c r="L121">
        <v>219.601</v>
      </c>
      <c r="M121" s="3675">
        <f t="shared" si="7"/>
        <v>9.7400000000000091</v>
      </c>
      <c r="N121">
        <v>229.34100000000001</v>
      </c>
    </row>
    <row r="122" spans="1:14" ht="15" customHeight="1">
      <c r="A122" s="69" t="s">
        <v>230</v>
      </c>
      <c r="B122" s="373" t="s">
        <v>63</v>
      </c>
      <c r="C122" s="1810">
        <v>60</v>
      </c>
      <c r="D122" s="542"/>
      <c r="E122" s="833">
        <f t="shared" si="4"/>
        <v>-431.87599999999998</v>
      </c>
      <c r="F122" s="319">
        <f t="shared" si="5"/>
        <v>50.288000000000011</v>
      </c>
      <c r="G122" s="2485">
        <f t="shared" si="6"/>
        <v>-482.16399999999999</v>
      </c>
      <c r="H122" s="553">
        <v>0</v>
      </c>
      <c r="I122" s="705">
        <v>41031</v>
      </c>
      <c r="J122" s="392">
        <f t="shared" si="8"/>
        <v>4</v>
      </c>
      <c r="L122">
        <v>1628.876</v>
      </c>
      <c r="M122" s="3675">
        <f t="shared" si="7"/>
        <v>50.288000000000011</v>
      </c>
      <c r="N122">
        <v>1679.164</v>
      </c>
    </row>
    <row r="123" spans="1:14" ht="15" customHeight="1">
      <c r="A123" s="69" t="s">
        <v>231</v>
      </c>
      <c r="B123" s="373" t="s">
        <v>63</v>
      </c>
      <c r="C123" s="1810">
        <v>5</v>
      </c>
      <c r="D123" s="542"/>
      <c r="E123" s="833">
        <f t="shared" si="4"/>
        <v>-159.738</v>
      </c>
      <c r="F123" s="319">
        <f t="shared" si="5"/>
        <v>0</v>
      </c>
      <c r="G123" s="2485">
        <f t="shared" si="6"/>
        <v>-159.738</v>
      </c>
      <c r="H123" s="553">
        <v>0</v>
      </c>
      <c r="I123" s="705">
        <v>41031</v>
      </c>
      <c r="J123" s="392">
        <f t="shared" si="8"/>
        <v>5</v>
      </c>
      <c r="L123">
        <v>252.738</v>
      </c>
      <c r="M123" s="3675">
        <f t="shared" si="7"/>
        <v>0</v>
      </c>
      <c r="N123">
        <v>252.738</v>
      </c>
    </row>
    <row r="124" spans="1:14" ht="15" customHeight="1">
      <c r="A124" s="69" t="s">
        <v>232</v>
      </c>
      <c r="B124" s="373" t="s">
        <v>63</v>
      </c>
      <c r="C124" s="1810">
        <v>45</v>
      </c>
      <c r="D124" s="542"/>
      <c r="E124" s="833">
        <f t="shared" si="4"/>
        <v>-358.93000000000006</v>
      </c>
      <c r="F124" s="319">
        <f t="shared" si="5"/>
        <v>0</v>
      </c>
      <c r="G124" s="2485">
        <f t="shared" si="6"/>
        <v>-358.93000000000006</v>
      </c>
      <c r="H124" s="553">
        <v>0</v>
      </c>
      <c r="I124" s="705">
        <v>41031</v>
      </c>
      <c r="J124" s="392">
        <f t="shared" si="8"/>
        <v>6</v>
      </c>
      <c r="L124">
        <v>1262.93</v>
      </c>
      <c r="M124" s="3675">
        <f t="shared" si="7"/>
        <v>0</v>
      </c>
      <c r="N124">
        <v>1262.93</v>
      </c>
    </row>
    <row r="125" spans="1:14" ht="15" customHeight="1">
      <c r="A125" s="74" t="s">
        <v>233</v>
      </c>
      <c r="B125" s="373" t="s">
        <v>63</v>
      </c>
      <c r="C125" s="1810">
        <v>47</v>
      </c>
      <c r="D125" s="542"/>
      <c r="E125" s="833">
        <f t="shared" si="4"/>
        <v>-126.92000000000007</v>
      </c>
      <c r="F125" s="319">
        <f t="shared" si="5"/>
        <v>0</v>
      </c>
      <c r="G125" s="2485">
        <f t="shared" si="6"/>
        <v>-126.92000000000007</v>
      </c>
      <c r="H125" s="553">
        <v>0</v>
      </c>
      <c r="I125" s="835">
        <v>41038</v>
      </c>
      <c r="J125" s="392">
        <f t="shared" si="8"/>
        <v>7</v>
      </c>
      <c r="L125">
        <v>1071.92</v>
      </c>
      <c r="M125" s="3675">
        <f t="shared" si="7"/>
        <v>0</v>
      </c>
      <c r="N125">
        <v>1071.92</v>
      </c>
    </row>
    <row r="126" spans="1:14" ht="15" customHeight="1">
      <c r="A126" s="69" t="s">
        <v>234</v>
      </c>
      <c r="B126" s="373" t="s">
        <v>63</v>
      </c>
      <c r="C126" s="1810">
        <v>37</v>
      </c>
      <c r="D126" s="542"/>
      <c r="E126" s="833">
        <f t="shared" si="4"/>
        <v>-1372.9639999999999</v>
      </c>
      <c r="F126" s="319">
        <f t="shared" si="5"/>
        <v>0</v>
      </c>
      <c r="G126" s="2485">
        <f t="shared" si="6"/>
        <v>-1372.9639999999999</v>
      </c>
      <c r="H126" s="553">
        <v>0</v>
      </c>
      <c r="I126" s="705">
        <v>41031</v>
      </c>
      <c r="J126" s="392">
        <f t="shared" si="8"/>
        <v>8</v>
      </c>
      <c r="L126">
        <v>2112.9639999999999</v>
      </c>
      <c r="M126" s="3675">
        <f t="shared" si="7"/>
        <v>0</v>
      </c>
      <c r="N126">
        <v>2112.9639999999999</v>
      </c>
    </row>
    <row r="127" spans="1:14" ht="15" customHeight="1">
      <c r="A127" s="69" t="s">
        <v>235</v>
      </c>
      <c r="B127" s="373" t="s">
        <v>63</v>
      </c>
      <c r="C127" s="1810">
        <v>14</v>
      </c>
      <c r="D127" s="542"/>
      <c r="E127" s="833">
        <f t="shared" si="4"/>
        <v>-21.115000000000009</v>
      </c>
      <c r="F127" s="319">
        <f t="shared" si="5"/>
        <v>8.8170000000000073</v>
      </c>
      <c r="G127" s="2485">
        <f t="shared" si="6"/>
        <v>-29.932000000000016</v>
      </c>
      <c r="H127" s="553">
        <v>0</v>
      </c>
      <c r="I127" s="711">
        <v>41036</v>
      </c>
      <c r="J127" s="392">
        <f t="shared" si="8"/>
        <v>9</v>
      </c>
      <c r="L127">
        <v>309.11500000000001</v>
      </c>
      <c r="M127" s="3675">
        <f t="shared" si="7"/>
        <v>8.8170000000000073</v>
      </c>
      <c r="N127">
        <v>317.93200000000002</v>
      </c>
    </row>
    <row r="128" spans="1:14" ht="15" customHeight="1">
      <c r="A128" s="307" t="s">
        <v>236</v>
      </c>
      <c r="B128" s="373" t="s">
        <v>63</v>
      </c>
      <c r="C128" s="1810">
        <v>133</v>
      </c>
      <c r="D128" s="1810"/>
      <c r="E128" s="833">
        <f t="shared" si="4"/>
        <v>304.29899999999998</v>
      </c>
      <c r="F128" s="319">
        <f t="shared" si="5"/>
        <v>483.77199999999993</v>
      </c>
      <c r="G128" s="2485">
        <f t="shared" si="6"/>
        <v>-179.47299999999996</v>
      </c>
      <c r="H128" s="553">
        <f>+G128/E128</f>
        <v>-0.58979161942694514</v>
      </c>
      <c r="I128" s="835">
        <v>41212</v>
      </c>
      <c r="J128" s="392">
        <f t="shared" si="8"/>
        <v>10</v>
      </c>
      <c r="L128">
        <v>2356.701</v>
      </c>
      <c r="M128" s="3675">
        <f t="shared" si="7"/>
        <v>483.77199999999993</v>
      </c>
      <c r="N128">
        <v>2840.473</v>
      </c>
    </row>
    <row r="129" spans="1:14" ht="15" customHeight="1">
      <c r="A129" s="307" t="s">
        <v>303</v>
      </c>
      <c r="B129" s="373" t="s">
        <v>63</v>
      </c>
      <c r="C129" s="1810">
        <v>8</v>
      </c>
      <c r="D129" s="542" t="s">
        <v>932</v>
      </c>
      <c r="E129" s="833">
        <f t="shared" si="4"/>
        <v>-32.885999999999996</v>
      </c>
      <c r="F129" s="319">
        <f t="shared" si="5"/>
        <v>1</v>
      </c>
      <c r="G129" s="2485">
        <f t="shared" si="6"/>
        <v>-33.885999999999996</v>
      </c>
      <c r="H129" s="553">
        <v>0</v>
      </c>
      <c r="I129" s="705">
        <v>41038</v>
      </c>
      <c r="J129" s="392">
        <f t="shared" si="8"/>
        <v>11</v>
      </c>
      <c r="L129">
        <v>194.886</v>
      </c>
      <c r="M129" s="3675">
        <f t="shared" si="7"/>
        <v>1</v>
      </c>
      <c r="N129">
        <v>195.886</v>
      </c>
    </row>
    <row r="130" spans="1:14" ht="15" customHeight="1">
      <c r="A130" s="321" t="s">
        <v>237</v>
      </c>
      <c r="B130" s="373" t="s">
        <v>63</v>
      </c>
      <c r="C130" s="1810">
        <v>24</v>
      </c>
      <c r="D130" s="542"/>
      <c r="E130" s="833">
        <f t="shared" si="4"/>
        <v>-330.06100000000004</v>
      </c>
      <c r="F130" s="319">
        <f t="shared" si="5"/>
        <v>0</v>
      </c>
      <c r="G130" s="2485">
        <f t="shared" si="6"/>
        <v>-330.06100000000004</v>
      </c>
      <c r="H130" s="553">
        <v>0</v>
      </c>
      <c r="I130" s="705">
        <v>41031</v>
      </c>
      <c r="J130" s="392">
        <f t="shared" si="8"/>
        <v>12</v>
      </c>
      <c r="L130">
        <v>818.06100000000004</v>
      </c>
      <c r="M130" s="3675">
        <f t="shared" si="7"/>
        <v>0</v>
      </c>
      <c r="N130">
        <v>818.06100000000004</v>
      </c>
    </row>
    <row r="131" spans="1:14" ht="15" customHeight="1">
      <c r="A131" s="321" t="s">
        <v>529</v>
      </c>
      <c r="B131" s="373" t="s">
        <v>63</v>
      </c>
      <c r="C131" s="1810">
        <v>0</v>
      </c>
      <c r="D131" s="542"/>
      <c r="E131" s="833">
        <f t="shared" si="4"/>
        <v>0</v>
      </c>
      <c r="F131" s="319">
        <f t="shared" si="5"/>
        <v>0</v>
      </c>
      <c r="G131" s="2485">
        <f t="shared" si="6"/>
        <v>0</v>
      </c>
      <c r="H131" s="553" t="e">
        <f>+G131/E131</f>
        <v>#DIV/0!</v>
      </c>
      <c r="I131" s="706"/>
      <c r="J131" s="392">
        <f t="shared" si="8"/>
        <v>13</v>
      </c>
      <c r="L131">
        <v>0</v>
      </c>
      <c r="M131" s="3675">
        <f t="shared" si="7"/>
        <v>0</v>
      </c>
      <c r="N131">
        <v>0</v>
      </c>
    </row>
    <row r="132" spans="1:14" ht="15" customHeight="1">
      <c r="A132" s="321" t="s">
        <v>238</v>
      </c>
      <c r="B132" s="373" t="s">
        <v>63</v>
      </c>
      <c r="C132" s="1810">
        <v>45</v>
      </c>
      <c r="D132" s="542"/>
      <c r="E132" s="833">
        <f t="shared" si="4"/>
        <v>-787.22499999999991</v>
      </c>
      <c r="F132" s="319">
        <f t="shared" si="5"/>
        <v>1.999999999998181E-2</v>
      </c>
      <c r="G132" s="2485">
        <f t="shared" si="6"/>
        <v>-787.24499999999989</v>
      </c>
      <c r="H132" s="553">
        <v>0</v>
      </c>
      <c r="I132" s="705">
        <v>41031</v>
      </c>
      <c r="J132" s="392">
        <f t="shared" si="8"/>
        <v>14</v>
      </c>
      <c r="L132">
        <v>1692.2249999999999</v>
      </c>
      <c r="M132" s="3675">
        <f t="shared" si="7"/>
        <v>1.999999999998181E-2</v>
      </c>
      <c r="N132">
        <v>1692.2449999999999</v>
      </c>
    </row>
    <row r="133" spans="1:14" ht="15" customHeight="1">
      <c r="A133" s="321" t="s">
        <v>239</v>
      </c>
      <c r="B133" s="373" t="s">
        <v>63</v>
      </c>
      <c r="C133" s="1810">
        <v>27</v>
      </c>
      <c r="D133" s="542"/>
      <c r="E133" s="833">
        <f t="shared" si="4"/>
        <v>-561.16699999999992</v>
      </c>
      <c r="F133" s="319">
        <f t="shared" si="5"/>
        <v>20.169000000000096</v>
      </c>
      <c r="G133" s="2485">
        <f t="shared" si="6"/>
        <v>-581.33600000000001</v>
      </c>
      <c r="H133" s="553">
        <v>0</v>
      </c>
      <c r="I133" s="705">
        <v>41031</v>
      </c>
      <c r="J133" s="392">
        <f t="shared" si="8"/>
        <v>15</v>
      </c>
      <c r="L133">
        <v>1102.1669999999999</v>
      </c>
      <c r="M133" s="3675">
        <f t="shared" si="7"/>
        <v>20.169000000000096</v>
      </c>
      <c r="N133">
        <v>1122.336</v>
      </c>
    </row>
    <row r="134" spans="1:14" ht="15" customHeight="1">
      <c r="A134" s="74" t="s">
        <v>240</v>
      </c>
      <c r="B134" s="373" t="s">
        <v>63</v>
      </c>
      <c r="C134" s="1810">
        <v>88</v>
      </c>
      <c r="D134" s="542"/>
      <c r="E134" s="833">
        <f t="shared" si="4"/>
        <v>432.85100000000011</v>
      </c>
      <c r="F134" s="319">
        <f t="shared" si="5"/>
        <v>190.1690000000001</v>
      </c>
      <c r="G134" s="2485">
        <f t="shared" si="6"/>
        <v>242.68200000000002</v>
      </c>
      <c r="H134" s="553">
        <f>+G134/E134</f>
        <v>0.56065944170164783</v>
      </c>
      <c r="I134" s="706"/>
      <c r="J134" s="392">
        <f t="shared" si="8"/>
        <v>16</v>
      </c>
      <c r="L134">
        <v>1328.1489999999999</v>
      </c>
      <c r="M134" s="3675">
        <f t="shared" si="7"/>
        <v>190.1690000000001</v>
      </c>
      <c r="N134">
        <v>1518.318</v>
      </c>
    </row>
    <row r="135" spans="1:14" ht="15" customHeight="1">
      <c r="A135" s="307" t="s">
        <v>241</v>
      </c>
      <c r="B135" s="373" t="s">
        <v>63</v>
      </c>
      <c r="C135" s="1810">
        <v>2</v>
      </c>
      <c r="D135" s="542"/>
      <c r="E135" s="833">
        <f t="shared" si="4"/>
        <v>17.271999999999998</v>
      </c>
      <c r="F135" s="319">
        <f t="shared" si="5"/>
        <v>0</v>
      </c>
      <c r="G135" s="2485">
        <f t="shared" si="6"/>
        <v>17.271999999999998</v>
      </c>
      <c r="H135" s="553">
        <f>+G135/E135</f>
        <v>1</v>
      </c>
      <c r="I135" s="835"/>
      <c r="J135" s="392">
        <f t="shared" si="8"/>
        <v>17</v>
      </c>
      <c r="L135">
        <v>13.728</v>
      </c>
      <c r="M135" s="3675">
        <f t="shared" si="7"/>
        <v>0</v>
      </c>
      <c r="N135">
        <v>13.728</v>
      </c>
    </row>
    <row r="136" spans="1:14" ht="15" customHeight="1">
      <c r="A136" s="3618" t="s">
        <v>242</v>
      </c>
      <c r="B136" s="373" t="s">
        <v>63</v>
      </c>
      <c r="C136" s="1810">
        <v>24</v>
      </c>
      <c r="D136" s="542"/>
      <c r="E136" s="833">
        <f t="shared" si="4"/>
        <v>135.92599999999999</v>
      </c>
      <c r="F136" s="319">
        <f t="shared" si="5"/>
        <v>157.685</v>
      </c>
      <c r="G136" s="2485">
        <f t="shared" si="6"/>
        <v>-21.759000000000015</v>
      </c>
      <c r="H136" s="553">
        <f>+G136/E136</f>
        <v>-0.1600797492753411</v>
      </c>
      <c r="I136" s="2484">
        <v>41218</v>
      </c>
      <c r="J136" s="392">
        <f t="shared" si="8"/>
        <v>18</v>
      </c>
      <c r="L136">
        <v>343.07400000000001</v>
      </c>
      <c r="M136" s="3675">
        <f t="shared" si="7"/>
        <v>157.685</v>
      </c>
      <c r="N136">
        <v>500.75900000000001</v>
      </c>
    </row>
    <row r="137" spans="1:14" ht="15" customHeight="1">
      <c r="A137" s="321" t="s">
        <v>243</v>
      </c>
      <c r="B137" s="373" t="s">
        <v>63</v>
      </c>
      <c r="C137" s="1810">
        <v>48</v>
      </c>
      <c r="D137" s="542"/>
      <c r="E137" s="833">
        <f t="shared" si="4"/>
        <v>-43.996999999999957</v>
      </c>
      <c r="F137" s="319">
        <f t="shared" si="5"/>
        <v>10.086000000000013</v>
      </c>
      <c r="G137" s="2485">
        <f t="shared" si="6"/>
        <v>-54.08299999999997</v>
      </c>
      <c r="H137" s="553">
        <v>0</v>
      </c>
      <c r="I137" s="705">
        <v>41031</v>
      </c>
      <c r="J137" s="392">
        <f t="shared" si="8"/>
        <v>19</v>
      </c>
      <c r="L137">
        <v>868.25699999999995</v>
      </c>
      <c r="M137" s="3675">
        <f t="shared" si="7"/>
        <v>10.086000000000013</v>
      </c>
      <c r="N137">
        <v>878.34299999999996</v>
      </c>
    </row>
    <row r="138" spans="1:14" ht="15" customHeight="1">
      <c r="A138" s="321" t="s">
        <v>244</v>
      </c>
      <c r="B138" s="373" t="s">
        <v>63</v>
      </c>
      <c r="C138" s="1810">
        <v>61</v>
      </c>
      <c r="D138" s="542"/>
      <c r="E138" s="833">
        <f t="shared" si="4"/>
        <v>-387.17900000000009</v>
      </c>
      <c r="F138" s="319">
        <f t="shared" si="5"/>
        <v>0</v>
      </c>
      <c r="G138" s="2485">
        <f t="shared" si="6"/>
        <v>-387.17900000000009</v>
      </c>
      <c r="H138" s="553">
        <v>0</v>
      </c>
      <c r="I138" s="705">
        <v>41031</v>
      </c>
      <c r="J138" s="392">
        <f t="shared" si="8"/>
        <v>20</v>
      </c>
      <c r="L138">
        <v>1604.1790000000001</v>
      </c>
      <c r="M138" s="3675">
        <f t="shared" si="7"/>
        <v>0</v>
      </c>
      <c r="N138">
        <v>1604.1790000000001</v>
      </c>
    </row>
    <row r="139" spans="1:14" ht="15" customHeight="1">
      <c r="A139" s="321" t="s">
        <v>530</v>
      </c>
      <c r="B139" s="373" t="s">
        <v>63</v>
      </c>
      <c r="C139" s="1810">
        <v>13</v>
      </c>
      <c r="D139" s="542"/>
      <c r="E139" s="833">
        <f t="shared" si="4"/>
        <v>-258.55600000000004</v>
      </c>
      <c r="F139" s="319">
        <f t="shared" si="5"/>
        <v>7.3949999999999818</v>
      </c>
      <c r="G139" s="2485">
        <f t="shared" si="6"/>
        <v>-265.95100000000002</v>
      </c>
      <c r="H139" s="553">
        <v>0</v>
      </c>
      <c r="I139" s="705">
        <v>41031</v>
      </c>
      <c r="J139" s="392">
        <f t="shared" si="8"/>
        <v>21</v>
      </c>
      <c r="L139">
        <v>519.55600000000004</v>
      </c>
      <c r="M139" s="3675">
        <f t="shared" si="7"/>
        <v>7.3949999999999818</v>
      </c>
      <c r="N139">
        <v>526.95100000000002</v>
      </c>
    </row>
    <row r="140" spans="1:14" ht="15" customHeight="1">
      <c r="A140" s="321" t="s">
        <v>245</v>
      </c>
      <c r="B140" s="320" t="s">
        <v>63</v>
      </c>
      <c r="C140" s="1810">
        <v>21</v>
      </c>
      <c r="D140" s="542"/>
      <c r="E140" s="833">
        <f t="shared" si="4"/>
        <v>-628.80800000000011</v>
      </c>
      <c r="F140" s="319">
        <f t="shared" si="5"/>
        <v>17.379999999999882</v>
      </c>
      <c r="G140" s="2485">
        <f t="shared" si="6"/>
        <v>-646.18799999999999</v>
      </c>
      <c r="H140" s="553">
        <v>0</v>
      </c>
      <c r="I140" s="705">
        <v>41031</v>
      </c>
      <c r="J140" s="392">
        <f t="shared" si="8"/>
        <v>22</v>
      </c>
      <c r="L140">
        <v>1094.7080000000001</v>
      </c>
      <c r="M140" s="3675">
        <f t="shared" si="7"/>
        <v>17.379999999999882</v>
      </c>
      <c r="N140">
        <v>1112.088</v>
      </c>
    </row>
    <row r="141" spans="1:14" ht="15" customHeight="1">
      <c r="A141" s="321" t="s">
        <v>246</v>
      </c>
      <c r="B141" s="373" t="s">
        <v>63</v>
      </c>
      <c r="C141" s="542">
        <v>0</v>
      </c>
      <c r="D141" s="542"/>
      <c r="E141" s="833">
        <f t="shared" si="4"/>
        <v>0</v>
      </c>
      <c r="F141" s="319">
        <f t="shared" si="5"/>
        <v>5.1829999999999998</v>
      </c>
      <c r="G141" s="2485">
        <f t="shared" si="6"/>
        <v>-5.1829999999999998</v>
      </c>
      <c r="H141" s="553" t="e">
        <f>+G141/E141</f>
        <v>#DIV/0!</v>
      </c>
      <c r="I141" s="567"/>
      <c r="J141" s="392">
        <f t="shared" si="8"/>
        <v>23</v>
      </c>
      <c r="L141">
        <v>0</v>
      </c>
      <c r="M141" s="3675">
        <f t="shared" si="7"/>
        <v>5.1829999999999998</v>
      </c>
      <c r="N141">
        <v>5.1829999999999998</v>
      </c>
    </row>
    <row r="142" spans="1:14" ht="15" customHeight="1">
      <c r="A142" s="307" t="s">
        <v>296</v>
      </c>
      <c r="B142" s="373" t="s">
        <v>63</v>
      </c>
      <c r="C142" s="542">
        <v>10</v>
      </c>
      <c r="D142" s="542"/>
      <c r="E142" s="833">
        <f t="shared" si="4"/>
        <v>-372.49300000000005</v>
      </c>
      <c r="F142" s="319">
        <f t="shared" si="5"/>
        <v>0</v>
      </c>
      <c r="G142" s="2485">
        <f t="shared" si="6"/>
        <v>-372.49300000000005</v>
      </c>
      <c r="H142" s="553">
        <v>0</v>
      </c>
      <c r="I142" s="705">
        <v>41031</v>
      </c>
      <c r="J142" s="392">
        <f t="shared" si="8"/>
        <v>24</v>
      </c>
      <c r="L142">
        <v>564.49300000000005</v>
      </c>
      <c r="M142" s="3675">
        <f t="shared" si="7"/>
        <v>0</v>
      </c>
      <c r="N142">
        <v>564.49300000000005</v>
      </c>
    </row>
    <row r="143" spans="1:14" ht="15" customHeight="1">
      <c r="A143" s="307" t="s">
        <v>247</v>
      </c>
      <c r="B143" s="373" t="s">
        <v>63</v>
      </c>
      <c r="C143" s="542">
        <v>8</v>
      </c>
      <c r="D143" s="542"/>
      <c r="E143" s="833">
        <f t="shared" si="4"/>
        <v>-6.8899999999999864</v>
      </c>
      <c r="F143" s="319">
        <f t="shared" si="5"/>
        <v>0</v>
      </c>
      <c r="G143" s="2485">
        <f t="shared" si="6"/>
        <v>-6.8899999999999864</v>
      </c>
      <c r="H143" s="553">
        <f>+G143/E143</f>
        <v>1</v>
      </c>
      <c r="I143" s="2484">
        <v>41039</v>
      </c>
      <c r="J143" s="392">
        <f t="shared" si="8"/>
        <v>25</v>
      </c>
      <c r="L143">
        <v>158.88999999999999</v>
      </c>
      <c r="M143" s="3675">
        <f t="shared" si="7"/>
        <v>0</v>
      </c>
      <c r="N143">
        <v>158.88999999999999</v>
      </c>
    </row>
    <row r="144" spans="1:14" ht="15" customHeight="1">
      <c r="A144" s="307" t="s">
        <v>248</v>
      </c>
      <c r="B144" s="373" t="s">
        <v>63</v>
      </c>
      <c r="C144" s="542">
        <v>14</v>
      </c>
      <c r="D144" s="542"/>
      <c r="E144" s="833">
        <f t="shared" si="4"/>
        <v>234.083</v>
      </c>
      <c r="F144" s="319">
        <f t="shared" si="5"/>
        <v>59.593999999999994</v>
      </c>
      <c r="G144" s="2485">
        <f t="shared" si="6"/>
        <v>174.489</v>
      </c>
      <c r="H144" s="553">
        <f>+G144/E144</f>
        <v>0.74541508781073385</v>
      </c>
      <c r="I144" s="709"/>
      <c r="J144" s="392">
        <f t="shared" si="8"/>
        <v>26</v>
      </c>
      <c r="L144">
        <v>47.917000000000002</v>
      </c>
      <c r="M144" s="3675">
        <f t="shared" si="7"/>
        <v>59.593999999999994</v>
      </c>
      <c r="N144">
        <v>107.511</v>
      </c>
    </row>
    <row r="145" spans="1:14" ht="15" customHeight="1">
      <c r="A145" s="307" t="s">
        <v>531</v>
      </c>
      <c r="B145" s="373" t="s">
        <v>63</v>
      </c>
      <c r="C145" s="542">
        <v>16</v>
      </c>
      <c r="D145" s="542"/>
      <c r="E145" s="833">
        <f t="shared" si="4"/>
        <v>-267.76199999999994</v>
      </c>
      <c r="F145" s="319">
        <f t="shared" si="5"/>
        <v>0</v>
      </c>
      <c r="G145" s="2485">
        <f t="shared" si="6"/>
        <v>-267.76199999999994</v>
      </c>
      <c r="H145" s="553">
        <v>0</v>
      </c>
      <c r="I145" s="705">
        <v>41031</v>
      </c>
      <c r="J145" s="392">
        <f t="shared" si="8"/>
        <v>27</v>
      </c>
      <c r="L145">
        <v>580.76199999999994</v>
      </c>
      <c r="M145" s="3675">
        <f t="shared" si="7"/>
        <v>0</v>
      </c>
      <c r="N145">
        <v>580.76199999999994</v>
      </c>
    </row>
    <row r="146" spans="1:14" ht="15" customHeight="1">
      <c r="A146" s="307" t="s">
        <v>269</v>
      </c>
      <c r="B146" s="373" t="s">
        <v>63</v>
      </c>
      <c r="C146" s="542">
        <v>3</v>
      </c>
      <c r="D146" s="542"/>
      <c r="E146" s="833">
        <f t="shared" si="4"/>
        <v>-11.469999999999999</v>
      </c>
      <c r="F146" s="319">
        <f t="shared" si="5"/>
        <v>0</v>
      </c>
      <c r="G146" s="2485">
        <f t="shared" si="6"/>
        <v>-11.469999999999999</v>
      </c>
      <c r="H146" s="553">
        <f>+G146/E146</f>
        <v>1</v>
      </c>
      <c r="I146" s="2484">
        <v>41031</v>
      </c>
      <c r="J146" s="392">
        <f t="shared" si="8"/>
        <v>28</v>
      </c>
      <c r="L146">
        <v>69.47</v>
      </c>
      <c r="M146" s="3675">
        <f t="shared" si="7"/>
        <v>0</v>
      </c>
      <c r="N146">
        <v>69.47</v>
      </c>
    </row>
    <row r="147" spans="1:14" ht="15" customHeight="1">
      <c r="A147" s="307" t="s">
        <v>249</v>
      </c>
      <c r="B147" s="373" t="s">
        <v>63</v>
      </c>
      <c r="C147" s="542">
        <v>17</v>
      </c>
      <c r="D147" s="542"/>
      <c r="E147" s="833">
        <f t="shared" si="4"/>
        <v>-167.53999999999996</v>
      </c>
      <c r="F147" s="319">
        <f t="shared" si="5"/>
        <v>0</v>
      </c>
      <c r="G147" s="2485">
        <f t="shared" si="6"/>
        <v>-167.53999999999996</v>
      </c>
      <c r="H147" s="553">
        <v>0</v>
      </c>
      <c r="I147" s="705">
        <v>41031</v>
      </c>
      <c r="J147" s="392">
        <f t="shared" si="8"/>
        <v>29</v>
      </c>
      <c r="L147">
        <v>514.54</v>
      </c>
      <c r="M147" s="3675">
        <f t="shared" si="7"/>
        <v>0</v>
      </c>
      <c r="N147">
        <v>514.54</v>
      </c>
    </row>
    <row r="148" spans="1:14" ht="15" customHeight="1">
      <c r="A148" s="3627" t="s">
        <v>250</v>
      </c>
      <c r="B148" s="373" t="s">
        <v>63</v>
      </c>
      <c r="C148" s="542">
        <v>25</v>
      </c>
      <c r="D148" s="542"/>
      <c r="E148" s="833">
        <f t="shared" si="4"/>
        <v>-483.18200000000002</v>
      </c>
      <c r="F148" s="319">
        <f t="shared" si="5"/>
        <v>4.1709999999999354</v>
      </c>
      <c r="G148" s="2485">
        <f t="shared" si="6"/>
        <v>-487.35299999999995</v>
      </c>
      <c r="H148" s="553">
        <v>0</v>
      </c>
      <c r="I148" s="705">
        <v>41031</v>
      </c>
      <c r="J148" s="392">
        <f t="shared" si="8"/>
        <v>30</v>
      </c>
      <c r="L148">
        <v>982.18200000000002</v>
      </c>
      <c r="M148" s="3675">
        <f t="shared" si="7"/>
        <v>4.1709999999999354</v>
      </c>
      <c r="N148">
        <v>986.35299999999995</v>
      </c>
    </row>
    <row r="149" spans="1:14" ht="15" customHeight="1">
      <c r="A149" s="321" t="s">
        <v>297</v>
      </c>
      <c r="B149" s="373" t="s">
        <v>63</v>
      </c>
      <c r="C149" s="542">
        <v>2</v>
      </c>
      <c r="D149" s="542"/>
      <c r="E149" s="833">
        <f t="shared" si="4"/>
        <v>27.751999999999999</v>
      </c>
      <c r="F149" s="319">
        <f t="shared" si="5"/>
        <v>0</v>
      </c>
      <c r="G149" s="2485">
        <f t="shared" si="6"/>
        <v>27.751999999999999</v>
      </c>
      <c r="H149" s="553">
        <f>+G149/E149</f>
        <v>1</v>
      </c>
      <c r="I149" s="709"/>
      <c r="J149" s="392">
        <f t="shared" si="8"/>
        <v>31</v>
      </c>
      <c r="L149">
        <v>3.2480000000000002</v>
      </c>
      <c r="M149" s="3675">
        <f t="shared" si="7"/>
        <v>0</v>
      </c>
      <c r="N149">
        <v>3.2480000000000002</v>
      </c>
    </row>
    <row r="150" spans="1:14" ht="15" customHeight="1">
      <c r="A150" s="707" t="s">
        <v>251</v>
      </c>
      <c r="B150" s="373" t="s">
        <v>63</v>
      </c>
      <c r="C150" s="542">
        <v>2</v>
      </c>
      <c r="D150" s="542"/>
      <c r="E150" s="833">
        <f t="shared" si="4"/>
        <v>35.417999999999999</v>
      </c>
      <c r="F150" s="319">
        <f t="shared" si="5"/>
        <v>6.8359999999999994</v>
      </c>
      <c r="G150" s="2485">
        <f t="shared" si="6"/>
        <v>28.582000000000001</v>
      </c>
      <c r="H150" s="553">
        <f>+G150/E150</f>
        <v>0.80699079564063469</v>
      </c>
      <c r="I150" s="706"/>
      <c r="J150" s="377">
        <f t="shared" si="8"/>
        <v>32</v>
      </c>
      <c r="L150">
        <v>4.5819999999999999</v>
      </c>
      <c r="M150" s="3675">
        <f t="shared" si="7"/>
        <v>6.8359999999999994</v>
      </c>
      <c r="N150">
        <v>11.417999999999999</v>
      </c>
    </row>
    <row r="151" spans="1:14" ht="15" customHeight="1">
      <c r="A151" s="307" t="s">
        <v>252</v>
      </c>
      <c r="B151" s="373" t="s">
        <v>63</v>
      </c>
      <c r="C151" s="542">
        <v>23</v>
      </c>
      <c r="D151" s="542"/>
      <c r="E151" s="833">
        <f t="shared" si="4"/>
        <v>-469.197</v>
      </c>
      <c r="F151" s="319">
        <f t="shared" si="5"/>
        <v>1.2939999999999827</v>
      </c>
      <c r="G151" s="2485">
        <f t="shared" si="6"/>
        <v>-470.49099999999999</v>
      </c>
      <c r="H151" s="553">
        <v>0</v>
      </c>
      <c r="I151" s="705">
        <v>41031</v>
      </c>
      <c r="J151" s="392">
        <f t="shared" si="8"/>
        <v>33</v>
      </c>
      <c r="L151">
        <v>935.197</v>
      </c>
      <c r="M151" s="3675">
        <f t="shared" si="7"/>
        <v>1.2939999999999827</v>
      </c>
      <c r="N151">
        <v>936.49099999999999</v>
      </c>
    </row>
    <row r="152" spans="1:14" ht="15" customHeight="1">
      <c r="A152" s="307" t="s">
        <v>253</v>
      </c>
      <c r="B152" s="373" t="s">
        <v>63</v>
      </c>
      <c r="C152" s="542">
        <v>10</v>
      </c>
      <c r="D152" s="542"/>
      <c r="E152" s="833">
        <f t="shared" si="4"/>
        <v>72.497</v>
      </c>
      <c r="F152" s="319">
        <f t="shared" si="5"/>
        <v>48.629000000000005</v>
      </c>
      <c r="G152" s="2485">
        <f t="shared" si="6"/>
        <v>23.867999999999995</v>
      </c>
      <c r="H152" s="553">
        <f>+G152/E152</f>
        <v>0.32922741630688157</v>
      </c>
      <c r="I152" s="711"/>
      <c r="J152" s="392">
        <f t="shared" si="8"/>
        <v>34</v>
      </c>
      <c r="L152">
        <v>123.503</v>
      </c>
      <c r="M152" s="3675">
        <f t="shared" si="7"/>
        <v>48.629000000000005</v>
      </c>
      <c r="N152">
        <v>172.13200000000001</v>
      </c>
    </row>
    <row r="153" spans="1:14" ht="15" customHeight="1">
      <c r="A153" s="114" t="s">
        <v>254</v>
      </c>
      <c r="B153" s="373" t="s">
        <v>63</v>
      </c>
      <c r="C153" s="542">
        <v>69</v>
      </c>
      <c r="D153" s="542"/>
      <c r="E153" s="833">
        <f t="shared" si="4"/>
        <v>-439.17000000000007</v>
      </c>
      <c r="F153" s="319">
        <f t="shared" si="5"/>
        <v>7.4139999999999873</v>
      </c>
      <c r="G153" s="2485">
        <f t="shared" si="6"/>
        <v>-446.58400000000006</v>
      </c>
      <c r="H153" s="553">
        <v>0</v>
      </c>
      <c r="I153" s="705">
        <v>41031</v>
      </c>
      <c r="J153" s="392">
        <f t="shared" si="8"/>
        <v>35</v>
      </c>
      <c r="L153">
        <v>1828.17</v>
      </c>
      <c r="M153" s="3675">
        <f t="shared" si="7"/>
        <v>7.4139999999999873</v>
      </c>
      <c r="N153">
        <v>1835.5840000000001</v>
      </c>
    </row>
    <row r="154" spans="1:14" ht="15" customHeight="1">
      <c r="A154" s="307" t="s">
        <v>255</v>
      </c>
      <c r="B154" s="373" t="s">
        <v>63</v>
      </c>
      <c r="C154" s="542">
        <v>11</v>
      </c>
      <c r="D154" s="542"/>
      <c r="E154" s="833">
        <f t="shared" si="4"/>
        <v>-8.4350000000000023</v>
      </c>
      <c r="F154" s="319">
        <f t="shared" si="5"/>
        <v>0</v>
      </c>
      <c r="G154" s="2485">
        <f t="shared" si="6"/>
        <v>-8.4350000000000023</v>
      </c>
      <c r="H154" s="553">
        <f>+G154/E154</f>
        <v>1</v>
      </c>
      <c r="I154" s="2484">
        <v>41039</v>
      </c>
      <c r="J154" s="392">
        <f t="shared" si="8"/>
        <v>36</v>
      </c>
      <c r="L154">
        <v>228.435</v>
      </c>
      <c r="M154" s="3675">
        <f t="shared" si="7"/>
        <v>0</v>
      </c>
      <c r="N154">
        <v>228.435</v>
      </c>
    </row>
    <row r="155" spans="1:14" ht="15" customHeight="1">
      <c r="A155" s="307" t="s">
        <v>256</v>
      </c>
      <c r="B155" s="373" t="s">
        <v>63</v>
      </c>
      <c r="C155" s="542">
        <v>26</v>
      </c>
      <c r="D155" s="542"/>
      <c r="E155" s="833">
        <f t="shared" si="4"/>
        <v>-108.92499999999995</v>
      </c>
      <c r="F155" s="319">
        <f t="shared" si="5"/>
        <v>0</v>
      </c>
      <c r="G155" s="2485">
        <f t="shared" si="6"/>
        <v>-108.92499999999995</v>
      </c>
      <c r="H155" s="553">
        <v>0</v>
      </c>
      <c r="I155" s="705">
        <v>41031</v>
      </c>
      <c r="J155" s="392">
        <f t="shared" si="8"/>
        <v>37</v>
      </c>
      <c r="L155">
        <v>632.92499999999995</v>
      </c>
      <c r="M155" s="3675">
        <f t="shared" si="7"/>
        <v>0</v>
      </c>
      <c r="N155">
        <v>632.92499999999995</v>
      </c>
    </row>
    <row r="156" spans="1:14" ht="15" customHeight="1">
      <c r="A156" s="307" t="s">
        <v>257</v>
      </c>
      <c r="B156" s="373" t="s">
        <v>63</v>
      </c>
      <c r="C156" s="542">
        <v>2</v>
      </c>
      <c r="D156" s="542"/>
      <c r="E156" s="833">
        <f t="shared" si="4"/>
        <v>20.091000000000001</v>
      </c>
      <c r="F156" s="319">
        <f t="shared" si="5"/>
        <v>0</v>
      </c>
      <c r="G156" s="2485">
        <f t="shared" si="6"/>
        <v>20.091000000000001</v>
      </c>
      <c r="H156" s="553">
        <f>+G156/E156</f>
        <v>1</v>
      </c>
      <c r="I156" s="709"/>
      <c r="J156" s="392">
        <f t="shared" si="8"/>
        <v>38</v>
      </c>
      <c r="L156">
        <v>1.909</v>
      </c>
      <c r="M156" s="3675">
        <f t="shared" si="7"/>
        <v>0</v>
      </c>
      <c r="N156">
        <v>1.909</v>
      </c>
    </row>
    <row r="157" spans="1:14" ht="15" customHeight="1">
      <c r="A157" s="307" t="s">
        <v>298</v>
      </c>
      <c r="B157" s="373" t="s">
        <v>63</v>
      </c>
      <c r="C157" s="542">
        <v>11</v>
      </c>
      <c r="D157" s="542"/>
      <c r="E157" s="833">
        <f t="shared" si="4"/>
        <v>136.04300000000001</v>
      </c>
      <c r="F157" s="319">
        <f t="shared" si="5"/>
        <v>1.8249999999999957</v>
      </c>
      <c r="G157" s="2485">
        <f t="shared" si="6"/>
        <v>134.21800000000002</v>
      </c>
      <c r="H157" s="553">
        <f>+G157/E157</f>
        <v>0.98658512382114483</v>
      </c>
      <c r="I157" s="567"/>
      <c r="J157" s="392">
        <f t="shared" si="8"/>
        <v>39</v>
      </c>
      <c r="L157">
        <v>35.957000000000001</v>
      </c>
      <c r="M157" s="3675">
        <f t="shared" si="7"/>
        <v>1.8249999999999957</v>
      </c>
      <c r="N157">
        <v>37.781999999999996</v>
      </c>
    </row>
    <row r="158" spans="1:14" ht="15" customHeight="1">
      <c r="A158" s="307" t="s">
        <v>258</v>
      </c>
      <c r="B158" s="373" t="s">
        <v>63</v>
      </c>
      <c r="C158" s="542">
        <v>43</v>
      </c>
      <c r="D158" s="542"/>
      <c r="E158" s="833">
        <f t="shared" si="4"/>
        <v>-44.716000000000008</v>
      </c>
      <c r="F158" s="319">
        <f t="shared" si="5"/>
        <v>7.2459999999999809</v>
      </c>
      <c r="G158" s="2485">
        <f t="shared" si="6"/>
        <v>-51.961999999999989</v>
      </c>
      <c r="H158" s="553">
        <f>+G158/E158</f>
        <v>1.1620449056266209</v>
      </c>
      <c r="I158" s="787" t="s">
        <v>1081</v>
      </c>
      <c r="J158" s="392">
        <f t="shared" si="8"/>
        <v>40</v>
      </c>
      <c r="L158">
        <v>902.71600000000001</v>
      </c>
      <c r="M158" s="3675">
        <f t="shared" si="7"/>
        <v>7.2459999999999809</v>
      </c>
      <c r="N158">
        <v>909.96199999999999</v>
      </c>
    </row>
    <row r="159" spans="1:14" ht="15" customHeight="1">
      <c r="A159" s="69" t="s">
        <v>259</v>
      </c>
      <c r="B159" s="373" t="s">
        <v>63</v>
      </c>
      <c r="C159" s="542">
        <v>31</v>
      </c>
      <c r="D159" s="542"/>
      <c r="E159" s="833">
        <f t="shared" si="4"/>
        <v>-5.7229999999999563</v>
      </c>
      <c r="F159" s="319">
        <f t="shared" si="5"/>
        <v>15.783999999999992</v>
      </c>
      <c r="G159" s="2485">
        <f t="shared" si="6"/>
        <v>-21.506999999999948</v>
      </c>
      <c r="H159" s="553">
        <v>0</v>
      </c>
      <c r="I159" s="705">
        <v>41031</v>
      </c>
      <c r="J159" s="392">
        <f t="shared" si="8"/>
        <v>41</v>
      </c>
      <c r="L159">
        <v>619.72299999999996</v>
      </c>
      <c r="M159" s="3675">
        <f t="shared" si="7"/>
        <v>15.783999999999992</v>
      </c>
      <c r="N159">
        <v>635.50699999999995</v>
      </c>
    </row>
    <row r="160" spans="1:14" ht="15" customHeight="1">
      <c r="A160" s="69" t="s">
        <v>260</v>
      </c>
      <c r="B160" s="373" t="s">
        <v>63</v>
      </c>
      <c r="C160" s="542">
        <v>2</v>
      </c>
      <c r="D160" s="542"/>
      <c r="E160" s="833">
        <f t="shared" si="4"/>
        <v>29.113</v>
      </c>
      <c r="F160" s="319">
        <f t="shared" si="5"/>
        <v>0.54499999999999993</v>
      </c>
      <c r="G160" s="2485">
        <f t="shared" si="6"/>
        <v>28.567999999999998</v>
      </c>
      <c r="H160" s="553">
        <f>+G160/E160</f>
        <v>0.98127984062102835</v>
      </c>
      <c r="I160" s="836"/>
      <c r="J160" s="392">
        <f t="shared" si="8"/>
        <v>42</v>
      </c>
      <c r="L160">
        <v>10.887</v>
      </c>
      <c r="M160" s="3675">
        <f t="shared" si="7"/>
        <v>0.54499999999999993</v>
      </c>
      <c r="N160">
        <v>11.432</v>
      </c>
    </row>
    <row r="161" spans="1:14" ht="15" customHeight="1">
      <c r="A161" s="69" t="s">
        <v>261</v>
      </c>
      <c r="B161" s="373" t="s">
        <v>63</v>
      </c>
      <c r="C161" s="542">
        <v>74</v>
      </c>
      <c r="D161" s="542"/>
      <c r="E161" s="833">
        <f t="shared" si="4"/>
        <v>-1436.7280000000001</v>
      </c>
      <c r="F161" s="319">
        <f t="shared" si="5"/>
        <v>21.003999999999905</v>
      </c>
      <c r="G161" s="2485">
        <f t="shared" si="6"/>
        <v>-1457.732</v>
      </c>
      <c r="H161" s="553">
        <v>0</v>
      </c>
      <c r="I161" s="705">
        <v>41031</v>
      </c>
      <c r="J161" s="392">
        <f t="shared" si="8"/>
        <v>43</v>
      </c>
      <c r="L161">
        <v>2909.7280000000001</v>
      </c>
      <c r="M161" s="3675">
        <f t="shared" si="7"/>
        <v>21.003999999999905</v>
      </c>
      <c r="N161">
        <v>2930.732</v>
      </c>
    </row>
    <row r="162" spans="1:14" ht="15" customHeight="1">
      <c r="A162" s="69" t="s">
        <v>263</v>
      </c>
      <c r="B162" s="373" t="s">
        <v>63</v>
      </c>
      <c r="C162" s="542">
        <v>28</v>
      </c>
      <c r="D162" s="542"/>
      <c r="E162" s="833">
        <f t="shared" si="4"/>
        <v>-697.93200000000002</v>
      </c>
      <c r="F162" s="319">
        <f t="shared" si="5"/>
        <v>0</v>
      </c>
      <c r="G162" s="2485">
        <f t="shared" si="6"/>
        <v>-697.93200000000002</v>
      </c>
      <c r="H162" s="553">
        <v>0</v>
      </c>
      <c r="I162" s="711">
        <v>41010</v>
      </c>
      <c r="J162" s="392">
        <f t="shared" si="8"/>
        <v>44</v>
      </c>
      <c r="L162">
        <v>1252.932</v>
      </c>
      <c r="M162" s="3675">
        <f t="shared" si="7"/>
        <v>0</v>
      </c>
      <c r="N162">
        <v>1252.932</v>
      </c>
    </row>
    <row r="163" spans="1:14" ht="15" customHeight="1">
      <c r="A163" s="69" t="s">
        <v>299</v>
      </c>
      <c r="B163" s="373" t="s">
        <v>63</v>
      </c>
      <c r="C163" s="542">
        <v>6</v>
      </c>
      <c r="D163" s="542"/>
      <c r="E163" s="833">
        <f t="shared" si="4"/>
        <v>-40.953000000000003</v>
      </c>
      <c r="F163" s="319">
        <f t="shared" si="5"/>
        <v>0</v>
      </c>
      <c r="G163" s="2485">
        <f t="shared" si="6"/>
        <v>-40.953000000000003</v>
      </c>
      <c r="H163" s="553">
        <v>0</v>
      </c>
      <c r="I163" s="2701">
        <v>41012</v>
      </c>
      <c r="J163" s="392">
        <f t="shared" si="8"/>
        <v>45</v>
      </c>
      <c r="L163">
        <v>166.953</v>
      </c>
      <c r="M163" s="3675">
        <f t="shared" si="7"/>
        <v>0</v>
      </c>
      <c r="N163">
        <v>166.953</v>
      </c>
    </row>
    <row r="164" spans="1:14" ht="15" customHeight="1">
      <c r="A164" s="69" t="s">
        <v>262</v>
      </c>
      <c r="B164" s="373" t="s">
        <v>63</v>
      </c>
      <c r="C164" s="542">
        <v>23</v>
      </c>
      <c r="D164" s="542"/>
      <c r="E164" s="833">
        <f t="shared" si="4"/>
        <v>-270.89200000000005</v>
      </c>
      <c r="F164" s="319">
        <f t="shared" si="5"/>
        <v>0</v>
      </c>
      <c r="G164" s="2485">
        <f t="shared" si="6"/>
        <v>-270.89200000000005</v>
      </c>
      <c r="H164" s="553">
        <v>0</v>
      </c>
      <c r="I164" s="705">
        <v>41031</v>
      </c>
      <c r="J164" s="392">
        <f t="shared" si="8"/>
        <v>46</v>
      </c>
      <c r="L164">
        <v>732.89200000000005</v>
      </c>
      <c r="M164" s="3675">
        <f t="shared" si="7"/>
        <v>0</v>
      </c>
      <c r="N164">
        <v>732.89200000000005</v>
      </c>
    </row>
    <row r="165" spans="1:14" ht="15" customHeight="1">
      <c r="A165" s="69" t="s">
        <v>264</v>
      </c>
      <c r="B165" s="373" t="s">
        <v>63</v>
      </c>
      <c r="C165" s="542">
        <v>22</v>
      </c>
      <c r="D165" s="542"/>
      <c r="E165" s="833">
        <f t="shared" si="4"/>
        <v>-76.914999999999964</v>
      </c>
      <c r="F165" s="319">
        <f t="shared" si="5"/>
        <v>0</v>
      </c>
      <c r="G165" s="2485">
        <f t="shared" si="6"/>
        <v>-76.914999999999964</v>
      </c>
      <c r="H165" s="553">
        <f>+G165/E165</f>
        <v>1</v>
      </c>
      <c r="I165" s="2484">
        <v>41064</v>
      </c>
      <c r="J165" s="392">
        <f t="shared" si="8"/>
        <v>47</v>
      </c>
      <c r="L165">
        <v>514.91499999999996</v>
      </c>
      <c r="M165" s="3675">
        <f t="shared" si="7"/>
        <v>0</v>
      </c>
      <c r="N165">
        <v>514.91499999999996</v>
      </c>
    </row>
    <row r="166" spans="1:14" ht="15" customHeight="1">
      <c r="A166" s="307" t="s">
        <v>265</v>
      </c>
      <c r="B166" s="373" t="s">
        <v>63</v>
      </c>
      <c r="C166" s="542">
        <v>48</v>
      </c>
      <c r="D166" s="542"/>
      <c r="E166" s="833">
        <f t="shared" si="4"/>
        <v>39.072999999999979</v>
      </c>
      <c r="F166" s="319">
        <f t="shared" si="5"/>
        <v>42.216999999999985</v>
      </c>
      <c r="G166" s="2485">
        <f t="shared" si="6"/>
        <v>-3.1440000000000055</v>
      </c>
      <c r="H166" s="598">
        <f>+G166/E166</f>
        <v>-8.0464771069536686E-2</v>
      </c>
      <c r="I166" s="2686"/>
      <c r="J166" s="392">
        <f t="shared" si="8"/>
        <v>48</v>
      </c>
      <c r="L166">
        <v>912.92700000000002</v>
      </c>
      <c r="M166" s="3675">
        <f t="shared" si="7"/>
        <v>42.216999999999985</v>
      </c>
      <c r="N166">
        <v>955.14400000000001</v>
      </c>
    </row>
    <row r="167" spans="1:14" ht="15" customHeight="1">
      <c r="A167" s="307" t="s">
        <v>532</v>
      </c>
      <c r="B167" s="373" t="s">
        <v>63</v>
      </c>
      <c r="C167" s="1810">
        <v>2</v>
      </c>
      <c r="D167" s="542"/>
      <c r="E167" s="833">
        <f t="shared" si="4"/>
        <v>23</v>
      </c>
      <c r="F167" s="319">
        <f t="shared" si="5"/>
        <v>0.14199999999999999</v>
      </c>
      <c r="G167" s="2485">
        <f t="shared" si="6"/>
        <v>22.858000000000001</v>
      </c>
      <c r="H167" s="553">
        <f>+G167/E167</f>
        <v>0.99382608695652175</v>
      </c>
      <c r="I167" s="709"/>
      <c r="J167" s="392">
        <f t="shared" si="8"/>
        <v>49</v>
      </c>
      <c r="L167">
        <v>0</v>
      </c>
      <c r="M167" s="3675">
        <f t="shared" si="7"/>
        <v>0.14199999999999999</v>
      </c>
      <c r="N167">
        <v>0.14199999999999999</v>
      </c>
    </row>
    <row r="168" spans="1:14" ht="15" customHeight="1">
      <c r="A168" s="2878" t="s">
        <v>266</v>
      </c>
      <c r="B168" s="373" t="s">
        <v>63</v>
      </c>
      <c r="C168" s="542">
        <v>15</v>
      </c>
      <c r="D168" s="542"/>
      <c r="E168" s="833">
        <f t="shared" si="4"/>
        <v>-267.81600000000003</v>
      </c>
      <c r="F168" s="319">
        <f t="shared" si="5"/>
        <v>0</v>
      </c>
      <c r="G168" s="2485">
        <f t="shared" si="6"/>
        <v>-267.81600000000003</v>
      </c>
      <c r="H168" s="553">
        <v>0</v>
      </c>
      <c r="I168" s="705">
        <v>41031</v>
      </c>
      <c r="J168" s="392">
        <f t="shared" si="8"/>
        <v>50</v>
      </c>
      <c r="L168">
        <v>570.81600000000003</v>
      </c>
      <c r="M168" s="3675">
        <f t="shared" si="7"/>
        <v>0</v>
      </c>
      <c r="N168">
        <v>570.81600000000003</v>
      </c>
    </row>
    <row r="169" spans="1:14" ht="15" customHeight="1">
      <c r="A169" s="307" t="s">
        <v>533</v>
      </c>
      <c r="B169" s="373" t="s">
        <v>63</v>
      </c>
      <c r="C169" s="542">
        <v>29</v>
      </c>
      <c r="D169" s="542"/>
      <c r="E169" s="833">
        <f t="shared" si="4"/>
        <v>-327.28499999999997</v>
      </c>
      <c r="F169" s="319">
        <f t="shared" si="5"/>
        <v>0</v>
      </c>
      <c r="G169" s="2485">
        <f t="shared" si="6"/>
        <v>-327.28499999999997</v>
      </c>
      <c r="H169" s="553">
        <v>0</v>
      </c>
      <c r="I169" s="705">
        <v>41031</v>
      </c>
      <c r="J169" s="392">
        <f t="shared" si="8"/>
        <v>51</v>
      </c>
      <c r="L169">
        <v>912.28499999999997</v>
      </c>
      <c r="M169" s="3675">
        <f t="shared" si="7"/>
        <v>0</v>
      </c>
      <c r="N169">
        <v>912.28499999999997</v>
      </c>
    </row>
    <row r="170" spans="1:14" ht="15" customHeight="1">
      <c r="A170" s="69" t="s">
        <v>300</v>
      </c>
      <c r="B170" s="373" t="s">
        <v>63</v>
      </c>
      <c r="C170" s="542">
        <v>9</v>
      </c>
      <c r="D170" s="542"/>
      <c r="E170" s="833">
        <f t="shared" si="4"/>
        <v>-61.034999999999997</v>
      </c>
      <c r="F170" s="319">
        <f t="shared" si="5"/>
        <v>0</v>
      </c>
      <c r="G170" s="2485">
        <f t="shared" si="6"/>
        <v>-61.034999999999997</v>
      </c>
      <c r="H170" s="553">
        <v>0</v>
      </c>
      <c r="I170" s="705">
        <v>41031</v>
      </c>
      <c r="J170" s="392">
        <f t="shared" si="8"/>
        <v>52</v>
      </c>
      <c r="L170">
        <v>238.035</v>
      </c>
      <c r="M170" s="3675">
        <f t="shared" si="7"/>
        <v>0</v>
      </c>
      <c r="N170">
        <v>238.035</v>
      </c>
    </row>
    <row r="171" spans="1:14" ht="15" customHeight="1">
      <c r="A171" s="307" t="s">
        <v>302</v>
      </c>
      <c r="B171" s="373" t="s">
        <v>63</v>
      </c>
      <c r="C171" s="542">
        <v>3</v>
      </c>
      <c r="D171" s="542"/>
      <c r="E171" s="833">
        <f t="shared" si="4"/>
        <v>-21.271000000000001</v>
      </c>
      <c r="F171" s="319">
        <f t="shared" si="5"/>
        <v>0</v>
      </c>
      <c r="G171" s="2485">
        <f t="shared" si="6"/>
        <v>-21.271000000000001</v>
      </c>
      <c r="H171" s="553">
        <v>0</v>
      </c>
      <c r="I171" s="705">
        <v>41031</v>
      </c>
      <c r="J171" s="392">
        <f t="shared" si="8"/>
        <v>53</v>
      </c>
      <c r="L171">
        <v>79.271000000000001</v>
      </c>
      <c r="M171" s="3675">
        <f t="shared" si="7"/>
        <v>0</v>
      </c>
      <c r="N171">
        <v>79.271000000000001</v>
      </c>
    </row>
    <row r="172" spans="1:14" ht="15" customHeight="1">
      <c r="A172" s="2849" t="s">
        <v>267</v>
      </c>
      <c r="B172" s="373" t="s">
        <v>63</v>
      </c>
      <c r="C172" s="2772">
        <f>58+7.813</f>
        <v>65.813000000000002</v>
      </c>
      <c r="D172" s="542"/>
      <c r="E172" s="833">
        <f t="shared" si="4"/>
        <v>-738.20799999999974</v>
      </c>
      <c r="F172" s="319">
        <f t="shared" si="5"/>
        <v>25.742999999999938</v>
      </c>
      <c r="G172" s="2485">
        <f t="shared" si="6"/>
        <v>-763.95099999999968</v>
      </c>
      <c r="H172" s="553">
        <v>0</v>
      </c>
      <c r="I172" s="705">
        <v>41031</v>
      </c>
      <c r="J172" s="392">
        <f t="shared" si="8"/>
        <v>54</v>
      </c>
      <c r="L172">
        <v>2056.4969999999998</v>
      </c>
      <c r="M172" s="3675">
        <f t="shared" si="7"/>
        <v>25.742999999999938</v>
      </c>
      <c r="N172">
        <v>2082.2399999999998</v>
      </c>
    </row>
    <row r="173" spans="1:14" ht="15" customHeight="1">
      <c r="A173" s="69" t="s">
        <v>268</v>
      </c>
      <c r="B173" s="373" t="s">
        <v>63</v>
      </c>
      <c r="C173" s="542">
        <v>48</v>
      </c>
      <c r="D173" s="542"/>
      <c r="E173" s="833">
        <f t="shared" si="4"/>
        <v>-881.26700000000005</v>
      </c>
      <c r="F173" s="319">
        <f>+M173</f>
        <v>8.1369999999999436</v>
      </c>
      <c r="G173" s="2485">
        <f t="shared" si="6"/>
        <v>-889.404</v>
      </c>
      <c r="H173" s="553">
        <v>0</v>
      </c>
      <c r="I173" s="705">
        <v>41031</v>
      </c>
      <c r="J173" s="392">
        <f t="shared" si="8"/>
        <v>55</v>
      </c>
      <c r="L173">
        <v>1838.2670000000001</v>
      </c>
      <c r="M173" s="3675">
        <f t="shared" si="7"/>
        <v>8.1369999999999436</v>
      </c>
      <c r="N173">
        <v>1846.404</v>
      </c>
    </row>
    <row r="174" spans="1:14" ht="15" customHeight="1">
      <c r="A174" s="69" t="s">
        <v>270</v>
      </c>
      <c r="B174" s="373" t="s">
        <v>63</v>
      </c>
      <c r="C174" s="542">
        <v>55</v>
      </c>
      <c r="D174" s="542"/>
      <c r="E174" s="833">
        <f t="shared" si="4"/>
        <v>-976.87899999999991</v>
      </c>
      <c r="F174" s="319">
        <f t="shared" si="5"/>
        <v>0</v>
      </c>
      <c r="G174" s="2485">
        <f t="shared" si="6"/>
        <v>-976.87899999999991</v>
      </c>
      <c r="H174" s="553">
        <v>0</v>
      </c>
      <c r="I174" s="705">
        <v>41031</v>
      </c>
      <c r="J174" s="392">
        <f t="shared" si="8"/>
        <v>56</v>
      </c>
      <c r="L174">
        <v>2085.8789999999999</v>
      </c>
      <c r="M174" s="3675">
        <f t="shared" si="7"/>
        <v>0</v>
      </c>
      <c r="N174">
        <v>2085.8789999999999</v>
      </c>
    </row>
    <row r="175" spans="1:14" ht="15" customHeight="1">
      <c r="A175" s="307" t="s">
        <v>301</v>
      </c>
      <c r="B175" s="373" t="s">
        <v>63</v>
      </c>
      <c r="C175" s="542">
        <v>10</v>
      </c>
      <c r="D175" s="542"/>
      <c r="E175" s="833">
        <f t="shared" si="4"/>
        <v>-109.08600000000001</v>
      </c>
      <c r="F175" s="319">
        <f t="shared" si="5"/>
        <v>0</v>
      </c>
      <c r="G175" s="2485">
        <f t="shared" si="6"/>
        <v>-109.08600000000001</v>
      </c>
      <c r="H175" s="553">
        <v>0</v>
      </c>
      <c r="I175" s="705">
        <v>41031</v>
      </c>
      <c r="J175" s="392">
        <f t="shared" si="8"/>
        <v>57</v>
      </c>
      <c r="L175">
        <v>316.08600000000001</v>
      </c>
      <c r="M175" s="3675">
        <f t="shared" si="7"/>
        <v>0</v>
      </c>
      <c r="N175">
        <v>316.08600000000001</v>
      </c>
    </row>
    <row r="176" spans="1:14" ht="15" customHeight="1">
      <c r="A176" s="69" t="s">
        <v>271</v>
      </c>
      <c r="B176" s="373" t="s">
        <v>63</v>
      </c>
      <c r="C176" s="542">
        <v>1</v>
      </c>
      <c r="D176" s="542"/>
      <c r="E176" s="833">
        <f t="shared" si="4"/>
        <v>-131.399</v>
      </c>
      <c r="F176" s="319">
        <f t="shared" si="5"/>
        <v>0</v>
      </c>
      <c r="G176" s="2485">
        <f t="shared" si="6"/>
        <v>-131.399</v>
      </c>
      <c r="H176" s="553">
        <v>0</v>
      </c>
      <c r="I176" s="787">
        <v>41019</v>
      </c>
      <c r="J176" s="392">
        <f t="shared" si="8"/>
        <v>58</v>
      </c>
      <c r="L176">
        <v>146.399</v>
      </c>
      <c r="M176" s="3675">
        <f t="shared" si="7"/>
        <v>0</v>
      </c>
      <c r="N176">
        <v>146.399</v>
      </c>
    </row>
    <row r="177" spans="1:14" ht="15">
      <c r="A177" s="541" t="s">
        <v>528</v>
      </c>
      <c r="B177" s="543" t="s">
        <v>63</v>
      </c>
      <c r="C177" s="542">
        <v>0</v>
      </c>
      <c r="D177" s="542"/>
      <c r="E177" s="833">
        <f t="shared" si="4"/>
        <v>563.38200000000006</v>
      </c>
      <c r="F177" s="319">
        <f t="shared" si="5"/>
        <v>127.14600000000002</v>
      </c>
      <c r="G177" s="2485">
        <f t="shared" si="6"/>
        <v>436.23600000000005</v>
      </c>
      <c r="H177" s="553">
        <v>0</v>
      </c>
      <c r="I177" s="832" t="s">
        <v>657</v>
      </c>
      <c r="J177" s="392">
        <f t="shared" si="8"/>
        <v>59</v>
      </c>
      <c r="L177">
        <v>252.61799999999999</v>
      </c>
      <c r="M177" s="3675">
        <f t="shared" si="7"/>
        <v>127.14600000000002</v>
      </c>
      <c r="N177">
        <v>379.76400000000001</v>
      </c>
    </row>
    <row r="178" spans="1:14" ht="18" customHeight="1">
      <c r="A178" s="702" t="s">
        <v>632</v>
      </c>
      <c r="B178" s="543" t="s">
        <v>63</v>
      </c>
      <c r="C178" s="542">
        <v>3</v>
      </c>
      <c r="D178" s="542"/>
      <c r="E178" s="833">
        <f t="shared" si="4"/>
        <v>3</v>
      </c>
      <c r="F178" s="319">
        <f t="shared" si="5"/>
        <v>0</v>
      </c>
      <c r="G178" s="2485">
        <f t="shared" si="6"/>
        <v>3</v>
      </c>
      <c r="H178" s="553">
        <f>+G178/E178</f>
        <v>1</v>
      </c>
      <c r="I178" s="710"/>
      <c r="J178" s="392">
        <f t="shared" si="8"/>
        <v>60</v>
      </c>
      <c r="L178">
        <v>0</v>
      </c>
      <c r="M178" s="3675">
        <f t="shared" si="7"/>
        <v>0</v>
      </c>
      <c r="N178">
        <v>0</v>
      </c>
    </row>
    <row r="179" spans="1:14" ht="20.399999999999999">
      <c r="A179" s="786" t="s">
        <v>653</v>
      </c>
      <c r="B179" s="543" t="s">
        <v>63</v>
      </c>
      <c r="C179" s="542">
        <v>3</v>
      </c>
      <c r="D179" s="542"/>
      <c r="E179" s="833">
        <f t="shared" si="4"/>
        <v>7.1</v>
      </c>
      <c r="F179" s="319">
        <f t="shared" si="5"/>
        <v>0</v>
      </c>
      <c r="G179" s="2485">
        <f t="shared" si="6"/>
        <v>7.1</v>
      </c>
      <c r="H179" s="553">
        <f>+G179/E179</f>
        <v>1</v>
      </c>
      <c r="I179" s="710"/>
      <c r="J179" s="392">
        <f t="shared" si="8"/>
        <v>61</v>
      </c>
      <c r="L179">
        <v>0</v>
      </c>
      <c r="M179" s="3675">
        <f t="shared" si="7"/>
        <v>0</v>
      </c>
      <c r="N179">
        <v>0</v>
      </c>
    </row>
    <row r="180" spans="1:14" ht="15" customHeight="1">
      <c r="A180" s="58" t="s">
        <v>111</v>
      </c>
      <c r="B180" s="65" t="s">
        <v>63</v>
      </c>
      <c r="C180" s="2773">
        <f>SUM(C119:C179)</f>
        <v>1511.8130000000001</v>
      </c>
      <c r="D180" s="544">
        <f>SUM(D119:D179)</f>
        <v>0</v>
      </c>
      <c r="E180" s="78">
        <f>SUM(E119:E179)</f>
        <v>-11739.998000000001</v>
      </c>
      <c r="F180" s="2534">
        <f>SUM(F119:F179)</f>
        <v>1361.3660000000002</v>
      </c>
      <c r="G180" s="2852">
        <f>SUM(G119:G179)</f>
        <v>-13101.363999999998</v>
      </c>
      <c r="H180" s="553">
        <f>+G180/E180</f>
        <v>1.1159596449675713</v>
      </c>
      <c r="I180" s="710"/>
      <c r="J180" s="392"/>
      <c r="L180" s="3108">
        <f t="shared" ref="L180:M180" si="9">SUM(L119:L179)</f>
        <v>42481.347000000016</v>
      </c>
      <c r="M180" s="3108">
        <f t="shared" si="9"/>
        <v>1361.3660000000002</v>
      </c>
      <c r="N180" s="3108">
        <f>SUM(N119:N179)</f>
        <v>43842.713000000011</v>
      </c>
    </row>
    <row r="181" spans="1:14" ht="15" customHeight="1">
      <c r="A181" s="62"/>
      <c r="B181" s="11"/>
      <c r="C181" s="63"/>
      <c r="D181" s="63"/>
      <c r="E181" s="63"/>
      <c r="F181" s="64"/>
      <c r="G181" s="80"/>
      <c r="H181" s="77"/>
      <c r="I181" s="796"/>
    </row>
    <row r="182" spans="1:14" ht="15" customHeight="1">
      <c r="A182" s="3852" t="s">
        <v>114</v>
      </c>
      <c r="B182" s="3853"/>
      <c r="C182" s="50"/>
      <c r="D182" s="50"/>
      <c r="E182" s="50"/>
      <c r="F182" s="81"/>
      <c r="G182" s="11"/>
      <c r="H182" s="14"/>
      <c r="I182" s="796"/>
      <c r="K182" s="245"/>
      <c r="L182" s="742"/>
    </row>
    <row r="183" spans="1:14" ht="5.0999999999999996" customHeight="1">
      <c r="A183" s="14"/>
      <c r="B183" s="11"/>
      <c r="C183" s="50"/>
      <c r="D183" s="50"/>
      <c r="E183" s="50"/>
      <c r="F183" s="81"/>
      <c r="G183" s="11"/>
      <c r="H183" s="14"/>
      <c r="I183" s="796"/>
    </row>
    <row r="184" spans="1:14" ht="15" customHeight="1">
      <c r="A184" s="199" t="s">
        <v>106</v>
      </c>
      <c r="B184" s="199" t="s">
        <v>107</v>
      </c>
      <c r="C184" s="233" t="s">
        <v>108</v>
      </c>
      <c r="D184" s="233" t="s">
        <v>819</v>
      </c>
      <c r="E184" s="233" t="s">
        <v>109</v>
      </c>
      <c r="F184" s="199" t="s">
        <v>47</v>
      </c>
      <c r="G184" s="199" t="s">
        <v>48</v>
      </c>
      <c r="H184" s="199" t="s">
        <v>110</v>
      </c>
      <c r="I184" s="797" t="s">
        <v>50</v>
      </c>
    </row>
    <row r="185" spans="1:14" ht="15" customHeight="1">
      <c r="A185" s="436" t="s">
        <v>115</v>
      </c>
      <c r="B185" s="314" t="s">
        <v>61</v>
      </c>
      <c r="C185" s="320">
        <v>929</v>
      </c>
      <c r="D185" s="1366"/>
      <c r="E185" s="52">
        <f>+C185</f>
        <v>929</v>
      </c>
      <c r="F185" s="319">
        <f>+SUM('RAE Anchoveta'!B125:B128)</f>
        <v>125.10999999999999</v>
      </c>
      <c r="G185" s="82">
        <f>+E185-F185</f>
        <v>803.89</v>
      </c>
      <c r="H185" s="553">
        <f>1-+F185/E185</f>
        <v>0.86532831001076427</v>
      </c>
      <c r="I185" s="710"/>
    </row>
    <row r="186" spans="1:14" ht="15" customHeight="1">
      <c r="A186" s="436" t="s">
        <v>116</v>
      </c>
      <c r="B186" s="314" t="s">
        <v>61</v>
      </c>
      <c r="C186" s="320">
        <v>190</v>
      </c>
      <c r="D186" s="320"/>
      <c r="E186" s="52">
        <f t="shared" ref="E186:E201" si="10">+C186</f>
        <v>190</v>
      </c>
      <c r="F186" s="319">
        <f>+SUM('RAE Anchoveta'!B141:B144)</f>
        <v>0</v>
      </c>
      <c r="G186" s="82">
        <f t="shared" ref="G186:G201" si="11">+E186-F186</f>
        <v>190</v>
      </c>
      <c r="H186" s="553">
        <f t="shared" ref="H186:H201" si="12">1-+F186/E186</f>
        <v>1</v>
      </c>
      <c r="I186" s="651"/>
    </row>
    <row r="187" spans="1:14" ht="15" customHeight="1">
      <c r="A187" s="436" t="s">
        <v>117</v>
      </c>
      <c r="B187" s="314" t="s">
        <v>61</v>
      </c>
      <c r="C187" s="434">
        <v>17.071999999999999</v>
      </c>
      <c r="D187" s="434"/>
      <c r="E187" s="76">
        <f t="shared" si="10"/>
        <v>17.071999999999999</v>
      </c>
      <c r="F187" s="319">
        <f>+SUM('RAE Anchoveta'!B157:B160)</f>
        <v>0.35699999999999998</v>
      </c>
      <c r="G187" s="83">
        <f t="shared" si="11"/>
        <v>16.715</v>
      </c>
      <c r="H187" s="553">
        <f t="shared" si="12"/>
        <v>0.97908856607310213</v>
      </c>
      <c r="I187" s="651"/>
    </row>
    <row r="188" spans="1:14" ht="15" customHeight="1">
      <c r="A188" s="436" t="s">
        <v>288</v>
      </c>
      <c r="B188" s="314" t="s">
        <v>61</v>
      </c>
      <c r="C188" s="434">
        <v>2E-3</v>
      </c>
      <c r="D188" s="434"/>
      <c r="E188" s="76">
        <f t="shared" si="10"/>
        <v>2E-3</v>
      </c>
      <c r="F188" s="319">
        <f>+SUM('RAE Anchoveta'!B157:B160)</f>
        <v>0.35699999999999998</v>
      </c>
      <c r="G188" s="83">
        <f t="shared" si="11"/>
        <v>-0.35499999999999998</v>
      </c>
      <c r="H188" s="553">
        <f t="shared" si="12"/>
        <v>-177.5</v>
      </c>
      <c r="I188" s="651"/>
    </row>
    <row r="189" spans="1:14" ht="15" customHeight="1">
      <c r="A189" s="436" t="s">
        <v>118</v>
      </c>
      <c r="B189" s="314" t="s">
        <v>61</v>
      </c>
      <c r="C189" s="320">
        <v>670</v>
      </c>
      <c r="D189" s="320"/>
      <c r="E189" s="52">
        <f t="shared" si="10"/>
        <v>670</v>
      </c>
      <c r="F189" s="319">
        <f>+SUM('RAE Anchoveta'!B189:B192)</f>
        <v>112.508</v>
      </c>
      <c r="G189" s="82">
        <f t="shared" si="11"/>
        <v>557.49199999999996</v>
      </c>
      <c r="H189" s="553">
        <f t="shared" si="12"/>
        <v>0.8320776119402985</v>
      </c>
      <c r="I189" s="651"/>
    </row>
    <row r="190" spans="1:14" ht="15" customHeight="1">
      <c r="A190" s="436" t="s">
        <v>289</v>
      </c>
      <c r="B190" s="314" t="s">
        <v>61</v>
      </c>
      <c r="C190" s="434">
        <v>3.0000000000000001E-3</v>
      </c>
      <c r="D190" s="434"/>
      <c r="E190" s="76">
        <f t="shared" si="10"/>
        <v>3.0000000000000001E-3</v>
      </c>
      <c r="F190" s="319">
        <f>+SUM('RAE Anchoveta'!B205:B208)</f>
        <v>0</v>
      </c>
      <c r="G190" s="83">
        <f t="shared" si="11"/>
        <v>3.0000000000000001E-3</v>
      </c>
      <c r="H190" s="553">
        <f t="shared" si="12"/>
        <v>1</v>
      </c>
      <c r="I190" s="651"/>
    </row>
    <row r="191" spans="1:14" ht="15" customHeight="1">
      <c r="A191" s="436" t="s">
        <v>290</v>
      </c>
      <c r="B191" s="314" t="s">
        <v>61</v>
      </c>
      <c r="C191" s="434">
        <v>1.2E-2</v>
      </c>
      <c r="D191" s="434"/>
      <c r="E191" s="76">
        <f t="shared" si="10"/>
        <v>1.2E-2</v>
      </c>
      <c r="F191" s="319">
        <f>+SUM('RAE Anchoveta'!B221:B224)</f>
        <v>0</v>
      </c>
      <c r="G191" s="83">
        <f t="shared" si="11"/>
        <v>1.2E-2</v>
      </c>
      <c r="H191" s="553">
        <f t="shared" si="12"/>
        <v>1</v>
      </c>
      <c r="I191" s="651"/>
    </row>
    <row r="192" spans="1:14" ht="15" customHeight="1">
      <c r="A192" s="436" t="s">
        <v>291</v>
      </c>
      <c r="B192" s="314" t="s">
        <v>61</v>
      </c>
      <c r="C192" s="435">
        <v>1E-3</v>
      </c>
      <c r="D192" s="435"/>
      <c r="E192" s="310">
        <f t="shared" si="10"/>
        <v>1E-3</v>
      </c>
      <c r="F192" s="319">
        <f>+SUM('RAE Anchoveta'!B253:B256)</f>
        <v>0</v>
      </c>
      <c r="G192" s="162">
        <f t="shared" si="11"/>
        <v>1E-3</v>
      </c>
      <c r="H192" s="553">
        <f t="shared" si="12"/>
        <v>1</v>
      </c>
      <c r="I192" s="651"/>
    </row>
    <row r="193" spans="1:9" ht="15" customHeight="1">
      <c r="A193" s="436" t="s">
        <v>292</v>
      </c>
      <c r="B193" s="314" t="s">
        <v>61</v>
      </c>
      <c r="C193" s="434">
        <v>2.4E-2</v>
      </c>
      <c r="D193" s="434"/>
      <c r="E193" s="76">
        <f t="shared" si="10"/>
        <v>2.4E-2</v>
      </c>
      <c r="F193" s="319">
        <f>+SUM('RAE Anchoveta'!B253:B256)</f>
        <v>0</v>
      </c>
      <c r="G193" s="83">
        <f t="shared" si="11"/>
        <v>2.4E-2</v>
      </c>
      <c r="H193" s="553">
        <f t="shared" si="12"/>
        <v>1</v>
      </c>
      <c r="I193" s="651"/>
    </row>
    <row r="194" spans="1:9" ht="15" customHeight="1">
      <c r="A194" s="436" t="s">
        <v>293</v>
      </c>
      <c r="B194" s="314" t="s">
        <v>61</v>
      </c>
      <c r="C194" s="320">
        <v>43</v>
      </c>
      <c r="D194" s="320"/>
      <c r="E194" s="52">
        <f t="shared" si="10"/>
        <v>43</v>
      </c>
      <c r="F194" s="319">
        <f>+SUM('RAE Anchoveta'!B269:B272)</f>
        <v>0</v>
      </c>
      <c r="G194" s="82">
        <f t="shared" si="11"/>
        <v>43</v>
      </c>
      <c r="H194" s="553">
        <f t="shared" si="12"/>
        <v>1</v>
      </c>
      <c r="I194" s="651"/>
    </row>
    <row r="195" spans="1:9" ht="15" customHeight="1">
      <c r="A195" s="436" t="s">
        <v>294</v>
      </c>
      <c r="B195" s="314" t="s">
        <v>61</v>
      </c>
      <c r="C195" s="434">
        <v>1E-3</v>
      </c>
      <c r="D195" s="434"/>
      <c r="E195" s="76">
        <f t="shared" si="10"/>
        <v>1E-3</v>
      </c>
      <c r="F195" s="319">
        <f>+SUM('RAE Anchoveta'!B285:B288)</f>
        <v>0</v>
      </c>
      <c r="G195" s="83">
        <f t="shared" si="11"/>
        <v>1E-3</v>
      </c>
      <c r="H195" s="553">
        <f t="shared" si="12"/>
        <v>1</v>
      </c>
      <c r="I195" s="651"/>
    </row>
    <row r="196" spans="1:9" ht="15" customHeight="1">
      <c r="A196" s="436" t="s">
        <v>295</v>
      </c>
      <c r="B196" s="314" t="s">
        <v>61</v>
      </c>
      <c r="C196" s="434">
        <v>1.2E-2</v>
      </c>
      <c r="D196" s="434"/>
      <c r="E196" s="76">
        <f t="shared" si="10"/>
        <v>1.2E-2</v>
      </c>
      <c r="F196" s="319">
        <f>+SUM('RAE Anchoveta'!B301:B304)</f>
        <v>0</v>
      </c>
      <c r="G196" s="83">
        <f t="shared" si="11"/>
        <v>1.2E-2</v>
      </c>
      <c r="H196" s="553">
        <f t="shared" si="12"/>
        <v>1</v>
      </c>
      <c r="I196" s="651"/>
    </row>
    <row r="197" spans="1:9" ht="15" customHeight="1">
      <c r="A197" s="436" t="s">
        <v>409</v>
      </c>
      <c r="B197" s="314" t="s">
        <v>61</v>
      </c>
      <c r="C197" s="320">
        <v>245</v>
      </c>
      <c r="D197" s="320"/>
      <c r="E197" s="52">
        <f t="shared" si="10"/>
        <v>245</v>
      </c>
      <c r="F197" s="319">
        <f>+SUM('RAE Anchoveta'!B317:B320)</f>
        <v>22.431999999999999</v>
      </c>
      <c r="G197" s="82">
        <f t="shared" si="11"/>
        <v>222.56800000000001</v>
      </c>
      <c r="H197" s="553">
        <f t="shared" si="12"/>
        <v>0.90844081632653062</v>
      </c>
      <c r="I197" s="651"/>
    </row>
    <row r="198" spans="1:9" ht="15" customHeight="1">
      <c r="A198" s="436" t="s">
        <v>410</v>
      </c>
      <c r="B198" s="314" t="s">
        <v>61</v>
      </c>
      <c r="C198" s="320">
        <v>370</v>
      </c>
      <c r="D198" s="320"/>
      <c r="E198" s="52">
        <f t="shared" si="10"/>
        <v>370</v>
      </c>
      <c r="F198" s="319">
        <f>+SUM('RAE Anchoveta'!B333:B336)</f>
        <v>19.917000000000002</v>
      </c>
      <c r="G198" s="82">
        <f t="shared" si="11"/>
        <v>350.08299999999997</v>
      </c>
      <c r="H198" s="553">
        <f t="shared" si="12"/>
        <v>0.94617027027027023</v>
      </c>
      <c r="I198" s="651">
        <v>40994</v>
      </c>
    </row>
    <row r="199" spans="1:9" ht="15" customHeight="1">
      <c r="A199" s="436" t="s">
        <v>411</v>
      </c>
      <c r="B199" s="314" t="s">
        <v>61</v>
      </c>
      <c r="C199" s="434">
        <v>2E-3</v>
      </c>
      <c r="D199" s="434"/>
      <c r="E199" s="76">
        <f t="shared" si="10"/>
        <v>2E-3</v>
      </c>
      <c r="F199" s="319">
        <f>+SUM('RAE Anchoveta'!B349:B352)</f>
        <v>0</v>
      </c>
      <c r="G199" s="83">
        <f t="shared" si="11"/>
        <v>2E-3</v>
      </c>
      <c r="H199" s="553">
        <f t="shared" si="12"/>
        <v>1</v>
      </c>
      <c r="I199" s="651"/>
    </row>
    <row r="200" spans="1:9" ht="15" customHeight="1">
      <c r="A200" s="436" t="s">
        <v>413</v>
      </c>
      <c r="B200" s="314" t="s">
        <v>61</v>
      </c>
      <c r="C200" s="434">
        <v>0</v>
      </c>
      <c r="D200" s="434"/>
      <c r="E200" s="76">
        <f t="shared" si="10"/>
        <v>0</v>
      </c>
      <c r="F200" s="319">
        <f>+SUM('RAE Anchoveta'!B365:B368)</f>
        <v>0</v>
      </c>
      <c r="G200" s="83">
        <f t="shared" si="11"/>
        <v>0</v>
      </c>
      <c r="H200" s="553" t="e">
        <f t="shared" si="12"/>
        <v>#DIV/0!</v>
      </c>
      <c r="I200" s="651"/>
    </row>
    <row r="201" spans="1:9" ht="15" customHeight="1">
      <c r="A201" s="436" t="s">
        <v>119</v>
      </c>
      <c r="B201" s="314" t="s">
        <v>61</v>
      </c>
      <c r="C201" s="434">
        <v>1.9E-2</v>
      </c>
      <c r="D201" s="434"/>
      <c r="E201" s="76">
        <f t="shared" si="10"/>
        <v>1.9E-2</v>
      </c>
      <c r="F201" s="319">
        <f>+SUM('RAE Anchoveta'!B381:B384)</f>
        <v>0</v>
      </c>
      <c r="G201" s="83">
        <f t="shared" si="11"/>
        <v>1.9E-2</v>
      </c>
      <c r="H201" s="553">
        <f t="shared" si="12"/>
        <v>1</v>
      </c>
      <c r="I201" s="710"/>
    </row>
    <row r="202" spans="1:9" ht="15" customHeight="1">
      <c r="A202" s="58" t="s">
        <v>111</v>
      </c>
      <c r="B202" s="58" t="s">
        <v>61</v>
      </c>
      <c r="C202" s="592">
        <f>SUM(C185:C201)</f>
        <v>2464.1479999999992</v>
      </c>
      <c r="D202" s="592"/>
      <c r="E202" s="52">
        <f>SUM(E185:E201)</f>
        <v>2464.1479999999992</v>
      </c>
      <c r="F202" s="418">
        <f>SUM(F185:F201)</f>
        <v>280.68100000000004</v>
      </c>
      <c r="G202" s="418">
        <f>+E202-F202</f>
        <v>2183.4669999999992</v>
      </c>
      <c r="H202" s="14"/>
      <c r="I202" s="796"/>
    </row>
    <row r="203" spans="1:9" ht="5.0999999999999996" customHeight="1">
      <c r="A203" s="62"/>
      <c r="B203" s="11"/>
      <c r="C203" s="63"/>
      <c r="D203" s="63"/>
      <c r="E203" s="63"/>
      <c r="F203" s="64"/>
      <c r="G203" s="64"/>
      <c r="H203" s="14"/>
      <c r="I203" s="796"/>
    </row>
    <row r="204" spans="1:9" ht="15" customHeight="1">
      <c r="A204" s="199" t="s">
        <v>106</v>
      </c>
      <c r="B204" s="199" t="s">
        <v>107</v>
      </c>
      <c r="C204" s="233" t="s">
        <v>108</v>
      </c>
      <c r="D204" s="233" t="s">
        <v>819</v>
      </c>
      <c r="E204" s="233" t="s">
        <v>109</v>
      </c>
      <c r="F204" s="199" t="s">
        <v>47</v>
      </c>
      <c r="G204" s="199" t="s">
        <v>48</v>
      </c>
      <c r="H204" s="199" t="s">
        <v>110</v>
      </c>
      <c r="I204" s="797" t="s">
        <v>50</v>
      </c>
    </row>
    <row r="205" spans="1:9" ht="15" customHeight="1">
      <c r="A205" s="436" t="s">
        <v>115</v>
      </c>
      <c r="B205" s="413" t="s">
        <v>62</v>
      </c>
      <c r="C205" s="52">
        <v>111</v>
      </c>
      <c r="D205" s="52"/>
      <c r="E205" s="52">
        <f>+C205+G185</f>
        <v>914.89</v>
      </c>
      <c r="F205" s="320">
        <f>+SUM('RAE Anchoveta'!B129:B132)</f>
        <v>44.997</v>
      </c>
      <c r="G205" s="52">
        <f>+E205-F205</f>
        <v>869.89300000000003</v>
      </c>
      <c r="H205" s="553">
        <f>1-+F205/E205</f>
        <v>0.95081703811387164</v>
      </c>
      <c r="I205" s="710"/>
    </row>
    <row r="206" spans="1:9" ht="15" customHeight="1">
      <c r="A206" s="436" t="s">
        <v>116</v>
      </c>
      <c r="B206" s="413" t="s">
        <v>62</v>
      </c>
      <c r="C206" s="52">
        <v>22</v>
      </c>
      <c r="D206" s="52"/>
      <c r="E206" s="52">
        <f>+C206+G186</f>
        <v>212</v>
      </c>
      <c r="F206" s="320">
        <f>+SUM('RAE Anchoveta'!B145:B148)</f>
        <v>14.214</v>
      </c>
      <c r="G206" s="52">
        <f t="shared" ref="G206:G221" si="13">+E206-F206</f>
        <v>197.786</v>
      </c>
      <c r="H206" s="553">
        <f>1-+F206/E206</f>
        <v>0.93295283018867925</v>
      </c>
      <c r="I206" s="710"/>
    </row>
    <row r="207" spans="1:9" ht="15" customHeight="1">
      <c r="A207" s="436" t="s">
        <v>117</v>
      </c>
      <c r="B207" s="413" t="s">
        <v>62</v>
      </c>
      <c r="C207" s="76">
        <v>8.0000000000000002E-3</v>
      </c>
      <c r="D207" s="76"/>
      <c r="E207" s="76">
        <f>+C207+G187</f>
        <v>16.722999999999999</v>
      </c>
      <c r="F207" s="434">
        <f>+SUM('RAE Anchoveta'!B161:B164)</f>
        <v>0.44500000000000001</v>
      </c>
      <c r="G207" s="76">
        <f t="shared" si="13"/>
        <v>16.277999999999999</v>
      </c>
      <c r="H207" s="553">
        <f t="shared" ref="H207:H221" si="14">1-+F207/E207</f>
        <v>0.97338994199605333</v>
      </c>
      <c r="I207" s="710"/>
    </row>
    <row r="208" spans="1:9" ht="15" customHeight="1">
      <c r="A208" s="436" t="s">
        <v>288</v>
      </c>
      <c r="B208" s="413" t="s">
        <v>62</v>
      </c>
      <c r="C208" s="76">
        <v>0</v>
      </c>
      <c r="D208" s="76"/>
      <c r="E208" s="76">
        <f t="shared" ref="E208:E221" si="15">+C208+G188</f>
        <v>-0.35499999999999998</v>
      </c>
      <c r="F208" s="434">
        <f>+SUM('RAE Anchoveta'!B177:B180)</f>
        <v>0</v>
      </c>
      <c r="G208" s="76">
        <f t="shared" si="13"/>
        <v>-0.35499999999999998</v>
      </c>
      <c r="H208" s="553">
        <f t="shared" si="14"/>
        <v>1</v>
      </c>
      <c r="I208" s="710"/>
    </row>
    <row r="209" spans="1:9" ht="15" customHeight="1">
      <c r="A209" s="436" t="s">
        <v>118</v>
      </c>
      <c r="B209" s="413" t="s">
        <v>62</v>
      </c>
      <c r="C209" s="52">
        <v>79</v>
      </c>
      <c r="D209" s="52"/>
      <c r="E209" s="52">
        <f t="shared" si="15"/>
        <v>636.49199999999996</v>
      </c>
      <c r="F209" s="320">
        <f>+SUM('RAE Anchoveta'!B193:B196)</f>
        <v>21.969000000000001</v>
      </c>
      <c r="G209" s="52">
        <f t="shared" si="13"/>
        <v>614.52299999999991</v>
      </c>
      <c r="H209" s="553">
        <f t="shared" si="14"/>
        <v>0.96548424803453936</v>
      </c>
      <c r="I209" s="710"/>
    </row>
    <row r="210" spans="1:9" ht="15" customHeight="1">
      <c r="A210" s="436" t="s">
        <v>289</v>
      </c>
      <c r="B210" s="413" t="s">
        <v>62</v>
      </c>
      <c r="C210" s="310">
        <v>0</v>
      </c>
      <c r="D210" s="310"/>
      <c r="E210" s="310">
        <f t="shared" si="15"/>
        <v>3.0000000000000001E-3</v>
      </c>
      <c r="F210" s="435">
        <f>+SUM('RAE Anchoveta'!B209:B212)</f>
        <v>0</v>
      </c>
      <c r="G210" s="310">
        <f t="shared" si="13"/>
        <v>3.0000000000000001E-3</v>
      </c>
      <c r="H210" s="553">
        <f t="shared" si="14"/>
        <v>1</v>
      </c>
      <c r="I210" s="710"/>
    </row>
    <row r="211" spans="1:9" ht="15" customHeight="1">
      <c r="A211" s="436" t="s">
        <v>290</v>
      </c>
      <c r="B211" s="413" t="s">
        <v>62</v>
      </c>
      <c r="C211" s="76">
        <v>1E-3</v>
      </c>
      <c r="D211" s="76"/>
      <c r="E211" s="76">
        <f t="shared" si="15"/>
        <v>1.3000000000000001E-2</v>
      </c>
      <c r="F211" s="434">
        <f>+SUM('RAE Anchoveta'!B225:B228)</f>
        <v>0</v>
      </c>
      <c r="G211" s="76">
        <f t="shared" si="13"/>
        <v>1.3000000000000001E-2</v>
      </c>
      <c r="H211" s="553">
        <f t="shared" si="14"/>
        <v>1</v>
      </c>
      <c r="I211" s="710"/>
    </row>
    <row r="212" spans="1:9" ht="15" customHeight="1">
      <c r="A212" s="436" t="s">
        <v>291</v>
      </c>
      <c r="B212" s="413" t="s">
        <v>62</v>
      </c>
      <c r="C212" s="76">
        <v>0</v>
      </c>
      <c r="D212" s="76"/>
      <c r="E212" s="76">
        <f t="shared" si="15"/>
        <v>1E-3</v>
      </c>
      <c r="F212" s="434">
        <f>+SUM('RAE Anchoveta'!B241:B244)</f>
        <v>0</v>
      </c>
      <c r="G212" s="76">
        <f t="shared" si="13"/>
        <v>1E-3</v>
      </c>
      <c r="H212" s="553">
        <f t="shared" si="14"/>
        <v>1</v>
      </c>
      <c r="I212" s="710"/>
    </row>
    <row r="213" spans="1:9" ht="15" customHeight="1">
      <c r="A213" s="436" t="s">
        <v>292</v>
      </c>
      <c r="B213" s="413" t="s">
        <v>62</v>
      </c>
      <c r="C213" s="76">
        <v>3.0000000000000001E-3</v>
      </c>
      <c r="D213" s="76"/>
      <c r="E213" s="76">
        <f t="shared" si="15"/>
        <v>2.7E-2</v>
      </c>
      <c r="F213" s="434">
        <f>+SUM('RAE Anchoveta'!B257:B260)</f>
        <v>0</v>
      </c>
      <c r="G213" s="76">
        <f t="shared" si="13"/>
        <v>2.7E-2</v>
      </c>
      <c r="H213" s="553">
        <f t="shared" si="14"/>
        <v>1</v>
      </c>
      <c r="I213" s="710"/>
    </row>
    <row r="214" spans="1:9" ht="15" customHeight="1">
      <c r="A214" s="436" t="s">
        <v>293</v>
      </c>
      <c r="B214" s="413" t="s">
        <v>62</v>
      </c>
      <c r="C214" s="52">
        <v>5</v>
      </c>
      <c r="D214" s="52"/>
      <c r="E214" s="52">
        <f t="shared" si="15"/>
        <v>48</v>
      </c>
      <c r="F214" s="320">
        <f>+SUM('RAE Anchoveta'!B273:B276)</f>
        <v>2.6480000000000001</v>
      </c>
      <c r="G214" s="52">
        <f t="shared" si="13"/>
        <v>45.351999999999997</v>
      </c>
      <c r="H214" s="553">
        <f t="shared" si="14"/>
        <v>0.9448333333333333</v>
      </c>
      <c r="I214" s="710"/>
    </row>
    <row r="215" spans="1:9" ht="15" customHeight="1">
      <c r="A215" s="436" t="s">
        <v>294</v>
      </c>
      <c r="B215" s="413" t="s">
        <v>62</v>
      </c>
      <c r="C215" s="76">
        <v>0</v>
      </c>
      <c r="D215" s="76"/>
      <c r="E215" s="76">
        <f t="shared" si="15"/>
        <v>1E-3</v>
      </c>
      <c r="F215" s="434">
        <f>+SUM('RAE Anchoveta'!B289:B292)</f>
        <v>0</v>
      </c>
      <c r="G215" s="76">
        <f t="shared" si="13"/>
        <v>1E-3</v>
      </c>
      <c r="H215" s="553">
        <f t="shared" si="14"/>
        <v>1</v>
      </c>
      <c r="I215" s="710"/>
    </row>
    <row r="216" spans="1:9" ht="15" customHeight="1">
      <c r="A216" s="436" t="s">
        <v>295</v>
      </c>
      <c r="B216" s="413" t="s">
        <v>62</v>
      </c>
      <c r="C216" s="76">
        <v>1E-3</v>
      </c>
      <c r="D216" s="76"/>
      <c r="E216" s="76">
        <f t="shared" si="15"/>
        <v>1.3000000000000001E-2</v>
      </c>
      <c r="F216" s="434">
        <f>+SUM('RAE Anchoveta'!B305:B308)</f>
        <v>0</v>
      </c>
      <c r="G216" s="76">
        <f t="shared" si="13"/>
        <v>1.3000000000000001E-2</v>
      </c>
      <c r="H216" s="553">
        <f t="shared" si="14"/>
        <v>1</v>
      </c>
      <c r="I216" s="651"/>
    </row>
    <row r="217" spans="1:9" ht="15" customHeight="1">
      <c r="A217" s="436" t="s">
        <v>409</v>
      </c>
      <c r="B217" s="413" t="s">
        <v>62</v>
      </c>
      <c r="C217" s="52">
        <v>29</v>
      </c>
      <c r="D217" s="52"/>
      <c r="E217" s="52">
        <f t="shared" si="15"/>
        <v>251.56800000000001</v>
      </c>
      <c r="F217" s="320">
        <f>+SUM('RAE Anchoveta'!B321:B324)</f>
        <v>12.757</v>
      </c>
      <c r="G217" s="52">
        <f t="shared" si="13"/>
        <v>238.81100000000001</v>
      </c>
      <c r="H217" s="553">
        <f t="shared" si="14"/>
        <v>0.94929005278890799</v>
      </c>
      <c r="I217" s="651"/>
    </row>
    <row r="218" spans="1:9" ht="15" customHeight="1">
      <c r="A218" s="436" t="s">
        <v>410</v>
      </c>
      <c r="B218" s="413" t="s">
        <v>62</v>
      </c>
      <c r="C218" s="52">
        <v>44</v>
      </c>
      <c r="D218" s="52"/>
      <c r="E218" s="52">
        <f t="shared" si="15"/>
        <v>394.08299999999997</v>
      </c>
      <c r="F218" s="320">
        <f>+SUM('RAE Anchoveta'!B337:B340)</f>
        <v>46.802</v>
      </c>
      <c r="G218" s="52">
        <f t="shared" si="13"/>
        <v>347.28099999999995</v>
      </c>
      <c r="H218" s="553">
        <f t="shared" si="14"/>
        <v>0.88123821631483723</v>
      </c>
      <c r="I218" s="651"/>
    </row>
    <row r="219" spans="1:9" ht="15" customHeight="1">
      <c r="A219" s="436" t="s">
        <v>411</v>
      </c>
      <c r="B219" s="413" t="s">
        <v>62</v>
      </c>
      <c r="C219" s="76">
        <v>0</v>
      </c>
      <c r="D219" s="76"/>
      <c r="E219" s="76">
        <f t="shared" si="15"/>
        <v>2E-3</v>
      </c>
      <c r="F219" s="434">
        <f>+SUM('RAE Anchoveta'!B353:B356)</f>
        <v>0</v>
      </c>
      <c r="G219" s="76">
        <f t="shared" si="13"/>
        <v>2E-3</v>
      </c>
      <c r="H219" s="553">
        <f t="shared" si="14"/>
        <v>1</v>
      </c>
      <c r="I219" s="651"/>
    </row>
    <row r="220" spans="1:9" ht="15" customHeight="1">
      <c r="A220" s="436" t="s">
        <v>412</v>
      </c>
      <c r="B220" s="413" t="s">
        <v>62</v>
      </c>
      <c r="C220" s="76">
        <v>0</v>
      </c>
      <c r="D220" s="76"/>
      <c r="E220" s="76">
        <f t="shared" si="15"/>
        <v>0</v>
      </c>
      <c r="F220" s="434">
        <f>+SUM('RAE Anchoveta'!B369:B372)</f>
        <v>0</v>
      </c>
      <c r="G220" s="76">
        <f t="shared" si="13"/>
        <v>0</v>
      </c>
      <c r="H220" s="553" t="e">
        <f t="shared" si="14"/>
        <v>#DIV/0!</v>
      </c>
      <c r="I220" s="651"/>
    </row>
    <row r="221" spans="1:9" ht="15" customHeight="1">
      <c r="A221" s="436" t="s">
        <v>119</v>
      </c>
      <c r="B221" s="413" t="s">
        <v>62</v>
      </c>
      <c r="C221" s="76">
        <v>2E-3</v>
      </c>
      <c r="D221" s="76"/>
      <c r="E221" s="76">
        <f t="shared" si="15"/>
        <v>2.0999999999999998E-2</v>
      </c>
      <c r="F221" s="434">
        <f>+SUM('RAE Anchoveta'!B385:B388)</f>
        <v>0</v>
      </c>
      <c r="G221" s="76">
        <f t="shared" si="13"/>
        <v>2.0999999999999998E-2</v>
      </c>
      <c r="H221" s="553">
        <f t="shared" si="14"/>
        <v>1</v>
      </c>
      <c r="I221" s="710"/>
    </row>
    <row r="222" spans="1:9" ht="15" customHeight="1">
      <c r="A222" s="58" t="s">
        <v>111</v>
      </c>
      <c r="B222" s="643" t="s">
        <v>62</v>
      </c>
      <c r="C222" s="390">
        <f>SUM(C205:C221)</f>
        <v>290.01500000000004</v>
      </c>
      <c r="D222" s="390"/>
      <c r="E222" s="390">
        <f>SUM(E205:E221)</f>
        <v>2473.482</v>
      </c>
      <c r="F222" s="390">
        <f>SUM(F205:F221)</f>
        <v>143.83199999999999</v>
      </c>
      <c r="G222" s="418">
        <f>+E222-F2031</f>
        <v>2473.482</v>
      </c>
      <c r="H222" s="14"/>
      <c r="I222" s="796"/>
    </row>
    <row r="223" spans="1:9" ht="5.0999999999999996" customHeight="1">
      <c r="A223" s="66"/>
      <c r="B223" s="67"/>
      <c r="C223" s="63"/>
      <c r="D223" s="63"/>
      <c r="E223" s="63"/>
      <c r="F223" s="86"/>
      <c r="G223" s="64"/>
      <c r="H223" s="14"/>
      <c r="I223" s="796"/>
    </row>
    <row r="224" spans="1:9" ht="15" customHeight="1">
      <c r="A224" s="199" t="s">
        <v>106</v>
      </c>
      <c r="B224" s="199" t="s">
        <v>107</v>
      </c>
      <c r="C224" s="233" t="s">
        <v>108</v>
      </c>
      <c r="D224" s="233" t="s">
        <v>819</v>
      </c>
      <c r="E224" s="233" t="s">
        <v>109</v>
      </c>
      <c r="F224" s="199" t="s">
        <v>47</v>
      </c>
      <c r="G224" s="199" t="s">
        <v>48</v>
      </c>
      <c r="H224" s="199" t="s">
        <v>110</v>
      </c>
      <c r="I224" s="797" t="s">
        <v>50</v>
      </c>
    </row>
    <row r="225" spans="1:9" ht="15" customHeight="1">
      <c r="A225" s="436" t="s">
        <v>115</v>
      </c>
      <c r="B225" s="413" t="s">
        <v>63</v>
      </c>
      <c r="C225" s="52">
        <v>55</v>
      </c>
      <c r="D225" s="52"/>
      <c r="E225" s="52">
        <f>+C225+G205</f>
        <v>924.89300000000003</v>
      </c>
      <c r="F225" s="320">
        <f>+SUM('RAE Anchoveta'!B133:B136)</f>
        <v>175.90599999999998</v>
      </c>
      <c r="G225" s="320">
        <f>+E225-F225</f>
        <v>748.98700000000008</v>
      </c>
      <c r="H225" s="553">
        <f t="shared" ref="H225:H241" si="16">1-+F225/E225</f>
        <v>0.80980935091951178</v>
      </c>
      <c r="I225" s="710"/>
    </row>
    <row r="226" spans="1:9" ht="15" customHeight="1">
      <c r="A226" s="436" t="s">
        <v>116</v>
      </c>
      <c r="B226" s="413" t="s">
        <v>63</v>
      </c>
      <c r="C226" s="52">
        <v>11</v>
      </c>
      <c r="D226" s="52"/>
      <c r="E226" s="52">
        <f t="shared" ref="E226:E241" si="17">+C226+G206</f>
        <v>208.786</v>
      </c>
      <c r="F226" s="320">
        <f>+SUM('RAE Anchoveta'!B149:B152)</f>
        <v>0</v>
      </c>
      <c r="G226" s="320">
        <f t="shared" ref="G226:G241" si="18">+E226-F226</f>
        <v>208.786</v>
      </c>
      <c r="H226" s="553">
        <f t="shared" si="16"/>
        <v>1</v>
      </c>
      <c r="I226" s="710"/>
    </row>
    <row r="227" spans="1:9" ht="15" customHeight="1">
      <c r="A227" s="436" t="s">
        <v>117</v>
      </c>
      <c r="B227" s="413" t="s">
        <v>63</v>
      </c>
      <c r="C227" s="76">
        <v>4.0000000000000001E-3</v>
      </c>
      <c r="D227" s="76"/>
      <c r="E227" s="76">
        <f t="shared" si="17"/>
        <v>16.282</v>
      </c>
      <c r="F227" s="320">
        <v>0</v>
      </c>
      <c r="G227" s="434">
        <f t="shared" si="18"/>
        <v>16.282</v>
      </c>
      <c r="H227" s="553">
        <f t="shared" si="16"/>
        <v>1</v>
      </c>
      <c r="I227" s="710"/>
    </row>
    <row r="228" spans="1:9" ht="15" customHeight="1">
      <c r="A228" s="436" t="s">
        <v>288</v>
      </c>
      <c r="B228" s="413" t="s">
        <v>63</v>
      </c>
      <c r="C228" s="76">
        <v>0</v>
      </c>
      <c r="D228" s="76"/>
      <c r="E228" s="76">
        <f t="shared" si="17"/>
        <v>-0.35499999999999998</v>
      </c>
      <c r="F228" s="434">
        <f>+SUM('RAE Anchoveta'!B181:B184)</f>
        <v>0</v>
      </c>
      <c r="G228" s="1947">
        <f t="shared" si="18"/>
        <v>-0.35499999999999998</v>
      </c>
      <c r="H228" s="553">
        <f t="shared" si="16"/>
        <v>1</v>
      </c>
      <c r="I228" s="710"/>
    </row>
    <row r="229" spans="1:9" ht="15" customHeight="1">
      <c r="A229" s="436" t="s">
        <v>118</v>
      </c>
      <c r="B229" s="413" t="s">
        <v>63</v>
      </c>
      <c r="C229" s="75">
        <f>40-0.6</f>
        <v>39.4</v>
      </c>
      <c r="D229" s="52"/>
      <c r="E229" s="52">
        <f t="shared" si="17"/>
        <v>653.92299999999989</v>
      </c>
      <c r="F229" s="320">
        <f>+SUM('RAE Anchoveta'!B197:B200)</f>
        <v>97.915999999999997</v>
      </c>
      <c r="G229" s="320">
        <f t="shared" si="18"/>
        <v>556.00699999999983</v>
      </c>
      <c r="H229" s="553">
        <f t="shared" si="16"/>
        <v>0.85026371606442952</v>
      </c>
      <c r="I229" s="710"/>
    </row>
    <row r="230" spans="1:9" ht="15" customHeight="1">
      <c r="A230" s="436" t="s">
        <v>289</v>
      </c>
      <c r="B230" s="413" t="s">
        <v>63</v>
      </c>
      <c r="C230" s="76">
        <v>0</v>
      </c>
      <c r="D230" s="76"/>
      <c r="E230" s="76">
        <f t="shared" si="17"/>
        <v>3.0000000000000001E-3</v>
      </c>
      <c r="F230" s="434">
        <f>+SUM('RAE Anchoveta'!B213:B216)</f>
        <v>0</v>
      </c>
      <c r="G230" s="434">
        <f t="shared" si="18"/>
        <v>3.0000000000000001E-3</v>
      </c>
      <c r="H230" s="553">
        <f t="shared" si="16"/>
        <v>1</v>
      </c>
      <c r="I230" s="710"/>
    </row>
    <row r="231" spans="1:9" ht="15" customHeight="1">
      <c r="A231" s="436" t="s">
        <v>290</v>
      </c>
      <c r="B231" s="413" t="s">
        <v>63</v>
      </c>
      <c r="C231" s="76">
        <v>1E-3</v>
      </c>
      <c r="D231" s="76"/>
      <c r="E231" s="76">
        <f t="shared" si="17"/>
        <v>1.4000000000000002E-2</v>
      </c>
      <c r="F231" s="434">
        <f>+SUM('RAE Anchoveta'!B229:B232)</f>
        <v>0</v>
      </c>
      <c r="G231" s="434">
        <f t="shared" si="18"/>
        <v>1.4000000000000002E-2</v>
      </c>
      <c r="H231" s="553">
        <f t="shared" si="16"/>
        <v>1</v>
      </c>
      <c r="I231" s="710"/>
    </row>
    <row r="232" spans="1:9" ht="15" customHeight="1">
      <c r="A232" s="436" t="s">
        <v>291</v>
      </c>
      <c r="B232" s="413" t="s">
        <v>63</v>
      </c>
      <c r="C232" s="76">
        <v>0</v>
      </c>
      <c r="D232" s="76"/>
      <c r="E232" s="76">
        <f t="shared" si="17"/>
        <v>1E-3</v>
      </c>
      <c r="F232" s="434">
        <f>+SUM('RAE Anchoveta'!B245:B248)</f>
        <v>0</v>
      </c>
      <c r="G232" s="434">
        <f t="shared" si="18"/>
        <v>1E-3</v>
      </c>
      <c r="H232" s="553">
        <f t="shared" si="16"/>
        <v>1</v>
      </c>
      <c r="I232" s="710"/>
    </row>
    <row r="233" spans="1:9" ht="15" customHeight="1">
      <c r="A233" s="436" t="s">
        <v>292</v>
      </c>
      <c r="B233" s="413" t="s">
        <v>63</v>
      </c>
      <c r="C233" s="76">
        <v>1E-3</v>
      </c>
      <c r="D233" s="76"/>
      <c r="E233" s="76">
        <f t="shared" si="17"/>
        <v>2.8000000000000001E-2</v>
      </c>
      <c r="F233" s="434">
        <f>+SUM('RAE Anchoveta'!B261:B264)</f>
        <v>0</v>
      </c>
      <c r="G233" s="434">
        <f t="shared" si="18"/>
        <v>2.8000000000000001E-2</v>
      </c>
      <c r="H233" s="553">
        <f t="shared" si="16"/>
        <v>1</v>
      </c>
      <c r="I233" s="710"/>
    </row>
    <row r="234" spans="1:9" ht="15" customHeight="1">
      <c r="A234" s="436" t="s">
        <v>293</v>
      </c>
      <c r="B234" s="413" t="s">
        <v>63</v>
      </c>
      <c r="C234" s="52">
        <v>3</v>
      </c>
      <c r="D234" s="52"/>
      <c r="E234" s="52">
        <f t="shared" si="17"/>
        <v>48.351999999999997</v>
      </c>
      <c r="F234" s="320">
        <f>+SUM('RAE Anchoveta'!B277:B280)</f>
        <v>30.298999999999999</v>
      </c>
      <c r="G234" s="320">
        <f t="shared" si="18"/>
        <v>18.052999999999997</v>
      </c>
      <c r="H234" s="553">
        <f t="shared" si="16"/>
        <v>0.37336614824619452</v>
      </c>
      <c r="I234" s="710"/>
    </row>
    <row r="235" spans="1:9" ht="15" customHeight="1">
      <c r="A235" s="436" t="s">
        <v>294</v>
      </c>
      <c r="B235" s="413" t="s">
        <v>63</v>
      </c>
      <c r="C235" s="310">
        <v>0</v>
      </c>
      <c r="D235" s="310"/>
      <c r="E235" s="310">
        <f t="shared" si="17"/>
        <v>1E-3</v>
      </c>
      <c r="F235" s="435">
        <f>+SUM('RAE Anchoveta'!B293:B296)</f>
        <v>0</v>
      </c>
      <c r="G235" s="435">
        <f t="shared" si="18"/>
        <v>1E-3</v>
      </c>
      <c r="H235" s="553">
        <f t="shared" si="16"/>
        <v>1</v>
      </c>
      <c r="I235" s="710"/>
    </row>
    <row r="236" spans="1:9" ht="15" customHeight="1">
      <c r="A236" s="436" t="s">
        <v>295</v>
      </c>
      <c r="B236" s="413" t="s">
        <v>63</v>
      </c>
      <c r="C236" s="76">
        <v>1E-3</v>
      </c>
      <c r="D236" s="76"/>
      <c r="E236" s="76">
        <f t="shared" si="17"/>
        <v>1.4000000000000002E-2</v>
      </c>
      <c r="F236" s="434">
        <f>+SUM('RAE Anchoveta'!B309:B312)</f>
        <v>0</v>
      </c>
      <c r="G236" s="434">
        <f t="shared" si="18"/>
        <v>1.4000000000000002E-2</v>
      </c>
      <c r="H236" s="553">
        <f t="shared" si="16"/>
        <v>1</v>
      </c>
      <c r="I236" s="710"/>
    </row>
    <row r="237" spans="1:9" ht="15" customHeight="1">
      <c r="A237" s="436" t="s">
        <v>409</v>
      </c>
      <c r="B237" s="413" t="s">
        <v>63</v>
      </c>
      <c r="C237" s="52">
        <v>14</v>
      </c>
      <c r="D237" s="52"/>
      <c r="E237" s="52">
        <f t="shared" si="17"/>
        <v>252.81100000000001</v>
      </c>
      <c r="F237" s="320">
        <f>+SUM('RAE Anchoveta'!B325:B328)</f>
        <v>7.2759999999999998</v>
      </c>
      <c r="G237" s="320">
        <f t="shared" si="18"/>
        <v>245.535</v>
      </c>
      <c r="H237" s="553">
        <f t="shared" si="16"/>
        <v>0.9712196067417953</v>
      </c>
      <c r="I237" s="710"/>
    </row>
    <row r="238" spans="1:9" ht="15" customHeight="1">
      <c r="A238" s="436" t="s">
        <v>410</v>
      </c>
      <c r="B238" s="413" t="s">
        <v>63</v>
      </c>
      <c r="C238" s="52">
        <v>22</v>
      </c>
      <c r="D238" s="52"/>
      <c r="E238" s="52">
        <f t="shared" si="17"/>
        <v>369.28099999999995</v>
      </c>
      <c r="F238" s="320">
        <f>+SUM('RAE Anchoveta'!B341:B344)</f>
        <v>15.319000000000001</v>
      </c>
      <c r="G238" s="320">
        <f t="shared" si="18"/>
        <v>353.96199999999993</v>
      </c>
      <c r="H238" s="553">
        <f t="shared" si="16"/>
        <v>0.958516685125961</v>
      </c>
      <c r="I238" s="2673"/>
    </row>
    <row r="239" spans="1:9" ht="15" customHeight="1">
      <c r="A239" s="436" t="s">
        <v>411</v>
      </c>
      <c r="B239" s="413" t="s">
        <v>63</v>
      </c>
      <c r="C239" s="76">
        <v>0</v>
      </c>
      <c r="D239" s="76"/>
      <c r="E239" s="76">
        <f t="shared" si="17"/>
        <v>2E-3</v>
      </c>
      <c r="F239" s="434">
        <f>+SUM('RAE Anchoveta'!B357:B360)</f>
        <v>0</v>
      </c>
      <c r="G239" s="434">
        <f t="shared" si="18"/>
        <v>2E-3</v>
      </c>
      <c r="H239" s="553">
        <f t="shared" si="16"/>
        <v>1</v>
      </c>
      <c r="I239" s="710"/>
    </row>
    <row r="240" spans="1:9" ht="15" customHeight="1">
      <c r="A240" s="436" t="s">
        <v>412</v>
      </c>
      <c r="B240" s="413" t="s">
        <v>63</v>
      </c>
      <c r="C240" s="76">
        <v>0</v>
      </c>
      <c r="D240" s="76"/>
      <c r="E240" s="76">
        <f t="shared" si="17"/>
        <v>0</v>
      </c>
      <c r="F240" s="434">
        <f>+SUM('RAE Anchoveta'!B373:B376)</f>
        <v>0</v>
      </c>
      <c r="G240" s="434">
        <f t="shared" si="18"/>
        <v>0</v>
      </c>
      <c r="H240" s="553" t="e">
        <f t="shared" si="16"/>
        <v>#DIV/0!</v>
      </c>
      <c r="I240" s="710"/>
    </row>
    <row r="241" spans="1:14" ht="15" customHeight="1">
      <c r="A241" s="436" t="s">
        <v>119</v>
      </c>
      <c r="B241" s="413" t="s">
        <v>63</v>
      </c>
      <c r="C241" s="76">
        <v>1E-3</v>
      </c>
      <c r="D241" s="76"/>
      <c r="E241" s="76">
        <f t="shared" si="17"/>
        <v>2.1999999999999999E-2</v>
      </c>
      <c r="F241" s="434">
        <f>+SUM('RAE Anchoveta'!B389:B392)</f>
        <v>0</v>
      </c>
      <c r="G241" s="434">
        <f t="shared" si="18"/>
        <v>2.1999999999999999E-2</v>
      </c>
      <c r="H241" s="553">
        <f t="shared" si="16"/>
        <v>1</v>
      </c>
      <c r="I241" s="710"/>
    </row>
    <row r="242" spans="1:14" ht="15" customHeight="1">
      <c r="A242" s="58" t="s">
        <v>111</v>
      </c>
      <c r="B242" s="84" t="s">
        <v>63</v>
      </c>
      <c r="C242" s="390">
        <f>SUM(C225:C241)</f>
        <v>144.40800000000002</v>
      </c>
      <c r="D242" s="390"/>
      <c r="E242" s="390">
        <f>SUM(E225:E241)</f>
        <v>2474.0579999999995</v>
      </c>
      <c r="F242" s="390">
        <f>SUM(F225:F241)</f>
        <v>326.71600000000001</v>
      </c>
      <c r="G242" s="390">
        <f>+E242-F2051</f>
        <v>2474.0579999999995</v>
      </c>
      <c r="H242" s="14"/>
      <c r="I242" s="796"/>
    </row>
    <row r="243" spans="1:14" ht="15" customHeight="1">
      <c r="A243" s="66"/>
      <c r="B243" s="67"/>
      <c r="C243" s="63"/>
      <c r="D243" s="63"/>
      <c r="E243" s="63"/>
      <c r="F243" s="86"/>
      <c r="G243" s="64"/>
      <c r="H243" s="14"/>
      <c r="I243" s="796"/>
    </row>
    <row r="244" spans="1:14" ht="15" customHeight="1">
      <c r="A244" s="3852" t="s">
        <v>120</v>
      </c>
      <c r="B244" s="3853"/>
      <c r="C244" s="63"/>
      <c r="D244" s="63"/>
      <c r="E244" s="63"/>
      <c r="F244" s="86"/>
      <c r="G244" s="64"/>
      <c r="H244" s="14"/>
      <c r="I244" s="796"/>
      <c r="M244" s="845" t="s">
        <v>1231</v>
      </c>
    </row>
    <row r="245" spans="1:14" ht="5.0999999999999996" customHeight="1">
      <c r="A245" s="62"/>
      <c r="B245" s="11"/>
      <c r="C245" s="63"/>
      <c r="D245" s="63"/>
      <c r="E245" s="63"/>
      <c r="F245" s="64"/>
      <c r="G245" s="64"/>
      <c r="H245" s="77"/>
      <c r="I245" s="796"/>
    </row>
    <row r="246" spans="1:14" ht="15" customHeight="1">
      <c r="A246" s="199" t="s">
        <v>106</v>
      </c>
      <c r="B246" s="199" t="s">
        <v>107</v>
      </c>
      <c r="C246" s="233" t="s">
        <v>108</v>
      </c>
      <c r="D246" s="233" t="s">
        <v>819</v>
      </c>
      <c r="E246" s="233" t="s">
        <v>109</v>
      </c>
      <c r="F246" s="199" t="s">
        <v>47</v>
      </c>
      <c r="G246" s="199" t="s">
        <v>48</v>
      </c>
      <c r="H246" s="199" t="s">
        <v>110</v>
      </c>
      <c r="I246" s="797" t="s">
        <v>50</v>
      </c>
      <c r="M246" s="845" t="s">
        <v>1232</v>
      </c>
    </row>
    <row r="247" spans="1:14" ht="15" customHeight="1">
      <c r="A247" s="51" t="s">
        <v>121</v>
      </c>
      <c r="B247" s="314" t="s">
        <v>69</v>
      </c>
      <c r="C247" s="56">
        <v>4</v>
      </c>
      <c r="D247" s="56"/>
      <c r="E247" s="56">
        <f>+C247</f>
        <v>4</v>
      </c>
      <c r="F247" s="53">
        <f>+SUM('RAE Anchoveta'!B399:B404)</f>
        <v>0</v>
      </c>
      <c r="G247" s="71">
        <f>+E247-F247</f>
        <v>4</v>
      </c>
      <c r="H247" s="72">
        <f t="shared" ref="H247:H256" si="19">+F247/E247</f>
        <v>0</v>
      </c>
      <c r="I247" s="710"/>
      <c r="M247" s="169">
        <v>10</v>
      </c>
      <c r="N247" s="3199" t="s">
        <v>1237</v>
      </c>
    </row>
    <row r="248" spans="1:14" ht="15" customHeight="1">
      <c r="A248" s="51" t="s">
        <v>1233</v>
      </c>
      <c r="B248" s="314" t="s">
        <v>69</v>
      </c>
      <c r="C248" s="56">
        <v>623</v>
      </c>
      <c r="D248" s="56"/>
      <c r="E248" s="56">
        <f t="shared" ref="E248:E255" si="20">+C248</f>
        <v>623</v>
      </c>
      <c r="F248" s="53">
        <f>+SUM('RAE Anchoveta'!B415:B420)</f>
        <v>25.16</v>
      </c>
      <c r="G248" s="71">
        <f t="shared" ref="G248:G256" si="21">+E248-F248</f>
        <v>597.84</v>
      </c>
      <c r="H248" s="72">
        <f t="shared" si="19"/>
        <v>4.0385232744783305E-2</v>
      </c>
      <c r="I248" s="710"/>
      <c r="M248" s="169">
        <v>779</v>
      </c>
      <c r="N248" s="3199" t="s">
        <v>1238</v>
      </c>
    </row>
    <row r="249" spans="1:14" ht="15" customHeight="1">
      <c r="A249" s="669" t="s">
        <v>123</v>
      </c>
      <c r="B249" s="314" t="s">
        <v>69</v>
      </c>
      <c r="C249" s="56">
        <v>66</v>
      </c>
      <c r="D249" s="56"/>
      <c r="E249" s="56">
        <f t="shared" si="20"/>
        <v>66</v>
      </c>
      <c r="F249" s="53">
        <f>+SUM('RAE Anchoveta'!B431:B436)</f>
        <v>9.9650000000000016</v>
      </c>
      <c r="G249" s="71">
        <f t="shared" si="21"/>
        <v>56.034999999999997</v>
      </c>
      <c r="H249" s="72">
        <f t="shared" si="19"/>
        <v>0.1509848484848485</v>
      </c>
      <c r="I249" s="710"/>
      <c r="M249" s="169">
        <v>81</v>
      </c>
      <c r="N249" s="3199" t="s">
        <v>1239</v>
      </c>
    </row>
    <row r="250" spans="1:14" ht="15" customHeight="1">
      <c r="A250" s="51" t="s">
        <v>1247</v>
      </c>
      <c r="B250" s="314" t="s">
        <v>69</v>
      </c>
      <c r="C250" s="76">
        <v>0.995</v>
      </c>
      <c r="D250" s="76"/>
      <c r="E250" s="76">
        <f t="shared" si="20"/>
        <v>0.995</v>
      </c>
      <c r="F250" s="83">
        <f>+SUM('RAE Anchoveta'!B479:B484)</f>
        <v>0</v>
      </c>
      <c r="G250" s="83">
        <f t="shared" si="21"/>
        <v>0.995</v>
      </c>
      <c r="H250" s="72">
        <f t="shared" si="19"/>
        <v>0</v>
      </c>
      <c r="I250" s="710"/>
      <c r="M250" s="169">
        <v>551</v>
      </c>
      <c r="N250" s="3200" t="s">
        <v>1240</v>
      </c>
    </row>
    <row r="251" spans="1:14" ht="15" customHeight="1">
      <c r="A251" s="182" t="s">
        <v>1236</v>
      </c>
      <c r="B251" s="314" t="s">
        <v>69</v>
      </c>
      <c r="C251" s="56">
        <v>0</v>
      </c>
      <c r="D251" s="56"/>
      <c r="E251" s="56">
        <f t="shared" si="20"/>
        <v>0</v>
      </c>
      <c r="F251" s="53">
        <f>+SUM('RAE Anchoveta'!B511:B516)</f>
        <v>0</v>
      </c>
      <c r="G251" s="71">
        <f t="shared" si="21"/>
        <v>0</v>
      </c>
      <c r="H251" s="72" t="e">
        <f t="shared" si="19"/>
        <v>#DIV/0!</v>
      </c>
      <c r="I251" s="710"/>
      <c r="M251" s="169">
        <v>1.2430000000000001</v>
      </c>
      <c r="N251" s="3199" t="s">
        <v>1241</v>
      </c>
    </row>
    <row r="252" spans="1:14" ht="15" customHeight="1">
      <c r="A252" s="51" t="s">
        <v>124</v>
      </c>
      <c r="B252" s="314" t="s">
        <v>69</v>
      </c>
      <c r="C252" s="56">
        <v>441</v>
      </c>
      <c r="D252" s="56"/>
      <c r="E252" s="56">
        <f t="shared" si="20"/>
        <v>441</v>
      </c>
      <c r="F252" s="53">
        <f>+SUM('RAE Anchoveta'!B447:B452)</f>
        <v>39.640999999999998</v>
      </c>
      <c r="G252" s="71">
        <f t="shared" si="21"/>
        <v>401.35899999999998</v>
      </c>
      <c r="H252" s="72">
        <f t="shared" si="19"/>
        <v>8.9888888888888879E-2</v>
      </c>
      <c r="I252" s="710"/>
      <c r="M252" s="169">
        <v>4</v>
      </c>
      <c r="N252" s="3201" t="s">
        <v>1242</v>
      </c>
    </row>
    <row r="253" spans="1:14" ht="15" customHeight="1">
      <c r="A253" s="51" t="s">
        <v>1234</v>
      </c>
      <c r="B253" s="314" t="s">
        <v>69</v>
      </c>
      <c r="C253" s="56">
        <v>3</v>
      </c>
      <c r="D253" s="56"/>
      <c r="E253" s="56">
        <f t="shared" si="20"/>
        <v>3</v>
      </c>
      <c r="F253" s="53">
        <f>+SUM('RAE Anchoveta'!B463:B468)</f>
        <v>0</v>
      </c>
      <c r="G253" s="71">
        <f t="shared" si="21"/>
        <v>3</v>
      </c>
      <c r="H253" s="72">
        <f t="shared" si="19"/>
        <v>0</v>
      </c>
      <c r="I253" s="710"/>
      <c r="M253" s="169">
        <v>16</v>
      </c>
      <c r="N253" s="3201" t="s">
        <v>1243</v>
      </c>
    </row>
    <row r="254" spans="1:14" ht="15" customHeight="1">
      <c r="A254" s="51" t="s">
        <v>1235</v>
      </c>
      <c r="B254" s="314" t="s">
        <v>69</v>
      </c>
      <c r="C254" s="56">
        <v>16</v>
      </c>
      <c r="D254" s="56"/>
      <c r="E254" s="56">
        <f t="shared" si="20"/>
        <v>16</v>
      </c>
      <c r="F254" s="53">
        <f>+SUM('RAE Anchoveta'!B527:B532)</f>
        <v>1.22</v>
      </c>
      <c r="G254" s="71">
        <f t="shared" si="21"/>
        <v>14.78</v>
      </c>
      <c r="H254" s="72">
        <f t="shared" si="19"/>
        <v>7.6249999999999998E-2</v>
      </c>
      <c r="I254" s="710"/>
      <c r="M254" s="169">
        <v>0</v>
      </c>
      <c r="N254" s="3201" t="s">
        <v>1244</v>
      </c>
    </row>
    <row r="255" spans="1:14" ht="15" customHeight="1">
      <c r="A255" s="51" t="s">
        <v>407</v>
      </c>
      <c r="B255" s="314" t="s">
        <v>69</v>
      </c>
      <c r="C255" s="56">
        <v>261</v>
      </c>
      <c r="D255" s="56"/>
      <c r="E255" s="56">
        <f t="shared" si="20"/>
        <v>261</v>
      </c>
      <c r="F255" s="53">
        <f>+SUM('RAE Anchoveta'!B543:B548)</f>
        <v>2.456</v>
      </c>
      <c r="G255" s="71">
        <f t="shared" si="21"/>
        <v>258.54399999999998</v>
      </c>
      <c r="H255" s="72">
        <f t="shared" si="19"/>
        <v>9.4099616858237551E-3</v>
      </c>
      <c r="I255" s="710"/>
      <c r="M255" s="169">
        <v>326</v>
      </c>
      <c r="N255" s="3202" t="s">
        <v>1245</v>
      </c>
    </row>
    <row r="256" spans="1:14" ht="15" customHeight="1">
      <c r="A256" s="51" t="s">
        <v>119</v>
      </c>
      <c r="B256" s="314" t="s">
        <v>69</v>
      </c>
      <c r="C256" s="56">
        <v>14</v>
      </c>
      <c r="D256" s="56"/>
      <c r="E256" s="56">
        <f>+C256</f>
        <v>14</v>
      </c>
      <c r="F256" s="53">
        <f>+SUM('RAE Anchoveta'!B495:B500)</f>
        <v>19.069999999999997</v>
      </c>
      <c r="G256" s="386">
        <f t="shared" si="21"/>
        <v>-5.0699999999999967</v>
      </c>
      <c r="H256" s="72">
        <f t="shared" si="19"/>
        <v>1.3621428571428569</v>
      </c>
      <c r="I256" s="651">
        <v>41087</v>
      </c>
      <c r="M256" s="169">
        <v>18</v>
      </c>
      <c r="N256" s="3201" t="s">
        <v>1246</v>
      </c>
    </row>
    <row r="257" spans="1:14" ht="15" customHeight="1">
      <c r="A257" s="58" t="s">
        <v>111</v>
      </c>
      <c r="B257" s="58" t="s">
        <v>69</v>
      </c>
      <c r="C257" s="416">
        <f>SUM(C247:C256)</f>
        <v>1428.9949999999999</v>
      </c>
      <c r="D257" s="416"/>
      <c r="E257" s="416">
        <f>SUM(E247:E256)</f>
        <v>1428.9949999999999</v>
      </c>
      <c r="F257" s="416">
        <f>SUM(F247:F256)</f>
        <v>97.511999999999986</v>
      </c>
      <c r="G257" s="59">
        <f>+E257-F257</f>
        <v>1331.4829999999999</v>
      </c>
      <c r="H257" s="77"/>
      <c r="I257" s="796"/>
      <c r="M257" s="169">
        <f>SUM(M247:M256)</f>
        <v>1786.2429999999999</v>
      </c>
    </row>
    <row r="258" spans="1:14" ht="5.0999999999999996" customHeight="1">
      <c r="A258" s="62"/>
      <c r="B258" s="11"/>
      <c r="C258" s="63"/>
      <c r="D258" s="63"/>
      <c r="E258" s="63"/>
      <c r="F258" s="64"/>
      <c r="G258" s="64"/>
      <c r="H258" s="77"/>
      <c r="I258" s="796"/>
    </row>
    <row r="259" spans="1:14" ht="15" customHeight="1">
      <c r="A259" s="199" t="s">
        <v>106</v>
      </c>
      <c r="B259" s="199" t="s">
        <v>107</v>
      </c>
      <c r="C259" s="233" t="s">
        <v>108</v>
      </c>
      <c r="D259" s="233" t="s">
        <v>819</v>
      </c>
      <c r="E259" s="233" t="s">
        <v>109</v>
      </c>
      <c r="F259" s="199" t="s">
        <v>47</v>
      </c>
      <c r="G259" s="199" t="s">
        <v>48</v>
      </c>
      <c r="H259" s="199" t="s">
        <v>110</v>
      </c>
      <c r="I259" s="797" t="s">
        <v>50</v>
      </c>
    </row>
    <row r="260" spans="1:14" ht="15" customHeight="1">
      <c r="A260" s="51" t="s">
        <v>121</v>
      </c>
      <c r="B260" s="413" t="s">
        <v>70</v>
      </c>
      <c r="C260" s="56">
        <v>6</v>
      </c>
      <c r="D260" s="56"/>
      <c r="E260" s="56">
        <f>+C260+G247</f>
        <v>10</v>
      </c>
      <c r="F260" s="53">
        <f>+SUM('RAE Anchoveta'!B405:B410)</f>
        <v>0</v>
      </c>
      <c r="G260" s="53">
        <f t="shared" ref="G260:G269" si="22">+E260-F260</f>
        <v>10</v>
      </c>
      <c r="H260" s="72">
        <f>+F260/E260</f>
        <v>0</v>
      </c>
      <c r="I260" s="799"/>
      <c r="N260" s="3199" t="s">
        <v>1237</v>
      </c>
    </row>
    <row r="261" spans="1:14" ht="15" customHeight="1">
      <c r="A261" s="51" t="s">
        <v>1233</v>
      </c>
      <c r="B261" s="413" t="s">
        <v>70</v>
      </c>
      <c r="C261" s="56">
        <v>156</v>
      </c>
      <c r="D261" s="56"/>
      <c r="E261" s="56">
        <f t="shared" ref="E261:E269" si="23">+C261+G248</f>
        <v>753.84</v>
      </c>
      <c r="F261" s="53">
        <f>+SUM('RAE Anchoveta'!B421:B426)</f>
        <v>0</v>
      </c>
      <c r="G261" s="53">
        <f t="shared" si="22"/>
        <v>753.84</v>
      </c>
      <c r="H261" s="72">
        <f t="shared" ref="H261:H269" si="24">+F261/E261</f>
        <v>0</v>
      </c>
      <c r="I261" s="799"/>
      <c r="N261" s="3199" t="s">
        <v>1238</v>
      </c>
    </row>
    <row r="262" spans="1:14" ht="15" customHeight="1">
      <c r="A262" s="669" t="s">
        <v>123</v>
      </c>
      <c r="B262" s="413" t="s">
        <v>70</v>
      </c>
      <c r="C262" s="56">
        <v>15</v>
      </c>
      <c r="D262" s="56"/>
      <c r="E262" s="56">
        <f t="shared" si="23"/>
        <v>71.034999999999997</v>
      </c>
      <c r="F262" s="53">
        <f>+SUM('RAE Anchoveta'!B437:B442)</f>
        <v>0</v>
      </c>
      <c r="G262" s="53">
        <f t="shared" si="22"/>
        <v>71.034999999999997</v>
      </c>
      <c r="H262" s="72">
        <f>+F262/E262</f>
        <v>0</v>
      </c>
      <c r="I262" s="710"/>
      <c r="N262" s="3199" t="s">
        <v>1239</v>
      </c>
    </row>
    <row r="263" spans="1:14" ht="15" customHeight="1">
      <c r="A263" s="51" t="s">
        <v>1247</v>
      </c>
      <c r="B263" s="413" t="s">
        <v>70</v>
      </c>
      <c r="C263" s="310">
        <v>0.248</v>
      </c>
      <c r="D263" s="310"/>
      <c r="E263" s="310">
        <f t="shared" si="23"/>
        <v>1.2429999999999999</v>
      </c>
      <c r="F263" s="162">
        <f>+SUM('RAE Anchoveta'!B485:B490)</f>
        <v>0</v>
      </c>
      <c r="G263" s="162">
        <f t="shared" si="22"/>
        <v>1.2429999999999999</v>
      </c>
      <c r="H263" s="72">
        <f t="shared" si="24"/>
        <v>0</v>
      </c>
      <c r="I263" s="710"/>
      <c r="N263" s="3200" t="s">
        <v>1240</v>
      </c>
    </row>
    <row r="264" spans="1:14" ht="15" customHeight="1">
      <c r="A264" s="182" t="s">
        <v>1236</v>
      </c>
      <c r="B264" s="413" t="s">
        <v>70</v>
      </c>
      <c r="C264" s="56">
        <v>0</v>
      </c>
      <c r="D264" s="56"/>
      <c r="E264" s="56">
        <f t="shared" si="23"/>
        <v>0</v>
      </c>
      <c r="F264" s="53">
        <f>+SUM('RAE Anchoveta'!B517:B522)</f>
        <v>0</v>
      </c>
      <c r="G264" s="53">
        <f t="shared" si="22"/>
        <v>0</v>
      </c>
      <c r="H264" s="72" t="e">
        <f t="shared" si="24"/>
        <v>#DIV/0!</v>
      </c>
      <c r="I264" s="710"/>
      <c r="N264" s="3199" t="s">
        <v>1241</v>
      </c>
    </row>
    <row r="265" spans="1:14" ht="15" customHeight="1">
      <c r="A265" s="51" t="s">
        <v>124</v>
      </c>
      <c r="B265" s="413" t="s">
        <v>70</v>
      </c>
      <c r="C265" s="56">
        <v>110</v>
      </c>
      <c r="D265" s="56"/>
      <c r="E265" s="56">
        <f t="shared" si="23"/>
        <v>511.35899999999998</v>
      </c>
      <c r="F265" s="53">
        <f>+SUM('RAE Anchoveta'!B453:B458)</f>
        <v>1.2</v>
      </c>
      <c r="G265" s="53">
        <f t="shared" si="22"/>
        <v>510.15899999999999</v>
      </c>
      <c r="H265" s="72">
        <f t="shared" si="24"/>
        <v>2.3466879433040192E-3</v>
      </c>
      <c r="I265" s="710"/>
      <c r="N265" s="3201" t="s">
        <v>1242</v>
      </c>
    </row>
    <row r="266" spans="1:14" ht="15" customHeight="1">
      <c r="A266" s="51" t="s">
        <v>1234</v>
      </c>
      <c r="B266" s="413" t="s">
        <v>70</v>
      </c>
      <c r="C266" s="56">
        <v>1</v>
      </c>
      <c r="D266" s="56"/>
      <c r="E266" s="56">
        <f t="shared" si="23"/>
        <v>4</v>
      </c>
      <c r="F266" s="53">
        <f>+SUM('RAE Anchoveta'!B469:B474)</f>
        <v>0</v>
      </c>
      <c r="G266" s="53">
        <f t="shared" si="22"/>
        <v>4</v>
      </c>
      <c r="H266" s="72">
        <f t="shared" si="24"/>
        <v>0</v>
      </c>
      <c r="I266" s="710"/>
      <c r="N266" s="3201" t="s">
        <v>1243</v>
      </c>
    </row>
    <row r="267" spans="1:14" ht="15" customHeight="1">
      <c r="A267" s="51" t="s">
        <v>1235</v>
      </c>
      <c r="B267" s="413" t="s">
        <v>70</v>
      </c>
      <c r="C267" s="56">
        <v>0</v>
      </c>
      <c r="D267" s="56"/>
      <c r="E267" s="56">
        <f t="shared" si="23"/>
        <v>14.78</v>
      </c>
      <c r="F267" s="53">
        <f>+SUM('RAE Anchoveta'!B533:B538)</f>
        <v>0</v>
      </c>
      <c r="G267" s="53">
        <f t="shared" si="22"/>
        <v>14.78</v>
      </c>
      <c r="H267" s="72">
        <f t="shared" si="24"/>
        <v>0</v>
      </c>
      <c r="I267" s="710"/>
      <c r="N267" s="3201" t="s">
        <v>1244</v>
      </c>
    </row>
    <row r="268" spans="1:14" ht="15" customHeight="1">
      <c r="A268" s="51" t="s">
        <v>407</v>
      </c>
      <c r="B268" s="413" t="s">
        <v>70</v>
      </c>
      <c r="C268" s="56">
        <v>65</v>
      </c>
      <c r="D268" s="56"/>
      <c r="E268" s="56">
        <f t="shared" si="23"/>
        <v>323.54399999999998</v>
      </c>
      <c r="F268" s="53">
        <f>+SUM('RAE Anchoveta'!B549:B554)</f>
        <v>0</v>
      </c>
      <c r="G268" s="53">
        <f t="shared" si="22"/>
        <v>323.54399999999998</v>
      </c>
      <c r="H268" s="72">
        <f t="shared" si="24"/>
        <v>0</v>
      </c>
      <c r="I268" s="710"/>
      <c r="N268" s="3202" t="s">
        <v>1245</v>
      </c>
    </row>
    <row r="269" spans="1:14" ht="15" customHeight="1">
      <c r="A269" s="51" t="s">
        <v>119</v>
      </c>
      <c r="B269" s="413" t="s">
        <v>70</v>
      </c>
      <c r="C269" s="56">
        <v>4</v>
      </c>
      <c r="D269" s="56"/>
      <c r="E269" s="56">
        <f t="shared" si="23"/>
        <v>-1.0699999999999967</v>
      </c>
      <c r="F269" s="53">
        <f>+SUM('RAE Anchoveta'!B501:B506)</f>
        <v>0</v>
      </c>
      <c r="G269" s="1858">
        <f t="shared" si="22"/>
        <v>-1.0699999999999967</v>
      </c>
      <c r="H269" s="72">
        <f t="shared" si="24"/>
        <v>0</v>
      </c>
      <c r="I269" s="710"/>
      <c r="N269" s="3201" t="s">
        <v>1246</v>
      </c>
    </row>
    <row r="270" spans="1:14" ht="15" customHeight="1">
      <c r="A270" s="58" t="s">
        <v>111</v>
      </c>
      <c r="B270" s="84" t="s">
        <v>70</v>
      </c>
      <c r="C270" s="59">
        <f>SUM(C260:C269)</f>
        <v>357.24799999999999</v>
      </c>
      <c r="D270" s="59"/>
      <c r="E270" s="59">
        <f>+C270+G257</f>
        <v>1688.731</v>
      </c>
      <c r="F270" s="59">
        <f>SUM(F260:F269)</f>
        <v>1.2</v>
      </c>
      <c r="G270" s="59">
        <f>+E270-F270</f>
        <v>1687.5309999999999</v>
      </c>
      <c r="H270" s="77"/>
      <c r="I270" s="802"/>
    </row>
    <row r="271" spans="1:14">
      <c r="C271" s="742"/>
    </row>
  </sheetData>
  <mergeCells count="8">
    <mergeCell ref="A244:B244"/>
    <mergeCell ref="A2:I2"/>
    <mergeCell ref="A18:B18"/>
    <mergeCell ref="A52:B52"/>
    <mergeCell ref="A182:B182"/>
    <mergeCell ref="G52:H52"/>
    <mergeCell ref="A4:B4"/>
    <mergeCell ref="A35:B35"/>
  </mergeCells>
  <phoneticPr fontId="0" type="noConversion"/>
  <conditionalFormatting sqref="H13:H15 H7:H9 H21:H22 H26:H27 H31:H32 H38:H39 H43:H44 H48:H49 H185:H201 H116 H205:H221 H225:H241 H179:H180">
    <cfRule type="cellIs" dxfId="12430" priority="811" stopIfTrue="1" operator="lessThan">
      <formula>0</formula>
    </cfRule>
    <cfRule type="cellIs" dxfId="12429" priority="813" stopIfTrue="1" operator="lessThan">
      <formula>0</formula>
    </cfRule>
  </conditionalFormatting>
  <conditionalFormatting sqref="H13:H15 H7:H9 H21:H22 H26:H27 H31:H32 H38:H39 H43:H44 H48:H49 H185:H201 H116 H205:H221 H225:H241 H179:H180">
    <cfRule type="cellIs" dxfId="12428" priority="764" stopIfTrue="1" operator="lessThan">
      <formula>0.05</formula>
    </cfRule>
  </conditionalFormatting>
  <conditionalFormatting sqref="H13 H7">
    <cfRule type="cellIs" dxfId="12427" priority="716" stopIfTrue="1" operator="lessThan">
      <formula>0</formula>
    </cfRule>
    <cfRule type="cellIs" dxfId="12426" priority="722" stopIfTrue="1" operator="lessThan">
      <formula>-0.01</formula>
    </cfRule>
    <cfRule type="cellIs" dxfId="12425" priority="723" stopIfTrue="1" operator="lessThan">
      <formula>-0.01</formula>
    </cfRule>
    <cfRule type="cellIs" dxfId="12424" priority="725" stopIfTrue="1" operator="lessThan">
      <formula>0</formula>
    </cfRule>
    <cfRule type="cellIs" dxfId="12423" priority="726" stopIfTrue="1" operator="lessThan">
      <formula>0</formula>
    </cfRule>
  </conditionalFormatting>
  <conditionalFormatting sqref="H14:H15 H8:H9">
    <cfRule type="cellIs" dxfId="12422" priority="718" stopIfTrue="1" operator="lessThan">
      <formula>-0.01</formula>
    </cfRule>
    <cfRule type="cellIs" dxfId="12421" priority="719" stopIfTrue="1" operator="lessThan">
      <formula>-0.01</formula>
    </cfRule>
    <cfRule type="cellIs" dxfId="12420" priority="720" stopIfTrue="1" operator="lessThan">
      <formula>0</formula>
    </cfRule>
    <cfRule type="cellIs" dxfId="12419" priority="721" stopIfTrue="1" operator="lessThan">
      <formula>0</formula>
    </cfRule>
  </conditionalFormatting>
  <conditionalFormatting sqref="H8">
    <cfRule type="cellIs" dxfId="12418" priority="620" stopIfTrue="1" operator="lessThan">
      <formula>0</formula>
    </cfRule>
    <cfRule type="cellIs" dxfId="12417" priority="651" stopIfTrue="1" operator="lessThan">
      <formula>0</formula>
    </cfRule>
    <cfRule type="cellIs" dxfId="12416" priority="652" stopIfTrue="1" operator="lessThan">
      <formula>0</formula>
    </cfRule>
  </conditionalFormatting>
  <conditionalFormatting sqref="H34">
    <cfRule type="cellIs" dxfId="12415" priority="2" stopIfTrue="1" operator="lessThan">
      <formula>0</formula>
    </cfRule>
    <cfRule type="cellIs" dxfId="12414" priority="3" stopIfTrue="1" operator="lessThan">
      <formula>0</formula>
    </cfRule>
  </conditionalFormatting>
  <conditionalFormatting sqref="H34">
    <cfRule type="cellIs" dxfId="12413" priority="1" stopIfTrue="1" operator="lessThan">
      <formula>0.05</formula>
    </cfRule>
  </conditionalFormatting>
  <pageMargins left="1.2598425196850394" right="0.39370078740157483" top="0.39370078740157483" bottom="0.35433070866141736" header="0" footer="0"/>
  <pageSetup paperSize="5" orientation="landscape" r:id="rId1"/>
  <headerFooter alignWithMargins="0"/>
  <rowBreaks count="3" manualBreakCount="3">
    <brk id="51" max="7" man="1"/>
    <brk id="117" max="7" man="1"/>
    <brk id="180" max="7" man="1"/>
  </rowBreaks>
  <legacyDrawing r:id="rId2"/>
  <oleObjects>
    <oleObject progId="MSPhotoEd.3" shapeId="7169" r:id="rId3"/>
  </oleObjects>
</worksheet>
</file>

<file path=xl/worksheets/sheet5.xml><?xml version="1.0" encoding="utf-8"?>
<worksheet xmlns="http://schemas.openxmlformats.org/spreadsheetml/2006/main" xmlns:r="http://schemas.openxmlformats.org/officeDocument/2006/relationships">
  <dimension ref="A1:O260"/>
  <sheetViews>
    <sheetView zoomScale="80" zoomScaleNormal="80" zoomScaleSheetLayoutView="71" workbookViewId="0">
      <selection activeCell="K21" sqref="K21"/>
    </sheetView>
  </sheetViews>
  <sheetFormatPr baseColWidth="10" defaultRowHeight="13.2"/>
  <cols>
    <col min="1" max="1" width="63.33203125" style="510" customWidth="1"/>
    <col min="2" max="2" width="13.109375" style="510" customWidth="1"/>
    <col min="3" max="3" width="19.88671875" style="510" customWidth="1"/>
    <col min="4" max="4" width="10.6640625" style="510" customWidth="1"/>
    <col min="5" max="5" width="20" style="510" customWidth="1"/>
    <col min="6" max="6" width="19.6640625" style="510" customWidth="1"/>
    <col min="7" max="7" width="11.88671875" style="510" bestFit="1" customWidth="1"/>
    <col min="8" max="8" width="9.88671875" style="510" customWidth="1"/>
    <col min="9" max="9" width="15.88671875" style="994" bestFit="1" customWidth="1"/>
    <col min="10" max="10" width="12.109375" style="246" customWidth="1"/>
    <col min="11" max="11" width="11.109375" bestFit="1" customWidth="1"/>
  </cols>
  <sheetData>
    <row r="1" spans="1:10">
      <c r="J1" s="647"/>
    </row>
    <row r="2" spans="1:10" ht="13.8">
      <c r="A2" s="3864" t="s">
        <v>402</v>
      </c>
      <c r="B2" s="3865"/>
      <c r="C2" s="3865"/>
      <c r="D2" s="3865"/>
      <c r="E2" s="3865"/>
      <c r="F2" s="3865"/>
      <c r="G2" s="3865"/>
      <c r="H2" s="3865"/>
      <c r="I2" s="3866"/>
      <c r="J2" s="647"/>
    </row>
    <row r="3" spans="1:10" s="168" customFormat="1" ht="13.8">
      <c r="A3" s="2561"/>
      <c r="B3" s="2561"/>
      <c r="C3" s="2561"/>
      <c r="D3" s="2561"/>
      <c r="E3" s="2561"/>
      <c r="F3" s="2561"/>
      <c r="G3" s="2561"/>
      <c r="H3" s="2561"/>
      <c r="I3" s="2561"/>
      <c r="J3" s="648"/>
    </row>
    <row r="4" spans="1:10" ht="18.75" customHeight="1">
      <c r="A4" s="153"/>
      <c r="B4" s="153"/>
      <c r="C4" s="2562"/>
      <c r="D4" s="2562"/>
      <c r="E4" s="2562"/>
      <c r="F4" s="2563"/>
      <c r="G4" s="2563"/>
      <c r="H4" s="571"/>
      <c r="I4" s="2563"/>
      <c r="J4" s="647"/>
    </row>
    <row r="5" spans="1:10" ht="13.8">
      <c r="A5" s="3862" t="s">
        <v>105</v>
      </c>
      <c r="B5" s="3863"/>
      <c r="C5" s="139"/>
      <c r="D5" s="139"/>
      <c r="E5" s="139"/>
      <c r="F5" s="153"/>
      <c r="G5" s="153"/>
      <c r="H5" s="142"/>
      <c r="I5" s="2563"/>
      <c r="J5" s="647"/>
    </row>
    <row r="6" spans="1:10" ht="13.8">
      <c r="A6" s="142"/>
      <c r="B6" s="153"/>
      <c r="C6" s="139"/>
      <c r="D6" s="139"/>
      <c r="E6" s="139"/>
      <c r="F6" s="153"/>
      <c r="G6" s="153"/>
      <c r="H6" s="142"/>
      <c r="I6" s="2563"/>
      <c r="J6" s="647"/>
    </row>
    <row r="7" spans="1:10" ht="13.8">
      <c r="A7" s="1432" t="s">
        <v>106</v>
      </c>
      <c r="B7" s="1432" t="s">
        <v>107</v>
      </c>
      <c r="C7" s="792" t="s">
        <v>108</v>
      </c>
      <c r="D7" s="792" t="s">
        <v>645</v>
      </c>
      <c r="E7" s="792" t="s">
        <v>109</v>
      </c>
      <c r="F7" s="1432" t="s">
        <v>47</v>
      </c>
      <c r="G7" s="1432" t="s">
        <v>48</v>
      </c>
      <c r="H7" s="1432" t="s">
        <v>663</v>
      </c>
      <c r="I7" s="508" t="s">
        <v>50</v>
      </c>
      <c r="J7" s="647"/>
    </row>
    <row r="8" spans="1:10" ht="13.8">
      <c r="A8" s="2564" t="s">
        <v>272</v>
      </c>
      <c r="B8" s="2565" t="s">
        <v>61</v>
      </c>
      <c r="C8" s="2566">
        <v>6561</v>
      </c>
      <c r="D8" s="2566"/>
      <c r="E8" s="2566">
        <f>+C8</f>
        <v>6561</v>
      </c>
      <c r="F8" s="480">
        <f>+SUM('RAE S.común'!B8:B11)</f>
        <v>2409.39</v>
      </c>
      <c r="G8" s="2567">
        <f>+E8-F8</f>
        <v>4151.6100000000006</v>
      </c>
      <c r="H8" s="2568">
        <f>+G8/E8</f>
        <v>0.6327709190672155</v>
      </c>
      <c r="I8" s="2569"/>
      <c r="J8" s="647"/>
    </row>
    <row r="9" spans="1:10" ht="13.8">
      <c r="A9" s="2564" t="s">
        <v>273</v>
      </c>
      <c r="B9" s="611" t="s">
        <v>61</v>
      </c>
      <c r="C9" s="2566">
        <v>2239</v>
      </c>
      <c r="D9" s="2566"/>
      <c r="E9" s="2566">
        <f>+C9</f>
        <v>2239</v>
      </c>
      <c r="F9" s="480">
        <f>+SUM('RAE S.común'!B24:B27)</f>
        <v>657.93000000000006</v>
      </c>
      <c r="G9" s="2566">
        <f>+E9-F9</f>
        <v>1581.07</v>
      </c>
      <c r="H9" s="2568">
        <f>+G9/E9</f>
        <v>0.7061500669941938</v>
      </c>
      <c r="I9" s="2570"/>
      <c r="J9" s="647"/>
    </row>
    <row r="10" spans="1:10" ht="13.8">
      <c r="A10" s="575" t="s">
        <v>111</v>
      </c>
      <c r="B10" s="575" t="s">
        <v>61</v>
      </c>
      <c r="C10" s="2571">
        <f>SUM(C8:C9)</f>
        <v>8800</v>
      </c>
      <c r="D10" s="2571"/>
      <c r="E10" s="2571">
        <f>SUM(E8:E9)</f>
        <v>8800</v>
      </c>
      <c r="F10" s="2572">
        <f>SUM(F8:F9)</f>
        <v>3067.3199999999997</v>
      </c>
      <c r="G10" s="2571">
        <f>+E10-F10</f>
        <v>5732.68</v>
      </c>
      <c r="H10" s="153"/>
      <c r="I10" s="2563"/>
      <c r="J10" s="647"/>
    </row>
    <row r="11" spans="1:10" ht="13.8">
      <c r="A11" s="609"/>
      <c r="B11" s="153"/>
      <c r="C11" s="2573"/>
      <c r="D11" s="2573"/>
      <c r="E11" s="2573"/>
      <c r="F11" s="610"/>
      <c r="G11" s="610"/>
      <c r="H11" s="153"/>
      <c r="I11" s="2563"/>
      <c r="J11" s="647"/>
    </row>
    <row r="12" spans="1:10" ht="13.8">
      <c r="A12" s="1432" t="s">
        <v>106</v>
      </c>
      <c r="B12" s="1432" t="s">
        <v>107</v>
      </c>
      <c r="C12" s="792" t="s">
        <v>108</v>
      </c>
      <c r="D12" s="792"/>
      <c r="E12" s="792" t="s">
        <v>109</v>
      </c>
      <c r="F12" s="1432" t="s">
        <v>47</v>
      </c>
      <c r="G12" s="1432" t="s">
        <v>48</v>
      </c>
      <c r="H12" s="1432" t="s">
        <v>663</v>
      </c>
      <c r="I12" s="508" t="s">
        <v>50</v>
      </c>
      <c r="J12" s="647"/>
    </row>
    <row r="13" spans="1:10" ht="13.8">
      <c r="A13" s="2564" t="s">
        <v>272</v>
      </c>
      <c r="B13" s="2565" t="s">
        <v>62</v>
      </c>
      <c r="C13" s="2566">
        <v>772</v>
      </c>
      <c r="D13" s="2566"/>
      <c r="E13" s="2566">
        <f>+C13+G8</f>
        <v>4923.6100000000006</v>
      </c>
      <c r="F13" s="480">
        <f>+SUM('RAE S.común'!B12:B15)</f>
        <v>2975.7810000000004</v>
      </c>
      <c r="G13" s="2567">
        <f>+E13-F13</f>
        <v>1947.8290000000002</v>
      </c>
      <c r="H13" s="2568">
        <f>+G13/E13</f>
        <v>0.39560992848743098</v>
      </c>
      <c r="I13" s="2574"/>
      <c r="J13" s="647"/>
    </row>
    <row r="14" spans="1:10" ht="13.8">
      <c r="A14" s="2564" t="s">
        <v>273</v>
      </c>
      <c r="B14" s="611" t="s">
        <v>62</v>
      </c>
      <c r="C14" s="2566">
        <v>263</v>
      </c>
      <c r="D14" s="2566"/>
      <c r="E14" s="2566">
        <f>+C14+G9</f>
        <v>1844.07</v>
      </c>
      <c r="F14" s="480">
        <f>+SUM('RAE S.común'!B28:B31)</f>
        <v>932.07100000000003</v>
      </c>
      <c r="G14" s="2567">
        <f>+E14-F14</f>
        <v>911.99899999999991</v>
      </c>
      <c r="H14" s="2568">
        <f>+G14/E14</f>
        <v>0.4945576903262891</v>
      </c>
      <c r="I14" s="2575"/>
      <c r="J14" s="647"/>
    </row>
    <row r="15" spans="1:10" ht="13.8">
      <c r="A15" s="575" t="s">
        <v>111</v>
      </c>
      <c r="B15" s="2576" t="s">
        <v>62</v>
      </c>
      <c r="C15" s="2571">
        <f>SUM(C13:C14)</f>
        <v>1035</v>
      </c>
      <c r="D15" s="2571"/>
      <c r="E15" s="2571">
        <f>+C15+G10</f>
        <v>6767.68</v>
      </c>
      <c r="F15" s="2577">
        <f>SUM(F13:F14)</f>
        <v>3907.8520000000003</v>
      </c>
      <c r="G15" s="2578">
        <f>+E15-F15</f>
        <v>2859.828</v>
      </c>
      <c r="H15" s="153"/>
      <c r="I15" s="2563"/>
      <c r="J15" s="647"/>
    </row>
    <row r="16" spans="1:10" ht="13.8">
      <c r="A16" s="612"/>
      <c r="B16" s="613"/>
      <c r="C16" s="2573"/>
      <c r="D16" s="2573"/>
      <c r="E16" s="2573"/>
      <c r="F16" s="2573"/>
      <c r="G16" s="610"/>
      <c r="H16" s="153"/>
      <c r="I16" s="2563"/>
      <c r="J16" s="647"/>
    </row>
    <row r="17" spans="1:10" ht="13.8">
      <c r="A17" s="1432" t="s">
        <v>106</v>
      </c>
      <c r="B17" s="1432" t="s">
        <v>107</v>
      </c>
      <c r="C17" s="792" t="s">
        <v>108</v>
      </c>
      <c r="D17" s="792"/>
      <c r="E17" s="792" t="s">
        <v>109</v>
      </c>
      <c r="F17" s="1432" t="s">
        <v>47</v>
      </c>
      <c r="G17" s="1432" t="s">
        <v>48</v>
      </c>
      <c r="H17" s="1432" t="s">
        <v>663</v>
      </c>
      <c r="I17" s="508">
        <v>2</v>
      </c>
      <c r="J17" s="647"/>
    </row>
    <row r="18" spans="1:10" ht="13.8">
      <c r="A18" s="2564" t="s">
        <v>272</v>
      </c>
      <c r="B18" s="2565" t="s">
        <v>63</v>
      </c>
      <c r="C18" s="2566">
        <v>385</v>
      </c>
      <c r="D18" s="2566"/>
      <c r="E18" s="2566">
        <f>+C18+G13</f>
        <v>2332.8290000000002</v>
      </c>
      <c r="F18" s="480">
        <f>+SUM('RAE S.común'!B16:B19)</f>
        <v>2329.9650000000001</v>
      </c>
      <c r="G18" s="2567">
        <f>+E18-F18</f>
        <v>2.8640000000000327</v>
      </c>
      <c r="H18" s="3071">
        <f>+G18/E18</f>
        <v>1.2276939287020319E-3</v>
      </c>
      <c r="I18" s="3070">
        <v>41240</v>
      </c>
      <c r="J18" s="3069"/>
    </row>
    <row r="19" spans="1:10" ht="13.8">
      <c r="A19" s="2564" t="s">
        <v>273</v>
      </c>
      <c r="B19" s="611" t="s">
        <v>63</v>
      </c>
      <c r="C19" s="2566">
        <v>132</v>
      </c>
      <c r="D19" s="2566"/>
      <c r="E19" s="2566">
        <f>+C19+G14</f>
        <v>1043.9989999999998</v>
      </c>
      <c r="F19" s="480">
        <f>+SUM('RAE S.común'!B32:B35)</f>
        <v>406.97500000000002</v>
      </c>
      <c r="G19" s="2567">
        <f>+E19-F19</f>
        <v>637.02399999999977</v>
      </c>
      <c r="H19" s="2568">
        <f>+G19/E19</f>
        <v>0.61017682967129272</v>
      </c>
      <c r="I19" s="2579"/>
      <c r="J19" s="647"/>
    </row>
    <row r="20" spans="1:10" ht="13.8">
      <c r="A20" s="575" t="s">
        <v>111</v>
      </c>
      <c r="B20" s="2576" t="s">
        <v>63</v>
      </c>
      <c r="C20" s="2571">
        <f>SUM(C18:C19)</f>
        <v>517</v>
      </c>
      <c r="D20" s="2571"/>
      <c r="E20" s="2571">
        <f>+C20+G15</f>
        <v>3376.828</v>
      </c>
      <c r="F20" s="2577">
        <f>SUM(F18:F19)</f>
        <v>2736.94</v>
      </c>
      <c r="G20" s="2572">
        <f>+E20-F20</f>
        <v>639.88799999999992</v>
      </c>
      <c r="H20" s="153"/>
      <c r="I20" s="2563"/>
      <c r="J20" s="647"/>
    </row>
    <row r="21" spans="1:10" ht="13.8">
      <c r="A21" s="1423"/>
      <c r="B21" s="2580"/>
      <c r="C21" s="2581"/>
      <c r="D21" s="2581"/>
      <c r="E21" s="2581"/>
      <c r="F21" s="2582"/>
      <c r="G21" s="1424"/>
      <c r="H21" s="153"/>
      <c r="I21" s="2563"/>
      <c r="J21" s="647"/>
    </row>
    <row r="22" spans="1:10" ht="13.8">
      <c r="A22" s="3862" t="s">
        <v>650</v>
      </c>
      <c r="B22" s="3863"/>
      <c r="C22" s="139"/>
      <c r="D22" s="139"/>
      <c r="E22" s="139"/>
      <c r="F22" s="153"/>
      <c r="G22" s="153"/>
      <c r="H22" s="142"/>
      <c r="I22" s="2563"/>
      <c r="J22" s="647"/>
    </row>
    <row r="23" spans="1:10" ht="13.8">
      <c r="A23" s="142"/>
      <c r="B23" s="153"/>
      <c r="C23" s="139"/>
      <c r="D23" s="139"/>
      <c r="E23" s="139"/>
      <c r="F23" s="153"/>
      <c r="G23" s="153"/>
      <c r="H23" s="142"/>
      <c r="I23" s="2563"/>
      <c r="J23" s="647"/>
    </row>
    <row r="24" spans="1:10" ht="13.8">
      <c r="A24" s="1432" t="s">
        <v>106</v>
      </c>
      <c r="B24" s="1432" t="s">
        <v>107</v>
      </c>
      <c r="C24" s="792" t="s">
        <v>108</v>
      </c>
      <c r="D24" s="792" t="s">
        <v>645</v>
      </c>
      <c r="E24" s="792" t="s">
        <v>109</v>
      </c>
      <c r="F24" s="1432" t="s">
        <v>47</v>
      </c>
      <c r="G24" s="1432" t="s">
        <v>48</v>
      </c>
      <c r="H24" s="1432" t="s">
        <v>663</v>
      </c>
      <c r="I24" s="508" t="s">
        <v>50</v>
      </c>
      <c r="J24" s="647"/>
    </row>
    <row r="25" spans="1:10" s="703" customFormat="1">
      <c r="A25" s="843" t="s">
        <v>651</v>
      </c>
      <c r="B25" s="2583" t="s">
        <v>61</v>
      </c>
      <c r="C25" s="2566">
        <v>2994</v>
      </c>
      <c r="D25" s="2584">
        <v>-303</v>
      </c>
      <c r="E25" s="2585">
        <f>+C25+D25</f>
        <v>2691</v>
      </c>
      <c r="F25" s="2586">
        <v>961.5</v>
      </c>
      <c r="G25" s="2587">
        <f>+E25-F25</f>
        <v>1729.5</v>
      </c>
      <c r="H25" s="2568">
        <f>+G25/E25</f>
        <v>0.64269788182831666</v>
      </c>
      <c r="I25" s="2588"/>
      <c r="J25" s="844"/>
    </row>
    <row r="26" spans="1:10" s="703" customFormat="1">
      <c r="A26" s="843" t="s">
        <v>206</v>
      </c>
      <c r="B26" s="611" t="s">
        <v>61</v>
      </c>
      <c r="C26" s="2566">
        <v>188</v>
      </c>
      <c r="D26" s="2566"/>
      <c r="E26" s="2566">
        <f>+C26</f>
        <v>188</v>
      </c>
      <c r="F26" s="2586">
        <f>+SUM('RAE S.común'!B57:B60)</f>
        <v>390.36099999999999</v>
      </c>
      <c r="G26" s="2584">
        <f>+E26-F26</f>
        <v>-202.36099999999999</v>
      </c>
      <c r="H26" s="2568">
        <f>G26/E26</f>
        <v>-1.0763882978723405</v>
      </c>
      <c r="I26" s="2589">
        <v>41031</v>
      </c>
      <c r="J26" s="844"/>
    </row>
    <row r="27" spans="1:10" ht="13.8">
      <c r="A27" s="575" t="s">
        <v>111</v>
      </c>
      <c r="B27" s="575" t="s">
        <v>61</v>
      </c>
      <c r="C27" s="2571">
        <f>SUM(C25:C26)</f>
        <v>3182</v>
      </c>
      <c r="D27" s="2571"/>
      <c r="E27" s="2571">
        <f>SUM(E25:E26)</f>
        <v>2879</v>
      </c>
      <c r="F27" s="2572">
        <f>SUM(F25:F26)</f>
        <v>1351.8609999999999</v>
      </c>
      <c r="G27" s="2571">
        <f>+E27-F27</f>
        <v>1527.1390000000001</v>
      </c>
      <c r="H27" s="153"/>
      <c r="I27" s="2590"/>
      <c r="J27" s="647"/>
    </row>
    <row r="28" spans="1:10" ht="13.8">
      <c r="A28" s="609"/>
      <c r="B28" s="153"/>
      <c r="C28" s="2573"/>
      <c r="D28" s="2573"/>
      <c r="E28" s="2573"/>
      <c r="F28" s="610"/>
      <c r="G28" s="610"/>
      <c r="H28" s="153"/>
      <c r="I28" s="2590"/>
      <c r="J28" s="647"/>
    </row>
    <row r="29" spans="1:10" ht="13.8">
      <c r="A29" s="1432" t="s">
        <v>106</v>
      </c>
      <c r="B29" s="1432" t="s">
        <v>107</v>
      </c>
      <c r="C29" s="792" t="s">
        <v>108</v>
      </c>
      <c r="D29" s="792"/>
      <c r="E29" s="792" t="s">
        <v>109</v>
      </c>
      <c r="F29" s="1432" t="s">
        <v>47</v>
      </c>
      <c r="G29" s="1432" t="s">
        <v>48</v>
      </c>
      <c r="H29" s="1432" t="s">
        <v>663</v>
      </c>
      <c r="I29" s="2591" t="s">
        <v>50</v>
      </c>
      <c r="J29" s="647"/>
    </row>
    <row r="30" spans="1:10" s="703" customFormat="1">
      <c r="A30" s="843" t="s">
        <v>651</v>
      </c>
      <c r="B30" s="611" t="s">
        <v>62</v>
      </c>
      <c r="C30" s="2566">
        <v>352</v>
      </c>
      <c r="D30" s="2566"/>
      <c r="E30" s="2566">
        <f>+C30+G25</f>
        <v>2081.5</v>
      </c>
      <c r="F30" s="2586">
        <f>+SUM('RAE S.común'!B45:B48)</f>
        <v>435.95699999999999</v>
      </c>
      <c r="G30" s="2587">
        <f>+E30-F30</f>
        <v>1645.5430000000001</v>
      </c>
      <c r="H30" s="2568">
        <f>+G30/E30</f>
        <v>0.79055632957002164</v>
      </c>
      <c r="I30" s="2592"/>
      <c r="J30" s="844"/>
    </row>
    <row r="31" spans="1:10" ht="13.8">
      <c r="A31" s="778" t="s">
        <v>206</v>
      </c>
      <c r="B31" s="611" t="s">
        <v>62</v>
      </c>
      <c r="C31" s="2566">
        <v>22</v>
      </c>
      <c r="D31" s="2566"/>
      <c r="E31" s="890">
        <f>+C31+G26</f>
        <v>-180.36099999999999</v>
      </c>
      <c r="F31" s="480">
        <f>+SUM('RAE S.común'!B61:B64)</f>
        <v>0</v>
      </c>
      <c r="G31" s="2593">
        <f>+E31-F31</f>
        <v>-180.36099999999999</v>
      </c>
      <c r="H31" s="2568">
        <f>+F31/E31</f>
        <v>0</v>
      </c>
      <c r="I31" s="2594">
        <v>41031</v>
      </c>
      <c r="J31" s="647"/>
    </row>
    <row r="32" spans="1:10" ht="13.8">
      <c r="A32" s="575" t="s">
        <v>111</v>
      </c>
      <c r="B32" s="2576" t="s">
        <v>62</v>
      </c>
      <c r="C32" s="2571">
        <f>SUM(C30:C31)</f>
        <v>374</v>
      </c>
      <c r="D32" s="2571"/>
      <c r="E32" s="2571">
        <f>+C32+G27</f>
        <v>1901.1390000000001</v>
      </c>
      <c r="F32" s="2577">
        <f>SUM(F30:F31)</f>
        <v>435.95699999999999</v>
      </c>
      <c r="G32" s="2578">
        <f>+E32-F32</f>
        <v>1465.1820000000002</v>
      </c>
      <c r="H32" s="153"/>
      <c r="I32" s="2590"/>
      <c r="J32" s="647"/>
    </row>
    <row r="33" spans="1:12" ht="13.8">
      <c r="A33" s="612"/>
      <c r="B33" s="613"/>
      <c r="C33" s="2573"/>
      <c r="D33" s="2573"/>
      <c r="E33" s="2573"/>
      <c r="F33" s="2573"/>
      <c r="G33" s="610"/>
      <c r="H33" s="153"/>
      <c r="I33" s="2590"/>
      <c r="J33" s="647"/>
    </row>
    <row r="34" spans="1:12" ht="13.8">
      <c r="A34" s="1432" t="s">
        <v>106</v>
      </c>
      <c r="B34" s="1432" t="s">
        <v>107</v>
      </c>
      <c r="C34" s="792" t="s">
        <v>108</v>
      </c>
      <c r="D34" s="792"/>
      <c r="E34" s="792" t="s">
        <v>109</v>
      </c>
      <c r="F34" s="1432" t="s">
        <v>47</v>
      </c>
      <c r="G34" s="1432" t="s">
        <v>48</v>
      </c>
      <c r="H34" s="1432" t="s">
        <v>663</v>
      </c>
      <c r="I34" s="2591" t="s">
        <v>50</v>
      </c>
      <c r="J34" s="647"/>
    </row>
    <row r="35" spans="1:12" ht="27.75" customHeight="1">
      <c r="A35" s="778" t="s">
        <v>651</v>
      </c>
      <c r="B35" s="2565" t="s">
        <v>63</v>
      </c>
      <c r="C35" s="2566">
        <v>176</v>
      </c>
      <c r="D35" s="2566"/>
      <c r="E35" s="2566">
        <f>+C35+G30</f>
        <v>1821.5430000000001</v>
      </c>
      <c r="F35" s="2586">
        <f>+SUM('RAE S.común'!B49:B52)</f>
        <v>120.16999999999999</v>
      </c>
      <c r="G35" s="2587">
        <f>+E35-F35</f>
        <v>1701.373</v>
      </c>
      <c r="H35" s="2568">
        <f>+G35/E35</f>
        <v>0.93402845829058112</v>
      </c>
      <c r="I35" s="2595"/>
      <c r="J35" s="647"/>
    </row>
    <row r="36" spans="1:12" ht="13.8">
      <c r="A36" s="778" t="s">
        <v>206</v>
      </c>
      <c r="B36" s="611" t="s">
        <v>63</v>
      </c>
      <c r="C36" s="2566">
        <v>11</v>
      </c>
      <c r="D36" s="2566"/>
      <c r="E36" s="2566">
        <f>+C36+G31</f>
        <v>-169.36099999999999</v>
      </c>
      <c r="F36" s="480">
        <f>+SUM('RAE S.común'!B65:B68)</f>
        <v>0</v>
      </c>
      <c r="G36" s="2596">
        <f>+E36-F36</f>
        <v>-169.36099999999999</v>
      </c>
      <c r="H36" s="2568">
        <f>+F36/E36</f>
        <v>0</v>
      </c>
      <c r="I36" s="2597">
        <v>41031</v>
      </c>
      <c r="J36" s="647"/>
    </row>
    <row r="37" spans="1:12" ht="13.8">
      <c r="A37" s="575" t="s">
        <v>111</v>
      </c>
      <c r="B37" s="2576" t="s">
        <v>63</v>
      </c>
      <c r="C37" s="2571">
        <f>SUM(C35:C36)</f>
        <v>187</v>
      </c>
      <c r="D37" s="2571"/>
      <c r="E37" s="2571">
        <f>+C37+G32</f>
        <v>1652.1820000000002</v>
      </c>
      <c r="F37" s="2577">
        <f>SUM(F35:F36)</f>
        <v>120.16999999999999</v>
      </c>
      <c r="G37" s="2572">
        <f>+E37-F37</f>
        <v>1532.0120000000002</v>
      </c>
      <c r="H37" s="153"/>
      <c r="I37" s="2563"/>
      <c r="J37" s="647"/>
    </row>
    <row r="38" spans="1:12" ht="13.8">
      <c r="A38" s="3867" t="s">
        <v>112</v>
      </c>
      <c r="B38" s="3867"/>
      <c r="C38" s="2573"/>
      <c r="D38" s="2573"/>
      <c r="E38" s="2573"/>
      <c r="F38" s="2573"/>
      <c r="G38" s="3868">
        <v>40995</v>
      </c>
      <c r="H38" s="3869"/>
      <c r="I38" s="2563"/>
      <c r="J38" s="649"/>
    </row>
    <row r="39" spans="1:12" ht="15.75" customHeight="1">
      <c r="A39" s="142"/>
      <c r="B39" s="153"/>
      <c r="C39" s="2573"/>
      <c r="D39" s="2573"/>
      <c r="E39" s="2573"/>
      <c r="F39" s="610"/>
      <c r="G39" s="610"/>
      <c r="H39" s="142"/>
      <c r="I39" s="2563"/>
      <c r="J39" s="647"/>
    </row>
    <row r="40" spans="1:12" ht="14.4" thickBot="1">
      <c r="A40" s="1432" t="s">
        <v>106</v>
      </c>
      <c r="B40" s="1432" t="s">
        <v>107</v>
      </c>
      <c r="C40" s="792" t="s">
        <v>108</v>
      </c>
      <c r="D40" s="792" t="s">
        <v>713</v>
      </c>
      <c r="E40" s="792" t="s">
        <v>109</v>
      </c>
      <c r="F40" s="1432" t="s">
        <v>47</v>
      </c>
      <c r="G40" s="1432" t="s">
        <v>48</v>
      </c>
      <c r="H40" s="1432" t="s">
        <v>663</v>
      </c>
      <c r="I40" s="508" t="s">
        <v>50</v>
      </c>
      <c r="J40" s="647"/>
    </row>
    <row r="41" spans="1:12" ht="13.8">
      <c r="A41" s="2598" t="s">
        <v>227</v>
      </c>
      <c r="B41" s="2599" t="s">
        <v>113</v>
      </c>
      <c r="C41" s="2600">
        <v>1736</v>
      </c>
      <c r="D41" s="2611">
        <v>-481.8</v>
      </c>
      <c r="E41" s="3680">
        <f>+C41+D41</f>
        <v>1254.2</v>
      </c>
      <c r="F41" s="2601">
        <v>558.15099999999995</v>
      </c>
      <c r="G41" s="2602">
        <f>+E41-F41</f>
        <v>696.04900000000009</v>
      </c>
      <c r="H41" s="2568">
        <f t="shared" ref="H41:H102" si="0">+G41/E41</f>
        <v>0.55497448572795416</v>
      </c>
      <c r="I41" s="2566"/>
      <c r="J41" s="647"/>
      <c r="K41" s="245"/>
      <c r="L41" s="245"/>
    </row>
    <row r="42" spans="1:12" ht="13.8">
      <c r="A42" s="2887" t="s">
        <v>228</v>
      </c>
      <c r="B42" s="2599" t="s">
        <v>113</v>
      </c>
      <c r="C42" s="2600">
        <v>3848</v>
      </c>
      <c r="D42" s="2600"/>
      <c r="E42" s="3680">
        <f t="shared" ref="E42:E101" si="1">+C42</f>
        <v>3848</v>
      </c>
      <c r="F42" s="2604">
        <v>3456.1790000000001</v>
      </c>
      <c r="G42" s="2602">
        <f t="shared" ref="G42:G98" si="2">+E42-F42</f>
        <v>391.82099999999991</v>
      </c>
      <c r="H42" s="3002">
        <f t="shared" si="0"/>
        <v>0.10182458419958418</v>
      </c>
      <c r="I42" s="2605"/>
      <c r="J42" s="958"/>
      <c r="K42" s="245"/>
      <c r="L42" s="245"/>
    </row>
    <row r="43" spans="1:12" ht="13.8">
      <c r="A43" s="2887" t="s">
        <v>229</v>
      </c>
      <c r="B43" s="2599" t="s">
        <v>113</v>
      </c>
      <c r="C43" s="2600">
        <f>8752-1000-500-500-1000-500</f>
        <v>5252</v>
      </c>
      <c r="D43" s="2600"/>
      <c r="E43" s="3680">
        <f t="shared" si="1"/>
        <v>5252</v>
      </c>
      <c r="F43" s="2604">
        <v>2328.6750000000002</v>
      </c>
      <c r="G43" s="2602">
        <f t="shared" si="2"/>
        <v>2923.3249999999998</v>
      </c>
      <c r="H43" s="3002">
        <f t="shared" si="0"/>
        <v>0.55661176694592529</v>
      </c>
      <c r="I43" s="2029"/>
      <c r="J43" s="647"/>
      <c r="K43" s="245"/>
      <c r="L43" s="245"/>
    </row>
    <row r="44" spans="1:12" ht="13.8">
      <c r="A44" s="2603" t="s">
        <v>230</v>
      </c>
      <c r="B44" s="2599" t="s">
        <v>113</v>
      </c>
      <c r="C44" s="2600">
        <v>21488</v>
      </c>
      <c r="D44" s="2600"/>
      <c r="E44" s="3680">
        <f t="shared" si="1"/>
        <v>21488</v>
      </c>
      <c r="F44" s="2604">
        <v>15504.651</v>
      </c>
      <c r="G44" s="2602">
        <f t="shared" si="2"/>
        <v>5983.3490000000002</v>
      </c>
      <c r="H44" s="3002">
        <f t="shared" si="0"/>
        <v>0.27845071667907673</v>
      </c>
      <c r="I44" s="2029"/>
      <c r="J44" s="647"/>
      <c r="K44" s="245"/>
      <c r="L44" s="245"/>
    </row>
    <row r="45" spans="1:12" ht="13.8">
      <c r="A45" s="2603" t="s">
        <v>231</v>
      </c>
      <c r="B45" s="2599" t="s">
        <v>113</v>
      </c>
      <c r="C45" s="2600">
        <f>1555+700</f>
        <v>2255</v>
      </c>
      <c r="D45" s="2600"/>
      <c r="E45" s="3680">
        <f t="shared" si="1"/>
        <v>2255</v>
      </c>
      <c r="F45" s="2604">
        <v>1449.1759999999999</v>
      </c>
      <c r="G45" s="2602">
        <f t="shared" si="2"/>
        <v>805.82400000000007</v>
      </c>
      <c r="H45" s="3002">
        <f t="shared" si="0"/>
        <v>0.35734988913525501</v>
      </c>
      <c r="I45" s="2606"/>
      <c r="J45" s="958"/>
      <c r="K45" s="245"/>
      <c r="L45" s="245"/>
    </row>
    <row r="46" spans="1:12" ht="13.8">
      <c r="A46" s="2603" t="s">
        <v>232</v>
      </c>
      <c r="B46" s="2599" t="s">
        <v>113</v>
      </c>
      <c r="C46" s="2600">
        <v>16244</v>
      </c>
      <c r="D46" s="2600"/>
      <c r="E46" s="3680">
        <f t="shared" si="1"/>
        <v>16244</v>
      </c>
      <c r="F46" s="2604">
        <v>9716.5400000000009</v>
      </c>
      <c r="G46" s="2602">
        <f t="shared" si="2"/>
        <v>6527.4599999999991</v>
      </c>
      <c r="H46" s="3002">
        <f t="shared" si="0"/>
        <v>0.40183821718788471</v>
      </c>
      <c r="I46" s="2607"/>
      <c r="J46" s="647"/>
      <c r="K46" s="245"/>
      <c r="L46" s="245"/>
    </row>
    <row r="47" spans="1:12" ht="13.8">
      <c r="A47" s="2608" t="s">
        <v>233</v>
      </c>
      <c r="B47" s="2599" t="s">
        <v>113</v>
      </c>
      <c r="C47" s="2600">
        <v>16977</v>
      </c>
      <c r="D47" s="2600"/>
      <c r="E47" s="3680">
        <f t="shared" si="1"/>
        <v>16977</v>
      </c>
      <c r="F47" s="2604">
        <v>12364.191999999999</v>
      </c>
      <c r="G47" s="2602">
        <f t="shared" si="2"/>
        <v>4612.8080000000009</v>
      </c>
      <c r="H47" s="3002">
        <f t="shared" si="0"/>
        <v>0.27170925369617721</v>
      </c>
      <c r="I47" s="2609"/>
      <c r="J47" s="647"/>
      <c r="K47" s="245"/>
      <c r="L47" s="245"/>
    </row>
    <row r="48" spans="1:12" ht="13.8">
      <c r="A48" s="2603" t="s">
        <v>234</v>
      </c>
      <c r="B48" s="2599" t="s">
        <v>113</v>
      </c>
      <c r="C48" s="2600">
        <f>13291+500+500</f>
        <v>14291</v>
      </c>
      <c r="D48" s="2600"/>
      <c r="E48" s="3680">
        <f t="shared" si="1"/>
        <v>14291</v>
      </c>
      <c r="F48" s="2604">
        <v>11245.472</v>
      </c>
      <c r="G48" s="2602">
        <f t="shared" si="2"/>
        <v>3045.5280000000002</v>
      </c>
      <c r="H48" s="3002">
        <f t="shared" si="0"/>
        <v>0.21310810999930027</v>
      </c>
      <c r="I48" s="2607"/>
      <c r="J48" s="958"/>
      <c r="K48" s="245"/>
      <c r="L48" s="245"/>
    </row>
    <row r="49" spans="1:12" ht="13.8">
      <c r="A49" s="2603" t="s">
        <v>235</v>
      </c>
      <c r="B49" s="2599" t="s">
        <v>113</v>
      </c>
      <c r="C49" s="2600">
        <v>5176</v>
      </c>
      <c r="D49" s="2600"/>
      <c r="E49" s="3680">
        <f t="shared" si="1"/>
        <v>5176</v>
      </c>
      <c r="F49" s="2604">
        <v>3875.9119999999998</v>
      </c>
      <c r="G49" s="2602">
        <f t="shared" si="2"/>
        <v>1300.0880000000002</v>
      </c>
      <c r="H49" s="3002">
        <f t="shared" si="0"/>
        <v>0.25117619783616696</v>
      </c>
      <c r="I49" s="2607"/>
      <c r="J49" s="647"/>
      <c r="K49" s="245"/>
      <c r="L49" s="245"/>
    </row>
    <row r="50" spans="1:12" ht="13.8">
      <c r="A50" s="2603" t="s">
        <v>236</v>
      </c>
      <c r="B50" s="2599" t="s">
        <v>113</v>
      </c>
      <c r="C50" s="2600">
        <f>47781+180</f>
        <v>47961</v>
      </c>
      <c r="D50" s="2600"/>
      <c r="E50" s="3680">
        <f t="shared" si="1"/>
        <v>47961</v>
      </c>
      <c r="F50" s="2604">
        <v>36640.021000000001</v>
      </c>
      <c r="G50" s="2602">
        <f t="shared" si="2"/>
        <v>11320.978999999999</v>
      </c>
      <c r="H50" s="3002">
        <f t="shared" si="0"/>
        <v>0.23604551614853733</v>
      </c>
      <c r="I50" s="2605"/>
      <c r="J50" s="647"/>
      <c r="K50" s="245"/>
      <c r="L50" s="245"/>
    </row>
    <row r="51" spans="1:12" ht="13.8">
      <c r="A51" s="2603" t="s">
        <v>303</v>
      </c>
      <c r="B51" s="2599" t="s">
        <v>113</v>
      </c>
      <c r="C51" s="2600">
        <v>2905</v>
      </c>
      <c r="D51" s="2600"/>
      <c r="E51" s="3680">
        <f t="shared" si="1"/>
        <v>2905</v>
      </c>
      <c r="F51" s="2604">
        <v>2609.0050000000001</v>
      </c>
      <c r="G51" s="2602">
        <f t="shared" si="2"/>
        <v>295.99499999999989</v>
      </c>
      <c r="H51" s="3002">
        <f t="shared" si="0"/>
        <v>0.1018915662650602</v>
      </c>
      <c r="I51" s="2605"/>
      <c r="J51" s="958"/>
      <c r="K51" s="245"/>
      <c r="L51" s="245"/>
    </row>
    <row r="52" spans="1:12" ht="13.8">
      <c r="A52" s="2608" t="s">
        <v>237</v>
      </c>
      <c r="B52" s="2599" t="s">
        <v>113</v>
      </c>
      <c r="C52" s="2600">
        <v>8772</v>
      </c>
      <c r="D52" s="2600"/>
      <c r="E52" s="3680">
        <f t="shared" si="1"/>
        <v>8772</v>
      </c>
      <c r="F52" s="2604">
        <v>5813.8459999999995</v>
      </c>
      <c r="G52" s="2602">
        <f t="shared" si="2"/>
        <v>2958.1540000000005</v>
      </c>
      <c r="H52" s="3002">
        <f t="shared" si="0"/>
        <v>0.33722685818513459</v>
      </c>
      <c r="I52" s="2610"/>
      <c r="J52" s="647"/>
      <c r="K52" s="245"/>
      <c r="L52" s="245"/>
    </row>
    <row r="53" spans="1:12" ht="13.8">
      <c r="A53" s="2608" t="s">
        <v>529</v>
      </c>
      <c r="B53" s="2599" t="s">
        <v>113</v>
      </c>
      <c r="C53" s="2600">
        <f>112+6</f>
        <v>118</v>
      </c>
      <c r="D53" s="2611">
        <f>-112+-6</f>
        <v>-118</v>
      </c>
      <c r="E53" s="3680">
        <f>+C53+D53</f>
        <v>0</v>
      </c>
      <c r="F53" s="2604">
        <v>0</v>
      </c>
      <c r="G53" s="2602">
        <f>+E53-F53</f>
        <v>0</v>
      </c>
      <c r="H53" s="3002" t="e">
        <f t="shared" si="0"/>
        <v>#DIV/0!</v>
      </c>
      <c r="I53" s="2595"/>
      <c r="J53" s="647"/>
      <c r="K53" s="245"/>
      <c r="L53" s="245"/>
    </row>
    <row r="54" spans="1:12" ht="13.8">
      <c r="A54" s="2608" t="s">
        <v>238</v>
      </c>
      <c r="B54" s="2612" t="s">
        <v>113</v>
      </c>
      <c r="C54" s="2600">
        <v>17257</v>
      </c>
      <c r="D54" s="2600"/>
      <c r="E54" s="3680">
        <f t="shared" si="1"/>
        <v>17257</v>
      </c>
      <c r="F54" s="2604">
        <v>14803.259</v>
      </c>
      <c r="G54" s="2602">
        <f>+E54-F54</f>
        <v>2453.741</v>
      </c>
      <c r="H54" s="3002">
        <f t="shared" si="0"/>
        <v>0.14218815553108882</v>
      </c>
      <c r="I54" s="2605"/>
      <c r="J54" s="958"/>
      <c r="K54" s="245"/>
      <c r="L54" s="245"/>
    </row>
    <row r="55" spans="1:12" ht="13.8">
      <c r="A55" s="2608" t="s">
        <v>239</v>
      </c>
      <c r="B55" s="2599" t="s">
        <v>113</v>
      </c>
      <c r="C55" s="2600">
        <v>9708</v>
      </c>
      <c r="D55" s="2600"/>
      <c r="E55" s="3680">
        <f t="shared" si="1"/>
        <v>9708</v>
      </c>
      <c r="F55" s="2604">
        <v>7917.143</v>
      </c>
      <c r="G55" s="2602">
        <f t="shared" si="2"/>
        <v>1790.857</v>
      </c>
      <c r="H55" s="3002">
        <f t="shared" si="0"/>
        <v>0.18447229089410794</v>
      </c>
      <c r="I55" s="2609"/>
      <c r="J55" s="958"/>
      <c r="K55" s="245"/>
      <c r="L55" s="245"/>
    </row>
    <row r="56" spans="1:12" ht="13.8">
      <c r="A56" s="2608" t="s">
        <v>240</v>
      </c>
      <c r="B56" s="2612" t="s">
        <v>113</v>
      </c>
      <c r="C56" s="2600">
        <v>31618</v>
      </c>
      <c r="D56" s="2600"/>
      <c r="E56" s="3680">
        <f t="shared" si="1"/>
        <v>31618</v>
      </c>
      <c r="F56" s="2604">
        <v>21826.145</v>
      </c>
      <c r="G56" s="2602">
        <f t="shared" si="2"/>
        <v>9791.8549999999996</v>
      </c>
      <c r="H56" s="3002">
        <f t="shared" si="0"/>
        <v>0.30969242203807956</v>
      </c>
      <c r="I56" s="2609"/>
      <c r="J56" s="958"/>
      <c r="K56" s="245"/>
      <c r="L56" s="245"/>
    </row>
    <row r="57" spans="1:12" ht="13.8">
      <c r="A57" s="2603" t="s">
        <v>241</v>
      </c>
      <c r="B57" s="2599" t="s">
        <v>113</v>
      </c>
      <c r="C57" s="2600">
        <v>543</v>
      </c>
      <c r="D57" s="2600"/>
      <c r="E57" s="3680">
        <f t="shared" si="1"/>
        <v>543</v>
      </c>
      <c r="F57" s="2604">
        <v>380.63</v>
      </c>
      <c r="G57" s="2602">
        <f t="shared" si="2"/>
        <v>162.37</v>
      </c>
      <c r="H57" s="3002">
        <f t="shared" si="0"/>
        <v>0.29902394106813995</v>
      </c>
      <c r="I57" s="2606"/>
      <c r="J57" s="958"/>
      <c r="K57" s="245"/>
      <c r="L57" s="245"/>
    </row>
    <row r="58" spans="1:12" ht="13.8">
      <c r="A58" s="3577" t="s">
        <v>242</v>
      </c>
      <c r="B58" s="3681" t="s">
        <v>113</v>
      </c>
      <c r="C58" s="3682">
        <f>8606-1400</f>
        <v>7206</v>
      </c>
      <c r="D58" s="3682"/>
      <c r="E58" s="3683">
        <f t="shared" si="1"/>
        <v>7206</v>
      </c>
      <c r="F58" s="3684">
        <v>7090.165</v>
      </c>
      <c r="G58" s="3685">
        <f t="shared" si="2"/>
        <v>115.83500000000004</v>
      </c>
      <c r="H58" s="3686">
        <f t="shared" si="0"/>
        <v>1.6074798778795453E-2</v>
      </c>
      <c r="I58" s="3687"/>
      <c r="J58" s="3688"/>
      <c r="K58" s="3689"/>
      <c r="L58" s="245"/>
    </row>
    <row r="59" spans="1:12" ht="13.8">
      <c r="A59" s="2608" t="s">
        <v>243</v>
      </c>
      <c r="B59" s="2599" t="s">
        <v>113</v>
      </c>
      <c r="C59" s="2600">
        <f>9933+5869+1525</f>
        <v>17327</v>
      </c>
      <c r="D59" s="2611">
        <f>-1479+-46.26</f>
        <v>-1525.26</v>
      </c>
      <c r="E59" s="3680">
        <f>+C59+D59</f>
        <v>15801.74</v>
      </c>
      <c r="F59" s="2604">
        <v>13390.731</v>
      </c>
      <c r="G59" s="2602">
        <f>+E59-F59</f>
        <v>2411.009</v>
      </c>
      <c r="H59" s="3002">
        <f t="shared" si="0"/>
        <v>0.15257870335798462</v>
      </c>
      <c r="I59" s="2606"/>
      <c r="J59" s="958"/>
      <c r="K59" s="245"/>
      <c r="L59" s="245"/>
    </row>
    <row r="60" spans="1:12" ht="13.8">
      <c r="A60" s="2880" t="s">
        <v>244</v>
      </c>
      <c r="B60" s="2599" t="s">
        <v>113</v>
      </c>
      <c r="C60" s="2600">
        <f>21854-1000</f>
        <v>20854</v>
      </c>
      <c r="D60" s="3079">
        <v>-400</v>
      </c>
      <c r="E60" s="3680">
        <f>+C60+D60</f>
        <v>20454</v>
      </c>
      <c r="F60" s="2604">
        <v>12817.147000000001</v>
      </c>
      <c r="G60" s="2602">
        <f t="shared" si="2"/>
        <v>7636.8529999999992</v>
      </c>
      <c r="H60" s="3002">
        <f t="shared" si="0"/>
        <v>0.37336721423682406</v>
      </c>
      <c r="I60" s="2609"/>
      <c r="J60" s="647"/>
      <c r="K60" s="245"/>
      <c r="L60" s="245"/>
    </row>
    <row r="61" spans="1:12" ht="13.8">
      <c r="A61" s="2608" t="s">
        <v>530</v>
      </c>
      <c r="B61" s="2612" t="s">
        <v>113</v>
      </c>
      <c r="C61" s="2600">
        <v>4693</v>
      </c>
      <c r="D61" s="2600"/>
      <c r="E61" s="3680">
        <f t="shared" si="1"/>
        <v>4693</v>
      </c>
      <c r="F61" s="2604">
        <v>2532.643</v>
      </c>
      <c r="G61" s="2602">
        <f t="shared" si="2"/>
        <v>2160.357</v>
      </c>
      <c r="H61" s="3002">
        <f t="shared" si="0"/>
        <v>0.46033603238866394</v>
      </c>
      <c r="I61" s="2605"/>
      <c r="J61" s="647"/>
      <c r="K61" s="245"/>
      <c r="L61" s="245"/>
    </row>
    <row r="62" spans="1:12" ht="13.8">
      <c r="A62" s="2608" t="s">
        <v>245</v>
      </c>
      <c r="B62" s="2612" t="s">
        <v>113</v>
      </c>
      <c r="C62" s="2613">
        <f>8414.9+1000</f>
        <v>9414.9</v>
      </c>
      <c r="D62" s="2600"/>
      <c r="E62" s="3680">
        <f t="shared" si="1"/>
        <v>9414.9</v>
      </c>
      <c r="F62" s="2604">
        <v>6121.5959999999995</v>
      </c>
      <c r="G62" s="2602">
        <f t="shared" si="2"/>
        <v>3293.3040000000001</v>
      </c>
      <c r="H62" s="3002">
        <f t="shared" si="0"/>
        <v>0.34979702386642453</v>
      </c>
      <c r="I62" s="2609"/>
      <c r="J62" s="647"/>
      <c r="K62" s="245"/>
      <c r="L62" s="245"/>
    </row>
    <row r="63" spans="1:12" ht="13.8">
      <c r="A63" s="2608" t="s">
        <v>246</v>
      </c>
      <c r="B63" s="2599" t="s">
        <v>113</v>
      </c>
      <c r="C63" s="2600">
        <f>476+25</f>
        <v>501</v>
      </c>
      <c r="D63" s="2611">
        <f>-476+-25</f>
        <v>-501</v>
      </c>
      <c r="E63" s="3680">
        <f>+D63+C63</f>
        <v>0</v>
      </c>
      <c r="F63" s="2604">
        <v>0</v>
      </c>
      <c r="G63" s="2602">
        <f t="shared" si="2"/>
        <v>0</v>
      </c>
      <c r="H63" s="3002" t="e">
        <f t="shared" si="0"/>
        <v>#DIV/0!</v>
      </c>
      <c r="I63" s="2609"/>
      <c r="J63" s="647"/>
      <c r="K63" s="245"/>
      <c r="L63" s="245"/>
    </row>
    <row r="64" spans="1:12" ht="13.8">
      <c r="A64" s="2603" t="s">
        <v>296</v>
      </c>
      <c r="B64" s="2599" t="s">
        <v>113</v>
      </c>
      <c r="C64" s="2600">
        <v>3444</v>
      </c>
      <c r="D64" s="2600"/>
      <c r="E64" s="3680">
        <f t="shared" si="1"/>
        <v>3444</v>
      </c>
      <c r="F64" s="2604">
        <v>2904.5709999999999</v>
      </c>
      <c r="G64" s="2602">
        <f t="shared" si="2"/>
        <v>539.42900000000009</v>
      </c>
      <c r="H64" s="3002">
        <f t="shared" si="0"/>
        <v>0.15662862950058073</v>
      </c>
      <c r="I64" s="3138">
        <v>41246</v>
      </c>
      <c r="J64" s="958"/>
      <c r="K64" s="245"/>
      <c r="L64" s="245"/>
    </row>
    <row r="65" spans="1:12" ht="13.8">
      <c r="A65" s="2603" t="s">
        <v>247</v>
      </c>
      <c r="B65" s="2599" t="s">
        <v>113</v>
      </c>
      <c r="C65" s="2600">
        <v>2714</v>
      </c>
      <c r="D65" s="2600"/>
      <c r="E65" s="3680">
        <f t="shared" si="1"/>
        <v>2714</v>
      </c>
      <c r="F65" s="2604">
        <v>829.74400000000003</v>
      </c>
      <c r="G65" s="2602">
        <f t="shared" si="2"/>
        <v>1884.2559999999999</v>
      </c>
      <c r="H65" s="3002">
        <f t="shared" si="0"/>
        <v>0.69427266028002943</v>
      </c>
      <c r="I65" s="2605"/>
      <c r="J65" s="647"/>
      <c r="K65" s="245"/>
      <c r="L65" s="245"/>
    </row>
    <row r="66" spans="1:12" ht="13.8">
      <c r="A66" s="2603" t="s">
        <v>248</v>
      </c>
      <c r="B66" s="2599" t="s">
        <v>113</v>
      </c>
      <c r="C66" s="2600">
        <v>5070</v>
      </c>
      <c r="D66" s="2600"/>
      <c r="E66" s="3680">
        <f t="shared" si="1"/>
        <v>5070</v>
      </c>
      <c r="F66" s="2604">
        <v>3515.8449999999998</v>
      </c>
      <c r="G66" s="2602">
        <f t="shared" si="2"/>
        <v>1554.1550000000002</v>
      </c>
      <c r="H66" s="2568">
        <f t="shared" si="0"/>
        <v>0.30653944773175545</v>
      </c>
      <c r="I66" s="2614"/>
      <c r="J66" s="647"/>
      <c r="K66" s="245"/>
      <c r="L66" s="245"/>
    </row>
    <row r="67" spans="1:12" ht="13.8">
      <c r="A67" s="2603" t="s">
        <v>531</v>
      </c>
      <c r="B67" s="2599" t="s">
        <v>113</v>
      </c>
      <c r="C67" s="2600">
        <v>5613</v>
      </c>
      <c r="D67" s="2600"/>
      <c r="E67" s="3680">
        <f t="shared" si="1"/>
        <v>5613</v>
      </c>
      <c r="F67" s="2604">
        <v>3720.0369999999998</v>
      </c>
      <c r="G67" s="2602">
        <f t="shared" si="2"/>
        <v>1892.9630000000002</v>
      </c>
      <c r="H67" s="2568" t="s">
        <v>1168</v>
      </c>
      <c r="I67" s="2614"/>
      <c r="J67" s="647"/>
      <c r="K67" s="245"/>
      <c r="L67" s="245"/>
    </row>
    <row r="68" spans="1:12" ht="13.8">
      <c r="A68" s="2603" t="s">
        <v>269</v>
      </c>
      <c r="B68" s="2599" t="s">
        <v>113</v>
      </c>
      <c r="C68" s="2600">
        <v>1041</v>
      </c>
      <c r="D68" s="2600"/>
      <c r="E68" s="3680">
        <f t="shared" si="1"/>
        <v>1041</v>
      </c>
      <c r="F68" s="2615">
        <v>1109.9059999999999</v>
      </c>
      <c r="G68" s="2616">
        <f t="shared" si="2"/>
        <v>-68.905999999999949</v>
      </c>
      <c r="H68" s="2568">
        <f t="shared" si="0"/>
        <v>-6.6192122958693519E-2</v>
      </c>
      <c r="I68" s="2607">
        <v>41031</v>
      </c>
      <c r="J68" s="647"/>
      <c r="K68" s="245"/>
      <c r="L68" s="245"/>
    </row>
    <row r="69" spans="1:12" ht="13.8">
      <c r="A69" s="2603" t="s">
        <v>249</v>
      </c>
      <c r="B69" s="2599" t="s">
        <v>113</v>
      </c>
      <c r="C69" s="2600">
        <v>6231</v>
      </c>
      <c r="D69" s="2600"/>
      <c r="E69" s="3680">
        <f t="shared" si="1"/>
        <v>6231</v>
      </c>
      <c r="F69" s="2615">
        <v>3794.3510000000001</v>
      </c>
      <c r="G69" s="2602">
        <f t="shared" si="2"/>
        <v>2436.6489999999999</v>
      </c>
      <c r="H69" s="2568">
        <f t="shared" si="0"/>
        <v>0.39105264002567802</v>
      </c>
      <c r="I69" s="2614"/>
      <c r="J69" s="647"/>
      <c r="K69" s="245"/>
      <c r="L69" s="245"/>
    </row>
    <row r="70" spans="1:12" ht="13.8">
      <c r="A70" s="3628" t="s">
        <v>250</v>
      </c>
      <c r="B70" s="2599" t="s">
        <v>113</v>
      </c>
      <c r="C70" s="3682">
        <f>8956-400</f>
        <v>8556</v>
      </c>
      <c r="D70" s="3682"/>
      <c r="E70" s="3683">
        <f t="shared" si="1"/>
        <v>8556</v>
      </c>
      <c r="F70" s="3690">
        <v>5595.5910000000003</v>
      </c>
      <c r="G70" s="3685">
        <f t="shared" si="2"/>
        <v>2960.4089999999997</v>
      </c>
      <c r="H70" s="3686">
        <f t="shared" si="0"/>
        <v>0.34600385694249647</v>
      </c>
      <c r="I70" s="3687"/>
      <c r="J70" s="3691"/>
      <c r="K70" s="3689"/>
      <c r="L70" s="245"/>
    </row>
    <row r="71" spans="1:12" ht="13.8">
      <c r="A71" s="2608" t="s">
        <v>297</v>
      </c>
      <c r="B71" s="2599" t="s">
        <v>113</v>
      </c>
      <c r="C71" s="2600">
        <v>543</v>
      </c>
      <c r="D71" s="2600"/>
      <c r="E71" s="2566">
        <f t="shared" si="1"/>
        <v>543</v>
      </c>
      <c r="F71" s="2615">
        <v>334.75799999999998</v>
      </c>
      <c r="G71" s="2602">
        <f t="shared" si="2"/>
        <v>208.24200000000002</v>
      </c>
      <c r="H71" s="2568">
        <f t="shared" si="0"/>
        <v>0.38350276243093928</v>
      </c>
      <c r="I71" s="2595"/>
      <c r="J71" s="647"/>
      <c r="K71" s="245"/>
      <c r="L71" s="245"/>
    </row>
    <row r="72" spans="1:12" ht="13.8">
      <c r="A72" s="2617" t="s">
        <v>251</v>
      </c>
      <c r="B72" s="2599" t="s">
        <v>113</v>
      </c>
      <c r="C72" s="2600">
        <v>724</v>
      </c>
      <c r="D72" s="2600"/>
      <c r="E72" s="2566">
        <f t="shared" si="1"/>
        <v>724</v>
      </c>
      <c r="F72" s="2615">
        <v>428.24200000000002</v>
      </c>
      <c r="G72" s="2602">
        <f t="shared" si="2"/>
        <v>295.75799999999998</v>
      </c>
      <c r="H72" s="2568">
        <f t="shared" si="0"/>
        <v>0.40850552486187841</v>
      </c>
      <c r="I72" s="2595"/>
      <c r="J72" s="647"/>
      <c r="K72" s="245"/>
      <c r="L72" s="245"/>
    </row>
    <row r="73" spans="1:12" ht="13.8">
      <c r="A73" s="2603" t="s">
        <v>252</v>
      </c>
      <c r="B73" s="2599" t="s">
        <v>113</v>
      </c>
      <c r="C73" s="2600">
        <v>8379</v>
      </c>
      <c r="D73" s="2600"/>
      <c r="E73" s="2566">
        <f t="shared" si="1"/>
        <v>8379</v>
      </c>
      <c r="F73" s="2615">
        <v>6535.5590000000002</v>
      </c>
      <c r="G73" s="2602">
        <f t="shared" si="2"/>
        <v>1843.4409999999998</v>
      </c>
      <c r="H73" s="2568">
        <f t="shared" si="0"/>
        <v>0.22000728010502443</v>
      </c>
      <c r="I73" s="2595"/>
      <c r="J73" s="647"/>
      <c r="K73" s="245"/>
      <c r="L73" s="245"/>
    </row>
    <row r="74" spans="1:12" ht="13.8">
      <c r="A74" s="2603" t="s">
        <v>253</v>
      </c>
      <c r="B74" s="2599" t="s">
        <v>113</v>
      </c>
      <c r="C74" s="2600">
        <v>3512</v>
      </c>
      <c r="D74" s="2600"/>
      <c r="E74" s="2566">
        <f t="shared" si="1"/>
        <v>3512</v>
      </c>
      <c r="F74" s="2615">
        <v>2795.76</v>
      </c>
      <c r="G74" s="2602">
        <f t="shared" si="2"/>
        <v>716.23999999999978</v>
      </c>
      <c r="H74" s="2568">
        <f t="shared" si="0"/>
        <v>0.20394077448747147</v>
      </c>
      <c r="I74" s="2618"/>
      <c r="J74" s="647"/>
      <c r="K74" s="245"/>
      <c r="L74" s="245"/>
    </row>
    <row r="75" spans="1:12" ht="13.8">
      <c r="A75" s="3280" t="s">
        <v>254</v>
      </c>
      <c r="B75" s="2599" t="s">
        <v>113</v>
      </c>
      <c r="C75" s="2600">
        <v>24944</v>
      </c>
      <c r="D75" s="3079">
        <v>-2800</v>
      </c>
      <c r="E75" s="2566">
        <f>+C75+D75</f>
        <v>22144</v>
      </c>
      <c r="F75" s="2615">
        <v>17773.490000000002</v>
      </c>
      <c r="G75" s="2602">
        <f t="shared" si="2"/>
        <v>4370.5099999999984</v>
      </c>
      <c r="H75" s="2568">
        <f t="shared" si="0"/>
        <v>0.19736768424855483</v>
      </c>
      <c r="I75" s="2595"/>
      <c r="J75" s="647"/>
      <c r="K75" s="245"/>
      <c r="L75" s="245"/>
    </row>
    <row r="76" spans="1:12" ht="13.8">
      <c r="A76" s="2603" t="s">
        <v>255</v>
      </c>
      <c r="B76" s="2599" t="s">
        <v>113</v>
      </c>
      <c r="C76" s="2600">
        <v>3950</v>
      </c>
      <c r="D76" s="2600"/>
      <c r="E76" s="2566">
        <f t="shared" si="1"/>
        <v>3950</v>
      </c>
      <c r="F76" s="2615">
        <v>2844.9319999999998</v>
      </c>
      <c r="G76" s="2602">
        <f t="shared" si="2"/>
        <v>1105.0680000000002</v>
      </c>
      <c r="H76" s="2568">
        <f t="shared" si="0"/>
        <v>0.27976405063291143</v>
      </c>
      <c r="I76" s="2614"/>
      <c r="J76" s="647"/>
      <c r="K76" s="245"/>
      <c r="L76" s="245"/>
    </row>
    <row r="77" spans="1:12" ht="13.8">
      <c r="A77" s="2887" t="s">
        <v>256</v>
      </c>
      <c r="B77" s="2599" t="s">
        <v>113</v>
      </c>
      <c r="C77" s="2600">
        <v>9407</v>
      </c>
      <c r="D77" s="2600"/>
      <c r="E77" s="2566">
        <f t="shared" si="1"/>
        <v>9407</v>
      </c>
      <c r="F77" s="2615">
        <v>6631.7910000000002</v>
      </c>
      <c r="G77" s="2602">
        <f t="shared" si="2"/>
        <v>2775.2089999999998</v>
      </c>
      <c r="H77" s="2568">
        <f t="shared" si="0"/>
        <v>0.29501530774954821</v>
      </c>
      <c r="I77" s="2614"/>
      <c r="J77" s="647"/>
      <c r="K77" s="245"/>
      <c r="L77" s="245"/>
    </row>
    <row r="78" spans="1:12" ht="13.8">
      <c r="A78" s="2887" t="s">
        <v>257</v>
      </c>
      <c r="B78" s="2599" t="s">
        <v>113</v>
      </c>
      <c r="C78" s="2600">
        <f>724-367</f>
        <v>357</v>
      </c>
      <c r="D78" s="2611">
        <v>-329</v>
      </c>
      <c r="E78" s="2566">
        <f>+C78+D78</f>
        <v>28</v>
      </c>
      <c r="F78" s="2615">
        <v>65.760999999999996</v>
      </c>
      <c r="G78" s="2602">
        <f t="shared" si="2"/>
        <v>-37.760999999999996</v>
      </c>
      <c r="H78" s="2568">
        <f t="shared" si="0"/>
        <v>-1.3486071428571427</v>
      </c>
      <c r="I78" s="2595"/>
      <c r="J78" s="957"/>
      <c r="K78" s="245"/>
      <c r="L78" s="245"/>
    </row>
    <row r="79" spans="1:12" ht="13.8">
      <c r="A79" s="2887" t="s">
        <v>298</v>
      </c>
      <c r="B79" s="2599" t="s">
        <v>113</v>
      </c>
      <c r="C79" s="2600">
        <f>3983-620</f>
        <v>3363</v>
      </c>
      <c r="D79" s="2611">
        <v>-529</v>
      </c>
      <c r="E79" s="2566">
        <f>+C79+D79</f>
        <v>2834</v>
      </c>
      <c r="F79" s="2615">
        <v>2263.0549999999998</v>
      </c>
      <c r="G79" s="2602">
        <f t="shared" si="2"/>
        <v>570.94500000000016</v>
      </c>
      <c r="H79" s="2568">
        <f t="shared" si="0"/>
        <v>0.20146259703599159</v>
      </c>
      <c r="I79" s="2595"/>
      <c r="J79" s="647"/>
      <c r="K79" s="245"/>
      <c r="L79" s="245"/>
    </row>
    <row r="80" spans="1:12" ht="13.8">
      <c r="A80" s="2603" t="s">
        <v>258</v>
      </c>
      <c r="B80" s="2599" t="s">
        <v>113</v>
      </c>
      <c r="C80" s="2600">
        <f>15320+99-180</f>
        <v>15239</v>
      </c>
      <c r="D80" s="2611">
        <v>-99</v>
      </c>
      <c r="E80" s="2566">
        <f>+C80+D80</f>
        <v>15140</v>
      </c>
      <c r="F80" s="2615">
        <v>12300.119000000001</v>
      </c>
      <c r="G80" s="2602">
        <f t="shared" si="2"/>
        <v>2839.8809999999994</v>
      </c>
      <c r="H80" s="2568">
        <f t="shared" si="0"/>
        <v>0.18757470277410829</v>
      </c>
      <c r="I80" s="2614"/>
      <c r="J80" s="647"/>
      <c r="K80" s="245"/>
      <c r="L80" s="245"/>
    </row>
    <row r="81" spans="1:12" ht="13.8">
      <c r="A81" s="2603" t="s">
        <v>259</v>
      </c>
      <c r="B81" s="2599" t="s">
        <v>113</v>
      </c>
      <c r="C81" s="2600">
        <v>11011</v>
      </c>
      <c r="D81" s="2611"/>
      <c r="E81" s="2566">
        <f t="shared" si="1"/>
        <v>11011</v>
      </c>
      <c r="F81" s="2615">
        <v>8252.75</v>
      </c>
      <c r="G81" s="2602">
        <f t="shared" si="2"/>
        <v>2758.25</v>
      </c>
      <c r="H81" s="2568">
        <f t="shared" si="0"/>
        <v>0.25049950049950048</v>
      </c>
      <c r="I81" s="2594"/>
      <c r="J81" s="647"/>
      <c r="K81" s="245"/>
      <c r="L81" s="245"/>
    </row>
    <row r="82" spans="1:12" ht="13.8">
      <c r="A82" s="2603" t="s">
        <v>260</v>
      </c>
      <c r="B82" s="2599" t="s">
        <v>113</v>
      </c>
      <c r="C82" s="2600">
        <v>724</v>
      </c>
      <c r="D82" s="2611"/>
      <c r="E82" s="2566">
        <f t="shared" si="1"/>
        <v>724</v>
      </c>
      <c r="F82" s="2615">
        <v>566.45600000000002</v>
      </c>
      <c r="G82" s="2602">
        <f t="shared" si="2"/>
        <v>157.54399999999998</v>
      </c>
      <c r="H82" s="2568">
        <f t="shared" si="0"/>
        <v>0.21760220994475135</v>
      </c>
      <c r="I82" s="2594"/>
      <c r="J82" s="647"/>
      <c r="K82" s="245"/>
      <c r="L82" s="245"/>
    </row>
    <row r="83" spans="1:12" ht="13.8">
      <c r="A83" s="2887" t="s">
        <v>261</v>
      </c>
      <c r="B83" s="2599" t="s">
        <v>113</v>
      </c>
      <c r="C83" s="2600">
        <v>25448</v>
      </c>
      <c r="D83" s="2611">
        <f>-614+-1297</f>
        <v>-1911</v>
      </c>
      <c r="E83" s="2566">
        <f>+C83+D83</f>
        <v>23537</v>
      </c>
      <c r="F83" s="2615">
        <v>14616.638999999999</v>
      </c>
      <c r="G83" s="2619">
        <f t="shared" si="2"/>
        <v>8920.3610000000008</v>
      </c>
      <c r="H83" s="2568">
        <f t="shared" si="0"/>
        <v>0.3789931172196967</v>
      </c>
      <c r="I83" s="2620"/>
      <c r="J83" s="647"/>
      <c r="K83" s="245"/>
      <c r="L83" s="245"/>
    </row>
    <row r="84" spans="1:12" ht="13.8">
      <c r="A84" s="2603" t="s">
        <v>263</v>
      </c>
      <c r="B84" s="2599" t="s">
        <v>113</v>
      </c>
      <c r="C84" s="2600">
        <f>9357+5297+600</f>
        <v>15254</v>
      </c>
      <c r="D84" s="2611">
        <f>-1500+-600</f>
        <v>-2100</v>
      </c>
      <c r="E84" s="2612">
        <f>+C84+D84</f>
        <v>13154</v>
      </c>
      <c r="F84" s="2615">
        <v>10377.538</v>
      </c>
      <c r="G84" s="2602">
        <f t="shared" si="2"/>
        <v>2776.4619999999995</v>
      </c>
      <c r="H84" s="2568">
        <f t="shared" si="0"/>
        <v>0.21107358978257559</v>
      </c>
      <c r="I84" s="2606"/>
      <c r="J84" s="958"/>
      <c r="K84" s="245"/>
      <c r="L84" s="245"/>
    </row>
    <row r="85" spans="1:12" ht="13.8">
      <c r="A85" s="2603" t="s">
        <v>299</v>
      </c>
      <c r="B85" s="2599" t="s">
        <v>113</v>
      </c>
      <c r="C85" s="2600">
        <v>2260</v>
      </c>
      <c r="D85" s="2600"/>
      <c r="E85" s="2566">
        <f t="shared" si="1"/>
        <v>2260</v>
      </c>
      <c r="F85" s="2615">
        <v>2007.3889999999999</v>
      </c>
      <c r="G85" s="2602">
        <f t="shared" si="2"/>
        <v>252.6110000000001</v>
      </c>
      <c r="H85" s="2568">
        <f t="shared" si="0"/>
        <v>0.111774778761062</v>
      </c>
      <c r="I85" s="2605"/>
      <c r="J85" s="958"/>
      <c r="K85" s="245"/>
      <c r="L85" s="245"/>
    </row>
    <row r="86" spans="1:12" ht="13.8">
      <c r="A86" s="2603" t="s">
        <v>262</v>
      </c>
      <c r="B86" s="2599" t="s">
        <v>113</v>
      </c>
      <c r="C86" s="2600">
        <v>8307</v>
      </c>
      <c r="D86" s="2600"/>
      <c r="E86" s="2566">
        <f t="shared" si="1"/>
        <v>8307</v>
      </c>
      <c r="F86" s="2615">
        <v>7404.6559999999999</v>
      </c>
      <c r="G86" s="2602">
        <f t="shared" si="2"/>
        <v>902.34400000000005</v>
      </c>
      <c r="H86" s="2568">
        <f t="shared" si="0"/>
        <v>0.10862453352594198</v>
      </c>
      <c r="I86" s="2609"/>
      <c r="J86" s="958"/>
      <c r="K86" s="245"/>
      <c r="L86" s="245"/>
    </row>
    <row r="87" spans="1:12" ht="13.8">
      <c r="A87" s="2603" t="s">
        <v>264</v>
      </c>
      <c r="B87" s="2599" t="s">
        <v>113</v>
      </c>
      <c r="C87" s="2600">
        <v>7384</v>
      </c>
      <c r="D87" s="2600"/>
      <c r="E87" s="2566">
        <f t="shared" si="1"/>
        <v>7384</v>
      </c>
      <c r="F87" s="2615">
        <v>5639.2439999999997</v>
      </c>
      <c r="G87" s="2602">
        <f t="shared" si="2"/>
        <v>1744.7560000000003</v>
      </c>
      <c r="H87" s="2568">
        <f t="shared" si="0"/>
        <v>0.23628873239436624</v>
      </c>
      <c r="I87" s="2595"/>
      <c r="J87" s="647"/>
      <c r="K87" s="245"/>
      <c r="L87" s="245"/>
    </row>
    <row r="88" spans="1:12" ht="13.8">
      <c r="A88" s="3080" t="s">
        <v>265</v>
      </c>
      <c r="B88" s="2599" t="s">
        <v>113</v>
      </c>
      <c r="C88" s="2600">
        <f>17079-500</f>
        <v>16579</v>
      </c>
      <c r="D88" s="2600"/>
      <c r="E88" s="2566">
        <f t="shared" si="1"/>
        <v>16579</v>
      </c>
      <c r="F88" s="2615">
        <v>12905.313</v>
      </c>
      <c r="G88" s="2602">
        <f t="shared" si="2"/>
        <v>3673.6869999999999</v>
      </c>
      <c r="H88" s="2568">
        <f t="shared" si="0"/>
        <v>0.2215867663912178</v>
      </c>
      <c r="I88" s="2595"/>
      <c r="J88" s="647"/>
      <c r="K88" s="245"/>
      <c r="L88" s="245"/>
    </row>
    <row r="89" spans="1:12" ht="13.8">
      <c r="A89" s="296" t="s">
        <v>532</v>
      </c>
      <c r="B89" s="2599" t="s">
        <v>113</v>
      </c>
      <c r="C89" s="2600">
        <v>679</v>
      </c>
      <c r="D89" s="2611">
        <v>-185</v>
      </c>
      <c r="E89" s="2566">
        <f>+C89+D89</f>
        <v>494</v>
      </c>
      <c r="F89" s="2615">
        <v>543.43900000000008</v>
      </c>
      <c r="G89" s="2602">
        <f t="shared" si="2"/>
        <v>-49.439000000000078</v>
      </c>
      <c r="H89" s="2568">
        <f t="shared" si="0"/>
        <v>-0.10007894736842121</v>
      </c>
      <c r="I89" s="2851"/>
      <c r="J89" s="958"/>
      <c r="K89" s="245"/>
      <c r="L89" s="245"/>
    </row>
    <row r="90" spans="1:12" ht="13.8">
      <c r="A90" s="2958" t="s">
        <v>266</v>
      </c>
      <c r="B90" s="2599" t="s">
        <v>113</v>
      </c>
      <c r="C90" s="2600">
        <f>5439+303+1000</f>
        <v>6742</v>
      </c>
      <c r="D90" s="2611">
        <f>-200+-300</f>
        <v>-500</v>
      </c>
      <c r="E90" s="2566">
        <f>+C90+D90</f>
        <v>6242</v>
      </c>
      <c r="F90" s="2615">
        <v>4948.9669999999996</v>
      </c>
      <c r="G90" s="2602">
        <f t="shared" si="2"/>
        <v>1293.0330000000004</v>
      </c>
      <c r="H90" s="2568">
        <f t="shared" si="0"/>
        <v>0.20715043255366875</v>
      </c>
      <c r="I90" s="2609"/>
      <c r="J90" s="958"/>
      <c r="K90" s="245"/>
      <c r="L90" s="245"/>
    </row>
    <row r="91" spans="1:12" ht="13.8">
      <c r="A91" s="3235" t="s">
        <v>1289</v>
      </c>
      <c r="B91" s="2599" t="s">
        <v>113</v>
      </c>
      <c r="C91" s="2600">
        <f>10508-700</f>
        <v>9808</v>
      </c>
      <c r="D91" s="2611">
        <f>-600+-500</f>
        <v>-1100</v>
      </c>
      <c r="E91" s="2566">
        <f>+C91+D91</f>
        <v>8708</v>
      </c>
      <c r="F91" s="2615">
        <v>6068.2960000000003</v>
      </c>
      <c r="G91" s="2602">
        <f t="shared" si="2"/>
        <v>2639.7039999999997</v>
      </c>
      <c r="H91" s="2568">
        <f t="shared" si="0"/>
        <v>0.30313550757923746</v>
      </c>
      <c r="I91" s="2595"/>
      <c r="J91" s="647"/>
      <c r="K91" s="245"/>
      <c r="L91" s="245"/>
    </row>
    <row r="92" spans="1:12" ht="13.8">
      <c r="A92" s="2603" t="s">
        <v>300</v>
      </c>
      <c r="B92" s="2599" t="s">
        <v>113</v>
      </c>
      <c r="C92" s="2600">
        <v>3171</v>
      </c>
      <c r="D92" s="2600"/>
      <c r="E92" s="2566">
        <f t="shared" si="1"/>
        <v>3171</v>
      </c>
      <c r="F92" s="2615">
        <v>2161.8620000000001</v>
      </c>
      <c r="G92" s="2602">
        <f t="shared" si="2"/>
        <v>1009.1379999999999</v>
      </c>
      <c r="H92" s="2568">
        <f t="shared" si="0"/>
        <v>0.3182396720277515</v>
      </c>
      <c r="I92" s="2595"/>
      <c r="J92" s="647"/>
      <c r="K92" s="245"/>
      <c r="L92" s="245"/>
    </row>
    <row r="93" spans="1:12" ht="13.8">
      <c r="A93" s="2603" t="s">
        <v>302</v>
      </c>
      <c r="B93" s="2599" t="s">
        <v>113</v>
      </c>
      <c r="C93" s="2600">
        <v>1041</v>
      </c>
      <c r="D93" s="2600"/>
      <c r="E93" s="2566">
        <f t="shared" si="1"/>
        <v>1041</v>
      </c>
      <c r="F93" s="2615">
        <v>1130.433</v>
      </c>
      <c r="G93" s="2602">
        <f t="shared" si="2"/>
        <v>-89.432999999999993</v>
      </c>
      <c r="H93" s="2568">
        <f t="shared" si="0"/>
        <v>-8.5910662824207493E-2</v>
      </c>
      <c r="I93" s="2606">
        <v>41108</v>
      </c>
      <c r="J93" s="958"/>
      <c r="K93" s="245"/>
      <c r="L93" s="245"/>
    </row>
    <row r="94" spans="1:12" ht="13.8">
      <c r="A94" s="2879" t="s">
        <v>267</v>
      </c>
      <c r="B94" s="3001" t="s">
        <v>113</v>
      </c>
      <c r="C94" s="3001">
        <f>20876+500+2806.52+1000</f>
        <v>25182.52</v>
      </c>
      <c r="D94" s="3009">
        <v>-200</v>
      </c>
      <c r="E94" s="3036">
        <f>+C94+D94</f>
        <v>24982.52</v>
      </c>
      <c r="F94" s="988">
        <v>15530.888000000001</v>
      </c>
      <c r="G94" s="1754">
        <f t="shared" si="2"/>
        <v>9451.6319999999996</v>
      </c>
      <c r="H94" s="2568">
        <f t="shared" si="0"/>
        <v>0.37832980820189477</v>
      </c>
      <c r="I94" s="1754"/>
      <c r="J94"/>
      <c r="K94" s="245"/>
      <c r="L94" s="245"/>
    </row>
    <row r="95" spans="1:12" ht="13.8">
      <c r="A95" s="2603" t="s">
        <v>268</v>
      </c>
      <c r="B95" s="2599" t="s">
        <v>113</v>
      </c>
      <c r="C95" s="2600">
        <f>17180-500</f>
        <v>16680</v>
      </c>
      <c r="D95" s="2611">
        <f>-2400+-500</f>
        <v>-2900</v>
      </c>
      <c r="E95" s="2612">
        <f>+C95+D95</f>
        <v>13780</v>
      </c>
      <c r="F95" s="2615">
        <v>12380.733</v>
      </c>
      <c r="G95" s="2602">
        <f t="shared" si="2"/>
        <v>1399.2669999999998</v>
      </c>
      <c r="H95" s="2568">
        <f t="shared" si="0"/>
        <v>0.10154332365747459</v>
      </c>
      <c r="I95" s="2609"/>
      <c r="J95" s="958"/>
      <c r="K95" s="245"/>
      <c r="L95" s="245"/>
    </row>
    <row r="96" spans="1:12" ht="13.8">
      <c r="A96" s="2603" t="s">
        <v>270</v>
      </c>
      <c r="B96" s="2612" t="s">
        <v>113</v>
      </c>
      <c r="C96" s="2600">
        <v>19925</v>
      </c>
      <c r="D96" s="2600"/>
      <c r="E96" s="2566">
        <f t="shared" si="1"/>
        <v>19925</v>
      </c>
      <c r="F96" s="2615">
        <v>13773.977999999999</v>
      </c>
      <c r="G96" s="2602">
        <f t="shared" si="2"/>
        <v>6151.0220000000008</v>
      </c>
      <c r="H96" s="2568">
        <f t="shared" si="0"/>
        <v>0.30870875784190721</v>
      </c>
      <c r="I96" s="2595"/>
      <c r="J96" s="647"/>
      <c r="K96" s="245"/>
      <c r="L96" s="245"/>
    </row>
    <row r="97" spans="1:14" ht="13.8">
      <c r="A97" s="2603" t="s">
        <v>301</v>
      </c>
      <c r="B97" s="2599" t="s">
        <v>113</v>
      </c>
      <c r="C97" s="2600">
        <v>3724</v>
      </c>
      <c r="D97" s="2600"/>
      <c r="E97" s="2566">
        <f t="shared" si="1"/>
        <v>3724</v>
      </c>
      <c r="F97" s="2615">
        <v>2902.491</v>
      </c>
      <c r="G97" s="2602">
        <f t="shared" si="2"/>
        <v>821.50900000000001</v>
      </c>
      <c r="H97" s="2568">
        <f t="shared" si="0"/>
        <v>0.2205985499462943</v>
      </c>
      <c r="I97" s="2621"/>
      <c r="J97" s="647"/>
      <c r="K97" s="245"/>
      <c r="L97" s="245"/>
    </row>
    <row r="98" spans="1:14" ht="13.8">
      <c r="A98" s="2603" t="s">
        <v>643</v>
      </c>
      <c r="B98" s="2599" t="s">
        <v>113</v>
      </c>
      <c r="C98" s="2600">
        <v>272</v>
      </c>
      <c r="D98" s="2600"/>
      <c r="E98" s="2566">
        <f t="shared" si="1"/>
        <v>272</v>
      </c>
      <c r="F98" s="2615">
        <v>1240.0170000000001</v>
      </c>
      <c r="G98" s="2602">
        <f t="shared" si="2"/>
        <v>-968.01700000000005</v>
      </c>
      <c r="H98" s="2568">
        <f t="shared" si="0"/>
        <v>-3.5588860294117648</v>
      </c>
      <c r="I98" s="2614">
        <v>41019</v>
      </c>
      <c r="J98" s="647"/>
      <c r="K98" s="245"/>
      <c r="L98" s="245"/>
    </row>
    <row r="99" spans="1:14" ht="13.8">
      <c r="A99" s="2622" t="s">
        <v>528</v>
      </c>
      <c r="B99" s="2612" t="s">
        <v>113</v>
      </c>
      <c r="C99" s="2600">
        <v>15092</v>
      </c>
      <c r="D99" s="2600"/>
      <c r="E99" s="2566">
        <f t="shared" si="1"/>
        <v>15092</v>
      </c>
      <c r="F99" s="2615">
        <v>12629.057000000001</v>
      </c>
      <c r="G99" s="2623">
        <f>+E99-F99</f>
        <v>2462.9429999999993</v>
      </c>
      <c r="H99" s="2568">
        <f t="shared" si="0"/>
        <v>0.16319526901669754</v>
      </c>
      <c r="I99" s="2614" t="s">
        <v>657</v>
      </c>
      <c r="J99" s="647"/>
      <c r="K99" s="245"/>
      <c r="L99" s="245"/>
    </row>
    <row r="100" spans="1:14" ht="13.8">
      <c r="A100" s="1486" t="s">
        <v>632</v>
      </c>
      <c r="B100" s="2612" t="s">
        <v>113</v>
      </c>
      <c r="C100" s="2600">
        <v>1086</v>
      </c>
      <c r="D100" s="2611">
        <v>-743</v>
      </c>
      <c r="E100" s="2566">
        <f>+C100+D100</f>
        <v>343</v>
      </c>
      <c r="F100" s="2615">
        <v>218.16</v>
      </c>
      <c r="G100" s="2623">
        <f>+E100-F100</f>
        <v>124.84</v>
      </c>
      <c r="H100" s="2568">
        <f t="shared" si="0"/>
        <v>0.36396501457725949</v>
      </c>
      <c r="I100" s="2614"/>
      <c r="J100" s="647"/>
      <c r="K100" s="245"/>
      <c r="L100" s="245"/>
    </row>
    <row r="101" spans="1:14" ht="14.4" thickBot="1">
      <c r="A101" s="786" t="s">
        <v>653</v>
      </c>
      <c r="B101" s="2612" t="s">
        <v>113</v>
      </c>
      <c r="C101" s="2600">
        <v>81.099999999999994</v>
      </c>
      <c r="D101" s="2600"/>
      <c r="E101" s="2566">
        <f t="shared" si="1"/>
        <v>81.099999999999994</v>
      </c>
      <c r="F101" s="2624">
        <v>0</v>
      </c>
      <c r="G101" s="2625">
        <f>+E101-F101</f>
        <v>81.099999999999994</v>
      </c>
      <c r="H101" s="2568">
        <f t="shared" si="0"/>
        <v>1</v>
      </c>
      <c r="I101" s="2614"/>
      <c r="J101" s="647"/>
      <c r="K101" s="245"/>
      <c r="L101" s="245"/>
    </row>
    <row r="102" spans="1:14" ht="13.8">
      <c r="A102" s="575" t="s">
        <v>111</v>
      </c>
      <c r="B102" s="2626" t="s">
        <v>113</v>
      </c>
      <c r="C102" s="3040">
        <f>SUM(C41:C101)</f>
        <v>559682.52</v>
      </c>
      <c r="D102" s="3041">
        <f>+D63+D53+D95+D89+D90+D91+D94+D84+D80+D59+D83+D100</f>
        <v>-11882.26</v>
      </c>
      <c r="E102" s="3315">
        <f>SUM(E41:E101)</f>
        <v>543260.46000000008</v>
      </c>
      <c r="F102" s="3042">
        <f>SUM(F41:F101)</f>
        <v>401183.09700000013</v>
      </c>
      <c r="G102" s="2627">
        <f>+E102-F102</f>
        <v>142077.36299999995</v>
      </c>
      <c r="H102" s="2568">
        <f t="shared" si="0"/>
        <v>0.26152715586921221</v>
      </c>
      <c r="I102" s="2628"/>
      <c r="J102" s="1369"/>
      <c r="K102" s="1370"/>
      <c r="L102" s="1371"/>
      <c r="M102" s="1371"/>
    </row>
    <row r="103" spans="1:14" ht="13.8">
      <c r="A103" s="609"/>
      <c r="B103" s="153"/>
      <c r="C103" s="2573"/>
      <c r="D103" s="2573"/>
      <c r="E103" s="2573"/>
      <c r="F103" s="610"/>
      <c r="G103" s="610"/>
      <c r="H103" s="2629"/>
      <c r="I103" s="2563"/>
      <c r="J103" s="3181" t="s">
        <v>1194</v>
      </c>
      <c r="L103" s="3083" t="s">
        <v>1193</v>
      </c>
      <c r="M103" s="3161" t="s">
        <v>1215</v>
      </c>
    </row>
    <row r="104" spans="1:14" ht="13.8">
      <c r="A104" s="1432" t="s">
        <v>106</v>
      </c>
      <c r="B104" s="1432" t="s">
        <v>107</v>
      </c>
      <c r="C104" s="792" t="s">
        <v>108</v>
      </c>
      <c r="D104" s="792"/>
      <c r="E104" s="792" t="s">
        <v>109</v>
      </c>
      <c r="F104" s="1432" t="s">
        <v>47</v>
      </c>
      <c r="G104" s="1432" t="s">
        <v>48</v>
      </c>
      <c r="H104" s="1432" t="s">
        <v>110</v>
      </c>
      <c r="I104" s="508" t="s">
        <v>50</v>
      </c>
      <c r="J104" s="3180" t="s">
        <v>1078</v>
      </c>
      <c r="K104" s="3316" t="s">
        <v>1077</v>
      </c>
      <c r="L104" s="3317" t="s">
        <v>1079</v>
      </c>
      <c r="M104" s="3293" t="s">
        <v>1195</v>
      </c>
      <c r="N104" s="3161" t="s">
        <v>1214</v>
      </c>
    </row>
    <row r="105" spans="1:14" ht="13.8">
      <c r="A105" s="2603" t="s">
        <v>227</v>
      </c>
      <c r="B105" s="2565" t="s">
        <v>63</v>
      </c>
      <c r="C105" s="2612">
        <v>91</v>
      </c>
      <c r="D105" s="2612"/>
      <c r="E105" s="2566">
        <f t="shared" ref="E105:E126" si="3">+C105+G41</f>
        <v>787.04900000000009</v>
      </c>
      <c r="F105" s="584">
        <f>L105</f>
        <v>28.721000000000004</v>
      </c>
      <c r="G105" s="2602">
        <f t="shared" ref="G105:G165" si="4">+E105-F105</f>
        <v>758.32800000000009</v>
      </c>
      <c r="H105" s="2568">
        <f>+G105/E105</f>
        <v>0.96350798997267006</v>
      </c>
      <c r="I105" s="2630"/>
      <c r="J105" s="2314">
        <v>586.87199999999996</v>
      </c>
      <c r="K105" s="2314">
        <v>558.15099999999995</v>
      </c>
      <c r="L105" s="2315">
        <f>+M105-K105</f>
        <v>28.721000000000004</v>
      </c>
      <c r="M105">
        <v>586.87199999999996</v>
      </c>
      <c r="N105">
        <v>1</v>
      </c>
    </row>
    <row r="106" spans="1:14" ht="13.8">
      <c r="A106" s="2888" t="s">
        <v>228</v>
      </c>
      <c r="B106" s="2565" t="s">
        <v>63</v>
      </c>
      <c r="C106" s="2612">
        <v>203</v>
      </c>
      <c r="D106" s="2612"/>
      <c r="E106" s="2566">
        <f t="shared" si="3"/>
        <v>594.82099999999991</v>
      </c>
      <c r="F106" s="584">
        <f t="shared" ref="F106:F165" si="5">L106</f>
        <v>374.12599999999975</v>
      </c>
      <c r="G106" s="2602">
        <f t="shared" si="4"/>
        <v>220.69500000000016</v>
      </c>
      <c r="H106" s="2881">
        <f t="shared" ref="H106:H166" si="6">+G106/E106</f>
        <v>0.37102758645037781</v>
      </c>
      <c r="I106" s="2594">
        <v>41233</v>
      </c>
      <c r="J106" s="2314">
        <v>3830.3049999999998</v>
      </c>
      <c r="K106" s="2314">
        <v>3456.1790000000001</v>
      </c>
      <c r="L106" s="2315">
        <f t="shared" ref="L106:L165" si="7">+M106-K106</f>
        <v>374.12599999999975</v>
      </c>
      <c r="M106">
        <v>3830.3049999999998</v>
      </c>
      <c r="N106">
        <v>2</v>
      </c>
    </row>
    <row r="107" spans="1:14" ht="13.8">
      <c r="A107" s="2888" t="s">
        <v>229</v>
      </c>
      <c r="B107" s="2565" t="s">
        <v>63</v>
      </c>
      <c r="C107" s="2612">
        <v>461</v>
      </c>
      <c r="D107" s="2612"/>
      <c r="E107" s="2612">
        <f t="shared" si="3"/>
        <v>3384.3249999999998</v>
      </c>
      <c r="F107" s="584">
        <f t="shared" si="5"/>
        <v>171.63400000000001</v>
      </c>
      <c r="G107" s="2619">
        <f t="shared" si="4"/>
        <v>3212.6909999999998</v>
      </c>
      <c r="H107" s="2568">
        <f t="shared" si="6"/>
        <v>0.94928560348075319</v>
      </c>
      <c r="I107" s="2631"/>
      <c r="J107" s="2314">
        <v>2500.3090000000002</v>
      </c>
      <c r="K107" s="2314">
        <v>2328.6750000000002</v>
      </c>
      <c r="L107" s="2315">
        <f t="shared" si="7"/>
        <v>171.63400000000001</v>
      </c>
      <c r="M107">
        <v>2500.3090000000002</v>
      </c>
      <c r="N107" s="3161">
        <v>3</v>
      </c>
    </row>
    <row r="108" spans="1:14" ht="13.8">
      <c r="A108" s="2888" t="s">
        <v>230</v>
      </c>
      <c r="B108" s="2565" t="s">
        <v>63</v>
      </c>
      <c r="C108" s="2612">
        <v>1131</v>
      </c>
      <c r="D108" s="2612"/>
      <c r="E108" s="2612">
        <f t="shared" si="3"/>
        <v>7114.3490000000002</v>
      </c>
      <c r="F108" s="584">
        <f t="shared" si="5"/>
        <v>2609.7199999999993</v>
      </c>
      <c r="G108" s="2619">
        <f t="shared" si="4"/>
        <v>4504.6290000000008</v>
      </c>
      <c r="H108" s="2568">
        <f t="shared" si="6"/>
        <v>0.63317515067084851</v>
      </c>
      <c r="I108" s="2609"/>
      <c r="J108" s="2314">
        <v>18114.370999999999</v>
      </c>
      <c r="K108" s="2314">
        <v>15504.651</v>
      </c>
      <c r="L108" s="2315">
        <f t="shared" si="7"/>
        <v>2609.7199999999993</v>
      </c>
      <c r="M108">
        <v>18114.370999999999</v>
      </c>
      <c r="N108" s="3161">
        <v>4</v>
      </c>
    </row>
    <row r="109" spans="1:14" ht="13.8">
      <c r="A109" s="2887" t="s">
        <v>231</v>
      </c>
      <c r="B109" s="2565" t="s">
        <v>63</v>
      </c>
      <c r="C109" s="2612">
        <v>82</v>
      </c>
      <c r="D109" s="2612"/>
      <c r="E109" s="2612">
        <f t="shared" si="3"/>
        <v>887.82400000000007</v>
      </c>
      <c r="F109" s="584">
        <f t="shared" si="5"/>
        <v>0</v>
      </c>
      <c r="G109" s="2619">
        <f t="shared" si="4"/>
        <v>887.82400000000007</v>
      </c>
      <c r="H109" s="2568">
        <f t="shared" si="6"/>
        <v>1</v>
      </c>
      <c r="I109" s="2605"/>
      <c r="J109" s="2314">
        <v>1449.1759999999999</v>
      </c>
      <c r="K109" s="2314">
        <v>1449.1759999999999</v>
      </c>
      <c r="L109" s="2315">
        <f t="shared" si="7"/>
        <v>0</v>
      </c>
      <c r="M109">
        <v>1449.1759999999999</v>
      </c>
      <c r="N109" s="3161">
        <v>5</v>
      </c>
    </row>
    <row r="110" spans="1:14" ht="13.8">
      <c r="A110" s="2887" t="s">
        <v>232</v>
      </c>
      <c r="B110" s="2565" t="s">
        <v>63</v>
      </c>
      <c r="C110" s="2612">
        <v>855</v>
      </c>
      <c r="D110" s="2612"/>
      <c r="E110" s="2612">
        <f t="shared" si="3"/>
        <v>7382.4599999999991</v>
      </c>
      <c r="F110" s="584">
        <f t="shared" si="5"/>
        <v>908.97899999999936</v>
      </c>
      <c r="G110" s="2619">
        <f t="shared" si="4"/>
        <v>6473.4809999999998</v>
      </c>
      <c r="H110" s="2568">
        <f t="shared" si="6"/>
        <v>0.87687315610243743</v>
      </c>
      <c r="I110" s="2631"/>
      <c r="J110" s="2314">
        <v>10625.519</v>
      </c>
      <c r="K110" s="2314">
        <v>9716.5400000000009</v>
      </c>
      <c r="L110" s="2315">
        <f t="shared" si="7"/>
        <v>908.97899999999936</v>
      </c>
      <c r="M110">
        <v>10625.519</v>
      </c>
      <c r="N110" s="3161">
        <v>6</v>
      </c>
    </row>
    <row r="111" spans="1:14" ht="13.8">
      <c r="A111" s="2880" t="s">
        <v>233</v>
      </c>
      <c r="B111" s="2565" t="s">
        <v>63</v>
      </c>
      <c r="C111" s="2612">
        <v>894</v>
      </c>
      <c r="D111" s="2612"/>
      <c r="E111" s="2612">
        <f t="shared" si="3"/>
        <v>5506.8080000000009</v>
      </c>
      <c r="F111" s="584">
        <f t="shared" si="5"/>
        <v>2089.5600000000013</v>
      </c>
      <c r="G111" s="2619">
        <f t="shared" si="4"/>
        <v>3417.2479999999996</v>
      </c>
      <c r="H111" s="2568">
        <f t="shared" si="6"/>
        <v>0.6205496904922051</v>
      </c>
      <c r="I111" s="2631"/>
      <c r="J111" s="2314">
        <v>14453.752</v>
      </c>
      <c r="K111" s="2314">
        <v>12364.191999999999</v>
      </c>
      <c r="L111" s="2315">
        <f t="shared" si="7"/>
        <v>2089.5600000000013</v>
      </c>
      <c r="M111">
        <v>14453.752</v>
      </c>
      <c r="N111" s="3161">
        <v>7</v>
      </c>
    </row>
    <row r="112" spans="1:14" ht="13.8">
      <c r="A112" s="2887" t="s">
        <v>234</v>
      </c>
      <c r="B112" s="2565" t="s">
        <v>63</v>
      </c>
      <c r="C112" s="2612">
        <v>700</v>
      </c>
      <c r="D112" s="2612"/>
      <c r="E112" s="2612">
        <f t="shared" si="3"/>
        <v>3745.5280000000002</v>
      </c>
      <c r="F112" s="584">
        <f t="shared" si="5"/>
        <v>1904.8539999999994</v>
      </c>
      <c r="G112" s="2619">
        <f t="shared" si="4"/>
        <v>1840.6740000000009</v>
      </c>
      <c r="H112" s="2568">
        <f t="shared" si="6"/>
        <v>0.49143244957720267</v>
      </c>
      <c r="I112" s="2632"/>
      <c r="J112" s="2314">
        <v>13150.325999999999</v>
      </c>
      <c r="K112" s="2314">
        <v>11245.472</v>
      </c>
      <c r="L112" s="2315">
        <f t="shared" si="7"/>
        <v>1904.8539999999994</v>
      </c>
      <c r="M112">
        <v>13150.325999999999</v>
      </c>
      <c r="N112" s="3161">
        <v>8</v>
      </c>
    </row>
    <row r="113" spans="1:14" ht="13.8">
      <c r="A113" s="2887" t="s">
        <v>235</v>
      </c>
      <c r="B113" s="2565" t="s">
        <v>63</v>
      </c>
      <c r="C113" s="2612">
        <v>272</v>
      </c>
      <c r="D113" s="2612"/>
      <c r="E113" s="2566">
        <f t="shared" si="3"/>
        <v>1572.0880000000002</v>
      </c>
      <c r="F113" s="584">
        <f t="shared" si="5"/>
        <v>745.50400000000036</v>
      </c>
      <c r="G113" s="2602">
        <f t="shared" si="4"/>
        <v>826.58399999999983</v>
      </c>
      <c r="H113" s="2568">
        <f t="shared" si="6"/>
        <v>0.525787360503992</v>
      </c>
      <c r="I113" s="2633"/>
      <c r="J113" s="2314">
        <v>4621.4160000000002</v>
      </c>
      <c r="K113" s="2314">
        <v>3875.9119999999998</v>
      </c>
      <c r="L113" s="2315">
        <f t="shared" si="7"/>
        <v>745.50400000000036</v>
      </c>
      <c r="M113">
        <v>4621.4160000000002</v>
      </c>
      <c r="N113" s="3161">
        <v>9</v>
      </c>
    </row>
    <row r="114" spans="1:14" ht="13.8">
      <c r="A114" s="2887" t="s">
        <v>236</v>
      </c>
      <c r="B114" s="2565" t="s">
        <v>63</v>
      </c>
      <c r="C114" s="2612">
        <v>2515</v>
      </c>
      <c r="D114" s="2612"/>
      <c r="E114" s="2566">
        <f t="shared" si="3"/>
        <v>13835.978999999999</v>
      </c>
      <c r="F114" s="584">
        <f t="shared" si="5"/>
        <v>4748.3899999999994</v>
      </c>
      <c r="G114" s="2602">
        <f t="shared" si="4"/>
        <v>9087.5889999999999</v>
      </c>
      <c r="H114" s="2568">
        <f t="shared" si="6"/>
        <v>0.65680852796900024</v>
      </c>
      <c r="I114" s="2633"/>
      <c r="J114" s="2314">
        <v>41388.411</v>
      </c>
      <c r="K114" s="2314">
        <v>36640.021000000001</v>
      </c>
      <c r="L114" s="2315">
        <f t="shared" si="7"/>
        <v>4748.3899999999994</v>
      </c>
      <c r="M114">
        <v>41388.411</v>
      </c>
      <c r="N114" s="3161">
        <v>10</v>
      </c>
    </row>
    <row r="115" spans="1:14" ht="13.8">
      <c r="A115" s="2887" t="s">
        <v>303</v>
      </c>
      <c r="B115" s="2565" t="s">
        <v>63</v>
      </c>
      <c r="C115" s="2612">
        <v>153</v>
      </c>
      <c r="D115" s="2612"/>
      <c r="E115" s="2566">
        <f t="shared" si="3"/>
        <v>448.99499999999989</v>
      </c>
      <c r="F115" s="584">
        <f t="shared" si="5"/>
        <v>31.527999999999793</v>
      </c>
      <c r="G115" s="2602">
        <f t="shared" si="4"/>
        <v>417.4670000000001</v>
      </c>
      <c r="H115" s="2568">
        <f t="shared" si="6"/>
        <v>0.92978095524449089</v>
      </c>
      <c r="I115" s="2634"/>
      <c r="J115" s="2314">
        <v>2640.5329999999999</v>
      </c>
      <c r="K115" s="2314">
        <v>2609.0050000000001</v>
      </c>
      <c r="L115" s="2315">
        <f t="shared" si="7"/>
        <v>31.527999999999793</v>
      </c>
      <c r="M115">
        <v>2640.5329999999999</v>
      </c>
      <c r="N115" s="3161">
        <v>11</v>
      </c>
    </row>
    <row r="116" spans="1:14" ht="13.8">
      <c r="A116" s="2880" t="s">
        <v>237</v>
      </c>
      <c r="B116" s="2565" t="s">
        <v>63</v>
      </c>
      <c r="C116" s="2612">
        <v>462</v>
      </c>
      <c r="D116" s="2612"/>
      <c r="E116" s="2566">
        <f t="shared" si="3"/>
        <v>3420.1540000000005</v>
      </c>
      <c r="F116" s="584">
        <f t="shared" si="5"/>
        <v>297.46200000000044</v>
      </c>
      <c r="G116" s="2602">
        <f t="shared" si="4"/>
        <v>3122.692</v>
      </c>
      <c r="H116" s="2568">
        <f t="shared" si="6"/>
        <v>0.91302672335807089</v>
      </c>
      <c r="I116" s="2633"/>
      <c r="J116" s="2314">
        <v>6111.308</v>
      </c>
      <c r="K116" s="2314">
        <v>5813.8459999999995</v>
      </c>
      <c r="L116" s="2315">
        <f t="shared" si="7"/>
        <v>297.46200000000044</v>
      </c>
      <c r="M116">
        <v>6111.308</v>
      </c>
      <c r="N116" s="3161">
        <v>12</v>
      </c>
    </row>
    <row r="117" spans="1:14" ht="13.8">
      <c r="A117" s="2880" t="s">
        <v>529</v>
      </c>
      <c r="B117" s="2565" t="s">
        <v>63</v>
      </c>
      <c r="C117" s="2612">
        <v>0</v>
      </c>
      <c r="D117" s="2611">
        <v>0</v>
      </c>
      <c r="E117" s="2566">
        <f>+C117+G53+D117</f>
        <v>0</v>
      </c>
      <c r="F117" s="584">
        <f t="shared" si="5"/>
        <v>0</v>
      </c>
      <c r="G117" s="2602">
        <f t="shared" si="4"/>
        <v>0</v>
      </c>
      <c r="H117" s="2568" t="e">
        <f t="shared" si="6"/>
        <v>#DIV/0!</v>
      </c>
      <c r="I117" s="2633"/>
      <c r="J117" s="2314">
        <v>0</v>
      </c>
      <c r="K117" s="2314">
        <v>0</v>
      </c>
      <c r="L117" s="2315">
        <f t="shared" si="7"/>
        <v>0</v>
      </c>
      <c r="M117">
        <v>0</v>
      </c>
      <c r="N117" s="3161">
        <v>13</v>
      </c>
    </row>
    <row r="118" spans="1:14" ht="13.8">
      <c r="A118" s="2880" t="s">
        <v>238</v>
      </c>
      <c r="B118" s="2565" t="s">
        <v>63</v>
      </c>
      <c r="C118" s="2612">
        <v>1356</v>
      </c>
      <c r="D118" s="2612"/>
      <c r="E118" s="2566">
        <f t="shared" si="3"/>
        <v>3809.741</v>
      </c>
      <c r="F118" s="584">
        <f t="shared" si="5"/>
        <v>2256.9719999999998</v>
      </c>
      <c r="G118" s="2602">
        <f t="shared" si="4"/>
        <v>1552.7690000000002</v>
      </c>
      <c r="H118" s="2568">
        <f t="shared" si="6"/>
        <v>0.40757862542361811</v>
      </c>
      <c r="I118" s="2633"/>
      <c r="J118" s="2314">
        <v>17060.231</v>
      </c>
      <c r="K118" s="2314">
        <v>14803.259</v>
      </c>
      <c r="L118" s="2315">
        <f t="shared" si="7"/>
        <v>2256.9719999999998</v>
      </c>
      <c r="M118">
        <v>17060.231</v>
      </c>
      <c r="N118" s="3161">
        <v>14</v>
      </c>
    </row>
    <row r="119" spans="1:14" ht="13.8">
      <c r="A119" s="2880" t="s">
        <v>239</v>
      </c>
      <c r="B119" s="2565" t="s">
        <v>63</v>
      </c>
      <c r="C119" s="2612">
        <v>511</v>
      </c>
      <c r="D119" s="2612"/>
      <c r="E119" s="2566">
        <f t="shared" si="3"/>
        <v>2301.857</v>
      </c>
      <c r="F119" s="584">
        <f t="shared" si="5"/>
        <v>1691.5010000000002</v>
      </c>
      <c r="G119" s="2602">
        <f t="shared" si="4"/>
        <v>610.35599999999977</v>
      </c>
      <c r="H119" s="2568">
        <f t="shared" si="6"/>
        <v>0.26515808757885473</v>
      </c>
      <c r="I119" s="2630"/>
      <c r="J119" s="2314">
        <v>9608.6440000000002</v>
      </c>
      <c r="K119" s="2314">
        <v>7917.143</v>
      </c>
      <c r="L119" s="2315">
        <f t="shared" si="7"/>
        <v>1691.5010000000002</v>
      </c>
      <c r="M119">
        <v>9608.6440000000002</v>
      </c>
      <c r="N119" s="3161">
        <v>15</v>
      </c>
    </row>
    <row r="120" spans="1:14" ht="13.8">
      <c r="A120" s="2880" t="s">
        <v>240</v>
      </c>
      <c r="B120" s="2565" t="s">
        <v>63</v>
      </c>
      <c r="C120" s="2612">
        <v>1664</v>
      </c>
      <c r="D120" s="2612"/>
      <c r="E120" s="2566">
        <f t="shared" si="3"/>
        <v>11455.855</v>
      </c>
      <c r="F120" s="584">
        <f t="shared" si="5"/>
        <v>806.46900000000096</v>
      </c>
      <c r="G120" s="2602">
        <f t="shared" si="4"/>
        <v>10649.385999999999</v>
      </c>
      <c r="H120" s="2568">
        <f t="shared" si="6"/>
        <v>0.9296020244669646</v>
      </c>
      <c r="I120" s="2630"/>
      <c r="J120" s="2314">
        <v>22632.614000000001</v>
      </c>
      <c r="K120" s="2314">
        <v>21826.145</v>
      </c>
      <c r="L120" s="2315">
        <f t="shared" si="7"/>
        <v>806.46900000000096</v>
      </c>
      <c r="M120">
        <v>22632.614000000001</v>
      </c>
      <c r="N120" s="3161">
        <v>16</v>
      </c>
    </row>
    <row r="121" spans="1:14" ht="13.8">
      <c r="A121" s="2887" t="s">
        <v>241</v>
      </c>
      <c r="B121" s="2565" t="s">
        <v>63</v>
      </c>
      <c r="C121" s="2612">
        <v>29</v>
      </c>
      <c r="D121" s="2612"/>
      <c r="E121" s="2566">
        <f t="shared" si="3"/>
        <v>191.37</v>
      </c>
      <c r="F121" s="584">
        <f t="shared" si="5"/>
        <v>5.1700000000000159</v>
      </c>
      <c r="G121" s="2602">
        <f t="shared" si="4"/>
        <v>186.2</v>
      </c>
      <c r="H121" s="2568">
        <f t="shared" si="6"/>
        <v>0.97298427130689236</v>
      </c>
      <c r="I121" s="2635"/>
      <c r="J121" s="2314">
        <v>385.8</v>
      </c>
      <c r="K121" s="2314">
        <v>380.63</v>
      </c>
      <c r="L121" s="2315">
        <f t="shared" si="7"/>
        <v>5.1700000000000159</v>
      </c>
      <c r="M121">
        <v>385.8</v>
      </c>
      <c r="N121" s="3161">
        <v>17</v>
      </c>
    </row>
    <row r="122" spans="1:14" ht="13.8">
      <c r="A122" s="3577" t="s">
        <v>242</v>
      </c>
      <c r="B122" s="2565" t="s">
        <v>63</v>
      </c>
      <c r="C122" s="2612">
        <v>453</v>
      </c>
      <c r="D122" s="2612"/>
      <c r="E122" s="2566">
        <f t="shared" si="3"/>
        <v>568.83500000000004</v>
      </c>
      <c r="F122" s="584">
        <f t="shared" si="5"/>
        <v>932.67600000000039</v>
      </c>
      <c r="G122" s="2602">
        <f>+E122-F122</f>
        <v>-363.84100000000035</v>
      </c>
      <c r="H122" s="2568">
        <f t="shared" si="6"/>
        <v>-0.63962484727557256</v>
      </c>
      <c r="I122" s="2621"/>
      <c r="J122" s="2314">
        <v>8022.8410000000003</v>
      </c>
      <c r="K122" s="2314">
        <v>7090.165</v>
      </c>
      <c r="L122" s="2315">
        <f t="shared" si="7"/>
        <v>932.67600000000039</v>
      </c>
      <c r="M122">
        <v>8022.8410000000003</v>
      </c>
      <c r="N122" s="3161">
        <v>18</v>
      </c>
    </row>
    <row r="123" spans="1:14" ht="13.8">
      <c r="A123" s="2880" t="s">
        <v>243</v>
      </c>
      <c r="B123" s="2565" t="s">
        <v>63</v>
      </c>
      <c r="C123" s="2612">
        <v>912</v>
      </c>
      <c r="D123" s="2612"/>
      <c r="E123" s="2566">
        <f t="shared" si="3"/>
        <v>3323.009</v>
      </c>
      <c r="F123" s="584">
        <f t="shared" si="5"/>
        <v>595.67500000000109</v>
      </c>
      <c r="G123" s="2602">
        <f t="shared" si="4"/>
        <v>2727.3339999999989</v>
      </c>
      <c r="H123" s="2568">
        <f t="shared" si="6"/>
        <v>0.82074228507957669</v>
      </c>
      <c r="I123" s="2630"/>
      <c r="J123" s="2314">
        <v>13986.406000000001</v>
      </c>
      <c r="K123" s="2314">
        <v>13390.731</v>
      </c>
      <c r="L123" s="2315">
        <f t="shared" si="7"/>
        <v>595.67500000000109</v>
      </c>
      <c r="M123">
        <v>13986.406000000001</v>
      </c>
      <c r="N123" s="3161">
        <v>19</v>
      </c>
    </row>
    <row r="124" spans="1:14" ht="13.8">
      <c r="A124" s="2880" t="s">
        <v>244</v>
      </c>
      <c r="B124" s="2565" t="s">
        <v>63</v>
      </c>
      <c r="C124" s="2612">
        <v>650</v>
      </c>
      <c r="D124" s="2612"/>
      <c r="E124" s="2566">
        <f t="shared" si="3"/>
        <v>8286.8529999999992</v>
      </c>
      <c r="F124" s="584">
        <f t="shared" si="5"/>
        <v>3167.33</v>
      </c>
      <c r="G124" s="2602">
        <f>+E124-F124</f>
        <v>5119.5229999999992</v>
      </c>
      <c r="H124" s="2568">
        <f t="shared" si="6"/>
        <v>0.61778856219604716</v>
      </c>
      <c r="I124" s="2621"/>
      <c r="J124" s="2314">
        <v>15984.477000000001</v>
      </c>
      <c r="K124" s="2314">
        <v>12817.147000000001</v>
      </c>
      <c r="L124" s="2315">
        <f t="shared" si="7"/>
        <v>3167.33</v>
      </c>
      <c r="M124">
        <v>15984.477000000001</v>
      </c>
      <c r="N124" s="3161">
        <v>20</v>
      </c>
    </row>
    <row r="125" spans="1:14" ht="13.8">
      <c r="A125" s="2880" t="s">
        <v>530</v>
      </c>
      <c r="B125" s="2612" t="s">
        <v>63</v>
      </c>
      <c r="C125" s="2612">
        <v>247</v>
      </c>
      <c r="D125" s="2612"/>
      <c r="E125" s="2566">
        <f t="shared" si="3"/>
        <v>2407.357</v>
      </c>
      <c r="F125" s="584">
        <f t="shared" si="5"/>
        <v>566.25399999999991</v>
      </c>
      <c r="G125" s="2602">
        <f>+E125-F125</f>
        <v>1841.1030000000001</v>
      </c>
      <c r="H125" s="2568">
        <f t="shared" si="6"/>
        <v>0.76478187489433436</v>
      </c>
      <c r="I125" s="2594"/>
      <c r="J125" s="2314">
        <v>3098.8969999999999</v>
      </c>
      <c r="K125" s="2314">
        <v>2532.643</v>
      </c>
      <c r="L125" s="2315">
        <f t="shared" si="7"/>
        <v>566.25399999999991</v>
      </c>
      <c r="M125">
        <v>3098.8969999999999</v>
      </c>
      <c r="N125" s="3161">
        <v>21</v>
      </c>
    </row>
    <row r="126" spans="1:14" ht="13.8">
      <c r="A126" s="2880" t="s">
        <v>245</v>
      </c>
      <c r="B126" s="2565" t="s">
        <v>63</v>
      </c>
      <c r="C126" s="2612">
        <v>385</v>
      </c>
      <c r="D126" s="2612"/>
      <c r="E126" s="2566">
        <f t="shared" si="3"/>
        <v>3678.3040000000001</v>
      </c>
      <c r="F126" s="584">
        <f t="shared" si="5"/>
        <v>1832.4150000000009</v>
      </c>
      <c r="G126" s="2602">
        <f t="shared" si="4"/>
        <v>1845.8889999999992</v>
      </c>
      <c r="H126" s="2568">
        <f t="shared" si="6"/>
        <v>0.50183155062768037</v>
      </c>
      <c r="I126" s="2621"/>
      <c r="J126" s="2314">
        <v>7954.0110000000004</v>
      </c>
      <c r="K126" s="2314">
        <v>6121.5959999999995</v>
      </c>
      <c r="L126" s="2315">
        <f t="shared" si="7"/>
        <v>1832.4150000000009</v>
      </c>
      <c r="M126">
        <v>7954.0110000000004</v>
      </c>
      <c r="N126" s="3161">
        <v>22</v>
      </c>
    </row>
    <row r="127" spans="1:14" ht="13.8">
      <c r="A127" s="2880" t="s">
        <v>246</v>
      </c>
      <c r="B127" s="2565" t="s">
        <v>63</v>
      </c>
      <c r="C127" s="2612">
        <f>10</f>
        <v>10</v>
      </c>
      <c r="D127" s="2611">
        <v>0</v>
      </c>
      <c r="E127" s="2566">
        <f>+D127+C127+G63</f>
        <v>10</v>
      </c>
      <c r="F127" s="584">
        <f t="shared" si="5"/>
        <v>0</v>
      </c>
      <c r="G127" s="2602">
        <f t="shared" si="4"/>
        <v>10</v>
      </c>
      <c r="H127" s="2568">
        <f t="shared" si="6"/>
        <v>1</v>
      </c>
      <c r="I127" s="2636"/>
      <c r="J127" s="2314">
        <v>5.3150000000000004</v>
      </c>
      <c r="K127" s="2314">
        <v>0</v>
      </c>
      <c r="L127" s="2315">
        <f t="shared" si="7"/>
        <v>0</v>
      </c>
      <c r="M127">
        <v>0</v>
      </c>
      <c r="N127" s="3161">
        <v>23</v>
      </c>
    </row>
    <row r="128" spans="1:14" ht="13.8">
      <c r="A128" s="2887" t="s">
        <v>296</v>
      </c>
      <c r="B128" s="2565" t="s">
        <v>63</v>
      </c>
      <c r="C128" s="2612">
        <v>181</v>
      </c>
      <c r="D128" s="2612"/>
      <c r="E128" s="2566">
        <f t="shared" ref="E128:E147" si="8">+C128+G64</f>
        <v>720.42900000000009</v>
      </c>
      <c r="F128" s="584">
        <f t="shared" si="5"/>
        <v>350.97699999999986</v>
      </c>
      <c r="G128" s="2602">
        <f t="shared" si="4"/>
        <v>369.45200000000023</v>
      </c>
      <c r="H128" s="2568">
        <f t="shared" si="6"/>
        <v>0.51282222120431042</v>
      </c>
      <c r="I128" s="2594"/>
      <c r="J128" s="2314">
        <v>3255.5479999999998</v>
      </c>
      <c r="K128" s="2314">
        <v>2904.5709999999999</v>
      </c>
      <c r="L128" s="2315">
        <f t="shared" si="7"/>
        <v>350.97699999999986</v>
      </c>
      <c r="M128">
        <v>3255.5479999999998</v>
      </c>
      <c r="N128" s="3161">
        <v>24</v>
      </c>
    </row>
    <row r="129" spans="1:14" ht="13.8">
      <c r="A129" s="2887" t="s">
        <v>247</v>
      </c>
      <c r="B129" s="2565" t="s">
        <v>63</v>
      </c>
      <c r="C129" s="2612">
        <v>143</v>
      </c>
      <c r="D129" s="2612"/>
      <c r="E129" s="2566">
        <f t="shared" si="8"/>
        <v>2027.2559999999999</v>
      </c>
      <c r="F129" s="584">
        <f t="shared" si="5"/>
        <v>271.19400000000007</v>
      </c>
      <c r="G129" s="2602">
        <f t="shared" si="4"/>
        <v>1756.0619999999999</v>
      </c>
      <c r="H129" s="2568">
        <f t="shared" si="6"/>
        <v>0.8662260711030082</v>
      </c>
      <c r="I129" s="2636"/>
      <c r="J129" s="2314">
        <v>1100.9380000000001</v>
      </c>
      <c r="K129" s="2314">
        <v>829.74400000000003</v>
      </c>
      <c r="L129" s="2315">
        <f t="shared" si="7"/>
        <v>271.19400000000007</v>
      </c>
      <c r="M129">
        <v>1100.9380000000001</v>
      </c>
      <c r="N129" s="3161">
        <v>25</v>
      </c>
    </row>
    <row r="130" spans="1:14" ht="13.8">
      <c r="A130" s="2887" t="s">
        <v>248</v>
      </c>
      <c r="B130" s="2565" t="s">
        <v>63</v>
      </c>
      <c r="C130" s="2612">
        <v>267</v>
      </c>
      <c r="D130" s="2612"/>
      <c r="E130" s="2566">
        <f t="shared" si="8"/>
        <v>1821.1550000000002</v>
      </c>
      <c r="F130" s="584">
        <f t="shared" si="5"/>
        <v>446.89200000000028</v>
      </c>
      <c r="G130" s="2602">
        <f>+E130-F130</f>
        <v>1374.2629999999999</v>
      </c>
      <c r="H130" s="2568">
        <f t="shared" si="6"/>
        <v>0.75461067289714479</v>
      </c>
      <c r="I130" s="2595"/>
      <c r="J130" s="2314">
        <v>3962.7370000000001</v>
      </c>
      <c r="K130" s="2314">
        <v>3515.8449999999998</v>
      </c>
      <c r="L130" s="2315">
        <f t="shared" si="7"/>
        <v>446.89200000000028</v>
      </c>
      <c r="M130">
        <v>3962.7370000000001</v>
      </c>
      <c r="N130" s="3161">
        <v>26</v>
      </c>
    </row>
    <row r="131" spans="1:14" ht="13.8">
      <c r="A131" s="2887" t="s">
        <v>531</v>
      </c>
      <c r="B131" s="2565" t="s">
        <v>63</v>
      </c>
      <c r="C131" s="2612">
        <v>295</v>
      </c>
      <c r="D131" s="2612"/>
      <c r="E131" s="2566">
        <f t="shared" si="8"/>
        <v>2187.9630000000002</v>
      </c>
      <c r="F131" s="584">
        <f t="shared" si="5"/>
        <v>787.83800000000019</v>
      </c>
      <c r="G131" s="2602">
        <f t="shared" si="4"/>
        <v>1400.125</v>
      </c>
      <c r="H131" s="2568">
        <f t="shared" si="6"/>
        <v>0.63992169885871009</v>
      </c>
      <c r="I131" s="2621"/>
      <c r="J131" s="2314">
        <v>4507.875</v>
      </c>
      <c r="K131" s="2314">
        <v>3720.0369999999998</v>
      </c>
      <c r="L131" s="2315">
        <f t="shared" si="7"/>
        <v>787.83800000000019</v>
      </c>
      <c r="M131">
        <v>4507.875</v>
      </c>
      <c r="N131" s="3161">
        <v>27</v>
      </c>
    </row>
    <row r="132" spans="1:14" ht="13.8">
      <c r="A132" s="2887" t="s">
        <v>269</v>
      </c>
      <c r="B132" s="2565" t="s">
        <v>63</v>
      </c>
      <c r="C132" s="2612">
        <v>55</v>
      </c>
      <c r="D132" s="2612"/>
      <c r="E132" s="2566">
        <f t="shared" si="8"/>
        <v>-13.905999999999949</v>
      </c>
      <c r="F132" s="584">
        <f t="shared" si="5"/>
        <v>-17.172000000000025</v>
      </c>
      <c r="G132" s="2602">
        <f t="shared" si="4"/>
        <v>3.2660000000000764</v>
      </c>
      <c r="H132" s="2568">
        <f t="shared" si="6"/>
        <v>-0.23486264921617203</v>
      </c>
      <c r="I132" s="834">
        <v>41031</v>
      </c>
      <c r="J132" s="2314">
        <v>1092.7339999999999</v>
      </c>
      <c r="K132" s="2314">
        <v>1109.9059999999999</v>
      </c>
      <c r="L132" s="2315">
        <f t="shared" si="7"/>
        <v>-17.172000000000025</v>
      </c>
      <c r="M132">
        <v>1092.7339999999999</v>
      </c>
      <c r="N132" s="3161">
        <v>28</v>
      </c>
    </row>
    <row r="133" spans="1:14" ht="13.8">
      <c r="A133" s="2887" t="s">
        <v>249</v>
      </c>
      <c r="B133" s="2565" t="s">
        <v>63</v>
      </c>
      <c r="C133" s="2612">
        <v>328</v>
      </c>
      <c r="D133" s="2612"/>
      <c r="E133" s="2566">
        <f t="shared" si="8"/>
        <v>2764.6489999999999</v>
      </c>
      <c r="F133" s="584">
        <f t="shared" si="5"/>
        <v>1116.9760000000001</v>
      </c>
      <c r="G133" s="2602">
        <f t="shared" si="4"/>
        <v>1647.6729999999998</v>
      </c>
      <c r="H133" s="2568">
        <f t="shared" si="6"/>
        <v>0.59597909174003638</v>
      </c>
      <c r="I133" s="2594"/>
      <c r="J133" s="2314">
        <v>4911.3270000000002</v>
      </c>
      <c r="K133" s="2314">
        <v>3794.3510000000001</v>
      </c>
      <c r="L133" s="2315">
        <f t="shared" si="7"/>
        <v>1116.9760000000001</v>
      </c>
      <c r="M133">
        <v>4911.3270000000002</v>
      </c>
      <c r="N133" s="3161">
        <v>29</v>
      </c>
    </row>
    <row r="134" spans="1:14" ht="13.8">
      <c r="A134" s="3628" t="s">
        <v>250</v>
      </c>
      <c r="B134" s="2565" t="s">
        <v>63</v>
      </c>
      <c r="C134" s="2612">
        <v>471</v>
      </c>
      <c r="D134" s="2612"/>
      <c r="E134" s="2566">
        <f t="shared" si="8"/>
        <v>3431.4089999999997</v>
      </c>
      <c r="F134" s="584">
        <f t="shared" si="5"/>
        <v>1478.4099999999999</v>
      </c>
      <c r="G134" s="2602">
        <f t="shared" si="4"/>
        <v>1952.9989999999998</v>
      </c>
      <c r="H134" s="2568">
        <f t="shared" si="6"/>
        <v>0.56915366253337918</v>
      </c>
      <c r="I134" s="2630"/>
      <c r="J134" s="2314">
        <v>7074.0010000000002</v>
      </c>
      <c r="K134" s="2314">
        <v>5595.5910000000003</v>
      </c>
      <c r="L134" s="2315">
        <f t="shared" si="7"/>
        <v>1478.4099999999999</v>
      </c>
      <c r="M134">
        <v>7074.0010000000002</v>
      </c>
      <c r="N134" s="3161">
        <v>30</v>
      </c>
    </row>
    <row r="135" spans="1:14" ht="13.8">
      <c r="A135" s="2880" t="s">
        <v>297</v>
      </c>
      <c r="B135" s="2565" t="s">
        <v>63</v>
      </c>
      <c r="C135" s="2612">
        <v>29</v>
      </c>
      <c r="D135" s="2612"/>
      <c r="E135" s="2566">
        <f t="shared" si="8"/>
        <v>237.24200000000002</v>
      </c>
      <c r="F135" s="584">
        <f t="shared" si="5"/>
        <v>0</v>
      </c>
      <c r="G135" s="2602">
        <f t="shared" si="4"/>
        <v>237.24200000000002</v>
      </c>
      <c r="H135" s="2568">
        <f t="shared" si="6"/>
        <v>1</v>
      </c>
      <c r="I135" s="2621"/>
      <c r="J135" s="2314">
        <v>334.75799999999998</v>
      </c>
      <c r="K135" s="2314">
        <v>334.75799999999998</v>
      </c>
      <c r="L135" s="2315">
        <f t="shared" si="7"/>
        <v>0</v>
      </c>
      <c r="M135">
        <v>334.75799999999998</v>
      </c>
      <c r="N135" s="3161">
        <v>31</v>
      </c>
    </row>
    <row r="136" spans="1:14" ht="13.8">
      <c r="A136" s="3547" t="s">
        <v>251</v>
      </c>
      <c r="B136" s="2565" t="s">
        <v>63</v>
      </c>
      <c r="C136" s="2612">
        <v>38</v>
      </c>
      <c r="D136" s="2612"/>
      <c r="E136" s="2566">
        <f t="shared" si="8"/>
        <v>333.75799999999998</v>
      </c>
      <c r="F136" s="584">
        <f t="shared" si="5"/>
        <v>22.287999999999954</v>
      </c>
      <c r="G136" s="2602">
        <f t="shared" si="4"/>
        <v>311.47000000000003</v>
      </c>
      <c r="H136" s="2568">
        <f t="shared" si="6"/>
        <v>0.93322107634873186</v>
      </c>
      <c r="I136" s="2630"/>
      <c r="J136" s="2314">
        <v>450.53</v>
      </c>
      <c r="K136" s="2314">
        <v>428.24200000000002</v>
      </c>
      <c r="L136" s="2315">
        <f t="shared" si="7"/>
        <v>22.287999999999954</v>
      </c>
      <c r="M136">
        <v>450.53</v>
      </c>
      <c r="N136" s="3161">
        <v>32</v>
      </c>
    </row>
    <row r="137" spans="1:14" ht="13.8">
      <c r="A137" s="2887" t="s">
        <v>252</v>
      </c>
      <c r="B137" s="2565" t="s">
        <v>63</v>
      </c>
      <c r="C137" s="2612">
        <v>441</v>
      </c>
      <c r="D137" s="2612"/>
      <c r="E137" s="2566">
        <f t="shared" si="8"/>
        <v>2284.4409999999998</v>
      </c>
      <c r="F137" s="584">
        <f t="shared" si="5"/>
        <v>1535.8409999999994</v>
      </c>
      <c r="G137" s="2602">
        <f t="shared" si="4"/>
        <v>748.60000000000036</v>
      </c>
      <c r="H137" s="2568">
        <f t="shared" si="6"/>
        <v>0.32769504662190901</v>
      </c>
      <c r="I137" s="2630"/>
      <c r="J137" s="2314">
        <v>8071.4</v>
      </c>
      <c r="K137" s="2314">
        <v>6535.5590000000002</v>
      </c>
      <c r="L137" s="2315">
        <f t="shared" si="7"/>
        <v>1535.8409999999994</v>
      </c>
      <c r="M137">
        <v>8071.4</v>
      </c>
      <c r="N137" s="3161">
        <v>33</v>
      </c>
    </row>
    <row r="138" spans="1:14" ht="13.8">
      <c r="A138" s="2887" t="s">
        <v>253</v>
      </c>
      <c r="B138" s="2565" t="s">
        <v>63</v>
      </c>
      <c r="C138" s="2612">
        <v>185</v>
      </c>
      <c r="D138" s="2612" t="s">
        <v>417</v>
      </c>
      <c r="E138" s="2566">
        <f t="shared" si="8"/>
        <v>901.23999999999978</v>
      </c>
      <c r="F138" s="584">
        <f t="shared" si="5"/>
        <v>142.56399999999985</v>
      </c>
      <c r="G138" s="2602">
        <f t="shared" si="4"/>
        <v>758.67599999999993</v>
      </c>
      <c r="H138" s="2568">
        <f t="shared" si="6"/>
        <v>0.84181350139807387</v>
      </c>
      <c r="I138" s="2637"/>
      <c r="J138" s="2314">
        <v>2938.3240000000001</v>
      </c>
      <c r="K138" s="2314">
        <v>2795.76</v>
      </c>
      <c r="L138" s="2315">
        <f t="shared" si="7"/>
        <v>142.56399999999985</v>
      </c>
      <c r="M138">
        <v>2938.3240000000001</v>
      </c>
      <c r="N138" s="3161">
        <v>34</v>
      </c>
    </row>
    <row r="139" spans="1:14" ht="13.8">
      <c r="A139" s="3280" t="s">
        <v>254</v>
      </c>
      <c r="B139" s="2565" t="s">
        <v>63</v>
      </c>
      <c r="C139" s="2612">
        <v>1313</v>
      </c>
      <c r="D139" s="2612"/>
      <c r="E139" s="2566">
        <f t="shared" si="8"/>
        <v>5683.5099999999984</v>
      </c>
      <c r="F139" s="584">
        <f t="shared" si="5"/>
        <v>1790.6419999999998</v>
      </c>
      <c r="G139" s="2602">
        <f t="shared" si="4"/>
        <v>3892.8679999999986</v>
      </c>
      <c r="H139" s="2568">
        <f t="shared" si="6"/>
        <v>0.68494082002143031</v>
      </c>
      <c r="I139" s="2621"/>
      <c r="J139" s="2314">
        <v>19564.132000000001</v>
      </c>
      <c r="K139" s="2314">
        <v>17773.490000000002</v>
      </c>
      <c r="L139" s="2315">
        <f t="shared" si="7"/>
        <v>1790.6419999999998</v>
      </c>
      <c r="M139">
        <v>19564.132000000001</v>
      </c>
      <c r="N139" s="3161">
        <v>35</v>
      </c>
    </row>
    <row r="140" spans="1:14" ht="13.8">
      <c r="A140" s="2887" t="s">
        <v>255</v>
      </c>
      <c r="B140" s="2565" t="s">
        <v>63</v>
      </c>
      <c r="C140" s="2612">
        <v>208</v>
      </c>
      <c r="D140" s="2612"/>
      <c r="E140" s="2566">
        <f t="shared" si="8"/>
        <v>1313.0680000000002</v>
      </c>
      <c r="F140" s="584">
        <f t="shared" si="5"/>
        <v>432.83600000000024</v>
      </c>
      <c r="G140" s="2602">
        <f t="shared" si="4"/>
        <v>880.23199999999997</v>
      </c>
      <c r="H140" s="2568">
        <f t="shared" si="6"/>
        <v>0.67036284487932063</v>
      </c>
      <c r="I140" s="2630"/>
      <c r="J140" s="2314">
        <v>3277.768</v>
      </c>
      <c r="K140" s="2314">
        <v>2844.9319999999998</v>
      </c>
      <c r="L140" s="2315">
        <f t="shared" si="7"/>
        <v>432.83600000000024</v>
      </c>
      <c r="M140">
        <v>3277.768</v>
      </c>
      <c r="N140" s="3161">
        <v>36</v>
      </c>
    </row>
    <row r="141" spans="1:14" ht="13.8">
      <c r="A141" s="2887" t="s">
        <v>256</v>
      </c>
      <c r="B141" s="2565" t="s">
        <v>63</v>
      </c>
      <c r="C141" s="2612">
        <v>495</v>
      </c>
      <c r="D141" s="2612"/>
      <c r="E141" s="2566">
        <f t="shared" si="8"/>
        <v>3270.2089999999998</v>
      </c>
      <c r="F141" s="584">
        <f t="shared" si="5"/>
        <v>1445.5469999999996</v>
      </c>
      <c r="G141" s="2602">
        <f t="shared" si="4"/>
        <v>1824.6620000000003</v>
      </c>
      <c r="H141" s="2568">
        <f t="shared" si="6"/>
        <v>0.55796494964083343</v>
      </c>
      <c r="I141" s="2630"/>
      <c r="J141" s="2314">
        <v>8077.3379999999997</v>
      </c>
      <c r="K141" s="2314">
        <v>6631.7910000000002</v>
      </c>
      <c r="L141" s="2315">
        <f t="shared" si="7"/>
        <v>1445.5469999999996</v>
      </c>
      <c r="M141">
        <v>8077.3379999999997</v>
      </c>
      <c r="N141" s="3161">
        <v>37</v>
      </c>
    </row>
    <row r="142" spans="1:14" ht="13.8">
      <c r="A142" s="2887" t="s">
        <v>257</v>
      </c>
      <c r="B142" s="2565" t="s">
        <v>63</v>
      </c>
      <c r="C142" s="2612">
        <v>38</v>
      </c>
      <c r="D142" s="2612"/>
      <c r="E142" s="2566">
        <f t="shared" si="8"/>
        <v>0.23900000000000432</v>
      </c>
      <c r="F142" s="584">
        <f t="shared" si="5"/>
        <v>0</v>
      </c>
      <c r="G142" s="2602">
        <f t="shared" si="4"/>
        <v>0.23900000000000432</v>
      </c>
      <c r="H142" s="2568">
        <f t="shared" si="6"/>
        <v>1</v>
      </c>
      <c r="I142" s="2630"/>
      <c r="J142" s="2314">
        <v>65.760999999999996</v>
      </c>
      <c r="K142" s="2314">
        <v>65.760999999999996</v>
      </c>
      <c r="L142" s="2315">
        <f t="shared" si="7"/>
        <v>0</v>
      </c>
      <c r="M142">
        <v>65.760999999999996</v>
      </c>
      <c r="N142" s="3161">
        <v>38</v>
      </c>
    </row>
    <row r="143" spans="1:14" ht="13.8">
      <c r="A143" s="2887" t="s">
        <v>298</v>
      </c>
      <c r="B143" s="2565" t="s">
        <v>63</v>
      </c>
      <c r="C143" s="2612">
        <v>210</v>
      </c>
      <c r="D143" s="2612"/>
      <c r="E143" s="2566">
        <f t="shared" si="8"/>
        <v>780.94500000000016</v>
      </c>
      <c r="F143" s="584">
        <f t="shared" si="5"/>
        <v>24.344000000000051</v>
      </c>
      <c r="G143" s="2602">
        <f t="shared" si="4"/>
        <v>756.60100000000011</v>
      </c>
      <c r="H143" s="2568">
        <f t="shared" si="6"/>
        <v>0.96882751026000546</v>
      </c>
      <c r="I143" s="2595"/>
      <c r="J143" s="2314">
        <v>2287.3989999999999</v>
      </c>
      <c r="K143" s="2314">
        <v>2263.0549999999998</v>
      </c>
      <c r="L143" s="2315">
        <f t="shared" si="7"/>
        <v>24.344000000000051</v>
      </c>
      <c r="M143">
        <v>2287.3989999999999</v>
      </c>
      <c r="N143" s="3161">
        <v>39</v>
      </c>
    </row>
    <row r="144" spans="1:14" ht="13.8">
      <c r="A144" s="2887" t="s">
        <v>258</v>
      </c>
      <c r="B144" s="2565" t="s">
        <v>63</v>
      </c>
      <c r="C144" s="2612">
        <v>812</v>
      </c>
      <c r="D144" s="2612"/>
      <c r="E144" s="2566">
        <f t="shared" si="8"/>
        <v>3651.8809999999994</v>
      </c>
      <c r="F144" s="584">
        <f t="shared" si="5"/>
        <v>2555.4740000000002</v>
      </c>
      <c r="G144" s="2602">
        <f t="shared" si="4"/>
        <v>1096.4069999999992</v>
      </c>
      <c r="H144" s="2568">
        <f t="shared" si="6"/>
        <v>0.30023075779303854</v>
      </c>
      <c r="I144" s="2636"/>
      <c r="J144" s="2314">
        <v>14855.593000000001</v>
      </c>
      <c r="K144" s="2314">
        <v>12300.119000000001</v>
      </c>
      <c r="L144" s="2315">
        <f t="shared" si="7"/>
        <v>2555.4740000000002</v>
      </c>
      <c r="M144">
        <v>14855.593000000001</v>
      </c>
      <c r="N144" s="3161">
        <v>40</v>
      </c>
    </row>
    <row r="145" spans="1:14" ht="13.8">
      <c r="A145" s="2887" t="s">
        <v>259</v>
      </c>
      <c r="B145" s="2565" t="s">
        <v>63</v>
      </c>
      <c r="C145" s="2612">
        <v>580</v>
      </c>
      <c r="D145" s="2612"/>
      <c r="E145" s="2566">
        <f t="shared" si="8"/>
        <v>3338.25</v>
      </c>
      <c r="F145" s="584">
        <f t="shared" si="5"/>
        <v>1232.5519999999997</v>
      </c>
      <c r="G145" s="2602">
        <f t="shared" si="4"/>
        <v>2105.6980000000003</v>
      </c>
      <c r="H145" s="2568">
        <f t="shared" si="6"/>
        <v>0.6307790009735641</v>
      </c>
      <c r="I145" s="2621"/>
      <c r="J145" s="2314">
        <v>9485.3019999999997</v>
      </c>
      <c r="K145" s="2314">
        <v>8252.75</v>
      </c>
      <c r="L145" s="2315">
        <f t="shared" si="7"/>
        <v>1232.5519999999997</v>
      </c>
      <c r="M145">
        <v>9485.3019999999997</v>
      </c>
      <c r="N145" s="3161">
        <v>41</v>
      </c>
    </row>
    <row r="146" spans="1:14" ht="13.8">
      <c r="A146" s="2887" t="s">
        <v>260</v>
      </c>
      <c r="B146" s="2565" t="s">
        <v>63</v>
      </c>
      <c r="C146" s="2612">
        <v>38</v>
      </c>
      <c r="D146" s="2612"/>
      <c r="E146" s="2566">
        <f t="shared" si="8"/>
        <v>195.54399999999998</v>
      </c>
      <c r="F146" s="584">
        <f t="shared" si="5"/>
        <v>34.314999999999941</v>
      </c>
      <c r="G146" s="2602">
        <f t="shared" si="4"/>
        <v>161.22900000000004</v>
      </c>
      <c r="H146" s="2568">
        <f t="shared" si="6"/>
        <v>0.82451519862537359</v>
      </c>
      <c r="I146" s="2605"/>
      <c r="J146" s="2314">
        <v>600.77099999999996</v>
      </c>
      <c r="K146" s="2314">
        <v>566.45600000000002</v>
      </c>
      <c r="L146" s="2315">
        <f t="shared" si="7"/>
        <v>34.314999999999941</v>
      </c>
      <c r="M146">
        <v>600.77099999999996</v>
      </c>
      <c r="N146" s="3161">
        <v>42</v>
      </c>
    </row>
    <row r="147" spans="1:14" ht="13.8">
      <c r="A147" s="2887" t="s">
        <v>261</v>
      </c>
      <c r="B147" s="2565" t="s">
        <v>63</v>
      </c>
      <c r="C147" s="2612">
        <v>1392</v>
      </c>
      <c r="D147" s="2612"/>
      <c r="E147" s="2566">
        <f t="shared" si="8"/>
        <v>10312.361000000001</v>
      </c>
      <c r="F147" s="584">
        <f t="shared" si="5"/>
        <v>4520.148000000001</v>
      </c>
      <c r="G147" s="2602">
        <f t="shared" si="4"/>
        <v>5792.2129999999997</v>
      </c>
      <c r="H147" s="2568">
        <f t="shared" si="6"/>
        <v>0.5616767101151714</v>
      </c>
      <c r="I147" s="2621"/>
      <c r="J147" s="2314">
        <v>19136.787</v>
      </c>
      <c r="K147" s="2314">
        <v>14616.638999999999</v>
      </c>
      <c r="L147" s="2315">
        <f t="shared" si="7"/>
        <v>4520.148000000001</v>
      </c>
      <c r="M147">
        <v>19136.787</v>
      </c>
      <c r="N147" s="3161">
        <v>43</v>
      </c>
    </row>
    <row r="148" spans="1:14" ht="13.8">
      <c r="A148" s="2887" t="s">
        <v>263</v>
      </c>
      <c r="B148" s="2565" t="s">
        <v>63</v>
      </c>
      <c r="C148" s="2612">
        <v>524</v>
      </c>
      <c r="D148" s="2611">
        <v>0</v>
      </c>
      <c r="E148" s="2566">
        <f>+C148+G84+D148</f>
        <v>3300.4619999999995</v>
      </c>
      <c r="F148" s="584">
        <f t="shared" si="5"/>
        <v>1963.1909999999989</v>
      </c>
      <c r="G148" s="2602">
        <f t="shared" si="4"/>
        <v>1337.2710000000006</v>
      </c>
      <c r="H148" s="2568">
        <f t="shared" si="6"/>
        <v>0.40517691159601316</v>
      </c>
      <c r="I148" s="2637"/>
      <c r="J148" s="2314">
        <v>12340.728999999999</v>
      </c>
      <c r="K148" s="2314">
        <v>10377.538</v>
      </c>
      <c r="L148" s="2315">
        <f t="shared" si="7"/>
        <v>1963.1909999999989</v>
      </c>
      <c r="M148">
        <v>12340.728999999999</v>
      </c>
      <c r="N148" s="3161">
        <v>44</v>
      </c>
    </row>
    <row r="149" spans="1:14" ht="13.8">
      <c r="A149" s="2887" t="s">
        <v>299</v>
      </c>
      <c r="B149" s="2565" t="s">
        <v>63</v>
      </c>
      <c r="C149" s="2612">
        <v>119</v>
      </c>
      <c r="D149" s="2612"/>
      <c r="E149" s="2566">
        <f t="shared" ref="E149:E165" si="9">+C149+G85</f>
        <v>371.6110000000001</v>
      </c>
      <c r="F149" s="584">
        <f t="shared" si="5"/>
        <v>123.44600000000014</v>
      </c>
      <c r="G149" s="2602">
        <f t="shared" si="4"/>
        <v>248.16499999999996</v>
      </c>
      <c r="H149" s="2568">
        <f t="shared" si="6"/>
        <v>0.66780854172777415</v>
      </c>
      <c r="I149" s="2638"/>
      <c r="J149" s="2314">
        <v>2130.835</v>
      </c>
      <c r="K149" s="2314">
        <v>2007.3889999999999</v>
      </c>
      <c r="L149" s="2315">
        <f t="shared" si="7"/>
        <v>123.44600000000014</v>
      </c>
      <c r="M149">
        <v>2130.835</v>
      </c>
      <c r="N149" s="3161">
        <v>45</v>
      </c>
    </row>
    <row r="150" spans="1:14" ht="13.8">
      <c r="A150" s="2887" t="s">
        <v>262</v>
      </c>
      <c r="B150" s="2565" t="s">
        <v>63</v>
      </c>
      <c r="C150" s="2612">
        <v>437</v>
      </c>
      <c r="D150" s="2612"/>
      <c r="E150" s="2566">
        <f t="shared" si="9"/>
        <v>1339.3440000000001</v>
      </c>
      <c r="F150" s="584">
        <f t="shared" si="5"/>
        <v>692.24399999999969</v>
      </c>
      <c r="G150" s="2602">
        <f t="shared" si="4"/>
        <v>647.10000000000036</v>
      </c>
      <c r="H150" s="2568">
        <f t="shared" si="6"/>
        <v>0.48314697344371599</v>
      </c>
      <c r="I150" s="2621"/>
      <c r="J150" s="2314">
        <v>8096.9</v>
      </c>
      <c r="K150" s="2314">
        <v>7404.6559999999999</v>
      </c>
      <c r="L150" s="2315">
        <f t="shared" si="7"/>
        <v>692.24399999999969</v>
      </c>
      <c r="M150">
        <v>8096.9</v>
      </c>
      <c r="N150" s="3161">
        <v>46</v>
      </c>
    </row>
    <row r="151" spans="1:14" ht="13.8">
      <c r="A151" s="2887" t="s">
        <v>264</v>
      </c>
      <c r="B151" s="3281" t="s">
        <v>63</v>
      </c>
      <c r="C151" s="3282">
        <f>389-10</f>
        <v>379</v>
      </c>
      <c r="D151" s="3079"/>
      <c r="E151" s="2566">
        <f t="shared" si="9"/>
        <v>2123.7560000000003</v>
      </c>
      <c r="F151" s="584">
        <f t="shared" si="5"/>
        <v>784.94700000000012</v>
      </c>
      <c r="G151" s="2602">
        <f t="shared" si="4"/>
        <v>1338.8090000000002</v>
      </c>
      <c r="H151" s="2568">
        <f t="shared" si="6"/>
        <v>0.63039680641278939</v>
      </c>
      <c r="I151" s="2630"/>
      <c r="J151" s="2314">
        <v>6424.1909999999998</v>
      </c>
      <c r="K151" s="2314">
        <v>5639.2439999999997</v>
      </c>
      <c r="L151" s="2315">
        <f t="shared" si="7"/>
        <v>784.94700000000012</v>
      </c>
      <c r="M151">
        <v>6424.1909999999998</v>
      </c>
      <c r="N151" s="3161">
        <v>47</v>
      </c>
    </row>
    <row r="152" spans="1:14" ht="13.8">
      <c r="A152" s="2887" t="s">
        <v>265</v>
      </c>
      <c r="B152" s="2565" t="s">
        <v>63</v>
      </c>
      <c r="C152" s="2612">
        <v>899</v>
      </c>
      <c r="D152" s="2612"/>
      <c r="E152" s="2566">
        <f t="shared" si="9"/>
        <v>4572.6869999999999</v>
      </c>
      <c r="F152" s="584">
        <f t="shared" si="5"/>
        <v>1415.5849999999991</v>
      </c>
      <c r="G152" s="2602">
        <f t="shared" si="4"/>
        <v>3157.1020000000008</v>
      </c>
      <c r="H152" s="2568">
        <f t="shared" si="6"/>
        <v>0.6904260011673663</v>
      </c>
      <c r="I152" s="2630"/>
      <c r="J152" s="2314">
        <v>14320.897999999999</v>
      </c>
      <c r="K152" s="2314">
        <v>12905.313</v>
      </c>
      <c r="L152" s="2315">
        <f t="shared" si="7"/>
        <v>1415.5849999999991</v>
      </c>
      <c r="M152">
        <v>14320.897999999999</v>
      </c>
      <c r="N152" s="3161">
        <v>48</v>
      </c>
    </row>
    <row r="153" spans="1:14" ht="13.8">
      <c r="A153" s="2887" t="s">
        <v>532</v>
      </c>
      <c r="B153" s="2565" t="s">
        <v>63</v>
      </c>
      <c r="C153" s="2612">
        <v>36</v>
      </c>
      <c r="D153" s="2612"/>
      <c r="E153" s="2566">
        <f t="shared" si="9"/>
        <v>-13.439000000000078</v>
      </c>
      <c r="F153" s="584">
        <f t="shared" si="5"/>
        <v>-163.0990000000001</v>
      </c>
      <c r="G153" s="2602">
        <f t="shared" si="4"/>
        <v>149.66000000000003</v>
      </c>
      <c r="H153" s="2568">
        <f t="shared" si="6"/>
        <v>-11.136245256343415</v>
      </c>
      <c r="I153" s="834">
        <v>41206</v>
      </c>
      <c r="J153" s="2314">
        <v>380.34</v>
      </c>
      <c r="K153" s="2314">
        <v>543.43900000000008</v>
      </c>
      <c r="L153" s="2315">
        <f t="shared" si="7"/>
        <v>-163.0990000000001</v>
      </c>
      <c r="M153">
        <v>380.34</v>
      </c>
      <c r="N153" s="3161">
        <v>49</v>
      </c>
    </row>
    <row r="154" spans="1:14" ht="13.8">
      <c r="A154" s="3080" t="s">
        <v>266</v>
      </c>
      <c r="B154" s="2565" t="s">
        <v>63</v>
      </c>
      <c r="C154" s="2612">
        <v>286</v>
      </c>
      <c r="D154" s="2612"/>
      <c r="E154" s="2566">
        <f t="shared" si="9"/>
        <v>1579.0330000000004</v>
      </c>
      <c r="F154" s="584">
        <f t="shared" si="5"/>
        <v>826.25500000000011</v>
      </c>
      <c r="G154" s="2602">
        <f t="shared" si="4"/>
        <v>752.77800000000025</v>
      </c>
      <c r="H154" s="2568">
        <f t="shared" si="6"/>
        <v>0.47673354515073468</v>
      </c>
      <c r="I154" s="2595"/>
      <c r="J154" s="2314">
        <v>5775.2219999999998</v>
      </c>
      <c r="K154" s="2314">
        <v>4948.9669999999996</v>
      </c>
      <c r="L154" s="2315">
        <f t="shared" si="7"/>
        <v>826.25500000000011</v>
      </c>
      <c r="M154">
        <v>5775.2219999999998</v>
      </c>
      <c r="N154" s="3161">
        <v>50</v>
      </c>
    </row>
    <row r="155" spans="1:14" ht="13.8">
      <c r="A155" s="2958" t="s">
        <v>1251</v>
      </c>
      <c r="B155" s="2565" t="s">
        <v>63</v>
      </c>
      <c r="C155" s="2612">
        <v>553</v>
      </c>
      <c r="D155" s="2612"/>
      <c r="E155" s="2566">
        <f>+C155+G91</f>
        <v>3192.7039999999997</v>
      </c>
      <c r="F155" s="584">
        <f>L155</f>
        <v>1436.0909999999994</v>
      </c>
      <c r="G155" s="2602">
        <f t="shared" si="4"/>
        <v>1756.6130000000003</v>
      </c>
      <c r="H155" s="2568">
        <f t="shared" si="6"/>
        <v>0.55019600940143543</v>
      </c>
      <c r="I155" s="2595"/>
      <c r="J155" s="2314">
        <v>7504.3869999999997</v>
      </c>
      <c r="K155" s="2314">
        <v>6068.2960000000003</v>
      </c>
      <c r="L155" s="2315">
        <f t="shared" si="7"/>
        <v>1436.0909999999994</v>
      </c>
      <c r="M155">
        <v>7504.3869999999997</v>
      </c>
      <c r="N155" s="3161">
        <v>51</v>
      </c>
    </row>
    <row r="156" spans="1:14" ht="13.8">
      <c r="A156" s="2887" t="s">
        <v>300</v>
      </c>
      <c r="B156" s="2565" t="s">
        <v>63</v>
      </c>
      <c r="C156" s="2612">
        <v>167</v>
      </c>
      <c r="D156" s="2612"/>
      <c r="E156" s="2566">
        <f t="shared" si="9"/>
        <v>1176.1379999999999</v>
      </c>
      <c r="F156" s="584">
        <f t="shared" si="5"/>
        <v>303.89899999999989</v>
      </c>
      <c r="G156" s="2602">
        <f t="shared" si="4"/>
        <v>872.23900000000003</v>
      </c>
      <c r="H156" s="2568">
        <f t="shared" si="6"/>
        <v>0.74161280393967377</v>
      </c>
      <c r="I156" s="2595"/>
      <c r="J156" s="2314">
        <v>2465.761</v>
      </c>
      <c r="K156" s="2314">
        <v>2161.8620000000001</v>
      </c>
      <c r="L156" s="2315">
        <f t="shared" si="7"/>
        <v>303.89899999999989</v>
      </c>
      <c r="M156">
        <v>2465.761</v>
      </c>
      <c r="N156" s="3161">
        <v>52</v>
      </c>
    </row>
    <row r="157" spans="1:14" ht="13.8">
      <c r="A157" s="2603" t="s">
        <v>302</v>
      </c>
      <c r="B157" s="2565" t="s">
        <v>63</v>
      </c>
      <c r="C157" s="2612">
        <v>55</v>
      </c>
      <c r="D157" s="2612"/>
      <c r="E157" s="2566">
        <f t="shared" si="9"/>
        <v>-34.432999999999993</v>
      </c>
      <c r="F157" s="584">
        <f t="shared" si="5"/>
        <v>0</v>
      </c>
      <c r="G157" s="2602">
        <f t="shared" si="4"/>
        <v>-34.432999999999993</v>
      </c>
      <c r="H157" s="2568">
        <f t="shared" si="6"/>
        <v>1</v>
      </c>
      <c r="I157" s="2618">
        <v>41108</v>
      </c>
      <c r="J157" s="2314">
        <v>1130.433</v>
      </c>
      <c r="K157" s="2314">
        <v>1130.433</v>
      </c>
      <c r="L157" s="2315">
        <f t="shared" si="7"/>
        <v>0</v>
      </c>
      <c r="M157">
        <v>1130.433</v>
      </c>
      <c r="N157" s="3161">
        <v>53</v>
      </c>
    </row>
    <row r="158" spans="1:14" ht="13.8">
      <c r="A158" t="s">
        <v>267</v>
      </c>
      <c r="B158" s="2565" t="s">
        <v>63</v>
      </c>
      <c r="C158" s="886">
        <f>1099+147.712</f>
        <v>1246.712</v>
      </c>
      <c r="D158" s="2612"/>
      <c r="E158" s="2566">
        <f t="shared" si="9"/>
        <v>10698.343999999999</v>
      </c>
      <c r="F158" s="584">
        <f t="shared" si="5"/>
        <v>4270.223</v>
      </c>
      <c r="G158" s="2602">
        <f t="shared" si="4"/>
        <v>6428.1209999999992</v>
      </c>
      <c r="H158" s="2568">
        <f t="shared" si="6"/>
        <v>0.60085196363100679</v>
      </c>
      <c r="I158" s="2595"/>
      <c r="J158" s="2314">
        <v>19801.111000000001</v>
      </c>
      <c r="K158" s="2314">
        <v>15530.888000000001</v>
      </c>
      <c r="L158" s="2315">
        <f t="shared" si="7"/>
        <v>4270.223</v>
      </c>
      <c r="M158">
        <v>19801.111000000001</v>
      </c>
      <c r="N158" s="3161">
        <v>54</v>
      </c>
    </row>
    <row r="159" spans="1:14" ht="13.8">
      <c r="A159" s="2603" t="s">
        <v>268</v>
      </c>
      <c r="B159" s="2565" t="s">
        <v>63</v>
      </c>
      <c r="C159" s="2612">
        <v>904</v>
      </c>
      <c r="D159" s="2612"/>
      <c r="E159" s="2566">
        <f t="shared" si="9"/>
        <v>2303.2669999999998</v>
      </c>
      <c r="F159" s="584">
        <f t="shared" si="5"/>
        <v>1465.6149999999998</v>
      </c>
      <c r="G159" s="2602">
        <f t="shared" si="4"/>
        <v>837.65200000000004</v>
      </c>
      <c r="H159" s="2568">
        <f t="shared" si="6"/>
        <v>0.36367993810530874</v>
      </c>
      <c r="I159" s="2621"/>
      <c r="J159" s="2314">
        <v>13846.348</v>
      </c>
      <c r="K159" s="2314">
        <v>12380.733</v>
      </c>
      <c r="L159" s="2315">
        <f t="shared" si="7"/>
        <v>1465.6149999999998</v>
      </c>
      <c r="M159">
        <v>13846.348</v>
      </c>
      <c r="N159" s="3161">
        <v>55</v>
      </c>
    </row>
    <row r="160" spans="1:14" ht="13.8">
      <c r="A160" s="2603" t="s">
        <v>270</v>
      </c>
      <c r="B160" s="2565" t="s">
        <v>63</v>
      </c>
      <c r="C160" s="2612">
        <v>1049</v>
      </c>
      <c r="D160" s="2612"/>
      <c r="E160" s="2566">
        <f t="shared" si="9"/>
        <v>7200.0220000000008</v>
      </c>
      <c r="F160" s="584">
        <f t="shared" si="5"/>
        <v>3071.34</v>
      </c>
      <c r="G160" s="2602">
        <f>+E160-F160</f>
        <v>4128.6820000000007</v>
      </c>
      <c r="H160" s="2568">
        <f t="shared" si="6"/>
        <v>0.57342630341962852</v>
      </c>
      <c r="I160" s="2595"/>
      <c r="J160" s="2314">
        <v>16845.317999999999</v>
      </c>
      <c r="K160" s="2314">
        <v>13773.977999999999</v>
      </c>
      <c r="L160" s="2315">
        <f t="shared" si="7"/>
        <v>3071.34</v>
      </c>
      <c r="M160">
        <v>16845.317999999999</v>
      </c>
      <c r="N160" s="3161">
        <v>56</v>
      </c>
    </row>
    <row r="161" spans="1:15" ht="13.8">
      <c r="A161" s="2603" t="s">
        <v>301</v>
      </c>
      <c r="B161" s="2565" t="s">
        <v>63</v>
      </c>
      <c r="C161" s="2612">
        <v>196</v>
      </c>
      <c r="D161" s="2612"/>
      <c r="E161" s="2566">
        <f t="shared" si="9"/>
        <v>1017.509</v>
      </c>
      <c r="F161" s="584">
        <f t="shared" si="5"/>
        <v>512.0010000000002</v>
      </c>
      <c r="G161" s="2602">
        <f t="shared" si="4"/>
        <v>505.50799999999981</v>
      </c>
      <c r="H161" s="2568">
        <f t="shared" si="6"/>
        <v>0.49680936483117083</v>
      </c>
      <c r="I161" s="2595"/>
      <c r="J161" s="2314">
        <v>3414.4920000000002</v>
      </c>
      <c r="K161" s="2314">
        <v>2902.491</v>
      </c>
      <c r="L161" s="2315">
        <f t="shared" si="7"/>
        <v>512.0010000000002</v>
      </c>
      <c r="M161">
        <v>3414.4920000000002</v>
      </c>
      <c r="N161" s="3161">
        <v>57</v>
      </c>
    </row>
    <row r="162" spans="1:15" ht="13.8">
      <c r="A162" s="2603" t="s">
        <v>643</v>
      </c>
      <c r="B162" s="2565" t="s">
        <v>63</v>
      </c>
      <c r="C162" s="2612">
        <v>14</v>
      </c>
      <c r="D162" s="2612"/>
      <c r="E162" s="2566">
        <f t="shared" si="9"/>
        <v>-954.01700000000005</v>
      </c>
      <c r="F162" s="584">
        <f t="shared" si="5"/>
        <v>0</v>
      </c>
      <c r="G162" s="2602">
        <f>+E162-F162</f>
        <v>-954.01700000000005</v>
      </c>
      <c r="H162" s="2568">
        <f t="shared" si="6"/>
        <v>1</v>
      </c>
      <c r="I162" s="2618">
        <v>41019</v>
      </c>
      <c r="J162" s="2314">
        <v>1240.0170000000001</v>
      </c>
      <c r="K162" s="2314">
        <v>1240.0170000000001</v>
      </c>
      <c r="L162" s="2315">
        <f t="shared" si="7"/>
        <v>0</v>
      </c>
      <c r="M162">
        <v>1240.0170000000001</v>
      </c>
      <c r="N162" s="3161">
        <v>58</v>
      </c>
    </row>
    <row r="163" spans="1:15" ht="13.8">
      <c r="A163" s="2622" t="s">
        <v>528</v>
      </c>
      <c r="B163" s="2565" t="s">
        <v>63</v>
      </c>
      <c r="C163" s="2612">
        <v>329</v>
      </c>
      <c r="D163" s="2612"/>
      <c r="E163" s="2566">
        <f t="shared" si="9"/>
        <v>2791.9429999999993</v>
      </c>
      <c r="F163" s="584">
        <f t="shared" si="5"/>
        <v>1835.6329999999998</v>
      </c>
      <c r="G163" s="2602">
        <f>+E163-F163</f>
        <v>956.30999999999949</v>
      </c>
      <c r="H163" s="2568">
        <f t="shared" si="6"/>
        <v>0.34252490111725048</v>
      </c>
      <c r="I163" s="2614" t="s">
        <v>657</v>
      </c>
      <c r="J163" s="2314">
        <v>14465.79</v>
      </c>
      <c r="K163" s="2314">
        <v>12629.057000000001</v>
      </c>
      <c r="L163" s="2315">
        <f t="shared" si="7"/>
        <v>1835.6329999999998</v>
      </c>
      <c r="M163">
        <v>14464.69</v>
      </c>
      <c r="N163" s="3161">
        <v>59</v>
      </c>
    </row>
    <row r="164" spans="1:15" ht="13.8">
      <c r="A164" s="1486" t="s">
        <v>632</v>
      </c>
      <c r="B164" s="2565" t="s">
        <v>63</v>
      </c>
      <c r="C164" s="2612">
        <v>57</v>
      </c>
      <c r="D164" s="2612"/>
      <c r="E164" s="2566">
        <f t="shared" si="9"/>
        <v>181.84</v>
      </c>
      <c r="F164" s="584">
        <f t="shared" si="5"/>
        <v>3.5349999999999966</v>
      </c>
      <c r="G164" s="2602">
        <f t="shared" si="4"/>
        <v>178.30500000000001</v>
      </c>
      <c r="H164" s="2568">
        <f t="shared" si="6"/>
        <v>0.98055983282006165</v>
      </c>
      <c r="I164" s="2639"/>
      <c r="J164" s="2314">
        <v>221.69499999999999</v>
      </c>
      <c r="K164" s="2314">
        <v>218.16</v>
      </c>
      <c r="L164" s="2315">
        <f t="shared" si="7"/>
        <v>3.5349999999999966</v>
      </c>
      <c r="M164">
        <v>221.69499999999999</v>
      </c>
      <c r="N164" s="3161">
        <v>60</v>
      </c>
    </row>
    <row r="165" spans="1:15" ht="13.8">
      <c r="A165" s="1486" t="s">
        <v>653</v>
      </c>
      <c r="B165" s="2565" t="s">
        <v>63</v>
      </c>
      <c r="C165" s="2612">
        <v>62</v>
      </c>
      <c r="D165" s="2612"/>
      <c r="E165" s="2566">
        <f t="shared" si="9"/>
        <v>143.1</v>
      </c>
      <c r="F165" s="584">
        <f t="shared" si="5"/>
        <v>0</v>
      </c>
      <c r="G165" s="2602">
        <f t="shared" si="4"/>
        <v>143.1</v>
      </c>
      <c r="H165" s="2568">
        <f t="shared" si="6"/>
        <v>1</v>
      </c>
      <c r="I165" s="2639"/>
      <c r="J165" s="2314">
        <v>0</v>
      </c>
      <c r="K165" s="2314">
        <v>0</v>
      </c>
      <c r="L165" s="2315">
        <f t="shared" si="7"/>
        <v>0</v>
      </c>
      <c r="M165">
        <v>0</v>
      </c>
      <c r="N165" s="3161">
        <v>61</v>
      </c>
    </row>
    <row r="166" spans="1:15" ht="14.4" thickBot="1">
      <c r="A166" s="575" t="s">
        <v>111</v>
      </c>
      <c r="B166" s="2576" t="s">
        <v>63</v>
      </c>
      <c r="C166" s="2640">
        <f>SUM(C105:C165)</f>
        <v>28867.712</v>
      </c>
      <c r="D166" s="3043">
        <f>SUM(D105:D165)</f>
        <v>0</v>
      </c>
      <c r="E166" s="3044">
        <f>+SUM(E105:E165)</f>
        <v>170945.07500000004</v>
      </c>
      <c r="F166" s="3045">
        <f>SUM(F105:F165)</f>
        <v>62477.512000000002</v>
      </c>
      <c r="G166" s="2641">
        <f>+E166-F166</f>
        <v>108467.56300000004</v>
      </c>
      <c r="H166" s="2568">
        <f t="shared" si="6"/>
        <v>0.63451704004926734</v>
      </c>
      <c r="I166" s="573"/>
      <c r="J166" s="649">
        <f>SUM(J105:J165)</f>
        <v>463667.02399999992</v>
      </c>
      <c r="K166" s="649">
        <f t="shared" ref="K166:M166" si="10">SUM(K105:K165)</f>
        <v>401183.09700000013</v>
      </c>
      <c r="L166" s="649">
        <f t="shared" si="10"/>
        <v>62477.512000000002</v>
      </c>
      <c r="M166" s="649">
        <f t="shared" si="10"/>
        <v>463660.609</v>
      </c>
      <c r="N166" s="649"/>
      <c r="O166" s="649"/>
    </row>
    <row r="167" spans="1:15" ht="13.8" thickBot="1">
      <c r="C167" s="2642"/>
      <c r="D167" s="1468"/>
      <c r="G167" s="3182"/>
      <c r="J167" s="647"/>
      <c r="K167" s="513"/>
      <c r="L167" s="513"/>
    </row>
    <row r="168" spans="1:15" ht="13.8">
      <c r="A168" s="3862" t="s">
        <v>114</v>
      </c>
      <c r="B168" s="3863"/>
      <c r="C168" s="139"/>
      <c r="D168" s="139"/>
      <c r="E168" s="139"/>
      <c r="F168" s="607"/>
      <c r="G168" s="153"/>
      <c r="H168" s="142"/>
      <c r="I168" s="2563"/>
      <c r="J168" s="647"/>
      <c r="K168" s="2554"/>
      <c r="L168" s="513"/>
    </row>
    <row r="169" spans="1:15" ht="5.0999999999999996" customHeight="1">
      <c r="A169" s="142"/>
      <c r="B169" s="153"/>
      <c r="C169" s="139"/>
      <c r="D169" s="139"/>
      <c r="E169" s="139"/>
      <c r="F169" s="607"/>
      <c r="G169" s="153"/>
      <c r="H169" s="142"/>
      <c r="I169" s="2563"/>
      <c r="J169" s="647"/>
      <c r="K169" s="513"/>
      <c r="L169" s="513"/>
    </row>
    <row r="170" spans="1:15" ht="13.8">
      <c r="A170" s="1432" t="s">
        <v>106</v>
      </c>
      <c r="B170" s="1432" t="s">
        <v>107</v>
      </c>
      <c r="C170" s="792" t="s">
        <v>108</v>
      </c>
      <c r="D170" s="792"/>
      <c r="E170" s="792" t="s">
        <v>109</v>
      </c>
      <c r="F170" s="1432" t="s">
        <v>47</v>
      </c>
      <c r="G170" s="1432" t="s">
        <v>48</v>
      </c>
      <c r="H170" s="1432" t="s">
        <v>110</v>
      </c>
      <c r="I170" s="508" t="s">
        <v>50</v>
      </c>
      <c r="J170" s="647"/>
      <c r="K170" s="513"/>
      <c r="L170" s="513"/>
    </row>
    <row r="171" spans="1:15" ht="13.8">
      <c r="A171" s="3037" t="s">
        <v>115</v>
      </c>
      <c r="B171" s="509" t="s">
        <v>61</v>
      </c>
      <c r="C171" s="2644">
        <v>26740</v>
      </c>
      <c r="D171" s="2644"/>
      <c r="E171" s="2645">
        <f>+C171</f>
        <v>26740</v>
      </c>
      <c r="F171" s="2646">
        <f>+SUM('RAE S.común'!B75:B78)</f>
        <v>17764.618999999999</v>
      </c>
      <c r="G171" s="2647">
        <f>+E171-F171</f>
        <v>8975.3810000000012</v>
      </c>
      <c r="H171" s="2568">
        <f>+G171/E171</f>
        <v>0.33565373971578166</v>
      </c>
      <c r="I171" s="2569"/>
      <c r="J171" s="647"/>
      <c r="K171" s="513"/>
      <c r="L171" s="513"/>
    </row>
    <row r="172" spans="1:15" ht="13.8">
      <c r="A172" s="2643" t="s">
        <v>116</v>
      </c>
      <c r="B172" s="509" t="s">
        <v>61</v>
      </c>
      <c r="C172" s="2644">
        <v>5477</v>
      </c>
      <c r="D172" s="2644"/>
      <c r="E172" s="2645">
        <f t="shared" ref="E172:E187" si="11">+C172</f>
        <v>5477</v>
      </c>
      <c r="F172" s="2646">
        <f>+SUM('RAE S.común'!B91:B94)</f>
        <v>3650.91</v>
      </c>
      <c r="G172" s="2647">
        <f t="shared" ref="G172:G187" si="12">+E172-F172</f>
        <v>1826.0900000000001</v>
      </c>
      <c r="H172" s="2568">
        <f t="shared" ref="H172:H187" si="13">+G172/E172</f>
        <v>0.33341062625524925</v>
      </c>
      <c r="I172" s="2618">
        <v>40984</v>
      </c>
      <c r="J172" s="647"/>
      <c r="K172" s="513"/>
      <c r="L172" s="513"/>
    </row>
    <row r="173" spans="1:15" ht="13.8">
      <c r="A173" s="2643" t="s">
        <v>117</v>
      </c>
      <c r="B173" s="509" t="s">
        <v>61</v>
      </c>
      <c r="C173" s="2028">
        <v>897.07</v>
      </c>
      <c r="D173" s="2028"/>
      <c r="E173" s="2645">
        <f t="shared" si="11"/>
        <v>897.07</v>
      </c>
      <c r="F173" s="2646">
        <f>+SUM('RAE S.común'!B107:B110)</f>
        <v>885.08799999999997</v>
      </c>
      <c r="G173" s="2647">
        <f t="shared" si="12"/>
        <v>11.982000000000085</v>
      </c>
      <c r="H173" s="2568">
        <f t="shared" si="13"/>
        <v>1.335681719375309E-2</v>
      </c>
      <c r="I173" s="2569"/>
      <c r="J173" s="647"/>
    </row>
    <row r="174" spans="1:15" ht="13.8">
      <c r="A174" s="2643" t="s">
        <v>288</v>
      </c>
      <c r="B174" s="509" t="s">
        <v>61</v>
      </c>
      <c r="C174" s="2028">
        <v>4.8000000000000001E-2</v>
      </c>
      <c r="D174" s="2028"/>
      <c r="E174" s="2645">
        <f t="shared" si="11"/>
        <v>4.8000000000000001E-2</v>
      </c>
      <c r="F174" s="2646">
        <f>+SUM('RAE S.común'!B123:B126)</f>
        <v>0</v>
      </c>
      <c r="G174" s="2647">
        <f t="shared" si="12"/>
        <v>4.8000000000000001E-2</v>
      </c>
      <c r="H174" s="2568">
        <f t="shared" si="13"/>
        <v>1</v>
      </c>
      <c r="I174" s="2569"/>
      <c r="J174" s="647"/>
    </row>
    <row r="175" spans="1:15" ht="15.75" customHeight="1">
      <c r="A175" s="3038" t="s">
        <v>118</v>
      </c>
      <c r="B175" s="509" t="s">
        <v>61</v>
      </c>
      <c r="C175" s="2644">
        <v>19381</v>
      </c>
      <c r="D175" s="2644"/>
      <c r="E175" s="2645">
        <f t="shared" si="11"/>
        <v>19381</v>
      </c>
      <c r="F175" s="2646">
        <f>+SUM('RAE S.común'!B139:B142)</f>
        <v>13540.550999999999</v>
      </c>
      <c r="G175" s="2647">
        <f t="shared" si="12"/>
        <v>5840.4490000000005</v>
      </c>
      <c r="H175" s="2568">
        <f t="shared" si="13"/>
        <v>0.30134920798720399</v>
      </c>
      <c r="I175" s="2569"/>
      <c r="J175" s="647"/>
    </row>
    <row r="176" spans="1:15" ht="13.8">
      <c r="A176" s="2643" t="s">
        <v>289</v>
      </c>
      <c r="B176" s="509" t="s">
        <v>61</v>
      </c>
      <c r="C176" s="2028">
        <v>9.0999999999999998E-2</v>
      </c>
      <c r="D176" s="2028"/>
      <c r="E176" s="2645">
        <f t="shared" si="11"/>
        <v>9.0999999999999998E-2</v>
      </c>
      <c r="F176" s="2646">
        <f>+SUM('RAE S.común'!B155:B158)</f>
        <v>4.2000000000000003E-2</v>
      </c>
      <c r="G176" s="2647">
        <f t="shared" si="12"/>
        <v>4.8999999999999995E-2</v>
      </c>
      <c r="H176" s="2568">
        <f t="shared" si="13"/>
        <v>0.53846153846153844</v>
      </c>
      <c r="I176" s="2569"/>
      <c r="J176" s="647"/>
    </row>
    <row r="177" spans="1:11" ht="13.8">
      <c r="A177" s="2643" t="s">
        <v>290</v>
      </c>
      <c r="B177" s="509" t="s">
        <v>61</v>
      </c>
      <c r="C177" s="2028">
        <v>0.35299999999999998</v>
      </c>
      <c r="D177" s="2028"/>
      <c r="E177" s="2645">
        <f t="shared" si="11"/>
        <v>0.35299999999999998</v>
      </c>
      <c r="F177" s="2646">
        <f>+SUM('RAE S.común'!B171:B174)</f>
        <v>0</v>
      </c>
      <c r="G177" s="2647">
        <f t="shared" si="12"/>
        <v>0.35299999999999998</v>
      </c>
      <c r="H177" s="2568">
        <f t="shared" si="13"/>
        <v>1</v>
      </c>
      <c r="I177" s="2569"/>
      <c r="J177" s="647"/>
    </row>
    <row r="178" spans="1:11" ht="13.8">
      <c r="A178" s="2643" t="s">
        <v>291</v>
      </c>
      <c r="B178" s="509" t="s">
        <v>61</v>
      </c>
      <c r="C178" s="2028">
        <v>1.6E-2</v>
      </c>
      <c r="D178" s="2028"/>
      <c r="E178" s="2645">
        <v>8.9999999999999993E-3</v>
      </c>
      <c r="F178" s="2645">
        <v>0</v>
      </c>
      <c r="G178" s="2648">
        <v>8.9999999999999993E-3</v>
      </c>
      <c r="H178" s="2568">
        <f t="shared" si="13"/>
        <v>1</v>
      </c>
      <c r="I178" s="2569"/>
      <c r="J178" s="647"/>
    </row>
    <row r="179" spans="1:11" ht="13.8">
      <c r="A179" s="2643" t="s">
        <v>292</v>
      </c>
      <c r="B179" s="509" t="s">
        <v>61</v>
      </c>
      <c r="C179" s="2028">
        <v>0.70199999999999996</v>
      </c>
      <c r="D179" s="2028"/>
      <c r="E179" s="2645">
        <f t="shared" si="11"/>
        <v>0.70199999999999996</v>
      </c>
      <c r="F179" s="2646">
        <f>+SUM('RAE S.común'!B203:B206)</f>
        <v>0</v>
      </c>
      <c r="G179" s="2647">
        <f>+E179-F179</f>
        <v>0.70199999999999996</v>
      </c>
      <c r="H179" s="2568">
        <f t="shared" si="13"/>
        <v>1</v>
      </c>
      <c r="I179" s="2569"/>
      <c r="J179" s="647"/>
    </row>
    <row r="180" spans="1:11" ht="13.8">
      <c r="A180" s="2643" t="s">
        <v>293</v>
      </c>
      <c r="B180" s="509" t="s">
        <v>61</v>
      </c>
      <c r="C180" s="2644">
        <v>1237</v>
      </c>
      <c r="D180" s="2644"/>
      <c r="E180" s="2645">
        <f t="shared" si="11"/>
        <v>1237</v>
      </c>
      <c r="F180" s="2646">
        <f>+SUM('RAE S.común'!B219:B222)</f>
        <v>978.76499999999987</v>
      </c>
      <c r="G180" s="2647">
        <f t="shared" si="12"/>
        <v>258.23500000000013</v>
      </c>
      <c r="H180" s="2568">
        <f t="shared" si="13"/>
        <v>0.20875909458367028</v>
      </c>
      <c r="I180" s="2618">
        <v>40980</v>
      </c>
      <c r="J180" s="647"/>
    </row>
    <row r="181" spans="1:11" ht="13.8">
      <c r="A181" s="2643" t="s">
        <v>294</v>
      </c>
      <c r="B181" s="509" t="s">
        <v>61</v>
      </c>
      <c r="C181" s="2028">
        <v>1.6E-2</v>
      </c>
      <c r="D181" s="2028"/>
      <c r="E181" s="2645">
        <f t="shared" si="11"/>
        <v>1.6E-2</v>
      </c>
      <c r="F181" s="2646">
        <f>+SUM('RAE S.común'!B235:B238)</f>
        <v>0</v>
      </c>
      <c r="G181" s="2647">
        <f t="shared" si="12"/>
        <v>1.6E-2</v>
      </c>
      <c r="H181" s="2568">
        <f t="shared" si="13"/>
        <v>1</v>
      </c>
      <c r="I181" s="2569"/>
      <c r="J181" s="647"/>
    </row>
    <row r="182" spans="1:11" ht="13.8">
      <c r="A182" s="2643" t="s">
        <v>295</v>
      </c>
      <c r="B182" s="509" t="s">
        <v>61</v>
      </c>
      <c r="C182" s="2028">
        <v>0.35699999999999998</v>
      </c>
      <c r="D182" s="2028"/>
      <c r="E182" s="2645">
        <f t="shared" si="11"/>
        <v>0.35699999999999998</v>
      </c>
      <c r="F182" s="2646">
        <f>+SUM('RAE S.común'!B251:B254)</f>
        <v>0</v>
      </c>
      <c r="G182" s="2647">
        <f t="shared" si="12"/>
        <v>0.35699999999999998</v>
      </c>
      <c r="H182" s="2568">
        <f t="shared" si="13"/>
        <v>1</v>
      </c>
      <c r="I182" s="2639"/>
      <c r="J182" s="647"/>
    </row>
    <row r="183" spans="1:11" ht="13.8">
      <c r="A183" s="2643" t="s">
        <v>409</v>
      </c>
      <c r="B183" s="509" t="s">
        <v>61</v>
      </c>
      <c r="C183" s="2644">
        <v>6877</v>
      </c>
      <c r="D183" s="2644"/>
      <c r="E183" s="2645">
        <f t="shared" si="11"/>
        <v>6877</v>
      </c>
      <c r="F183" s="2646">
        <f>+SUM('RAE S.común'!B267:B270)</f>
        <v>4000.163</v>
      </c>
      <c r="G183" s="2647">
        <f t="shared" si="12"/>
        <v>2876.837</v>
      </c>
      <c r="H183" s="2568">
        <f t="shared" si="13"/>
        <v>0.41832732296059327</v>
      </c>
      <c r="I183" s="2639"/>
      <c r="J183" s="647"/>
    </row>
    <row r="184" spans="1:11" ht="13.8">
      <c r="A184" s="3038" t="s">
        <v>410</v>
      </c>
      <c r="B184" s="509" t="s">
        <v>61</v>
      </c>
      <c r="C184" s="2644">
        <v>10483</v>
      </c>
      <c r="D184" s="2644"/>
      <c r="E184" s="2645">
        <f t="shared" si="11"/>
        <v>10483</v>
      </c>
      <c r="F184" s="2646">
        <f>+SUM('RAE S.común'!B283:B286)</f>
        <v>6743.5199999999995</v>
      </c>
      <c r="G184" s="2647">
        <f t="shared" si="12"/>
        <v>3739.4800000000005</v>
      </c>
      <c r="H184" s="2568">
        <f t="shared" si="13"/>
        <v>0.35671849661356486</v>
      </c>
      <c r="I184" s="2614">
        <v>40994</v>
      </c>
      <c r="J184" s="647"/>
    </row>
    <row r="185" spans="1:11" ht="13.8">
      <c r="A185" s="2643" t="s">
        <v>411</v>
      </c>
      <c r="B185" s="509" t="s">
        <v>61</v>
      </c>
      <c r="C185" s="2028">
        <v>5.7000000000000002E-2</v>
      </c>
      <c r="D185" s="2028"/>
      <c r="E185" s="2645">
        <f t="shared" si="11"/>
        <v>5.7000000000000002E-2</v>
      </c>
      <c r="F185" s="2646">
        <f>+SUM('RAE S.común'!B299:B302)</f>
        <v>1.7000000000000001E-2</v>
      </c>
      <c r="G185" s="2647">
        <f t="shared" si="12"/>
        <v>0.04</v>
      </c>
      <c r="H185" s="2568">
        <f t="shared" si="13"/>
        <v>0.70175438596491224</v>
      </c>
      <c r="I185" s="2639"/>
      <c r="J185" s="647"/>
    </row>
    <row r="186" spans="1:11" ht="13.8">
      <c r="A186" s="2643" t="s">
        <v>413</v>
      </c>
      <c r="B186" s="509" t="s">
        <v>61</v>
      </c>
      <c r="C186" s="2028">
        <v>8.0000000000000002E-3</v>
      </c>
      <c r="D186" s="2028"/>
      <c r="E186" s="2645">
        <f t="shared" si="11"/>
        <v>8.0000000000000002E-3</v>
      </c>
      <c r="F186" s="2646">
        <f>+SUM('RAE S.común'!B315:B318)</f>
        <v>0</v>
      </c>
      <c r="G186" s="2647">
        <f t="shared" si="12"/>
        <v>8.0000000000000002E-3</v>
      </c>
      <c r="H186" s="2568">
        <f t="shared" si="13"/>
        <v>1</v>
      </c>
      <c r="I186" s="2639"/>
      <c r="J186" s="647"/>
    </row>
    <row r="187" spans="1:11" ht="13.8">
      <c r="A187" s="2643" t="s">
        <v>119</v>
      </c>
      <c r="B187" s="509" t="s">
        <v>61</v>
      </c>
      <c r="C187" s="2028">
        <v>0.54300000000000004</v>
      </c>
      <c r="D187" s="2028"/>
      <c r="E187" s="2645">
        <f t="shared" si="11"/>
        <v>0.54300000000000004</v>
      </c>
      <c r="F187" s="2646">
        <v>0</v>
      </c>
      <c r="G187" s="2647">
        <f t="shared" si="12"/>
        <v>0.54300000000000004</v>
      </c>
      <c r="H187" s="2568">
        <f t="shared" si="13"/>
        <v>1</v>
      </c>
      <c r="I187" s="2639"/>
      <c r="J187" s="647"/>
    </row>
    <row r="188" spans="1:11" ht="13.8">
      <c r="A188" s="575" t="s">
        <v>111</v>
      </c>
      <c r="B188" s="575" t="s">
        <v>61</v>
      </c>
      <c r="C188" s="2649">
        <f>SUM(C171:C187)</f>
        <v>71094.261000000028</v>
      </c>
      <c r="D188" s="2650"/>
      <c r="E188" s="2651">
        <f>SUM(E171:E187)</f>
        <v>71094.254000000015</v>
      </c>
      <c r="F188" s="2652">
        <f>SUM(F171:F187)</f>
        <v>47563.674999999996</v>
      </c>
      <c r="G188" s="2647">
        <f>+E188-F188</f>
        <v>23530.57900000002</v>
      </c>
      <c r="H188" s="142"/>
      <c r="I188" s="2563"/>
      <c r="J188" s="647"/>
    </row>
    <row r="189" spans="1:11" ht="5.0999999999999996" customHeight="1">
      <c r="A189" s="609"/>
      <c r="B189" s="153"/>
      <c r="C189" s="2573"/>
      <c r="D189" s="2573"/>
      <c r="E189" s="2573"/>
      <c r="F189" s="610"/>
      <c r="G189" s="610"/>
      <c r="H189" s="142"/>
      <c r="I189" s="2563"/>
      <c r="J189" s="647"/>
    </row>
    <row r="190" spans="1:11" ht="13.8">
      <c r="A190" s="1432" t="s">
        <v>106</v>
      </c>
      <c r="B190" s="1432" t="s">
        <v>107</v>
      </c>
      <c r="C190" s="792" t="s">
        <v>108</v>
      </c>
      <c r="D190" s="792"/>
      <c r="E190" s="792" t="s">
        <v>109</v>
      </c>
      <c r="F190" s="1432" t="s">
        <v>47</v>
      </c>
      <c r="G190" s="1432" t="s">
        <v>48</v>
      </c>
      <c r="H190" s="1432" t="s">
        <v>110</v>
      </c>
      <c r="I190" s="508" t="s">
        <v>50</v>
      </c>
      <c r="J190" s="647"/>
    </row>
    <row r="191" spans="1:11" ht="13.8">
      <c r="A191" s="3037" t="s">
        <v>115</v>
      </c>
      <c r="B191" s="3081" t="s">
        <v>62</v>
      </c>
      <c r="C191" s="3082">
        <f>3193+600+500+400</f>
        <v>4693</v>
      </c>
      <c r="D191" s="2650"/>
      <c r="E191" s="2586">
        <f t="shared" ref="E191:E207" si="14">+C191+G171</f>
        <v>13668.381000000001</v>
      </c>
      <c r="F191" s="576">
        <f>+SUM('RAE S.común'!B79:B82)</f>
        <v>6820.3049999999985</v>
      </c>
      <c r="G191" s="2653">
        <f>+E191-F191</f>
        <v>6848.0760000000028</v>
      </c>
      <c r="H191" s="2568">
        <f t="shared" ref="H191:H207" si="15">+G191/E191</f>
        <v>0.50101588476352843</v>
      </c>
      <c r="I191" s="573"/>
      <c r="J191" s="647"/>
    </row>
    <row r="192" spans="1:11" ht="13.8">
      <c r="A192" s="2643" t="s">
        <v>116</v>
      </c>
      <c r="B192" s="611" t="s">
        <v>62</v>
      </c>
      <c r="C192" s="2644">
        <v>644</v>
      </c>
      <c r="D192" s="2650"/>
      <c r="E192" s="2586">
        <f t="shared" si="14"/>
        <v>2470.09</v>
      </c>
      <c r="F192" s="576">
        <f>+SUM('RAE S.común'!B95:B98)</f>
        <v>1511.0240000000001</v>
      </c>
      <c r="G192" s="2653">
        <f t="shared" ref="G192:G207" si="16">+E192-F192</f>
        <v>959.06600000000003</v>
      </c>
      <c r="H192" s="2568">
        <f t="shared" si="15"/>
        <v>0.38827168240833326</v>
      </c>
      <c r="I192" s="573"/>
      <c r="J192" s="647"/>
      <c r="K192" s="3088"/>
    </row>
    <row r="193" spans="1:11" ht="13.8">
      <c r="A193" s="2643" t="s">
        <v>117</v>
      </c>
      <c r="B193" s="611" t="s">
        <v>62</v>
      </c>
      <c r="C193" s="2028">
        <v>0.24399999999999999</v>
      </c>
      <c r="D193" s="2654"/>
      <c r="E193" s="2586">
        <f t="shared" si="14"/>
        <v>12.226000000000084</v>
      </c>
      <c r="F193" s="576">
        <f>+SUM('RAE S.común'!B111:B114)</f>
        <v>229.065</v>
      </c>
      <c r="G193" s="2653">
        <f t="shared" si="16"/>
        <v>-216.83899999999991</v>
      </c>
      <c r="H193" s="2568">
        <f t="shared" si="15"/>
        <v>-17.735890724684968</v>
      </c>
      <c r="I193" s="573"/>
      <c r="J193" s="647"/>
    </row>
    <row r="194" spans="1:11" ht="13.8">
      <c r="A194" s="2643" t="s">
        <v>288</v>
      </c>
      <c r="B194" s="611" t="s">
        <v>62</v>
      </c>
      <c r="C194" s="2028">
        <v>6.0000000000000001E-3</v>
      </c>
      <c r="D194" s="2654"/>
      <c r="E194" s="2586">
        <f t="shared" si="14"/>
        <v>5.3999999999999999E-2</v>
      </c>
      <c r="F194" s="576">
        <f>+SUM('RAE S.común'!B127:B130)</f>
        <v>0</v>
      </c>
      <c r="G194" s="2653">
        <f t="shared" si="16"/>
        <v>5.3999999999999999E-2</v>
      </c>
      <c r="H194" s="2568">
        <f t="shared" si="15"/>
        <v>1</v>
      </c>
      <c r="I194" s="573"/>
      <c r="J194" s="647"/>
    </row>
    <row r="195" spans="1:11" ht="15.75" customHeight="1">
      <c r="A195" s="3038" t="s">
        <v>118</v>
      </c>
      <c r="B195" s="611" t="s">
        <v>62</v>
      </c>
      <c r="C195" s="2644">
        <f>2291+2800</f>
        <v>5091</v>
      </c>
      <c r="D195" s="2650"/>
      <c r="E195" s="2586">
        <f t="shared" si="14"/>
        <v>10931.449000000001</v>
      </c>
      <c r="F195" s="576">
        <f>+SUM('RAE S.común'!B143:B146)</f>
        <v>6311.9810000000007</v>
      </c>
      <c r="G195" s="2653">
        <f t="shared" si="16"/>
        <v>4619.4679999999998</v>
      </c>
      <c r="H195" s="2568">
        <f t="shared" si="15"/>
        <v>0.42258514859283519</v>
      </c>
      <c r="I195" s="573"/>
      <c r="J195" s="647"/>
      <c r="K195" s="3083" t="s">
        <v>417</v>
      </c>
    </row>
    <row r="196" spans="1:11" ht="13.8">
      <c r="A196" s="2643" t="s">
        <v>289</v>
      </c>
      <c r="B196" s="611" t="s">
        <v>62</v>
      </c>
      <c r="C196" s="2028">
        <v>1.0999999999999999E-2</v>
      </c>
      <c r="D196" s="2654"/>
      <c r="E196" s="2586">
        <f t="shared" si="14"/>
        <v>0.06</v>
      </c>
      <c r="F196" s="576">
        <f>+SUM('RAE S.común'!B159:B162)</f>
        <v>0</v>
      </c>
      <c r="G196" s="2653">
        <f t="shared" si="16"/>
        <v>0.06</v>
      </c>
      <c r="H196" s="2568">
        <f t="shared" si="15"/>
        <v>1</v>
      </c>
      <c r="I196" s="573"/>
      <c r="J196" s="647"/>
    </row>
    <row r="197" spans="1:11" ht="13.8">
      <c r="A197" s="2643" t="s">
        <v>290</v>
      </c>
      <c r="B197" s="611" t="s">
        <v>62</v>
      </c>
      <c r="C197" s="2028">
        <v>4.1000000000000002E-2</v>
      </c>
      <c r="D197" s="2654"/>
      <c r="E197" s="2586">
        <f t="shared" si="14"/>
        <v>0.39399999999999996</v>
      </c>
      <c r="F197" s="576">
        <f>+SUM('RAE S.común'!B175:B178)</f>
        <v>0</v>
      </c>
      <c r="G197" s="2653">
        <f t="shared" si="16"/>
        <v>0.39399999999999996</v>
      </c>
      <c r="H197" s="2568">
        <f t="shared" si="15"/>
        <v>1</v>
      </c>
      <c r="I197" s="573"/>
      <c r="J197" s="647"/>
    </row>
    <row r="198" spans="1:11" ht="13.8">
      <c r="A198" s="2643" t="s">
        <v>291</v>
      </c>
      <c r="B198" s="611" t="s">
        <v>62</v>
      </c>
      <c r="C198" s="2028">
        <v>2E-3</v>
      </c>
      <c r="D198" s="2654"/>
      <c r="E198" s="2586">
        <f t="shared" si="14"/>
        <v>1.0999999999999999E-2</v>
      </c>
      <c r="F198" s="576">
        <f>+SUM('RAE S.común'!B191:B194)</f>
        <v>0</v>
      </c>
      <c r="G198" s="2653">
        <f t="shared" si="16"/>
        <v>1.0999999999999999E-2</v>
      </c>
      <c r="H198" s="2568">
        <f t="shared" si="15"/>
        <v>1</v>
      </c>
      <c r="I198" s="573"/>
      <c r="J198" s="647"/>
    </row>
    <row r="199" spans="1:11" ht="13.8">
      <c r="A199" s="2643" t="s">
        <v>292</v>
      </c>
      <c r="B199" s="611" t="s">
        <v>62</v>
      </c>
      <c r="C199" s="2028">
        <v>8.3000000000000004E-2</v>
      </c>
      <c r="D199" s="2654"/>
      <c r="E199" s="2586">
        <f t="shared" si="14"/>
        <v>0.78499999999999992</v>
      </c>
      <c r="F199" s="576">
        <f>+SUM('RAE S.común'!B207:B210)</f>
        <v>0</v>
      </c>
      <c r="G199" s="2653">
        <f t="shared" si="16"/>
        <v>0.78499999999999992</v>
      </c>
      <c r="H199" s="2568">
        <f t="shared" si="15"/>
        <v>1</v>
      </c>
      <c r="I199" s="573"/>
      <c r="J199" s="647"/>
    </row>
    <row r="200" spans="1:11" ht="13.8">
      <c r="A200" s="2643" t="s">
        <v>293</v>
      </c>
      <c r="B200" s="611" t="s">
        <v>62</v>
      </c>
      <c r="C200" s="2644">
        <v>145</v>
      </c>
      <c r="D200" s="2650"/>
      <c r="E200" s="2586">
        <f t="shared" si="14"/>
        <v>403.23500000000013</v>
      </c>
      <c r="F200" s="576">
        <f>+SUM('RAE S.común'!B223:B226)</f>
        <v>440.21899999999999</v>
      </c>
      <c r="G200" s="2653">
        <f t="shared" si="16"/>
        <v>-36.983999999999867</v>
      </c>
      <c r="H200" s="2568">
        <f t="shared" si="15"/>
        <v>-9.171822882438245E-2</v>
      </c>
      <c r="I200" s="573"/>
      <c r="J200" s="647"/>
    </row>
    <row r="201" spans="1:11" ht="13.8">
      <c r="A201" s="2643" t="s">
        <v>294</v>
      </c>
      <c r="B201" s="611" t="s">
        <v>62</v>
      </c>
      <c r="C201" s="2028">
        <v>2E-3</v>
      </c>
      <c r="D201" s="2654"/>
      <c r="E201" s="2586">
        <f t="shared" si="14"/>
        <v>1.8000000000000002E-2</v>
      </c>
      <c r="F201" s="576">
        <f>+SUM('RAE S.común'!B239:B242)</f>
        <v>0</v>
      </c>
      <c r="G201" s="2653">
        <f t="shared" si="16"/>
        <v>1.8000000000000002E-2</v>
      </c>
      <c r="H201" s="2568">
        <f t="shared" si="15"/>
        <v>1</v>
      </c>
      <c r="I201" s="2639"/>
      <c r="J201" s="647"/>
    </row>
    <row r="202" spans="1:11" ht="13.8">
      <c r="A202" s="2643" t="s">
        <v>295</v>
      </c>
      <c r="B202" s="611" t="s">
        <v>62</v>
      </c>
      <c r="C202" s="2028">
        <v>4.2000000000000003E-2</v>
      </c>
      <c r="D202" s="2654"/>
      <c r="E202" s="2586">
        <f t="shared" si="14"/>
        <v>0.39899999999999997</v>
      </c>
      <c r="F202" s="576">
        <f>+SUM('RAE S.común'!B255:B258)</f>
        <v>0</v>
      </c>
      <c r="G202" s="2653">
        <f t="shared" si="16"/>
        <v>0.39899999999999997</v>
      </c>
      <c r="H202" s="2568">
        <f t="shared" si="15"/>
        <v>1</v>
      </c>
      <c r="I202" s="2569"/>
      <c r="J202" s="647"/>
    </row>
    <row r="203" spans="1:11" ht="13.8">
      <c r="A203" s="2643" t="s">
        <v>409</v>
      </c>
      <c r="B203" s="611" t="s">
        <v>62</v>
      </c>
      <c r="C203" s="2644">
        <v>833</v>
      </c>
      <c r="D203" s="2650"/>
      <c r="E203" s="2586">
        <f t="shared" si="14"/>
        <v>3709.837</v>
      </c>
      <c r="F203" s="576">
        <f>+SUM('RAE S.común'!B271:B274)</f>
        <v>2027.1900000000005</v>
      </c>
      <c r="G203" s="2653">
        <f t="shared" si="16"/>
        <v>1682.6469999999995</v>
      </c>
      <c r="H203" s="2568">
        <f t="shared" si="15"/>
        <v>0.45356359322525475</v>
      </c>
      <c r="I203" s="2569"/>
      <c r="J203" s="647"/>
    </row>
    <row r="204" spans="1:11" ht="13.8">
      <c r="A204" s="3038" t="s">
        <v>410</v>
      </c>
      <c r="B204" s="611" t="s">
        <v>62</v>
      </c>
      <c r="C204" s="2644">
        <f>1257+500</f>
        <v>1757</v>
      </c>
      <c r="D204" s="2650"/>
      <c r="E204" s="2586">
        <f t="shared" si="14"/>
        <v>5496.4800000000005</v>
      </c>
      <c r="F204" s="576">
        <f>+SUM('RAE S.común'!B287:B290)</f>
        <v>2176.663</v>
      </c>
      <c r="G204" s="2653">
        <f t="shared" si="16"/>
        <v>3319.8170000000005</v>
      </c>
      <c r="H204" s="2568">
        <f t="shared" si="15"/>
        <v>0.60398964428143109</v>
      </c>
      <c r="I204" s="2569"/>
      <c r="J204" s="647"/>
    </row>
    <row r="205" spans="1:11" ht="13.8">
      <c r="A205" s="2643" t="s">
        <v>411</v>
      </c>
      <c r="B205" s="611" t="s">
        <v>62</v>
      </c>
      <c r="C205" s="2028">
        <v>7.0000000000000001E-3</v>
      </c>
      <c r="D205" s="2654"/>
      <c r="E205" s="2586">
        <f t="shared" si="14"/>
        <v>4.7E-2</v>
      </c>
      <c r="F205" s="576">
        <f>+SUM('RAE S.común'!B303:B306)</f>
        <v>0</v>
      </c>
      <c r="G205" s="2653">
        <f t="shared" si="16"/>
        <v>4.7E-2</v>
      </c>
      <c r="H205" s="2568">
        <f t="shared" si="15"/>
        <v>1</v>
      </c>
      <c r="I205" s="2569"/>
      <c r="J205" s="647"/>
    </row>
    <row r="206" spans="1:11" ht="13.8">
      <c r="A206" s="2643" t="s">
        <v>413</v>
      </c>
      <c r="B206" s="611" t="s">
        <v>62</v>
      </c>
      <c r="C206" s="2028">
        <v>1E-3</v>
      </c>
      <c r="D206" s="2654"/>
      <c r="E206" s="2586">
        <f t="shared" si="14"/>
        <v>9.0000000000000011E-3</v>
      </c>
      <c r="F206" s="576">
        <f>+SUM('RAE S.común'!B319:B322)</f>
        <v>0</v>
      </c>
      <c r="G206" s="2653">
        <f t="shared" si="16"/>
        <v>9.0000000000000011E-3</v>
      </c>
      <c r="H206" s="2568">
        <f t="shared" si="15"/>
        <v>1</v>
      </c>
      <c r="I206" s="2569"/>
      <c r="J206" s="647"/>
    </row>
    <row r="207" spans="1:11" ht="15" customHeight="1">
      <c r="A207" s="2643" t="s">
        <v>119</v>
      </c>
      <c r="B207" s="611" t="s">
        <v>62</v>
      </c>
      <c r="C207" s="2028">
        <v>6.4000000000000001E-2</v>
      </c>
      <c r="D207" s="2654"/>
      <c r="E207" s="2586">
        <f t="shared" si="14"/>
        <v>0.60699999999999998</v>
      </c>
      <c r="F207" s="576">
        <f>+SUM('RAE S.común'!B335:B338)</f>
        <v>0.16</v>
      </c>
      <c r="G207" s="2653">
        <f t="shared" si="16"/>
        <v>0.44699999999999995</v>
      </c>
      <c r="H207" s="2568">
        <f t="shared" si="15"/>
        <v>0.7364085667215815</v>
      </c>
      <c r="I207" s="573"/>
      <c r="J207" s="647"/>
    </row>
    <row r="208" spans="1:11" ht="13.8">
      <c r="A208" s="575" t="s">
        <v>111</v>
      </c>
      <c r="B208" s="2655" t="s">
        <v>62</v>
      </c>
      <c r="C208" s="2571">
        <f>SUM(C191:C207)</f>
        <v>13163.503000000001</v>
      </c>
      <c r="D208" s="2571"/>
      <c r="E208" s="2656">
        <f>SUM(E191:E207)</f>
        <v>36694.082000000009</v>
      </c>
      <c r="F208" s="2656">
        <f>SUM(F191:F207)</f>
        <v>19516.607</v>
      </c>
      <c r="G208" s="2653">
        <f>+E208-F208</f>
        <v>17177.475000000009</v>
      </c>
      <c r="H208" s="142"/>
      <c r="I208" s="2563"/>
      <c r="J208" s="647"/>
    </row>
    <row r="209" spans="1:10" ht="5.0999999999999996" customHeight="1">
      <c r="A209" s="612"/>
      <c r="B209" s="613"/>
      <c r="C209" s="2573"/>
      <c r="D209" s="2573"/>
      <c r="E209" s="2573"/>
      <c r="F209" s="614"/>
      <c r="G209" s="610"/>
      <c r="H209" s="142"/>
      <c r="I209" s="2563"/>
      <c r="J209" s="647"/>
    </row>
    <row r="210" spans="1:10" ht="13.8">
      <c r="A210" s="1432" t="s">
        <v>106</v>
      </c>
      <c r="B210" s="1432" t="s">
        <v>107</v>
      </c>
      <c r="C210" s="792" t="s">
        <v>108</v>
      </c>
      <c r="D210" s="792" t="s">
        <v>1106</v>
      </c>
      <c r="E210" s="792" t="s">
        <v>109</v>
      </c>
      <c r="F210" s="1432" t="s">
        <v>47</v>
      </c>
      <c r="G210" s="1432" t="s">
        <v>48</v>
      </c>
      <c r="H210" s="1432" t="s">
        <v>110</v>
      </c>
      <c r="I210" s="508" t="s">
        <v>50</v>
      </c>
      <c r="J210" s="647"/>
    </row>
    <row r="211" spans="1:10" ht="13.8">
      <c r="A211" s="3037" t="s">
        <v>115</v>
      </c>
      <c r="B211" s="611" t="s">
        <v>63</v>
      </c>
      <c r="C211" s="2644">
        <f>1596</f>
        <v>1596</v>
      </c>
      <c r="D211" s="2650"/>
      <c r="E211" s="2650">
        <f t="shared" ref="E211:E227" si="17">+C211+G191</f>
        <v>8444.0760000000028</v>
      </c>
      <c r="F211" s="2657">
        <f>+SUM('RAE S.común'!B83:B86)</f>
        <v>8022.7079999999987</v>
      </c>
      <c r="G211" s="2658">
        <f>+E211-F211</f>
        <v>421.36800000000403</v>
      </c>
      <c r="H211" s="2568">
        <f t="shared" ref="H211:H227" si="18">+G211/E211</f>
        <v>4.9901019365529618E-2</v>
      </c>
      <c r="I211" s="573"/>
      <c r="J211" s="647"/>
    </row>
    <row r="212" spans="1:10" ht="13.8">
      <c r="A212" s="2643" t="s">
        <v>116</v>
      </c>
      <c r="B212" s="611" t="s">
        <v>63</v>
      </c>
      <c r="C212" s="2644">
        <v>322</v>
      </c>
      <c r="D212" s="2650"/>
      <c r="E212" s="2650">
        <f t="shared" si="17"/>
        <v>1281.066</v>
      </c>
      <c r="F212" s="2657">
        <f>+SUM('RAE S.común'!B99:B102)</f>
        <v>1251.114</v>
      </c>
      <c r="G212" s="2658">
        <f t="shared" ref="G212:G227" si="19">+E212-F212</f>
        <v>29.951999999999998</v>
      </c>
      <c r="H212" s="2568">
        <f t="shared" si="18"/>
        <v>2.3380528403688802E-2</v>
      </c>
      <c r="I212" s="573"/>
      <c r="J212" s="647"/>
    </row>
    <row r="213" spans="1:10" ht="13.8">
      <c r="A213" s="2643" t="s">
        <v>117</v>
      </c>
      <c r="B213" s="611" t="s">
        <v>63</v>
      </c>
      <c r="C213" s="2028">
        <v>0.122</v>
      </c>
      <c r="D213" s="2654"/>
      <c r="E213" s="2654">
        <f t="shared" si="17"/>
        <v>-216.7169999999999</v>
      </c>
      <c r="F213" s="2657">
        <f>+SUM('RAE S.común'!B115:B118)</f>
        <v>0</v>
      </c>
      <c r="G213" s="2657">
        <f t="shared" si="19"/>
        <v>-216.7169999999999</v>
      </c>
      <c r="H213" s="2568">
        <v>0</v>
      </c>
      <c r="I213" s="573"/>
      <c r="J213" s="647"/>
    </row>
    <row r="214" spans="1:10" ht="13.8">
      <c r="A214" s="2643" t="s">
        <v>288</v>
      </c>
      <c r="B214" s="611" t="s">
        <v>63</v>
      </c>
      <c r="C214" s="2028">
        <v>3.0000000000000001E-3</v>
      </c>
      <c r="D214" s="2654"/>
      <c r="E214" s="2654">
        <f t="shared" si="17"/>
        <v>5.7000000000000002E-2</v>
      </c>
      <c r="F214" s="2657">
        <f>+SUM('RAE S.común'!B131:B134)</f>
        <v>0</v>
      </c>
      <c r="G214" s="2657">
        <f t="shared" si="19"/>
        <v>5.7000000000000002E-2</v>
      </c>
      <c r="H214" s="2568">
        <f t="shared" si="18"/>
        <v>1</v>
      </c>
      <c r="I214" s="573"/>
      <c r="J214" s="647"/>
    </row>
    <row r="215" spans="1:10" ht="17.25" customHeight="1">
      <c r="A215" s="2643" t="s">
        <v>118</v>
      </c>
      <c r="B215" s="611" t="s">
        <v>63</v>
      </c>
      <c r="C215" s="2644">
        <f>1146-5</f>
        <v>1141</v>
      </c>
      <c r="D215" s="2672"/>
      <c r="E215" s="2650">
        <f>+C215+G195+D215</f>
        <v>5760.4679999999998</v>
      </c>
      <c r="F215" s="2657">
        <f>+SUM('RAE S.común'!B147:B150)</f>
        <v>5657.143</v>
      </c>
      <c r="G215" s="2658">
        <f t="shared" si="19"/>
        <v>103.32499999999982</v>
      </c>
      <c r="H215" s="2993">
        <f t="shared" si="18"/>
        <v>1.7936910681562647E-2</v>
      </c>
      <c r="I215" s="2994"/>
      <c r="J215" s="2995" t="s">
        <v>820</v>
      </c>
    </row>
    <row r="216" spans="1:10" ht="13.8">
      <c r="A216" s="2643" t="s">
        <v>289</v>
      </c>
      <c r="B216" s="611" t="s">
        <v>63</v>
      </c>
      <c r="C216" s="2028">
        <v>5.0000000000000001E-3</v>
      </c>
      <c r="D216" s="2654"/>
      <c r="E216" s="2654">
        <f t="shared" si="17"/>
        <v>6.5000000000000002E-2</v>
      </c>
      <c r="F216" s="2657">
        <f>+SUM('RAE S.común'!B163:B166)</f>
        <v>0</v>
      </c>
      <c r="G216" s="2657">
        <f t="shared" si="19"/>
        <v>6.5000000000000002E-2</v>
      </c>
      <c r="H216" s="2568">
        <f t="shared" si="18"/>
        <v>1</v>
      </c>
      <c r="I216" s="573"/>
      <c r="J216" s="647"/>
    </row>
    <row r="217" spans="1:10" ht="13.8">
      <c r="A217" s="2643" t="s">
        <v>290</v>
      </c>
      <c r="B217" s="611" t="s">
        <v>63</v>
      </c>
      <c r="C217" s="2028">
        <v>2.1000000000000001E-2</v>
      </c>
      <c r="D217" s="2654"/>
      <c r="E217" s="2654">
        <f t="shared" si="17"/>
        <v>0.41499999999999998</v>
      </c>
      <c r="F217" s="2657">
        <f>+SUM('RAE S.común'!B179:B182)</f>
        <v>0</v>
      </c>
      <c r="G217" s="2657">
        <f t="shared" si="19"/>
        <v>0.41499999999999998</v>
      </c>
      <c r="H217" s="2568">
        <f t="shared" si="18"/>
        <v>1</v>
      </c>
      <c r="I217" s="573"/>
      <c r="J217" s="647"/>
    </row>
    <row r="218" spans="1:10" ht="13.8">
      <c r="A218" s="2643" t="s">
        <v>291</v>
      </c>
      <c r="B218" s="611" t="s">
        <v>63</v>
      </c>
      <c r="C218" s="2028">
        <v>1E-3</v>
      </c>
      <c r="D218" s="2654"/>
      <c r="E218" s="2654">
        <f t="shared" si="17"/>
        <v>1.2E-2</v>
      </c>
      <c r="F218" s="2657">
        <f>+SUM('RAE S.común'!B195:B198)</f>
        <v>0</v>
      </c>
      <c r="G218" s="2657">
        <f t="shared" si="19"/>
        <v>1.2E-2</v>
      </c>
      <c r="H218" s="2568">
        <f t="shared" si="18"/>
        <v>1</v>
      </c>
      <c r="I218" s="573"/>
      <c r="J218" s="647"/>
    </row>
    <row r="219" spans="1:10" ht="13.8">
      <c r="A219" s="2643" t="s">
        <v>292</v>
      </c>
      <c r="B219" s="611" t="s">
        <v>63</v>
      </c>
      <c r="C219" s="2028">
        <v>4.1000000000000002E-2</v>
      </c>
      <c r="D219" s="2654"/>
      <c r="E219" s="2654">
        <f t="shared" si="17"/>
        <v>0.82599999999999996</v>
      </c>
      <c r="F219" s="2657">
        <f>+SUM('RAE S.común'!B211:B214)</f>
        <v>0</v>
      </c>
      <c r="G219" s="2657">
        <f>+E219-F219</f>
        <v>0.82599999999999996</v>
      </c>
      <c r="H219" s="2568">
        <f t="shared" si="18"/>
        <v>1</v>
      </c>
      <c r="I219" s="573"/>
      <c r="J219" s="647"/>
    </row>
    <row r="220" spans="1:10" ht="13.8">
      <c r="A220" s="2643" t="s">
        <v>293</v>
      </c>
      <c r="B220" s="611" t="s">
        <v>63</v>
      </c>
      <c r="C220" s="2644">
        <v>73</v>
      </c>
      <c r="D220" s="2650"/>
      <c r="E220" s="2650">
        <f t="shared" si="17"/>
        <v>36.016000000000133</v>
      </c>
      <c r="F220" s="2657">
        <f>+SUM('RAE S.común'!B227:B230)</f>
        <v>0</v>
      </c>
      <c r="G220" s="2658">
        <f t="shared" si="19"/>
        <v>36.016000000000133</v>
      </c>
      <c r="H220" s="2568">
        <f t="shared" si="18"/>
        <v>1</v>
      </c>
      <c r="I220" s="573"/>
      <c r="J220" s="647"/>
    </row>
    <row r="221" spans="1:10" ht="13.8">
      <c r="A221" s="2643" t="s">
        <v>294</v>
      </c>
      <c r="B221" s="611" t="s">
        <v>63</v>
      </c>
      <c r="C221" s="2028">
        <v>1E-3</v>
      </c>
      <c r="D221" s="2654"/>
      <c r="E221" s="2654">
        <f t="shared" si="17"/>
        <v>1.9000000000000003E-2</v>
      </c>
      <c r="F221" s="2657">
        <f>+SUM('RAE S.común'!B243:B246)</f>
        <v>0</v>
      </c>
      <c r="G221" s="2657">
        <f t="shared" si="19"/>
        <v>1.9000000000000003E-2</v>
      </c>
      <c r="H221" s="2568">
        <f t="shared" si="18"/>
        <v>1</v>
      </c>
      <c r="I221" s="2569"/>
      <c r="J221" s="647"/>
    </row>
    <row r="222" spans="1:10" ht="13.8">
      <c r="A222" s="2643" t="s">
        <v>295</v>
      </c>
      <c r="B222" s="611" t="s">
        <v>63</v>
      </c>
      <c r="C222" s="2028">
        <v>2.1000000000000001E-2</v>
      </c>
      <c r="D222" s="2654"/>
      <c r="E222" s="2654">
        <f t="shared" si="17"/>
        <v>0.42</v>
      </c>
      <c r="F222" s="2657">
        <f>+SUM('RAE S.común'!B259:B262)</f>
        <v>0</v>
      </c>
      <c r="G222" s="2657">
        <f t="shared" si="19"/>
        <v>0.42</v>
      </c>
      <c r="H222" s="2568">
        <f t="shared" si="18"/>
        <v>1</v>
      </c>
      <c r="I222" s="573"/>
      <c r="J222" s="647"/>
    </row>
    <row r="223" spans="1:10" ht="13.8">
      <c r="A223" s="2643" t="s">
        <v>409</v>
      </c>
      <c r="B223" s="611" t="s">
        <v>63</v>
      </c>
      <c r="C223" s="2644">
        <v>416</v>
      </c>
      <c r="D223" s="2650"/>
      <c r="E223" s="2650">
        <f t="shared" si="17"/>
        <v>2098.6469999999995</v>
      </c>
      <c r="F223" s="2657">
        <f>+SUM('RAE S.común'!B275:B278)</f>
        <v>2101.5039999999999</v>
      </c>
      <c r="G223" s="2658">
        <f t="shared" si="19"/>
        <v>-2.8570000000004256</v>
      </c>
      <c r="H223" s="2568">
        <f t="shared" si="18"/>
        <v>-1.3613532909538509E-3</v>
      </c>
      <c r="I223" s="573"/>
      <c r="J223" s="647"/>
    </row>
    <row r="224" spans="1:10" ht="13.8">
      <c r="A224" s="2643" t="s">
        <v>410</v>
      </c>
      <c r="B224" s="611" t="s">
        <v>63</v>
      </c>
      <c r="C224" s="2644">
        <v>628</v>
      </c>
      <c r="D224" s="2650"/>
      <c r="E224" s="2650">
        <f t="shared" si="17"/>
        <v>3947.8170000000005</v>
      </c>
      <c r="F224" s="2657">
        <f>+SUM('RAE S.común'!B291:B294)</f>
        <v>3913.0909999999999</v>
      </c>
      <c r="G224" s="2658">
        <f t="shared" si="19"/>
        <v>34.726000000000568</v>
      </c>
      <c r="H224" s="2568">
        <f t="shared" si="18"/>
        <v>8.7962537270599335E-3</v>
      </c>
      <c r="I224" s="573"/>
      <c r="J224" s="647"/>
    </row>
    <row r="225" spans="1:10" ht="13.8">
      <c r="A225" s="2643" t="s">
        <v>411</v>
      </c>
      <c r="B225" s="611" t="s">
        <v>63</v>
      </c>
      <c r="C225" s="2028">
        <v>3.0000000000000001E-3</v>
      </c>
      <c r="D225" s="2654"/>
      <c r="E225" s="2654">
        <f t="shared" si="17"/>
        <v>0.05</v>
      </c>
      <c r="F225" s="2657">
        <f>+SUM('RAE S.común'!B307:B310)</f>
        <v>0</v>
      </c>
      <c r="G225" s="2657">
        <f t="shared" si="19"/>
        <v>0.05</v>
      </c>
      <c r="H225" s="2568">
        <f t="shared" si="18"/>
        <v>1</v>
      </c>
      <c r="I225" s="573"/>
      <c r="J225" s="647"/>
    </row>
    <row r="226" spans="1:10" ht="13.8">
      <c r="A226" s="2643" t="s">
        <v>413</v>
      </c>
      <c r="B226" s="611" t="s">
        <v>63</v>
      </c>
      <c r="C226" s="2028">
        <v>0</v>
      </c>
      <c r="D226" s="2654"/>
      <c r="E226" s="2654">
        <f t="shared" si="17"/>
        <v>9.0000000000000011E-3</v>
      </c>
      <c r="F226" s="2657">
        <f>+SUM('RAE S.común'!B323:B326)</f>
        <v>0</v>
      </c>
      <c r="G226" s="2657">
        <f t="shared" si="19"/>
        <v>9.0000000000000011E-3</v>
      </c>
      <c r="H226" s="2568">
        <f t="shared" si="18"/>
        <v>1</v>
      </c>
      <c r="I226" s="573"/>
      <c r="J226" s="647"/>
    </row>
    <row r="227" spans="1:10" ht="15" customHeight="1">
      <c r="A227" s="2643" t="s">
        <v>119</v>
      </c>
      <c r="B227" s="611" t="s">
        <v>63</v>
      </c>
      <c r="C227" s="2028">
        <v>3.2000000000000001E-2</v>
      </c>
      <c r="D227" s="2654"/>
      <c r="E227" s="2654">
        <f t="shared" si="17"/>
        <v>0.47899999999999998</v>
      </c>
      <c r="F227" s="2657">
        <f>+SUM('RAE S.común'!B339:B342)</f>
        <v>0</v>
      </c>
      <c r="G227" s="2657">
        <f t="shared" si="19"/>
        <v>0.47899999999999998</v>
      </c>
      <c r="H227" s="2568">
        <f t="shared" si="18"/>
        <v>1</v>
      </c>
      <c r="I227" s="573"/>
      <c r="J227" s="647"/>
    </row>
    <row r="228" spans="1:10" ht="13.8">
      <c r="A228" s="575" t="s">
        <v>111</v>
      </c>
      <c r="B228" s="2655" t="s">
        <v>63</v>
      </c>
      <c r="C228" s="2571">
        <f>SUM(C211:C227)</f>
        <v>4176.2500000000009</v>
      </c>
      <c r="D228" s="2571"/>
      <c r="E228" s="2571">
        <f>SUM(E211:E227)</f>
        <v>21353.725000000002</v>
      </c>
      <c r="F228" s="2577">
        <f>SUM(F211:F227)</f>
        <v>20945.559999999998</v>
      </c>
      <c r="G228" s="2659">
        <f>+E228-F228</f>
        <v>408.16500000000451</v>
      </c>
      <c r="H228" s="142"/>
      <c r="I228" s="2563"/>
      <c r="J228" s="647"/>
    </row>
    <row r="229" spans="1:10" ht="13.8">
      <c r="A229" s="612"/>
      <c r="B229" s="613"/>
      <c r="C229" s="2573">
        <f>+C228+C208+C188</f>
        <v>88434.014000000025</v>
      </c>
      <c r="D229" s="2573"/>
      <c r="E229" s="2573"/>
      <c r="F229" s="614"/>
      <c r="G229" s="610"/>
      <c r="H229" s="142"/>
      <c r="I229" s="2563"/>
      <c r="J229" s="647"/>
    </row>
    <row r="230" spans="1:10" ht="13.8">
      <c r="A230" s="3862" t="s">
        <v>120</v>
      </c>
      <c r="B230" s="3863"/>
      <c r="C230" s="2573"/>
      <c r="D230" s="2573"/>
      <c r="E230" s="2573"/>
      <c r="F230" s="614"/>
      <c r="G230" s="610"/>
      <c r="H230" s="142"/>
      <c r="I230" s="2563"/>
      <c r="J230" s="647"/>
    </row>
    <row r="231" spans="1:10" ht="5.0999999999999996" customHeight="1">
      <c r="A231" s="609"/>
      <c r="B231" s="153"/>
      <c r="C231" s="2573"/>
      <c r="D231" s="2573"/>
      <c r="E231" s="2573"/>
      <c r="F231" s="610"/>
      <c r="G231" s="610"/>
      <c r="H231" s="2629"/>
      <c r="I231" s="2563"/>
      <c r="J231" s="647"/>
    </row>
    <row r="232" spans="1:10" ht="13.8">
      <c r="A232" s="1432" t="s">
        <v>106</v>
      </c>
      <c r="B232" s="1432" t="s">
        <v>107</v>
      </c>
      <c r="C232" s="792" t="s">
        <v>108</v>
      </c>
      <c r="D232" s="792" t="s">
        <v>819</v>
      </c>
      <c r="E232" s="792" t="s">
        <v>109</v>
      </c>
      <c r="F232" s="1432" t="s">
        <v>47</v>
      </c>
      <c r="G232" s="1432" t="s">
        <v>48</v>
      </c>
      <c r="H232" s="1432" t="s">
        <v>110</v>
      </c>
      <c r="I232" s="508" t="s">
        <v>50</v>
      </c>
      <c r="J232" s="647"/>
    </row>
    <row r="233" spans="1:10" ht="15">
      <c r="A233" s="51" t="s">
        <v>121</v>
      </c>
      <c r="B233" s="509" t="s">
        <v>69</v>
      </c>
      <c r="C233" s="2650">
        <v>0</v>
      </c>
      <c r="D233" s="2654"/>
      <c r="E233" s="2654">
        <f>+C233</f>
        <v>0</v>
      </c>
      <c r="F233" s="2654">
        <f>+SUM('RAE S.común'!B349:B354)</f>
        <v>9.3490000000000002</v>
      </c>
      <c r="G233" s="2654">
        <f>+E233-F233</f>
        <v>-9.3490000000000002</v>
      </c>
      <c r="H233" s="2568" t="e">
        <f t="shared" ref="H233:H242" si="20">1-+F233/E233</f>
        <v>#DIV/0!</v>
      </c>
      <c r="I233" s="573"/>
      <c r="J233" s="647"/>
    </row>
    <row r="234" spans="1:10" ht="15">
      <c r="A234" s="51" t="s">
        <v>1233</v>
      </c>
      <c r="B234" s="509" t="s">
        <v>69</v>
      </c>
      <c r="C234" s="2650">
        <v>13798</v>
      </c>
      <c r="D234" s="2660">
        <v>-5297</v>
      </c>
      <c r="E234" s="2586">
        <f>+C234+D234</f>
        <v>8501</v>
      </c>
      <c r="F234" s="2586">
        <f>+SUM('RAE S.común'!B365:B370)</f>
        <v>7012.9380000000001</v>
      </c>
      <c r="G234" s="2586">
        <f t="shared" ref="G234:G242" si="21">+E234-F234</f>
        <v>1488.0619999999999</v>
      </c>
      <c r="H234" s="2661">
        <f t="shared" si="20"/>
        <v>0.17504552405599338</v>
      </c>
      <c r="I234" s="573"/>
      <c r="J234" s="649"/>
    </row>
    <row r="235" spans="1:10" ht="15">
      <c r="A235" s="669" t="s">
        <v>123</v>
      </c>
      <c r="B235" s="509" t="s">
        <v>69</v>
      </c>
      <c r="C235" s="2650">
        <v>1699</v>
      </c>
      <c r="D235" s="2654"/>
      <c r="E235" s="2654">
        <f t="shared" ref="E235:E241" si="22">+C235</f>
        <v>1699</v>
      </c>
      <c r="F235" s="2654">
        <f>+SUM('RAE S.común'!B381:B386)</f>
        <v>1184.2719999999999</v>
      </c>
      <c r="G235" s="2662">
        <f t="shared" si="21"/>
        <v>514.72800000000007</v>
      </c>
      <c r="H235" s="2568">
        <f t="shared" si="20"/>
        <v>0.30295938787522081</v>
      </c>
      <c r="I235" s="573"/>
      <c r="J235" s="647"/>
    </row>
    <row r="236" spans="1:10" ht="15">
      <c r="A236" s="51" t="s">
        <v>1247</v>
      </c>
      <c r="B236" s="509" t="s">
        <v>69</v>
      </c>
      <c r="C236" s="2650">
        <v>22</v>
      </c>
      <c r="D236" s="2586"/>
      <c r="E236" s="2586">
        <f t="shared" si="22"/>
        <v>22</v>
      </c>
      <c r="F236" s="2586">
        <f>+SUM('RAE S.común'!B397:B402)</f>
        <v>0</v>
      </c>
      <c r="G236" s="2586">
        <f t="shared" si="21"/>
        <v>22</v>
      </c>
      <c r="H236" s="2568">
        <f t="shared" si="20"/>
        <v>1</v>
      </c>
      <c r="I236" s="573"/>
      <c r="J236" s="647"/>
    </row>
    <row r="237" spans="1:10" ht="15">
      <c r="A237" s="182" t="s">
        <v>1236</v>
      </c>
      <c r="B237" s="509" t="s">
        <v>69</v>
      </c>
      <c r="C237" s="2650">
        <v>0</v>
      </c>
      <c r="D237" s="2586"/>
      <c r="E237" s="2586">
        <f t="shared" si="22"/>
        <v>0</v>
      </c>
      <c r="F237" s="2586">
        <f>+SUM('RAE S.común'!B413:B418)</f>
        <v>0</v>
      </c>
      <c r="G237" s="2586">
        <f t="shared" si="21"/>
        <v>0</v>
      </c>
      <c r="H237" s="2568" t="e">
        <f t="shared" si="20"/>
        <v>#DIV/0!</v>
      </c>
      <c r="I237" s="573"/>
      <c r="J237" s="647"/>
    </row>
    <row r="238" spans="1:10" ht="15">
      <c r="A238" s="51" t="s">
        <v>124</v>
      </c>
      <c r="B238" s="509" t="s">
        <v>69</v>
      </c>
      <c r="C238" s="2650">
        <v>9773</v>
      </c>
      <c r="D238" s="3292">
        <v>-500</v>
      </c>
      <c r="E238" s="2586">
        <f>+C238+D238</f>
        <v>9273</v>
      </c>
      <c r="F238" s="2586">
        <f>+SUM('RAE S.común'!B429:B434)</f>
        <v>6639.7810000000009</v>
      </c>
      <c r="G238" s="2586">
        <f>+E238-F238</f>
        <v>2633.2189999999991</v>
      </c>
      <c r="H238" s="2568">
        <f t="shared" si="20"/>
        <v>0.28396624609080112</v>
      </c>
      <c r="I238" s="573"/>
      <c r="J238" s="647"/>
    </row>
    <row r="239" spans="1:10" ht="15">
      <c r="A239" s="51" t="s">
        <v>1234</v>
      </c>
      <c r="B239" s="509" t="s">
        <v>69</v>
      </c>
      <c r="C239" s="2650">
        <v>77</v>
      </c>
      <c r="D239" s="2586"/>
      <c r="E239" s="2586">
        <f t="shared" si="22"/>
        <v>77</v>
      </c>
      <c r="F239" s="2586">
        <f>+SUM('RAE S.común'!B445:B450)</f>
        <v>43.429000000000002</v>
      </c>
      <c r="G239" s="2586">
        <f t="shared" si="21"/>
        <v>33.570999999999998</v>
      </c>
      <c r="H239" s="2568">
        <f t="shared" si="20"/>
        <v>0.43598701298701292</v>
      </c>
      <c r="I239" s="573"/>
      <c r="J239" s="647"/>
    </row>
    <row r="240" spans="1:10" ht="15">
      <c r="A240" s="51" t="s">
        <v>1235</v>
      </c>
      <c r="B240" s="509" t="s">
        <v>69</v>
      </c>
      <c r="C240" s="2650">
        <v>207</v>
      </c>
      <c r="D240" s="2586"/>
      <c r="E240" s="2586">
        <f t="shared" si="22"/>
        <v>207</v>
      </c>
      <c r="F240" s="2586">
        <f>+SUM('RAE S.común'!B461:B466)</f>
        <v>1.52</v>
      </c>
      <c r="G240" s="2586">
        <f t="shared" si="21"/>
        <v>205.48</v>
      </c>
      <c r="H240" s="2568">
        <f t="shared" si="20"/>
        <v>0.9926570048309179</v>
      </c>
      <c r="I240" s="573"/>
      <c r="J240" s="647"/>
    </row>
    <row r="241" spans="1:10" ht="15">
      <c r="A241" s="51" t="s">
        <v>407</v>
      </c>
      <c r="B241" s="509" t="s">
        <v>69</v>
      </c>
      <c r="C241" s="2650">
        <v>5778</v>
      </c>
      <c r="D241" s="2586"/>
      <c r="E241" s="2586">
        <f t="shared" si="22"/>
        <v>5778</v>
      </c>
      <c r="F241" s="2586">
        <f>+SUM('RAE S.común'!B477:B482)</f>
        <v>2647.4760000000001</v>
      </c>
      <c r="G241" s="2586">
        <f t="shared" si="21"/>
        <v>3130.5239999999999</v>
      </c>
      <c r="H241" s="2568">
        <f t="shared" si="20"/>
        <v>0.54180062305295951</v>
      </c>
      <c r="I241" s="573"/>
      <c r="J241" s="647"/>
    </row>
    <row r="242" spans="1:10" ht="15">
      <c r="A242" s="51" t="s">
        <v>119</v>
      </c>
      <c r="B242" s="509" t="s">
        <v>69</v>
      </c>
      <c r="C242" s="2650">
        <v>312</v>
      </c>
      <c r="D242" s="2586"/>
      <c r="E242" s="2586">
        <f>+C242</f>
        <v>312</v>
      </c>
      <c r="F242" s="2586">
        <f>+SUM('RAE S.común'!B493:B498)</f>
        <v>108.94</v>
      </c>
      <c r="G242" s="2586">
        <f t="shared" si="21"/>
        <v>203.06</v>
      </c>
      <c r="H242" s="2568">
        <f t="shared" si="20"/>
        <v>0.65083333333333337</v>
      </c>
      <c r="I242" s="2663"/>
      <c r="J242" s="647"/>
    </row>
    <row r="243" spans="1:10" ht="13.8">
      <c r="A243" s="575" t="s">
        <v>111</v>
      </c>
      <c r="B243" s="2030" t="s">
        <v>69</v>
      </c>
      <c r="C243" s="2649">
        <f>SUM(C233:C242)</f>
        <v>31666</v>
      </c>
      <c r="D243" s="2664"/>
      <c r="E243" s="2664">
        <f>SUM(E233:E242)</f>
        <v>25869</v>
      </c>
      <c r="F243" s="2664">
        <f>SUM(F233:F242)</f>
        <v>17647.705000000002</v>
      </c>
      <c r="G243" s="2664">
        <f>+E243-F243</f>
        <v>8221.2949999999983</v>
      </c>
      <c r="H243" s="2629"/>
      <c r="I243" s="2563"/>
      <c r="J243" s="647"/>
    </row>
    <row r="244" spans="1:10" ht="12.75" customHeight="1">
      <c r="A244" s="609"/>
      <c r="B244" s="153"/>
      <c r="C244" s="2665"/>
      <c r="D244" s="2665"/>
      <c r="E244" s="2665"/>
      <c r="F244" s="2666"/>
      <c r="G244" s="2666"/>
      <c r="H244" s="2629"/>
      <c r="I244" s="2563"/>
      <c r="J244" s="647"/>
    </row>
    <row r="245" spans="1:10" ht="13.8">
      <c r="A245" s="1432" t="s">
        <v>106</v>
      </c>
      <c r="B245" s="1432" t="s">
        <v>107</v>
      </c>
      <c r="C245" s="2667" t="s">
        <v>108</v>
      </c>
      <c r="D245" s="792" t="s">
        <v>819</v>
      </c>
      <c r="E245" s="2667" t="s">
        <v>109</v>
      </c>
      <c r="F245" s="2668" t="s">
        <v>47</v>
      </c>
      <c r="G245" s="2668" t="s">
        <v>48</v>
      </c>
      <c r="H245" s="1432" t="s">
        <v>110</v>
      </c>
      <c r="I245" s="508" t="s">
        <v>50</v>
      </c>
      <c r="J245" s="647"/>
    </row>
    <row r="246" spans="1:10" ht="15">
      <c r="A246" s="51" t="s">
        <v>121</v>
      </c>
      <c r="B246" s="509" t="s">
        <v>70</v>
      </c>
      <c r="C246" s="2650">
        <v>79</v>
      </c>
      <c r="D246" s="2654"/>
      <c r="E246" s="2650">
        <f t="shared" ref="E246:E256" si="23">+C246+G233</f>
        <v>69.650999999999996</v>
      </c>
      <c r="F246" s="2654">
        <f>+SUM('RAE S.común'!B355:B360)</f>
        <v>0</v>
      </c>
      <c r="G246" s="2654">
        <f t="shared" ref="G246:G255" si="24">+E246-F246</f>
        <v>69.650999999999996</v>
      </c>
      <c r="H246" s="2568">
        <f t="shared" ref="H246:H255" si="25">1-+F246/E246</f>
        <v>1</v>
      </c>
      <c r="I246" s="572"/>
      <c r="J246" s="647"/>
    </row>
    <row r="247" spans="1:10" ht="15">
      <c r="A247" s="51" t="s">
        <v>1233</v>
      </c>
      <c r="B247" s="509" t="s">
        <v>70</v>
      </c>
      <c r="C247" s="2650">
        <v>3449</v>
      </c>
      <c r="D247" s="2586"/>
      <c r="E247" s="2650">
        <f t="shared" si="23"/>
        <v>4937.0619999999999</v>
      </c>
      <c r="F247" s="2586">
        <f>+SUM('RAE S.común'!B371:B376)</f>
        <v>5.0629999999999997</v>
      </c>
      <c r="G247" s="2586">
        <f t="shared" si="24"/>
        <v>4931.9989999999998</v>
      </c>
      <c r="H247" s="2568">
        <f t="shared" si="25"/>
        <v>0.99897449130677318</v>
      </c>
      <c r="I247" s="572"/>
      <c r="J247" s="647"/>
    </row>
    <row r="248" spans="1:10" ht="15">
      <c r="A248" s="669" t="s">
        <v>123</v>
      </c>
      <c r="B248" s="509" t="s">
        <v>70</v>
      </c>
      <c r="C248" s="2650">
        <v>398</v>
      </c>
      <c r="D248" s="2654"/>
      <c r="E248" s="2650">
        <f t="shared" si="23"/>
        <v>912.72800000000007</v>
      </c>
      <c r="F248" s="2654">
        <f>+SUM('RAE S.común'!B387:B392)</f>
        <v>0</v>
      </c>
      <c r="G248" s="2654">
        <f t="shared" si="24"/>
        <v>912.72800000000007</v>
      </c>
      <c r="H248" s="2568">
        <f t="shared" si="25"/>
        <v>1</v>
      </c>
      <c r="I248" s="573"/>
      <c r="J248" s="647"/>
    </row>
    <row r="249" spans="1:10" ht="15">
      <c r="A249" s="51" t="s">
        <v>1247</v>
      </c>
      <c r="B249" s="509" t="s">
        <v>70</v>
      </c>
      <c r="C249" s="2650">
        <v>6</v>
      </c>
      <c r="D249" s="2586"/>
      <c r="E249" s="2650">
        <f t="shared" si="23"/>
        <v>28</v>
      </c>
      <c r="F249" s="2586">
        <f>+SUM('RAE S.común'!B403:B408)</f>
        <v>0</v>
      </c>
      <c r="G249" s="2586">
        <f t="shared" si="24"/>
        <v>28</v>
      </c>
      <c r="H249" s="2568">
        <f t="shared" si="25"/>
        <v>1</v>
      </c>
      <c r="I249" s="573"/>
      <c r="J249" s="647"/>
    </row>
    <row r="250" spans="1:10" ht="15">
      <c r="A250" s="182" t="s">
        <v>1236</v>
      </c>
      <c r="B250" s="509" t="s">
        <v>70</v>
      </c>
      <c r="C250" s="2650">
        <v>0</v>
      </c>
      <c r="D250" s="2586"/>
      <c r="E250" s="2650">
        <f t="shared" si="23"/>
        <v>0</v>
      </c>
      <c r="F250" s="2586">
        <f>+SUM('RAE S.común'!B419:B424)</f>
        <v>0</v>
      </c>
      <c r="G250" s="2586">
        <f t="shared" si="24"/>
        <v>0</v>
      </c>
      <c r="H250" s="2568" t="e">
        <f t="shared" si="25"/>
        <v>#DIV/0!</v>
      </c>
      <c r="I250" s="573"/>
      <c r="J250" s="647"/>
    </row>
    <row r="251" spans="1:10" ht="15">
      <c r="A251" s="51" t="s">
        <v>124</v>
      </c>
      <c r="B251" s="509" t="s">
        <v>70</v>
      </c>
      <c r="C251" s="2650">
        <v>2443</v>
      </c>
      <c r="D251" s="2586"/>
      <c r="E251" s="2650">
        <f t="shared" si="23"/>
        <v>5076.2189999999991</v>
      </c>
      <c r="F251" s="2586">
        <f>+SUM('RAE S.común'!B435:B440)</f>
        <v>30.025000000000002</v>
      </c>
      <c r="G251" s="2586">
        <f t="shared" si="24"/>
        <v>5046.1939999999995</v>
      </c>
      <c r="H251" s="2568">
        <f t="shared" si="25"/>
        <v>0.99408516456835294</v>
      </c>
      <c r="I251" s="573"/>
      <c r="J251" s="647"/>
    </row>
    <row r="252" spans="1:10" ht="15">
      <c r="A252" s="51" t="s">
        <v>1234</v>
      </c>
      <c r="B252" s="509" t="s">
        <v>70</v>
      </c>
      <c r="C252" s="2650">
        <v>19</v>
      </c>
      <c r="D252" s="2586"/>
      <c r="E252" s="2650">
        <f t="shared" si="23"/>
        <v>52.570999999999998</v>
      </c>
      <c r="F252" s="2586">
        <f>+SUM('RAE S.común'!B451:B456)</f>
        <v>0</v>
      </c>
      <c r="G252" s="2586">
        <f t="shared" si="24"/>
        <v>52.570999999999998</v>
      </c>
      <c r="H252" s="2568">
        <f t="shared" si="25"/>
        <v>1</v>
      </c>
      <c r="I252" s="573"/>
      <c r="J252" s="647"/>
    </row>
    <row r="253" spans="1:10" ht="15">
      <c r="A253" s="51" t="s">
        <v>1235</v>
      </c>
      <c r="B253" s="509" t="s">
        <v>70</v>
      </c>
      <c r="C253" s="2650">
        <v>0</v>
      </c>
      <c r="D253" s="2586"/>
      <c r="E253" s="2650">
        <f t="shared" si="23"/>
        <v>205.48</v>
      </c>
      <c r="F253" s="2586">
        <f>+SUM('RAE S.común'!B467:B472)</f>
        <v>0</v>
      </c>
      <c r="G253" s="2586">
        <f t="shared" si="24"/>
        <v>205.48</v>
      </c>
      <c r="H253" s="2568">
        <f t="shared" si="25"/>
        <v>1</v>
      </c>
      <c r="I253" s="573"/>
      <c r="J253" s="647"/>
    </row>
    <row r="254" spans="1:10" ht="15">
      <c r="A254" s="51" t="s">
        <v>407</v>
      </c>
      <c r="B254" s="509" t="s">
        <v>70</v>
      </c>
      <c r="C254" s="2650">
        <v>1444</v>
      </c>
      <c r="D254" s="2586"/>
      <c r="E254" s="2650">
        <f t="shared" si="23"/>
        <v>4574.5239999999994</v>
      </c>
      <c r="F254" s="2586">
        <f>+SUM('RAE S.común'!B483:B488)</f>
        <v>29.225000000000001</v>
      </c>
      <c r="G254" s="2586">
        <f t="shared" si="24"/>
        <v>4545.2989999999991</v>
      </c>
      <c r="H254" s="2568">
        <f t="shared" si="25"/>
        <v>0.99361135715978322</v>
      </c>
      <c r="I254" s="573"/>
      <c r="J254" s="647"/>
    </row>
    <row r="255" spans="1:10" ht="15">
      <c r="A255" s="51" t="s">
        <v>119</v>
      </c>
      <c r="B255" s="509" t="s">
        <v>70</v>
      </c>
      <c r="C255" s="2650">
        <v>78</v>
      </c>
      <c r="D255" s="2586"/>
      <c r="E255" s="2650">
        <f t="shared" si="23"/>
        <v>281.06</v>
      </c>
      <c r="F255" s="2586">
        <f>+SUM('RAE S.común'!B499:B504)</f>
        <v>42.373000000000005</v>
      </c>
      <c r="G255" s="2586">
        <f t="shared" si="24"/>
        <v>238.68700000000001</v>
      </c>
      <c r="H255" s="2568">
        <f t="shared" si="25"/>
        <v>0.8492385967409094</v>
      </c>
      <c r="I255" s="573"/>
      <c r="J255" s="647"/>
    </row>
    <row r="256" spans="1:10" ht="13.8">
      <c r="A256" s="575" t="s">
        <v>111</v>
      </c>
      <c r="B256" s="2655" t="s">
        <v>70</v>
      </c>
      <c r="C256" s="2649">
        <f>SUM(C246:C255)</f>
        <v>7916</v>
      </c>
      <c r="D256" s="2664"/>
      <c r="E256" s="2649">
        <f t="shared" si="23"/>
        <v>16137.294999999998</v>
      </c>
      <c r="F256" s="2664">
        <f>SUM(F246:F255)</f>
        <v>106.68600000000001</v>
      </c>
      <c r="G256" s="2664">
        <f>+E256-F256</f>
        <v>16030.608999999999</v>
      </c>
      <c r="H256" s="2629"/>
      <c r="I256" s="153"/>
      <c r="J256" s="647"/>
    </row>
    <row r="257" spans="3:10">
      <c r="C257" s="2238"/>
      <c r="J257" s="647"/>
    </row>
    <row r="258" spans="3:10">
      <c r="C258" s="2669"/>
      <c r="G258" s="1437"/>
      <c r="J258" s="647"/>
    </row>
    <row r="259" spans="3:10">
      <c r="J259" s="647"/>
    </row>
    <row r="260" spans="3:10">
      <c r="J260" s="374"/>
    </row>
  </sheetData>
  <mergeCells count="7">
    <mergeCell ref="A168:B168"/>
    <mergeCell ref="A230:B230"/>
    <mergeCell ref="A2:I2"/>
    <mergeCell ref="A5:B5"/>
    <mergeCell ref="A38:B38"/>
    <mergeCell ref="G38:H38"/>
    <mergeCell ref="A22:B22"/>
  </mergeCells>
  <phoneticPr fontId="0" type="noConversion"/>
  <conditionalFormatting sqref="H102">
    <cfRule type="cellIs" dxfId="12412" priority="12542" stopIfTrue="1" operator="lessThan">
      <formula>0</formula>
    </cfRule>
    <cfRule type="cellIs" dxfId="12411" priority="12543" stopIfTrue="1" operator="lessThan">
      <formula>0</formula>
    </cfRule>
  </conditionalFormatting>
  <conditionalFormatting sqref="H102">
    <cfRule type="cellIs" dxfId="12410" priority="12530" stopIfTrue="1" operator="lessThan">
      <formula>0.05</formula>
    </cfRule>
    <cfRule type="cellIs" dxfId="12409" priority="12531" stopIfTrue="1" operator="lessThan">
      <formula>0</formula>
    </cfRule>
  </conditionalFormatting>
  <conditionalFormatting sqref="H102">
    <cfRule type="cellIs" dxfId="12408" priority="12528" stopIfTrue="1" operator="lessThan">
      <formula>0</formula>
    </cfRule>
    <cfRule type="cellIs" dxfId="12407" priority="12529" stopIfTrue="1" operator="lessThan">
      <formula>0</formula>
    </cfRule>
  </conditionalFormatting>
  <conditionalFormatting sqref="H35:H36">
    <cfRule type="cellIs" dxfId="12406" priority="12522" stopIfTrue="1" operator="lessThan">
      <formula>0</formula>
    </cfRule>
    <cfRule type="cellIs" dxfId="12405" priority="12523" stopIfTrue="1" operator="lessThan">
      <formula>0</formula>
    </cfRule>
  </conditionalFormatting>
  <conditionalFormatting sqref="H35:H36">
    <cfRule type="cellIs" dxfId="12404" priority="12520" stopIfTrue="1" operator="lessThan">
      <formula>0.05</formula>
    </cfRule>
    <cfRule type="cellIs" dxfId="12403" priority="12521" stopIfTrue="1" operator="lessThan">
      <formula>0</formula>
    </cfRule>
  </conditionalFormatting>
  <conditionalFormatting sqref="H35:H36">
    <cfRule type="cellIs" dxfId="12402" priority="12518" stopIfTrue="1" operator="lessThan">
      <formula>0</formula>
    </cfRule>
    <cfRule type="cellIs" dxfId="12401" priority="12519" stopIfTrue="1" operator="lessThan">
      <formula>0</formula>
    </cfRule>
  </conditionalFormatting>
  <conditionalFormatting sqref="H30:H31">
    <cfRule type="cellIs" dxfId="12400" priority="12516" stopIfTrue="1" operator="lessThan">
      <formula>0</formula>
    </cfRule>
    <cfRule type="cellIs" dxfId="12399" priority="12517" stopIfTrue="1" operator="lessThan">
      <formula>0</formula>
    </cfRule>
  </conditionalFormatting>
  <conditionalFormatting sqref="H30:H31">
    <cfRule type="cellIs" dxfId="12398" priority="12514" stopIfTrue="1" operator="lessThan">
      <formula>0.05</formula>
    </cfRule>
    <cfRule type="cellIs" dxfId="12397" priority="12515" stopIfTrue="1" operator="lessThan">
      <formula>0</formula>
    </cfRule>
  </conditionalFormatting>
  <conditionalFormatting sqref="H30:H31">
    <cfRule type="cellIs" dxfId="12396" priority="12512" stopIfTrue="1" operator="lessThan">
      <formula>0</formula>
    </cfRule>
    <cfRule type="cellIs" dxfId="12395" priority="12513" stopIfTrue="1" operator="lessThan">
      <formula>0</formula>
    </cfRule>
  </conditionalFormatting>
  <conditionalFormatting sqref="H25:H26">
    <cfRule type="cellIs" dxfId="12394" priority="12510" stopIfTrue="1" operator="lessThan">
      <formula>0</formula>
    </cfRule>
    <cfRule type="cellIs" dxfId="12393" priority="12511" stopIfTrue="1" operator="lessThan">
      <formula>0</formula>
    </cfRule>
  </conditionalFormatting>
  <conditionalFormatting sqref="H25:H26">
    <cfRule type="cellIs" dxfId="12392" priority="12508" stopIfTrue="1" operator="lessThan">
      <formula>0.05</formula>
    </cfRule>
    <cfRule type="cellIs" dxfId="12391" priority="12509" stopIfTrue="1" operator="lessThan">
      <formula>0</formula>
    </cfRule>
  </conditionalFormatting>
  <conditionalFormatting sqref="H25:H26">
    <cfRule type="cellIs" dxfId="12390" priority="12506" stopIfTrue="1" operator="lessThan">
      <formula>0</formula>
    </cfRule>
    <cfRule type="cellIs" dxfId="12389" priority="12507" stopIfTrue="1" operator="lessThan">
      <formula>0</formula>
    </cfRule>
  </conditionalFormatting>
  <conditionalFormatting sqref="H18:H19">
    <cfRule type="cellIs" dxfId="12388" priority="12504" stopIfTrue="1" operator="lessThan">
      <formula>0</formula>
    </cfRule>
    <cfRule type="cellIs" dxfId="12387" priority="12505" stopIfTrue="1" operator="lessThan">
      <formula>0</formula>
    </cfRule>
  </conditionalFormatting>
  <conditionalFormatting sqref="H18:H19">
    <cfRule type="cellIs" dxfId="12386" priority="12502" stopIfTrue="1" operator="lessThan">
      <formula>0.05</formula>
    </cfRule>
    <cfRule type="cellIs" dxfId="12385" priority="12503" stopIfTrue="1" operator="lessThan">
      <formula>0</formula>
    </cfRule>
  </conditionalFormatting>
  <conditionalFormatting sqref="H18:H19">
    <cfRule type="cellIs" dxfId="12384" priority="12500" stopIfTrue="1" operator="lessThan">
      <formula>0</formula>
    </cfRule>
    <cfRule type="cellIs" dxfId="12383" priority="12501" stopIfTrue="1" operator="lessThan">
      <formula>0</formula>
    </cfRule>
  </conditionalFormatting>
  <conditionalFormatting sqref="H13:H14">
    <cfRule type="cellIs" dxfId="12382" priority="12498" stopIfTrue="1" operator="lessThan">
      <formula>0</formula>
    </cfRule>
    <cfRule type="cellIs" dxfId="12381" priority="12499" stopIfTrue="1" operator="lessThan">
      <formula>0</formula>
    </cfRule>
  </conditionalFormatting>
  <conditionalFormatting sqref="H13:H14">
    <cfRule type="cellIs" dxfId="12380" priority="12496" stopIfTrue="1" operator="lessThan">
      <formula>0.05</formula>
    </cfRule>
    <cfRule type="cellIs" dxfId="12379" priority="12497" stopIfTrue="1" operator="lessThan">
      <formula>0</formula>
    </cfRule>
  </conditionalFormatting>
  <conditionalFormatting sqref="H13:H14">
    <cfRule type="cellIs" dxfId="12378" priority="12494" stopIfTrue="1" operator="lessThan">
      <formula>0</formula>
    </cfRule>
    <cfRule type="cellIs" dxfId="12377" priority="12495" stopIfTrue="1" operator="lessThan">
      <formula>0</formula>
    </cfRule>
  </conditionalFormatting>
  <conditionalFormatting sqref="H8:H9">
    <cfRule type="cellIs" dxfId="12376" priority="12492" stopIfTrue="1" operator="lessThan">
      <formula>0</formula>
    </cfRule>
    <cfRule type="cellIs" dxfId="12375" priority="12493" stopIfTrue="1" operator="lessThan">
      <formula>0</formula>
    </cfRule>
  </conditionalFormatting>
  <conditionalFormatting sqref="H8:H9">
    <cfRule type="cellIs" dxfId="12374" priority="12490" stopIfTrue="1" operator="lessThan">
      <formula>0.05</formula>
    </cfRule>
    <cfRule type="cellIs" dxfId="12373" priority="12491" stopIfTrue="1" operator="lessThan">
      <formula>0</formula>
    </cfRule>
  </conditionalFormatting>
  <conditionalFormatting sqref="H8:H9">
    <cfRule type="cellIs" dxfId="12372" priority="12488" stopIfTrue="1" operator="lessThan">
      <formula>0</formula>
    </cfRule>
    <cfRule type="cellIs" dxfId="12371" priority="12489" stopIfTrue="1" operator="lessThan">
      <formula>0</formula>
    </cfRule>
  </conditionalFormatting>
  <conditionalFormatting sqref="H8:H9">
    <cfRule type="cellIs" dxfId="12370" priority="12486" stopIfTrue="1" operator="lessThan">
      <formula>0</formula>
    </cfRule>
    <cfRule type="cellIs" dxfId="12369" priority="12487" stopIfTrue="1" operator="lessThan">
      <formula>0</formula>
    </cfRule>
  </conditionalFormatting>
  <conditionalFormatting sqref="H8:H9">
    <cfRule type="cellIs" dxfId="12368" priority="12484" stopIfTrue="1" operator="lessThan">
      <formula>0.05</formula>
    </cfRule>
    <cfRule type="cellIs" dxfId="12367" priority="12485" stopIfTrue="1" operator="lessThan">
      <formula>0</formula>
    </cfRule>
  </conditionalFormatting>
  <conditionalFormatting sqref="H8:H9">
    <cfRule type="cellIs" dxfId="12366" priority="12482" stopIfTrue="1" operator="lessThan">
      <formula>0</formula>
    </cfRule>
    <cfRule type="cellIs" dxfId="12365" priority="12483" stopIfTrue="1" operator="lessThan">
      <formula>0</formula>
    </cfRule>
  </conditionalFormatting>
  <conditionalFormatting sqref="H102">
    <cfRule type="cellIs" dxfId="12364" priority="12480" stopIfTrue="1" operator="lessThan">
      <formula>0.05</formula>
    </cfRule>
    <cfRule type="cellIs" dxfId="12363" priority="12481" stopIfTrue="1" operator="lessThan">
      <formula>0</formula>
    </cfRule>
  </conditionalFormatting>
  <conditionalFormatting sqref="H102">
    <cfRule type="cellIs" dxfId="12362" priority="12478" stopIfTrue="1" operator="lessThan">
      <formula>0</formula>
    </cfRule>
    <cfRule type="cellIs" dxfId="12361" priority="12479" stopIfTrue="1" operator="lessThan">
      <formula>0</formula>
    </cfRule>
  </conditionalFormatting>
  <conditionalFormatting sqref="H30">
    <cfRule type="cellIs" dxfId="12360" priority="12476" stopIfTrue="1" operator="lessThan">
      <formula>0</formula>
    </cfRule>
    <cfRule type="cellIs" dxfId="12359" priority="12477" stopIfTrue="1" operator="lessThan">
      <formula>0</formula>
    </cfRule>
  </conditionalFormatting>
  <conditionalFormatting sqref="H30">
    <cfRule type="cellIs" dxfId="12358" priority="12474" stopIfTrue="1" operator="lessThan">
      <formula>0.05</formula>
    </cfRule>
    <cfRule type="cellIs" dxfId="12357" priority="12475" stopIfTrue="1" operator="lessThan">
      <formula>0</formula>
    </cfRule>
  </conditionalFormatting>
  <conditionalFormatting sqref="H30">
    <cfRule type="cellIs" dxfId="12356" priority="12472" stopIfTrue="1" operator="lessThan">
      <formula>0</formula>
    </cfRule>
    <cfRule type="cellIs" dxfId="12355" priority="12473" stopIfTrue="1" operator="lessThan">
      <formula>0</formula>
    </cfRule>
  </conditionalFormatting>
  <conditionalFormatting sqref="H25:H26">
    <cfRule type="cellIs" dxfId="12354" priority="12470" stopIfTrue="1" operator="lessThan">
      <formula>0</formula>
    </cfRule>
    <cfRule type="cellIs" dxfId="12353" priority="12471" stopIfTrue="1" operator="lessThan">
      <formula>0</formula>
    </cfRule>
  </conditionalFormatting>
  <conditionalFormatting sqref="H25:H26">
    <cfRule type="cellIs" dxfId="12352" priority="12468" stopIfTrue="1" operator="lessThan">
      <formula>0.05</formula>
    </cfRule>
    <cfRule type="cellIs" dxfId="12351" priority="12469" stopIfTrue="1" operator="lessThan">
      <formula>0</formula>
    </cfRule>
  </conditionalFormatting>
  <conditionalFormatting sqref="H25:H26">
    <cfRule type="cellIs" dxfId="12350" priority="12466" stopIfTrue="1" operator="lessThan">
      <formula>0</formula>
    </cfRule>
    <cfRule type="cellIs" dxfId="12349" priority="12467" stopIfTrue="1" operator="lessThan">
      <formula>0</formula>
    </cfRule>
  </conditionalFormatting>
  <conditionalFormatting sqref="H25:H26">
    <cfRule type="cellIs" dxfId="12348" priority="12464" stopIfTrue="1" operator="lessThan">
      <formula>0</formula>
    </cfRule>
    <cfRule type="cellIs" dxfId="12347" priority="12465" stopIfTrue="1" operator="lessThan">
      <formula>0</formula>
    </cfRule>
  </conditionalFormatting>
  <conditionalFormatting sqref="H25:H26">
    <cfRule type="cellIs" dxfId="12346" priority="12462" stopIfTrue="1" operator="lessThan">
      <formula>0.05</formula>
    </cfRule>
    <cfRule type="cellIs" dxfId="12345" priority="12463" stopIfTrue="1" operator="lessThan">
      <formula>0</formula>
    </cfRule>
  </conditionalFormatting>
  <conditionalFormatting sqref="H25:H26">
    <cfRule type="cellIs" dxfId="12344" priority="12460" stopIfTrue="1" operator="lessThan">
      <formula>0</formula>
    </cfRule>
    <cfRule type="cellIs" dxfId="12343" priority="12461" stopIfTrue="1" operator="lessThan">
      <formula>0</formula>
    </cfRule>
  </conditionalFormatting>
  <conditionalFormatting sqref="H18:H19">
    <cfRule type="cellIs" dxfId="12342" priority="12458" stopIfTrue="1" operator="lessThan">
      <formula>0</formula>
    </cfRule>
    <cfRule type="cellIs" dxfId="12341" priority="12459" stopIfTrue="1" operator="lessThan">
      <formula>0</formula>
    </cfRule>
  </conditionalFormatting>
  <conditionalFormatting sqref="H18:H19">
    <cfRule type="cellIs" dxfId="12340" priority="12456" stopIfTrue="1" operator="lessThan">
      <formula>0.05</formula>
    </cfRule>
    <cfRule type="cellIs" dxfId="12339" priority="12457" stopIfTrue="1" operator="lessThan">
      <formula>0</formula>
    </cfRule>
  </conditionalFormatting>
  <conditionalFormatting sqref="H18:H19">
    <cfRule type="cellIs" dxfId="12338" priority="12454" stopIfTrue="1" operator="lessThan">
      <formula>0</formula>
    </cfRule>
    <cfRule type="cellIs" dxfId="12337" priority="12455" stopIfTrue="1" operator="lessThan">
      <formula>0</formula>
    </cfRule>
  </conditionalFormatting>
  <conditionalFormatting sqref="H18:H19">
    <cfRule type="cellIs" dxfId="12336" priority="12452" stopIfTrue="1" operator="lessThan">
      <formula>0</formula>
    </cfRule>
    <cfRule type="cellIs" dxfId="12335" priority="12453" stopIfTrue="1" operator="lessThan">
      <formula>0</formula>
    </cfRule>
  </conditionalFormatting>
  <conditionalFormatting sqref="H18:H19">
    <cfRule type="cellIs" dxfId="12334" priority="12450" stopIfTrue="1" operator="lessThan">
      <formula>0.05</formula>
    </cfRule>
    <cfRule type="cellIs" dxfId="12333" priority="12451" stopIfTrue="1" operator="lessThan">
      <formula>0</formula>
    </cfRule>
  </conditionalFormatting>
  <conditionalFormatting sqref="H18:H19">
    <cfRule type="cellIs" dxfId="12332" priority="12448" stopIfTrue="1" operator="lessThan">
      <formula>0</formula>
    </cfRule>
    <cfRule type="cellIs" dxfId="12331" priority="12449" stopIfTrue="1" operator="lessThan">
      <formula>0</formula>
    </cfRule>
  </conditionalFormatting>
  <conditionalFormatting sqref="H18:H19">
    <cfRule type="cellIs" dxfId="12330" priority="12446" stopIfTrue="1" operator="lessThan">
      <formula>0</formula>
    </cfRule>
    <cfRule type="cellIs" dxfId="12329" priority="12447" stopIfTrue="1" operator="lessThan">
      <formula>0</formula>
    </cfRule>
  </conditionalFormatting>
  <conditionalFormatting sqref="H18:H19">
    <cfRule type="cellIs" dxfId="12328" priority="12444" stopIfTrue="1" operator="lessThan">
      <formula>0.05</formula>
    </cfRule>
    <cfRule type="cellIs" dxfId="12327" priority="12445" stopIfTrue="1" operator="lessThan">
      <formula>0</formula>
    </cfRule>
  </conditionalFormatting>
  <conditionalFormatting sqref="H18:H19">
    <cfRule type="cellIs" dxfId="12326" priority="12442" stopIfTrue="1" operator="lessThan">
      <formula>0</formula>
    </cfRule>
    <cfRule type="cellIs" dxfId="12325" priority="12443" stopIfTrue="1" operator="lessThan">
      <formula>0</formula>
    </cfRule>
  </conditionalFormatting>
  <conditionalFormatting sqref="H105:H165">
    <cfRule type="cellIs" dxfId="12324" priority="12440" stopIfTrue="1" operator="lessThan">
      <formula>0</formula>
    </cfRule>
    <cfRule type="cellIs" dxfId="12323" priority="12441" stopIfTrue="1" operator="lessThan">
      <formula>0</formula>
    </cfRule>
  </conditionalFormatting>
  <conditionalFormatting sqref="H105:H165">
    <cfRule type="cellIs" dxfId="12322" priority="12438" stopIfTrue="1" operator="lessThan">
      <formula>0</formula>
    </cfRule>
    <cfRule type="cellIs" dxfId="12321" priority="12439" stopIfTrue="1" operator="lessThan">
      <formula>0</formula>
    </cfRule>
  </conditionalFormatting>
  <conditionalFormatting sqref="H105:H165">
    <cfRule type="cellIs" dxfId="12320" priority="12436" stopIfTrue="1" operator="lessThan">
      <formula>0.05</formula>
    </cfRule>
    <cfRule type="cellIs" dxfId="12319" priority="12437" stopIfTrue="1" operator="lessThan">
      <formula>0</formula>
    </cfRule>
  </conditionalFormatting>
  <conditionalFormatting sqref="H105:H165">
    <cfRule type="cellIs" dxfId="12318" priority="12434" stopIfTrue="1" operator="lessThan">
      <formula>0</formula>
    </cfRule>
    <cfRule type="cellIs" dxfId="12317" priority="12435" stopIfTrue="1" operator="lessThan">
      <formula>0</formula>
    </cfRule>
  </conditionalFormatting>
  <conditionalFormatting sqref="H105:H165">
    <cfRule type="cellIs" dxfId="12316" priority="12432" stopIfTrue="1" operator="lessThan">
      <formula>0.05</formula>
    </cfRule>
    <cfRule type="cellIs" dxfId="12315" priority="12433" stopIfTrue="1" operator="lessThan">
      <formula>0</formula>
    </cfRule>
  </conditionalFormatting>
  <conditionalFormatting sqref="H105:H165">
    <cfRule type="cellIs" dxfId="12314" priority="12430" stopIfTrue="1" operator="lessThan">
      <formula>0</formula>
    </cfRule>
    <cfRule type="cellIs" dxfId="12313" priority="12431" stopIfTrue="1" operator="lessThan">
      <formula>0</formula>
    </cfRule>
  </conditionalFormatting>
  <conditionalFormatting sqref="H105:H165">
    <cfRule type="cellIs" dxfId="12312" priority="12428" stopIfTrue="1" operator="lessThan">
      <formula>0.05</formula>
    </cfRule>
    <cfRule type="cellIs" dxfId="12311" priority="12429" stopIfTrue="1" operator="lessThan">
      <formula>0</formula>
    </cfRule>
  </conditionalFormatting>
  <conditionalFormatting sqref="H105:H165">
    <cfRule type="cellIs" dxfId="12310" priority="12426" stopIfTrue="1" operator="lessThan">
      <formula>0</formula>
    </cfRule>
    <cfRule type="cellIs" dxfId="12309" priority="12427" stopIfTrue="1" operator="lessThan">
      <formula>0</formula>
    </cfRule>
  </conditionalFormatting>
  <conditionalFormatting sqref="H102">
    <cfRule type="cellIs" dxfId="12308" priority="12424" stopIfTrue="1" operator="lessThan">
      <formula>0</formula>
    </cfRule>
    <cfRule type="cellIs" dxfId="12307" priority="12425" stopIfTrue="1" operator="lessThan">
      <formula>0</formula>
    </cfRule>
  </conditionalFormatting>
  <conditionalFormatting sqref="H102">
    <cfRule type="cellIs" dxfId="12306" priority="12422" stopIfTrue="1" operator="lessThan">
      <formula>0</formula>
    </cfRule>
    <cfRule type="cellIs" dxfId="12305" priority="12423" stopIfTrue="1" operator="lessThan">
      <formula>0</formula>
    </cfRule>
  </conditionalFormatting>
  <conditionalFormatting sqref="H102">
    <cfRule type="cellIs" dxfId="12304" priority="12420" stopIfTrue="1" operator="lessThan">
      <formula>0.05</formula>
    </cfRule>
    <cfRule type="cellIs" dxfId="12303" priority="12421" stopIfTrue="1" operator="lessThan">
      <formula>0</formula>
    </cfRule>
  </conditionalFormatting>
  <conditionalFormatting sqref="H102">
    <cfRule type="cellIs" dxfId="12302" priority="12418" stopIfTrue="1" operator="lessThan">
      <formula>0</formula>
    </cfRule>
    <cfRule type="cellIs" dxfId="12301" priority="12419" stopIfTrue="1" operator="lessThan">
      <formula>0</formula>
    </cfRule>
  </conditionalFormatting>
  <conditionalFormatting sqref="H102">
    <cfRule type="cellIs" dxfId="12300" priority="12416" stopIfTrue="1" operator="lessThan">
      <formula>0.05</formula>
    </cfRule>
    <cfRule type="cellIs" dxfId="12299" priority="12417" stopIfTrue="1" operator="lessThan">
      <formula>0</formula>
    </cfRule>
  </conditionalFormatting>
  <conditionalFormatting sqref="H102">
    <cfRule type="cellIs" dxfId="12298" priority="12414" stopIfTrue="1" operator="lessThan">
      <formula>0</formula>
    </cfRule>
    <cfRule type="cellIs" dxfId="12297" priority="12415" stopIfTrue="1" operator="lessThan">
      <formula>0</formula>
    </cfRule>
  </conditionalFormatting>
  <conditionalFormatting sqref="H102">
    <cfRule type="cellIs" dxfId="12296" priority="12412" stopIfTrue="1" operator="lessThan">
      <formula>0.05</formula>
    </cfRule>
    <cfRule type="cellIs" dxfId="12295" priority="12413" stopIfTrue="1" operator="lessThan">
      <formula>0</formula>
    </cfRule>
  </conditionalFormatting>
  <conditionalFormatting sqref="H102">
    <cfRule type="cellIs" dxfId="12294" priority="12410" stopIfTrue="1" operator="lessThan">
      <formula>0</formula>
    </cfRule>
    <cfRule type="cellIs" dxfId="12293" priority="12411" stopIfTrue="1" operator="lessThan">
      <formula>0</formula>
    </cfRule>
  </conditionalFormatting>
  <conditionalFormatting sqref="H35">
    <cfRule type="cellIs" dxfId="12292" priority="12408" stopIfTrue="1" operator="lessThan">
      <formula>0</formula>
    </cfRule>
    <cfRule type="cellIs" dxfId="12291" priority="12409" stopIfTrue="1" operator="lessThan">
      <formula>0</formula>
    </cfRule>
  </conditionalFormatting>
  <conditionalFormatting sqref="H35">
    <cfRule type="cellIs" dxfId="12290" priority="12406" stopIfTrue="1" operator="lessThan">
      <formula>0.05</formula>
    </cfRule>
    <cfRule type="cellIs" dxfId="12289" priority="12407" stopIfTrue="1" operator="lessThan">
      <formula>0</formula>
    </cfRule>
  </conditionalFormatting>
  <conditionalFormatting sqref="H35">
    <cfRule type="cellIs" dxfId="12288" priority="12404" stopIfTrue="1" operator="lessThan">
      <formula>0</formula>
    </cfRule>
    <cfRule type="cellIs" dxfId="12287" priority="12405" stopIfTrue="1" operator="lessThan">
      <formula>0</formula>
    </cfRule>
  </conditionalFormatting>
  <conditionalFormatting sqref="H35">
    <cfRule type="cellIs" dxfId="12286" priority="12402" stopIfTrue="1" operator="lessThan">
      <formula>0.05</formula>
    </cfRule>
    <cfRule type="cellIs" dxfId="12285" priority="12403" stopIfTrue="1" operator="lessThan">
      <formula>0</formula>
    </cfRule>
  </conditionalFormatting>
  <conditionalFormatting sqref="H35">
    <cfRule type="cellIs" dxfId="12284" priority="12400" stopIfTrue="1" operator="lessThan">
      <formula>0</formula>
    </cfRule>
    <cfRule type="cellIs" dxfId="12283" priority="12401" stopIfTrue="1" operator="lessThan">
      <formula>0</formula>
    </cfRule>
  </conditionalFormatting>
  <conditionalFormatting sqref="H35">
    <cfRule type="cellIs" dxfId="12282" priority="12398" stopIfTrue="1" operator="lessThan">
      <formula>0.05</formula>
    </cfRule>
    <cfRule type="cellIs" dxfId="12281" priority="12399" stopIfTrue="1" operator="lessThan">
      <formula>0</formula>
    </cfRule>
  </conditionalFormatting>
  <conditionalFormatting sqref="H35">
    <cfRule type="cellIs" dxfId="12280" priority="12396" stopIfTrue="1" operator="lessThan">
      <formula>0</formula>
    </cfRule>
    <cfRule type="cellIs" dxfId="12279" priority="12397" stopIfTrue="1" operator="lessThan">
      <formula>0</formula>
    </cfRule>
  </conditionalFormatting>
  <conditionalFormatting sqref="H35">
    <cfRule type="cellIs" dxfId="12278" priority="12394" stopIfTrue="1" operator="lessThan">
      <formula>0</formula>
    </cfRule>
    <cfRule type="cellIs" dxfId="12277" priority="12395" stopIfTrue="1" operator="lessThan">
      <formula>0</formula>
    </cfRule>
  </conditionalFormatting>
  <conditionalFormatting sqref="H35">
    <cfRule type="cellIs" dxfId="12276" priority="12392" stopIfTrue="1" operator="lessThan">
      <formula>0</formula>
    </cfRule>
    <cfRule type="cellIs" dxfId="12275" priority="12393" stopIfTrue="1" operator="lessThan">
      <formula>0</formula>
    </cfRule>
  </conditionalFormatting>
  <conditionalFormatting sqref="H35">
    <cfRule type="cellIs" dxfId="12274" priority="12390" stopIfTrue="1" operator="lessThan">
      <formula>0.05</formula>
    </cfRule>
    <cfRule type="cellIs" dxfId="12273" priority="12391" stopIfTrue="1" operator="lessThan">
      <formula>0</formula>
    </cfRule>
  </conditionalFormatting>
  <conditionalFormatting sqref="H35">
    <cfRule type="cellIs" dxfId="12272" priority="12388" stopIfTrue="1" operator="lessThan">
      <formula>0</formula>
    </cfRule>
    <cfRule type="cellIs" dxfId="12271" priority="12389" stopIfTrue="1" operator="lessThan">
      <formula>0</formula>
    </cfRule>
  </conditionalFormatting>
  <conditionalFormatting sqref="H35">
    <cfRule type="cellIs" dxfId="12270" priority="12386" stopIfTrue="1" operator="lessThan">
      <formula>0.05</formula>
    </cfRule>
    <cfRule type="cellIs" dxfId="12269" priority="12387" stopIfTrue="1" operator="lessThan">
      <formula>0</formula>
    </cfRule>
  </conditionalFormatting>
  <conditionalFormatting sqref="H35">
    <cfRule type="cellIs" dxfId="12268" priority="12384" stopIfTrue="1" operator="lessThan">
      <formula>0</formula>
    </cfRule>
    <cfRule type="cellIs" dxfId="12267" priority="12385" stopIfTrue="1" operator="lessThan">
      <formula>0</formula>
    </cfRule>
  </conditionalFormatting>
  <conditionalFormatting sqref="H35">
    <cfRule type="cellIs" dxfId="12266" priority="12382" stopIfTrue="1" operator="lessThan">
      <formula>0.05</formula>
    </cfRule>
    <cfRule type="cellIs" dxfId="12265" priority="12383" stopIfTrue="1" operator="lessThan">
      <formula>0</formula>
    </cfRule>
  </conditionalFormatting>
  <conditionalFormatting sqref="H35">
    <cfRule type="cellIs" dxfId="12264" priority="12380" stopIfTrue="1" operator="lessThan">
      <formula>0</formula>
    </cfRule>
    <cfRule type="cellIs" dxfId="12263" priority="12381" stopIfTrue="1" operator="lessThan">
      <formula>0</formula>
    </cfRule>
  </conditionalFormatting>
  <conditionalFormatting sqref="H30">
    <cfRule type="cellIs" dxfId="12262" priority="12378" stopIfTrue="1" operator="lessThan">
      <formula>0</formula>
    </cfRule>
    <cfRule type="cellIs" dxfId="12261" priority="12379" stopIfTrue="1" operator="lessThan">
      <formula>0</formula>
    </cfRule>
  </conditionalFormatting>
  <conditionalFormatting sqref="H30">
    <cfRule type="cellIs" dxfId="12260" priority="12376" stopIfTrue="1" operator="lessThan">
      <formula>0.05</formula>
    </cfRule>
    <cfRule type="cellIs" dxfId="12259" priority="12377" stopIfTrue="1" operator="lessThan">
      <formula>0</formula>
    </cfRule>
  </conditionalFormatting>
  <conditionalFormatting sqref="H30">
    <cfRule type="cellIs" dxfId="12258" priority="12374" stopIfTrue="1" operator="lessThan">
      <formula>0</formula>
    </cfRule>
    <cfRule type="cellIs" dxfId="12257" priority="12375" stopIfTrue="1" operator="lessThan">
      <formula>0</formula>
    </cfRule>
  </conditionalFormatting>
  <conditionalFormatting sqref="H30">
    <cfRule type="cellIs" dxfId="12256" priority="12372" stopIfTrue="1" operator="lessThan">
      <formula>0</formula>
    </cfRule>
    <cfRule type="cellIs" dxfId="12255" priority="12373" stopIfTrue="1" operator="lessThan">
      <formula>0</formula>
    </cfRule>
  </conditionalFormatting>
  <conditionalFormatting sqref="H30">
    <cfRule type="cellIs" dxfId="12254" priority="12370" stopIfTrue="1" operator="lessThan">
      <formula>0.05</formula>
    </cfRule>
    <cfRule type="cellIs" dxfId="12253" priority="12371" stopIfTrue="1" operator="lessThan">
      <formula>0</formula>
    </cfRule>
  </conditionalFormatting>
  <conditionalFormatting sqref="H30">
    <cfRule type="cellIs" dxfId="12252" priority="12368" stopIfTrue="1" operator="lessThan">
      <formula>0</formula>
    </cfRule>
    <cfRule type="cellIs" dxfId="12251" priority="12369" stopIfTrue="1" operator="lessThan">
      <formula>0</formula>
    </cfRule>
  </conditionalFormatting>
  <conditionalFormatting sqref="H30">
    <cfRule type="cellIs" dxfId="12250" priority="12366" stopIfTrue="1" operator="lessThan">
      <formula>0.05</formula>
    </cfRule>
    <cfRule type="cellIs" dxfId="12249" priority="12367" stopIfTrue="1" operator="lessThan">
      <formula>0</formula>
    </cfRule>
  </conditionalFormatting>
  <conditionalFormatting sqref="H30">
    <cfRule type="cellIs" dxfId="12248" priority="12364" stopIfTrue="1" operator="lessThan">
      <formula>0</formula>
    </cfRule>
    <cfRule type="cellIs" dxfId="12247" priority="12365" stopIfTrue="1" operator="lessThan">
      <formula>0</formula>
    </cfRule>
  </conditionalFormatting>
  <conditionalFormatting sqref="H30">
    <cfRule type="cellIs" dxfId="12246" priority="12362" stopIfTrue="1" operator="lessThan">
      <formula>0.05</formula>
    </cfRule>
    <cfRule type="cellIs" dxfId="12245" priority="12363" stopIfTrue="1" operator="lessThan">
      <formula>0</formula>
    </cfRule>
  </conditionalFormatting>
  <conditionalFormatting sqref="H30">
    <cfRule type="cellIs" dxfId="12244" priority="12360" stopIfTrue="1" operator="lessThan">
      <formula>0</formula>
    </cfRule>
    <cfRule type="cellIs" dxfId="12243" priority="12361" stopIfTrue="1" operator="lessThan">
      <formula>0</formula>
    </cfRule>
  </conditionalFormatting>
  <conditionalFormatting sqref="H30">
    <cfRule type="cellIs" dxfId="12242" priority="12358" stopIfTrue="1" operator="lessThan">
      <formula>0</formula>
    </cfRule>
    <cfRule type="cellIs" dxfId="12241" priority="12359" stopIfTrue="1" operator="lessThan">
      <formula>0</formula>
    </cfRule>
  </conditionalFormatting>
  <conditionalFormatting sqref="H30">
    <cfRule type="cellIs" dxfId="12240" priority="12356" stopIfTrue="1" operator="lessThan">
      <formula>0</formula>
    </cfRule>
    <cfRule type="cellIs" dxfId="12239" priority="12357" stopIfTrue="1" operator="lessThan">
      <formula>0</formula>
    </cfRule>
  </conditionalFormatting>
  <conditionalFormatting sqref="H30">
    <cfRule type="cellIs" dxfId="12238" priority="12354" stopIfTrue="1" operator="lessThan">
      <formula>0.05</formula>
    </cfRule>
    <cfRule type="cellIs" dxfId="12237" priority="12355" stopIfTrue="1" operator="lessThan">
      <formula>0</formula>
    </cfRule>
  </conditionalFormatting>
  <conditionalFormatting sqref="H30">
    <cfRule type="cellIs" dxfId="12236" priority="12352" stopIfTrue="1" operator="lessThan">
      <formula>0</formula>
    </cfRule>
    <cfRule type="cellIs" dxfId="12235" priority="12353" stopIfTrue="1" operator="lessThan">
      <formula>0</formula>
    </cfRule>
  </conditionalFormatting>
  <conditionalFormatting sqref="H30">
    <cfRule type="cellIs" dxfId="12234" priority="12350" stopIfTrue="1" operator="lessThan">
      <formula>0.05</formula>
    </cfRule>
    <cfRule type="cellIs" dxfId="12233" priority="12351" stopIfTrue="1" operator="lessThan">
      <formula>0</formula>
    </cfRule>
  </conditionalFormatting>
  <conditionalFormatting sqref="H30">
    <cfRule type="cellIs" dxfId="12232" priority="12348" stopIfTrue="1" operator="lessThan">
      <formula>0</formula>
    </cfRule>
    <cfRule type="cellIs" dxfId="12231" priority="12349" stopIfTrue="1" operator="lessThan">
      <formula>0</formula>
    </cfRule>
  </conditionalFormatting>
  <conditionalFormatting sqref="H30">
    <cfRule type="cellIs" dxfId="12230" priority="12346" stopIfTrue="1" operator="lessThan">
      <formula>0.05</formula>
    </cfRule>
    <cfRule type="cellIs" dxfId="12229" priority="12347" stopIfTrue="1" operator="lessThan">
      <formula>0</formula>
    </cfRule>
  </conditionalFormatting>
  <conditionalFormatting sqref="H30">
    <cfRule type="cellIs" dxfId="12228" priority="12344" stopIfTrue="1" operator="lessThan">
      <formula>0</formula>
    </cfRule>
    <cfRule type="cellIs" dxfId="12227" priority="12345" stopIfTrue="1" operator="lessThan">
      <formula>0</formula>
    </cfRule>
  </conditionalFormatting>
  <conditionalFormatting sqref="H25">
    <cfRule type="cellIs" dxfId="12226" priority="12342" stopIfTrue="1" operator="lessThan">
      <formula>0</formula>
    </cfRule>
    <cfRule type="cellIs" dxfId="12225" priority="12343" stopIfTrue="1" operator="lessThan">
      <formula>0</formula>
    </cfRule>
  </conditionalFormatting>
  <conditionalFormatting sqref="H25">
    <cfRule type="cellIs" dxfId="12224" priority="12340" stopIfTrue="1" operator="lessThan">
      <formula>0.05</formula>
    </cfRule>
    <cfRule type="cellIs" dxfId="12223" priority="12341" stopIfTrue="1" operator="lessThan">
      <formula>0</formula>
    </cfRule>
  </conditionalFormatting>
  <conditionalFormatting sqref="H25">
    <cfRule type="cellIs" dxfId="12222" priority="12338" stopIfTrue="1" operator="lessThan">
      <formula>0</formula>
    </cfRule>
    <cfRule type="cellIs" dxfId="12221" priority="12339" stopIfTrue="1" operator="lessThan">
      <formula>0</formula>
    </cfRule>
  </conditionalFormatting>
  <conditionalFormatting sqref="H25">
    <cfRule type="cellIs" dxfId="12220" priority="12336" stopIfTrue="1" operator="lessThan">
      <formula>0</formula>
    </cfRule>
    <cfRule type="cellIs" dxfId="12219" priority="12337" stopIfTrue="1" operator="lessThan">
      <formula>0</formula>
    </cfRule>
  </conditionalFormatting>
  <conditionalFormatting sqref="H25">
    <cfRule type="cellIs" dxfId="12218" priority="12334" stopIfTrue="1" operator="lessThan">
      <formula>0.05</formula>
    </cfRule>
    <cfRule type="cellIs" dxfId="12217" priority="12335" stopIfTrue="1" operator="lessThan">
      <formula>0</formula>
    </cfRule>
  </conditionalFormatting>
  <conditionalFormatting sqref="H25">
    <cfRule type="cellIs" dxfId="12216" priority="12332" stopIfTrue="1" operator="lessThan">
      <formula>0</formula>
    </cfRule>
    <cfRule type="cellIs" dxfId="12215" priority="12333" stopIfTrue="1" operator="lessThan">
      <formula>0</formula>
    </cfRule>
  </conditionalFormatting>
  <conditionalFormatting sqref="H25">
    <cfRule type="cellIs" dxfId="12214" priority="12330" stopIfTrue="1" operator="lessThan">
      <formula>0</formula>
    </cfRule>
    <cfRule type="cellIs" dxfId="12213" priority="12331" stopIfTrue="1" operator="lessThan">
      <formula>0</formula>
    </cfRule>
  </conditionalFormatting>
  <conditionalFormatting sqref="H25">
    <cfRule type="cellIs" dxfId="12212" priority="12328" stopIfTrue="1" operator="lessThan">
      <formula>0.05</formula>
    </cfRule>
    <cfRule type="cellIs" dxfId="12211" priority="12329" stopIfTrue="1" operator="lessThan">
      <formula>0</formula>
    </cfRule>
  </conditionalFormatting>
  <conditionalFormatting sqref="H25">
    <cfRule type="cellIs" dxfId="12210" priority="12326" stopIfTrue="1" operator="lessThan">
      <formula>0</formula>
    </cfRule>
    <cfRule type="cellIs" dxfId="12209" priority="12327" stopIfTrue="1" operator="lessThan">
      <formula>0</formula>
    </cfRule>
  </conditionalFormatting>
  <conditionalFormatting sqref="H25">
    <cfRule type="cellIs" dxfId="12208" priority="12324" stopIfTrue="1" operator="lessThan">
      <formula>0</formula>
    </cfRule>
    <cfRule type="cellIs" dxfId="12207" priority="12325" stopIfTrue="1" operator="lessThan">
      <formula>0</formula>
    </cfRule>
  </conditionalFormatting>
  <conditionalFormatting sqref="H25">
    <cfRule type="cellIs" dxfId="12206" priority="12322" stopIfTrue="1" operator="lessThan">
      <formula>0.05</formula>
    </cfRule>
    <cfRule type="cellIs" dxfId="12205" priority="12323" stopIfTrue="1" operator="lessThan">
      <formula>0</formula>
    </cfRule>
  </conditionalFormatting>
  <conditionalFormatting sqref="H25">
    <cfRule type="cellIs" dxfId="12204" priority="12320" stopIfTrue="1" operator="lessThan">
      <formula>0</formula>
    </cfRule>
    <cfRule type="cellIs" dxfId="12203" priority="12321" stopIfTrue="1" operator="lessThan">
      <formula>0</formula>
    </cfRule>
  </conditionalFormatting>
  <conditionalFormatting sqref="H25">
    <cfRule type="cellIs" dxfId="12202" priority="12318" stopIfTrue="1" operator="lessThan">
      <formula>0.05</formula>
    </cfRule>
    <cfRule type="cellIs" dxfId="12201" priority="12319" stopIfTrue="1" operator="lessThan">
      <formula>0</formula>
    </cfRule>
  </conditionalFormatting>
  <conditionalFormatting sqref="H25">
    <cfRule type="cellIs" dxfId="12200" priority="12316" stopIfTrue="1" operator="lessThan">
      <formula>0</formula>
    </cfRule>
    <cfRule type="cellIs" dxfId="12199" priority="12317" stopIfTrue="1" operator="lessThan">
      <formula>0</formula>
    </cfRule>
  </conditionalFormatting>
  <conditionalFormatting sqref="H25">
    <cfRule type="cellIs" dxfId="12198" priority="12314" stopIfTrue="1" operator="lessThan">
      <formula>0.05</formula>
    </cfRule>
    <cfRule type="cellIs" dxfId="12197" priority="12315" stopIfTrue="1" operator="lessThan">
      <formula>0</formula>
    </cfRule>
  </conditionalFormatting>
  <conditionalFormatting sqref="H25">
    <cfRule type="cellIs" dxfId="12196" priority="12312" stopIfTrue="1" operator="lessThan">
      <formula>0</formula>
    </cfRule>
    <cfRule type="cellIs" dxfId="12195" priority="12313" stopIfTrue="1" operator="lessThan">
      <formula>0</formula>
    </cfRule>
  </conditionalFormatting>
  <conditionalFormatting sqref="H25">
    <cfRule type="cellIs" dxfId="12194" priority="12310" stopIfTrue="1" operator="lessThan">
      <formula>0</formula>
    </cfRule>
    <cfRule type="cellIs" dxfId="12193" priority="12311" stopIfTrue="1" operator="lessThan">
      <formula>0</formula>
    </cfRule>
  </conditionalFormatting>
  <conditionalFormatting sqref="H25">
    <cfRule type="cellIs" dxfId="12192" priority="12308" stopIfTrue="1" operator="lessThan">
      <formula>0</formula>
    </cfRule>
    <cfRule type="cellIs" dxfId="12191" priority="12309" stopIfTrue="1" operator="lessThan">
      <formula>0</formula>
    </cfRule>
  </conditionalFormatting>
  <conditionalFormatting sqref="H25">
    <cfRule type="cellIs" dxfId="12190" priority="12306" stopIfTrue="1" operator="lessThan">
      <formula>0.05</formula>
    </cfRule>
    <cfRule type="cellIs" dxfId="12189" priority="12307" stopIfTrue="1" operator="lessThan">
      <formula>0</formula>
    </cfRule>
  </conditionalFormatting>
  <conditionalFormatting sqref="H25">
    <cfRule type="cellIs" dxfId="12188" priority="12304" stopIfTrue="1" operator="lessThan">
      <formula>0</formula>
    </cfRule>
    <cfRule type="cellIs" dxfId="12187" priority="12305" stopIfTrue="1" operator="lessThan">
      <formula>0</formula>
    </cfRule>
  </conditionalFormatting>
  <conditionalFormatting sqref="H25">
    <cfRule type="cellIs" dxfId="12186" priority="12302" stopIfTrue="1" operator="lessThan">
      <formula>0.05</formula>
    </cfRule>
    <cfRule type="cellIs" dxfId="12185" priority="12303" stopIfTrue="1" operator="lessThan">
      <formula>0</formula>
    </cfRule>
  </conditionalFormatting>
  <conditionalFormatting sqref="H25">
    <cfRule type="cellIs" dxfId="12184" priority="12300" stopIfTrue="1" operator="lessThan">
      <formula>0</formula>
    </cfRule>
    <cfRule type="cellIs" dxfId="12183" priority="12301" stopIfTrue="1" operator="lessThan">
      <formula>0</formula>
    </cfRule>
  </conditionalFormatting>
  <conditionalFormatting sqref="H25">
    <cfRule type="cellIs" dxfId="12182" priority="12298" stopIfTrue="1" operator="lessThan">
      <formula>0.05</formula>
    </cfRule>
    <cfRule type="cellIs" dxfId="12181" priority="12299" stopIfTrue="1" operator="lessThan">
      <formula>0</formula>
    </cfRule>
  </conditionalFormatting>
  <conditionalFormatting sqref="H25">
    <cfRule type="cellIs" dxfId="12180" priority="12296" stopIfTrue="1" operator="lessThan">
      <formula>0</formula>
    </cfRule>
    <cfRule type="cellIs" dxfId="12179" priority="12297" stopIfTrue="1" operator="lessThan">
      <formula>0</formula>
    </cfRule>
  </conditionalFormatting>
  <conditionalFormatting sqref="H18:H19">
    <cfRule type="cellIs" dxfId="12178" priority="12294" stopIfTrue="1" operator="lessThan">
      <formula>0</formula>
    </cfRule>
    <cfRule type="cellIs" dxfId="12177" priority="12295" stopIfTrue="1" operator="lessThan">
      <formula>0</formula>
    </cfRule>
  </conditionalFormatting>
  <conditionalFormatting sqref="H18:H19">
    <cfRule type="cellIs" dxfId="12176" priority="12292" stopIfTrue="1" operator="lessThan">
      <formula>0.05</formula>
    </cfRule>
    <cfRule type="cellIs" dxfId="12175" priority="12293" stopIfTrue="1" operator="lessThan">
      <formula>0</formula>
    </cfRule>
  </conditionalFormatting>
  <conditionalFormatting sqref="H18:H19">
    <cfRule type="cellIs" dxfId="12174" priority="12290" stopIfTrue="1" operator="lessThan">
      <formula>0</formula>
    </cfRule>
    <cfRule type="cellIs" dxfId="12173" priority="12291" stopIfTrue="1" operator="lessThan">
      <formula>0</formula>
    </cfRule>
  </conditionalFormatting>
  <conditionalFormatting sqref="H18:H19">
    <cfRule type="cellIs" dxfId="12172" priority="12288" stopIfTrue="1" operator="lessThan">
      <formula>0</formula>
    </cfRule>
    <cfRule type="cellIs" dxfId="12171" priority="12289" stopIfTrue="1" operator="lessThan">
      <formula>0</formula>
    </cfRule>
  </conditionalFormatting>
  <conditionalFormatting sqref="H18:H19">
    <cfRule type="cellIs" dxfId="12170" priority="12286" stopIfTrue="1" operator="lessThan">
      <formula>0.05</formula>
    </cfRule>
    <cfRule type="cellIs" dxfId="12169" priority="12287" stopIfTrue="1" operator="lessThan">
      <formula>0</formula>
    </cfRule>
  </conditionalFormatting>
  <conditionalFormatting sqref="H18:H19">
    <cfRule type="cellIs" dxfId="12168" priority="12284" stopIfTrue="1" operator="lessThan">
      <formula>0</formula>
    </cfRule>
    <cfRule type="cellIs" dxfId="12167" priority="12285" stopIfTrue="1" operator="lessThan">
      <formula>0</formula>
    </cfRule>
  </conditionalFormatting>
  <conditionalFormatting sqref="H18:H19">
    <cfRule type="cellIs" dxfId="12166" priority="12282" stopIfTrue="1" operator="lessThan">
      <formula>0</formula>
    </cfRule>
    <cfRule type="cellIs" dxfId="12165" priority="12283" stopIfTrue="1" operator="lessThan">
      <formula>0</formula>
    </cfRule>
  </conditionalFormatting>
  <conditionalFormatting sqref="H18:H19">
    <cfRule type="cellIs" dxfId="12164" priority="12280" stopIfTrue="1" operator="lessThan">
      <formula>0.05</formula>
    </cfRule>
    <cfRule type="cellIs" dxfId="12163" priority="12281" stopIfTrue="1" operator="lessThan">
      <formula>0</formula>
    </cfRule>
  </conditionalFormatting>
  <conditionalFormatting sqref="H18:H19">
    <cfRule type="cellIs" dxfId="12162" priority="12278" stopIfTrue="1" operator="lessThan">
      <formula>0</formula>
    </cfRule>
    <cfRule type="cellIs" dxfId="12161" priority="12279" stopIfTrue="1" operator="lessThan">
      <formula>0</formula>
    </cfRule>
  </conditionalFormatting>
  <conditionalFormatting sqref="H18:H19">
    <cfRule type="cellIs" dxfId="12160" priority="12276" stopIfTrue="1" operator="lessThan">
      <formula>0</formula>
    </cfRule>
    <cfRule type="cellIs" dxfId="12159" priority="12277" stopIfTrue="1" operator="lessThan">
      <formula>0</formula>
    </cfRule>
  </conditionalFormatting>
  <conditionalFormatting sqref="H18:H19">
    <cfRule type="cellIs" dxfId="12158" priority="12274" stopIfTrue="1" operator="lessThan">
      <formula>0.05</formula>
    </cfRule>
    <cfRule type="cellIs" dxfId="12157" priority="12275" stopIfTrue="1" operator="lessThan">
      <formula>0</formula>
    </cfRule>
  </conditionalFormatting>
  <conditionalFormatting sqref="H18:H19">
    <cfRule type="cellIs" dxfId="12156" priority="12272" stopIfTrue="1" operator="lessThan">
      <formula>0</formula>
    </cfRule>
    <cfRule type="cellIs" dxfId="12155" priority="12273" stopIfTrue="1" operator="lessThan">
      <formula>0</formula>
    </cfRule>
  </conditionalFormatting>
  <conditionalFormatting sqref="H18:H19">
    <cfRule type="cellIs" dxfId="12154" priority="12270" stopIfTrue="1" operator="lessThan">
      <formula>0</formula>
    </cfRule>
    <cfRule type="cellIs" dxfId="12153" priority="12271" stopIfTrue="1" operator="lessThan">
      <formula>0</formula>
    </cfRule>
  </conditionalFormatting>
  <conditionalFormatting sqref="H18:H19">
    <cfRule type="cellIs" dxfId="12152" priority="12268" stopIfTrue="1" operator="lessThan">
      <formula>0.05</formula>
    </cfRule>
    <cfRule type="cellIs" dxfId="12151" priority="12269" stopIfTrue="1" operator="lessThan">
      <formula>0</formula>
    </cfRule>
  </conditionalFormatting>
  <conditionalFormatting sqref="H18:H19">
    <cfRule type="cellIs" dxfId="12150" priority="12266" stopIfTrue="1" operator="lessThan">
      <formula>0</formula>
    </cfRule>
    <cfRule type="cellIs" dxfId="12149" priority="12267" stopIfTrue="1" operator="lessThan">
      <formula>0</formula>
    </cfRule>
  </conditionalFormatting>
  <conditionalFormatting sqref="H18:H19">
    <cfRule type="cellIs" dxfId="12148" priority="12264" stopIfTrue="1" operator="lessThan">
      <formula>0</formula>
    </cfRule>
    <cfRule type="cellIs" dxfId="12147" priority="12265" stopIfTrue="1" operator="lessThan">
      <formula>0</formula>
    </cfRule>
  </conditionalFormatting>
  <conditionalFormatting sqref="H18:H19">
    <cfRule type="cellIs" dxfId="12146" priority="12262" stopIfTrue="1" operator="lessThan">
      <formula>0.05</formula>
    </cfRule>
    <cfRule type="cellIs" dxfId="12145" priority="12263" stopIfTrue="1" operator="lessThan">
      <formula>0</formula>
    </cfRule>
  </conditionalFormatting>
  <conditionalFormatting sqref="H18:H19">
    <cfRule type="cellIs" dxfId="12144" priority="12260" stopIfTrue="1" operator="lessThan">
      <formula>0</formula>
    </cfRule>
    <cfRule type="cellIs" dxfId="12143" priority="12261" stopIfTrue="1" operator="lessThan">
      <formula>0</formula>
    </cfRule>
  </conditionalFormatting>
  <conditionalFormatting sqref="H18:H19">
    <cfRule type="cellIs" dxfId="12142" priority="12258" stopIfTrue="1" operator="lessThan">
      <formula>0</formula>
    </cfRule>
    <cfRule type="cellIs" dxfId="12141" priority="12259" stopIfTrue="1" operator="lessThan">
      <formula>0</formula>
    </cfRule>
  </conditionalFormatting>
  <conditionalFormatting sqref="H18:H19">
    <cfRule type="cellIs" dxfId="12140" priority="12256" stopIfTrue="1" operator="lessThan">
      <formula>0.05</formula>
    </cfRule>
    <cfRule type="cellIs" dxfId="12139" priority="12257" stopIfTrue="1" operator="lessThan">
      <formula>0</formula>
    </cfRule>
  </conditionalFormatting>
  <conditionalFormatting sqref="H18:H19">
    <cfRule type="cellIs" dxfId="12138" priority="12254" stopIfTrue="1" operator="lessThan">
      <formula>0</formula>
    </cfRule>
    <cfRule type="cellIs" dxfId="12137" priority="12255" stopIfTrue="1" operator="lessThan">
      <formula>0</formula>
    </cfRule>
  </conditionalFormatting>
  <conditionalFormatting sqref="H18:H19">
    <cfRule type="cellIs" dxfId="12136" priority="12252" stopIfTrue="1" operator="lessThan">
      <formula>0.05</formula>
    </cfRule>
    <cfRule type="cellIs" dxfId="12135" priority="12253" stopIfTrue="1" operator="lessThan">
      <formula>0</formula>
    </cfRule>
  </conditionalFormatting>
  <conditionalFormatting sqref="H18:H19">
    <cfRule type="cellIs" dxfId="12134" priority="12250" stopIfTrue="1" operator="lessThan">
      <formula>0</formula>
    </cfRule>
    <cfRule type="cellIs" dxfId="12133" priority="12251" stopIfTrue="1" operator="lessThan">
      <formula>0</formula>
    </cfRule>
  </conditionalFormatting>
  <conditionalFormatting sqref="H18:H19">
    <cfRule type="cellIs" dxfId="12132" priority="12248" stopIfTrue="1" operator="lessThan">
      <formula>0.05</formula>
    </cfRule>
    <cfRule type="cellIs" dxfId="12131" priority="12249" stopIfTrue="1" operator="lessThan">
      <formula>0</formula>
    </cfRule>
  </conditionalFormatting>
  <conditionalFormatting sqref="H18:H19">
    <cfRule type="cellIs" dxfId="12130" priority="12246" stopIfTrue="1" operator="lessThan">
      <formula>0</formula>
    </cfRule>
    <cfRule type="cellIs" dxfId="12129" priority="12247" stopIfTrue="1" operator="lessThan">
      <formula>0</formula>
    </cfRule>
  </conditionalFormatting>
  <conditionalFormatting sqref="H18:H19">
    <cfRule type="cellIs" dxfId="12128" priority="12244" stopIfTrue="1" operator="lessThan">
      <formula>0</formula>
    </cfRule>
    <cfRule type="cellIs" dxfId="12127" priority="12245" stopIfTrue="1" operator="lessThan">
      <formula>0</formula>
    </cfRule>
  </conditionalFormatting>
  <conditionalFormatting sqref="H18:H19">
    <cfRule type="cellIs" dxfId="12126" priority="12242" stopIfTrue="1" operator="lessThan">
      <formula>0</formula>
    </cfRule>
    <cfRule type="cellIs" dxfId="12125" priority="12243" stopIfTrue="1" operator="lessThan">
      <formula>0</formula>
    </cfRule>
  </conditionalFormatting>
  <conditionalFormatting sqref="H18:H19">
    <cfRule type="cellIs" dxfId="12124" priority="12240" stopIfTrue="1" operator="lessThan">
      <formula>0.05</formula>
    </cfRule>
    <cfRule type="cellIs" dxfId="12123" priority="12241" stopIfTrue="1" operator="lessThan">
      <formula>0</formula>
    </cfRule>
  </conditionalFormatting>
  <conditionalFormatting sqref="H18:H19">
    <cfRule type="cellIs" dxfId="12122" priority="12238" stopIfTrue="1" operator="lessThan">
      <formula>0</formula>
    </cfRule>
    <cfRule type="cellIs" dxfId="12121" priority="12239" stopIfTrue="1" operator="lessThan">
      <formula>0</formula>
    </cfRule>
  </conditionalFormatting>
  <conditionalFormatting sqref="H18:H19">
    <cfRule type="cellIs" dxfId="12120" priority="12236" stopIfTrue="1" operator="lessThan">
      <formula>0.05</formula>
    </cfRule>
    <cfRule type="cellIs" dxfId="12119" priority="12237" stopIfTrue="1" operator="lessThan">
      <formula>0</formula>
    </cfRule>
  </conditionalFormatting>
  <conditionalFormatting sqref="H18:H19">
    <cfRule type="cellIs" dxfId="12118" priority="12234" stopIfTrue="1" operator="lessThan">
      <formula>0</formula>
    </cfRule>
    <cfRule type="cellIs" dxfId="12117" priority="12235" stopIfTrue="1" operator="lessThan">
      <formula>0</formula>
    </cfRule>
  </conditionalFormatting>
  <conditionalFormatting sqref="H18:H19">
    <cfRule type="cellIs" dxfId="12116" priority="12232" stopIfTrue="1" operator="lessThan">
      <formula>0.05</formula>
    </cfRule>
    <cfRule type="cellIs" dxfId="12115" priority="12233" stopIfTrue="1" operator="lessThan">
      <formula>0</formula>
    </cfRule>
  </conditionalFormatting>
  <conditionalFormatting sqref="H18:H19">
    <cfRule type="cellIs" dxfId="12114" priority="12230" stopIfTrue="1" operator="lessThan">
      <formula>0</formula>
    </cfRule>
    <cfRule type="cellIs" dxfId="12113" priority="12231" stopIfTrue="1" operator="lessThan">
      <formula>0</formula>
    </cfRule>
  </conditionalFormatting>
  <conditionalFormatting sqref="H13:H14">
    <cfRule type="cellIs" dxfId="12112" priority="12228" stopIfTrue="1" operator="lessThan">
      <formula>0</formula>
    </cfRule>
    <cfRule type="cellIs" dxfId="12111" priority="12229" stopIfTrue="1" operator="lessThan">
      <formula>0</formula>
    </cfRule>
  </conditionalFormatting>
  <conditionalFormatting sqref="H13:H14">
    <cfRule type="cellIs" dxfId="12110" priority="12226" stopIfTrue="1" operator="lessThan">
      <formula>0.05</formula>
    </cfRule>
    <cfRule type="cellIs" dxfId="12109" priority="12227" stopIfTrue="1" operator="lessThan">
      <formula>0</formula>
    </cfRule>
  </conditionalFormatting>
  <conditionalFormatting sqref="H13:H14">
    <cfRule type="cellIs" dxfId="12108" priority="12224" stopIfTrue="1" operator="lessThan">
      <formula>0</formula>
    </cfRule>
    <cfRule type="cellIs" dxfId="12107" priority="12225" stopIfTrue="1" operator="lessThan">
      <formula>0</formula>
    </cfRule>
  </conditionalFormatting>
  <conditionalFormatting sqref="H13:H14">
    <cfRule type="cellIs" dxfId="12106" priority="12222" stopIfTrue="1" operator="lessThan">
      <formula>0</formula>
    </cfRule>
    <cfRule type="cellIs" dxfId="12105" priority="12223" stopIfTrue="1" operator="lessThan">
      <formula>0</formula>
    </cfRule>
  </conditionalFormatting>
  <conditionalFormatting sqref="H13:H14">
    <cfRule type="cellIs" dxfId="12104" priority="12220" stopIfTrue="1" operator="lessThan">
      <formula>0.05</formula>
    </cfRule>
    <cfRule type="cellIs" dxfId="12103" priority="12221" stopIfTrue="1" operator="lessThan">
      <formula>0</formula>
    </cfRule>
  </conditionalFormatting>
  <conditionalFormatting sqref="H13:H14">
    <cfRule type="cellIs" dxfId="12102" priority="12218" stopIfTrue="1" operator="lessThan">
      <formula>0</formula>
    </cfRule>
    <cfRule type="cellIs" dxfId="12101" priority="12219" stopIfTrue="1" operator="lessThan">
      <formula>0</formula>
    </cfRule>
  </conditionalFormatting>
  <conditionalFormatting sqref="H13:H14">
    <cfRule type="cellIs" dxfId="12100" priority="12216" stopIfTrue="1" operator="lessThan">
      <formula>0</formula>
    </cfRule>
    <cfRule type="cellIs" dxfId="12099" priority="12217" stopIfTrue="1" operator="lessThan">
      <formula>0</formula>
    </cfRule>
  </conditionalFormatting>
  <conditionalFormatting sqref="H13:H14">
    <cfRule type="cellIs" dxfId="12098" priority="12214" stopIfTrue="1" operator="lessThan">
      <formula>0.05</formula>
    </cfRule>
    <cfRule type="cellIs" dxfId="12097" priority="12215" stopIfTrue="1" operator="lessThan">
      <formula>0</formula>
    </cfRule>
  </conditionalFormatting>
  <conditionalFormatting sqref="H13:H14">
    <cfRule type="cellIs" dxfId="12096" priority="12212" stopIfTrue="1" operator="lessThan">
      <formula>0</formula>
    </cfRule>
    <cfRule type="cellIs" dxfId="12095" priority="12213" stopIfTrue="1" operator="lessThan">
      <formula>0</formula>
    </cfRule>
  </conditionalFormatting>
  <conditionalFormatting sqref="H13:H14">
    <cfRule type="cellIs" dxfId="12094" priority="12210" stopIfTrue="1" operator="lessThan">
      <formula>0</formula>
    </cfRule>
    <cfRule type="cellIs" dxfId="12093" priority="12211" stopIfTrue="1" operator="lessThan">
      <formula>0</formula>
    </cfRule>
  </conditionalFormatting>
  <conditionalFormatting sqref="H13:H14">
    <cfRule type="cellIs" dxfId="12092" priority="12208" stopIfTrue="1" operator="lessThan">
      <formula>0.05</formula>
    </cfRule>
    <cfRule type="cellIs" dxfId="12091" priority="12209" stopIfTrue="1" operator="lessThan">
      <formula>0</formula>
    </cfRule>
  </conditionalFormatting>
  <conditionalFormatting sqref="H13:H14">
    <cfRule type="cellIs" dxfId="12090" priority="12206" stopIfTrue="1" operator="lessThan">
      <formula>0</formula>
    </cfRule>
    <cfRule type="cellIs" dxfId="12089" priority="12207" stopIfTrue="1" operator="lessThan">
      <formula>0</formula>
    </cfRule>
  </conditionalFormatting>
  <conditionalFormatting sqref="H13:H14">
    <cfRule type="cellIs" dxfId="12088" priority="12204" stopIfTrue="1" operator="lessThan">
      <formula>0</formula>
    </cfRule>
    <cfRule type="cellIs" dxfId="12087" priority="12205" stopIfTrue="1" operator="lessThan">
      <formula>0</formula>
    </cfRule>
  </conditionalFormatting>
  <conditionalFormatting sqref="H13:H14">
    <cfRule type="cellIs" dxfId="12086" priority="12202" stopIfTrue="1" operator="lessThan">
      <formula>0.05</formula>
    </cfRule>
    <cfRule type="cellIs" dxfId="12085" priority="12203" stopIfTrue="1" operator="lessThan">
      <formula>0</formula>
    </cfRule>
  </conditionalFormatting>
  <conditionalFormatting sqref="H13:H14">
    <cfRule type="cellIs" dxfId="12084" priority="12200" stopIfTrue="1" operator="lessThan">
      <formula>0</formula>
    </cfRule>
    <cfRule type="cellIs" dxfId="12083" priority="12201" stopIfTrue="1" operator="lessThan">
      <formula>0</formula>
    </cfRule>
  </conditionalFormatting>
  <conditionalFormatting sqref="H13:H14">
    <cfRule type="cellIs" dxfId="12082" priority="12198" stopIfTrue="1" operator="lessThan">
      <formula>0</formula>
    </cfRule>
    <cfRule type="cellIs" dxfId="12081" priority="12199" stopIfTrue="1" operator="lessThan">
      <formula>0</formula>
    </cfRule>
  </conditionalFormatting>
  <conditionalFormatting sqref="H13:H14">
    <cfRule type="cellIs" dxfId="12080" priority="12196" stopIfTrue="1" operator="lessThan">
      <formula>0.05</formula>
    </cfRule>
    <cfRule type="cellIs" dxfId="12079" priority="12197" stopIfTrue="1" operator="lessThan">
      <formula>0</formula>
    </cfRule>
  </conditionalFormatting>
  <conditionalFormatting sqref="H13:H14">
    <cfRule type="cellIs" dxfId="12078" priority="12194" stopIfTrue="1" operator="lessThan">
      <formula>0</formula>
    </cfRule>
    <cfRule type="cellIs" dxfId="12077" priority="12195" stopIfTrue="1" operator="lessThan">
      <formula>0</formula>
    </cfRule>
  </conditionalFormatting>
  <conditionalFormatting sqref="H13:H14">
    <cfRule type="cellIs" dxfId="12076" priority="12192" stopIfTrue="1" operator="lessThan">
      <formula>0</formula>
    </cfRule>
    <cfRule type="cellIs" dxfId="12075" priority="12193" stopIfTrue="1" operator="lessThan">
      <formula>0</formula>
    </cfRule>
  </conditionalFormatting>
  <conditionalFormatting sqref="H13:H14">
    <cfRule type="cellIs" dxfId="12074" priority="12190" stopIfTrue="1" operator="lessThan">
      <formula>0.05</formula>
    </cfRule>
    <cfRule type="cellIs" dxfId="12073" priority="12191" stopIfTrue="1" operator="lessThan">
      <formula>0</formula>
    </cfRule>
  </conditionalFormatting>
  <conditionalFormatting sqref="H13:H14">
    <cfRule type="cellIs" dxfId="12072" priority="12188" stopIfTrue="1" operator="lessThan">
      <formula>0</formula>
    </cfRule>
    <cfRule type="cellIs" dxfId="12071" priority="12189" stopIfTrue="1" operator="lessThan">
      <formula>0</formula>
    </cfRule>
  </conditionalFormatting>
  <conditionalFormatting sqref="H13:H14">
    <cfRule type="cellIs" dxfId="12070" priority="12186" stopIfTrue="1" operator="lessThan">
      <formula>0</formula>
    </cfRule>
    <cfRule type="cellIs" dxfId="12069" priority="12187" stopIfTrue="1" operator="lessThan">
      <formula>0</formula>
    </cfRule>
  </conditionalFormatting>
  <conditionalFormatting sqref="H13:H14">
    <cfRule type="cellIs" dxfId="12068" priority="12184" stopIfTrue="1" operator="lessThan">
      <formula>0.05</formula>
    </cfRule>
    <cfRule type="cellIs" dxfId="12067" priority="12185" stopIfTrue="1" operator="lessThan">
      <formula>0</formula>
    </cfRule>
  </conditionalFormatting>
  <conditionalFormatting sqref="H13:H14">
    <cfRule type="cellIs" dxfId="12066" priority="12182" stopIfTrue="1" operator="lessThan">
      <formula>0</formula>
    </cfRule>
    <cfRule type="cellIs" dxfId="12065" priority="12183" stopIfTrue="1" operator="lessThan">
      <formula>0</formula>
    </cfRule>
  </conditionalFormatting>
  <conditionalFormatting sqref="H13:H14">
    <cfRule type="cellIs" dxfId="12064" priority="12180" stopIfTrue="1" operator="lessThan">
      <formula>0</formula>
    </cfRule>
    <cfRule type="cellIs" dxfId="12063" priority="12181" stopIfTrue="1" operator="lessThan">
      <formula>0</formula>
    </cfRule>
  </conditionalFormatting>
  <conditionalFormatting sqref="H13:H14">
    <cfRule type="cellIs" dxfId="12062" priority="12178" stopIfTrue="1" operator="lessThan">
      <formula>0.05</formula>
    </cfRule>
    <cfRule type="cellIs" dxfId="12061" priority="12179" stopIfTrue="1" operator="lessThan">
      <formula>0</formula>
    </cfRule>
  </conditionalFormatting>
  <conditionalFormatting sqref="H13:H14">
    <cfRule type="cellIs" dxfId="12060" priority="12176" stopIfTrue="1" operator="lessThan">
      <formula>0</formula>
    </cfRule>
    <cfRule type="cellIs" dxfId="12059" priority="12177" stopIfTrue="1" operator="lessThan">
      <formula>0</formula>
    </cfRule>
  </conditionalFormatting>
  <conditionalFormatting sqref="H13:H14">
    <cfRule type="cellIs" dxfId="12058" priority="12174" stopIfTrue="1" operator="lessThan">
      <formula>0</formula>
    </cfRule>
    <cfRule type="cellIs" dxfId="12057" priority="12175" stopIfTrue="1" operator="lessThan">
      <formula>0</formula>
    </cfRule>
  </conditionalFormatting>
  <conditionalFormatting sqref="H13:H14">
    <cfRule type="cellIs" dxfId="12056" priority="12172" stopIfTrue="1" operator="lessThan">
      <formula>0.05</formula>
    </cfRule>
    <cfRule type="cellIs" dxfId="12055" priority="12173" stopIfTrue="1" operator="lessThan">
      <formula>0</formula>
    </cfRule>
  </conditionalFormatting>
  <conditionalFormatting sqref="H13:H14">
    <cfRule type="cellIs" dxfId="12054" priority="12170" stopIfTrue="1" operator="lessThan">
      <formula>0</formula>
    </cfRule>
    <cfRule type="cellIs" dxfId="12053" priority="12171" stopIfTrue="1" operator="lessThan">
      <formula>0</formula>
    </cfRule>
  </conditionalFormatting>
  <conditionalFormatting sqref="H13:H14">
    <cfRule type="cellIs" dxfId="12052" priority="12168" stopIfTrue="1" operator="lessThan">
      <formula>0</formula>
    </cfRule>
    <cfRule type="cellIs" dxfId="12051" priority="12169" stopIfTrue="1" operator="lessThan">
      <formula>0</formula>
    </cfRule>
  </conditionalFormatting>
  <conditionalFormatting sqref="H13:H14">
    <cfRule type="cellIs" dxfId="12050" priority="12166" stopIfTrue="1" operator="lessThan">
      <formula>0.05</formula>
    </cfRule>
    <cfRule type="cellIs" dxfId="12049" priority="12167" stopIfTrue="1" operator="lessThan">
      <formula>0</formula>
    </cfRule>
  </conditionalFormatting>
  <conditionalFormatting sqref="H13:H14">
    <cfRule type="cellIs" dxfId="12048" priority="12164" stopIfTrue="1" operator="lessThan">
      <formula>0</formula>
    </cfRule>
    <cfRule type="cellIs" dxfId="12047" priority="12165" stopIfTrue="1" operator="lessThan">
      <formula>0</formula>
    </cfRule>
  </conditionalFormatting>
  <conditionalFormatting sqref="H13:H14">
    <cfRule type="cellIs" dxfId="12046" priority="12162" stopIfTrue="1" operator="lessThan">
      <formula>0.05</formula>
    </cfRule>
    <cfRule type="cellIs" dxfId="12045" priority="12163" stopIfTrue="1" operator="lessThan">
      <formula>0</formula>
    </cfRule>
  </conditionalFormatting>
  <conditionalFormatting sqref="H13:H14">
    <cfRule type="cellIs" dxfId="12044" priority="12160" stopIfTrue="1" operator="lessThan">
      <formula>0</formula>
    </cfRule>
    <cfRule type="cellIs" dxfId="12043" priority="12161" stopIfTrue="1" operator="lessThan">
      <formula>0</formula>
    </cfRule>
  </conditionalFormatting>
  <conditionalFormatting sqref="H13:H14">
    <cfRule type="cellIs" dxfId="12042" priority="12158" stopIfTrue="1" operator="lessThan">
      <formula>0.05</formula>
    </cfRule>
    <cfRule type="cellIs" dxfId="12041" priority="12159" stopIfTrue="1" operator="lessThan">
      <formula>0</formula>
    </cfRule>
  </conditionalFormatting>
  <conditionalFormatting sqref="H13:H14">
    <cfRule type="cellIs" dxfId="12040" priority="12156" stopIfTrue="1" operator="lessThan">
      <formula>0</formula>
    </cfRule>
    <cfRule type="cellIs" dxfId="12039" priority="12157" stopIfTrue="1" operator="lessThan">
      <formula>0</formula>
    </cfRule>
  </conditionalFormatting>
  <conditionalFormatting sqref="H13:H14">
    <cfRule type="cellIs" dxfId="12038" priority="12154" stopIfTrue="1" operator="lessThan">
      <formula>0</formula>
    </cfRule>
    <cfRule type="cellIs" dxfId="12037" priority="12155" stopIfTrue="1" operator="lessThan">
      <formula>0</formula>
    </cfRule>
  </conditionalFormatting>
  <conditionalFormatting sqref="H13:H14">
    <cfRule type="cellIs" dxfId="12036" priority="12152" stopIfTrue="1" operator="lessThan">
      <formula>0</formula>
    </cfRule>
    <cfRule type="cellIs" dxfId="12035" priority="12153" stopIfTrue="1" operator="lessThan">
      <formula>0</formula>
    </cfRule>
  </conditionalFormatting>
  <conditionalFormatting sqref="H13:H14">
    <cfRule type="cellIs" dxfId="12034" priority="12150" stopIfTrue="1" operator="lessThan">
      <formula>0.05</formula>
    </cfRule>
    <cfRule type="cellIs" dxfId="12033" priority="12151" stopIfTrue="1" operator="lessThan">
      <formula>0</formula>
    </cfRule>
  </conditionalFormatting>
  <conditionalFormatting sqref="H13:H14">
    <cfRule type="cellIs" dxfId="12032" priority="12148" stopIfTrue="1" operator="lessThan">
      <formula>0</formula>
    </cfRule>
    <cfRule type="cellIs" dxfId="12031" priority="12149" stopIfTrue="1" operator="lessThan">
      <formula>0</formula>
    </cfRule>
  </conditionalFormatting>
  <conditionalFormatting sqref="H13:H14">
    <cfRule type="cellIs" dxfId="12030" priority="12146" stopIfTrue="1" operator="lessThan">
      <formula>0.05</formula>
    </cfRule>
    <cfRule type="cellIs" dxfId="12029" priority="12147" stopIfTrue="1" operator="lessThan">
      <formula>0</formula>
    </cfRule>
  </conditionalFormatting>
  <conditionalFormatting sqref="H13:H14">
    <cfRule type="cellIs" dxfId="12028" priority="12144" stopIfTrue="1" operator="lessThan">
      <formula>0</formula>
    </cfRule>
    <cfRule type="cellIs" dxfId="12027" priority="12145" stopIfTrue="1" operator="lessThan">
      <formula>0</formula>
    </cfRule>
  </conditionalFormatting>
  <conditionalFormatting sqref="H13:H14">
    <cfRule type="cellIs" dxfId="12026" priority="12142" stopIfTrue="1" operator="lessThan">
      <formula>0.05</formula>
    </cfRule>
    <cfRule type="cellIs" dxfId="12025" priority="12143" stopIfTrue="1" operator="lessThan">
      <formula>0</formula>
    </cfRule>
  </conditionalFormatting>
  <conditionalFormatting sqref="H13:H14">
    <cfRule type="cellIs" dxfId="12024" priority="12140" stopIfTrue="1" operator="lessThan">
      <formula>0</formula>
    </cfRule>
    <cfRule type="cellIs" dxfId="12023" priority="12141" stopIfTrue="1" operator="lessThan">
      <formula>0</formula>
    </cfRule>
  </conditionalFormatting>
  <conditionalFormatting sqref="H8:H9">
    <cfRule type="cellIs" dxfId="12022" priority="12138" stopIfTrue="1" operator="lessThan">
      <formula>0</formula>
    </cfRule>
    <cfRule type="cellIs" dxfId="12021" priority="12139" stopIfTrue="1" operator="lessThan">
      <formula>0</formula>
    </cfRule>
  </conditionalFormatting>
  <conditionalFormatting sqref="H8:H9">
    <cfRule type="cellIs" dxfId="12020" priority="12136" stopIfTrue="1" operator="lessThan">
      <formula>0.05</formula>
    </cfRule>
    <cfRule type="cellIs" dxfId="12019" priority="12137" stopIfTrue="1" operator="lessThan">
      <formula>0</formula>
    </cfRule>
  </conditionalFormatting>
  <conditionalFormatting sqref="H8:H9">
    <cfRule type="cellIs" dxfId="12018" priority="12134" stopIfTrue="1" operator="lessThan">
      <formula>0</formula>
    </cfRule>
    <cfRule type="cellIs" dxfId="12017" priority="12135" stopIfTrue="1" operator="lessThan">
      <formula>0</formula>
    </cfRule>
  </conditionalFormatting>
  <conditionalFormatting sqref="H8:H9">
    <cfRule type="cellIs" dxfId="12016" priority="12132" stopIfTrue="1" operator="lessThan">
      <formula>0</formula>
    </cfRule>
    <cfRule type="cellIs" dxfId="12015" priority="12133" stopIfTrue="1" operator="lessThan">
      <formula>0</formula>
    </cfRule>
  </conditionalFormatting>
  <conditionalFormatting sqref="H8:H9">
    <cfRule type="cellIs" dxfId="12014" priority="12130" stopIfTrue="1" operator="lessThan">
      <formula>0.05</formula>
    </cfRule>
    <cfRule type="cellIs" dxfId="12013" priority="12131" stopIfTrue="1" operator="lessThan">
      <formula>0</formula>
    </cfRule>
  </conditionalFormatting>
  <conditionalFormatting sqref="H8:H9">
    <cfRule type="cellIs" dxfId="12012" priority="12128" stopIfTrue="1" operator="lessThan">
      <formula>0</formula>
    </cfRule>
    <cfRule type="cellIs" dxfId="12011" priority="12129" stopIfTrue="1" operator="lessThan">
      <formula>0</formula>
    </cfRule>
  </conditionalFormatting>
  <conditionalFormatting sqref="H8:H9">
    <cfRule type="cellIs" dxfId="12010" priority="12126" stopIfTrue="1" operator="lessThan">
      <formula>0</formula>
    </cfRule>
    <cfRule type="cellIs" dxfId="12009" priority="12127" stopIfTrue="1" operator="lessThan">
      <formula>0</formula>
    </cfRule>
  </conditionalFormatting>
  <conditionalFormatting sqref="H8:H9">
    <cfRule type="cellIs" dxfId="12008" priority="12124" stopIfTrue="1" operator="lessThan">
      <formula>0.05</formula>
    </cfRule>
    <cfRule type="cellIs" dxfId="12007" priority="12125" stopIfTrue="1" operator="lessThan">
      <formula>0</formula>
    </cfRule>
  </conditionalFormatting>
  <conditionalFormatting sqref="H8:H9">
    <cfRule type="cellIs" dxfId="12006" priority="12122" stopIfTrue="1" operator="lessThan">
      <formula>0</formula>
    </cfRule>
    <cfRule type="cellIs" dxfId="12005" priority="12123" stopIfTrue="1" operator="lessThan">
      <formula>0</formula>
    </cfRule>
  </conditionalFormatting>
  <conditionalFormatting sqref="H8:H9">
    <cfRule type="cellIs" dxfId="12004" priority="12120" stopIfTrue="1" operator="lessThan">
      <formula>0</formula>
    </cfRule>
    <cfRule type="cellIs" dxfId="12003" priority="12121" stopIfTrue="1" operator="lessThan">
      <formula>0</formula>
    </cfRule>
  </conditionalFormatting>
  <conditionalFormatting sqref="H8:H9">
    <cfRule type="cellIs" dxfId="12002" priority="12118" stopIfTrue="1" operator="lessThan">
      <formula>0.05</formula>
    </cfRule>
    <cfRule type="cellIs" dxfId="12001" priority="12119" stopIfTrue="1" operator="lessThan">
      <formula>0</formula>
    </cfRule>
  </conditionalFormatting>
  <conditionalFormatting sqref="H8:H9">
    <cfRule type="cellIs" dxfId="12000" priority="12116" stopIfTrue="1" operator="lessThan">
      <formula>0</formula>
    </cfRule>
    <cfRule type="cellIs" dxfId="11999" priority="12117" stopIfTrue="1" operator="lessThan">
      <formula>0</formula>
    </cfRule>
  </conditionalFormatting>
  <conditionalFormatting sqref="H8:H9">
    <cfRule type="cellIs" dxfId="11998" priority="12114" stopIfTrue="1" operator="lessThan">
      <formula>0</formula>
    </cfRule>
    <cfRule type="cellIs" dxfId="11997" priority="12115" stopIfTrue="1" operator="lessThan">
      <formula>0</formula>
    </cfRule>
  </conditionalFormatting>
  <conditionalFormatting sqref="H8:H9">
    <cfRule type="cellIs" dxfId="11996" priority="12112" stopIfTrue="1" operator="lessThan">
      <formula>0.05</formula>
    </cfRule>
    <cfRule type="cellIs" dxfId="11995" priority="12113" stopIfTrue="1" operator="lessThan">
      <formula>0</formula>
    </cfRule>
  </conditionalFormatting>
  <conditionalFormatting sqref="H8:H9">
    <cfRule type="cellIs" dxfId="11994" priority="12110" stopIfTrue="1" operator="lessThan">
      <formula>0</formula>
    </cfRule>
    <cfRule type="cellIs" dxfId="11993" priority="12111" stopIfTrue="1" operator="lessThan">
      <formula>0</formula>
    </cfRule>
  </conditionalFormatting>
  <conditionalFormatting sqref="H8:H9">
    <cfRule type="cellIs" dxfId="11992" priority="12108" stopIfTrue="1" operator="lessThan">
      <formula>0</formula>
    </cfRule>
    <cfRule type="cellIs" dxfId="11991" priority="12109" stopIfTrue="1" operator="lessThan">
      <formula>0</formula>
    </cfRule>
  </conditionalFormatting>
  <conditionalFormatting sqref="H8:H9">
    <cfRule type="cellIs" dxfId="11990" priority="12106" stopIfTrue="1" operator="lessThan">
      <formula>0.05</formula>
    </cfRule>
    <cfRule type="cellIs" dxfId="11989" priority="12107" stopIfTrue="1" operator="lessThan">
      <formula>0</formula>
    </cfRule>
  </conditionalFormatting>
  <conditionalFormatting sqref="H8:H9">
    <cfRule type="cellIs" dxfId="11988" priority="12104" stopIfTrue="1" operator="lessThan">
      <formula>0</formula>
    </cfRule>
    <cfRule type="cellIs" dxfId="11987" priority="12105" stopIfTrue="1" operator="lessThan">
      <formula>0</formula>
    </cfRule>
  </conditionalFormatting>
  <conditionalFormatting sqref="H8:H9">
    <cfRule type="cellIs" dxfId="11986" priority="12102" stopIfTrue="1" operator="lessThan">
      <formula>0</formula>
    </cfRule>
    <cfRule type="cellIs" dxfId="11985" priority="12103" stopIfTrue="1" operator="lessThan">
      <formula>0</formula>
    </cfRule>
  </conditionalFormatting>
  <conditionalFormatting sqref="H8:H9">
    <cfRule type="cellIs" dxfId="11984" priority="12100" stopIfTrue="1" operator="lessThan">
      <formula>0.05</formula>
    </cfRule>
    <cfRule type="cellIs" dxfId="11983" priority="12101" stopIfTrue="1" operator="lessThan">
      <formula>0</formula>
    </cfRule>
  </conditionalFormatting>
  <conditionalFormatting sqref="H8:H9">
    <cfRule type="cellIs" dxfId="11982" priority="12098" stopIfTrue="1" operator="lessThan">
      <formula>0</formula>
    </cfRule>
    <cfRule type="cellIs" dxfId="11981" priority="12099" stopIfTrue="1" operator="lessThan">
      <formula>0</formula>
    </cfRule>
  </conditionalFormatting>
  <conditionalFormatting sqref="H8:H9">
    <cfRule type="cellIs" dxfId="11980" priority="12096" stopIfTrue="1" operator="lessThan">
      <formula>0</formula>
    </cfRule>
    <cfRule type="cellIs" dxfId="11979" priority="12097" stopIfTrue="1" operator="lessThan">
      <formula>0</formula>
    </cfRule>
  </conditionalFormatting>
  <conditionalFormatting sqref="H8:H9">
    <cfRule type="cellIs" dxfId="11978" priority="12094" stopIfTrue="1" operator="lessThan">
      <formula>0.05</formula>
    </cfRule>
    <cfRule type="cellIs" dxfId="11977" priority="12095" stopIfTrue="1" operator="lessThan">
      <formula>0</formula>
    </cfRule>
  </conditionalFormatting>
  <conditionalFormatting sqref="H8:H9">
    <cfRule type="cellIs" dxfId="11976" priority="12092" stopIfTrue="1" operator="lessThan">
      <formula>0</formula>
    </cfRule>
    <cfRule type="cellIs" dxfId="11975" priority="12093" stopIfTrue="1" operator="lessThan">
      <formula>0</formula>
    </cfRule>
  </conditionalFormatting>
  <conditionalFormatting sqref="H8:H9">
    <cfRule type="cellIs" dxfId="11974" priority="12090" stopIfTrue="1" operator="lessThan">
      <formula>0</formula>
    </cfRule>
    <cfRule type="cellIs" dxfId="11973" priority="12091" stopIfTrue="1" operator="lessThan">
      <formula>0</formula>
    </cfRule>
  </conditionalFormatting>
  <conditionalFormatting sqref="H8:H9">
    <cfRule type="cellIs" dxfId="11972" priority="12088" stopIfTrue="1" operator="lessThan">
      <formula>0.05</formula>
    </cfRule>
    <cfRule type="cellIs" dxfId="11971" priority="12089" stopIfTrue="1" operator="lessThan">
      <formula>0</formula>
    </cfRule>
  </conditionalFormatting>
  <conditionalFormatting sqref="H8:H9">
    <cfRule type="cellIs" dxfId="11970" priority="12086" stopIfTrue="1" operator="lessThan">
      <formula>0</formula>
    </cfRule>
    <cfRule type="cellIs" dxfId="11969" priority="12087" stopIfTrue="1" operator="lessThan">
      <formula>0</formula>
    </cfRule>
  </conditionalFormatting>
  <conditionalFormatting sqref="H8:H9">
    <cfRule type="cellIs" dxfId="11968" priority="12084" stopIfTrue="1" operator="lessThan">
      <formula>0</formula>
    </cfRule>
    <cfRule type="cellIs" dxfId="11967" priority="12085" stopIfTrue="1" operator="lessThan">
      <formula>0</formula>
    </cfRule>
  </conditionalFormatting>
  <conditionalFormatting sqref="H8:H9">
    <cfRule type="cellIs" dxfId="11966" priority="12082" stopIfTrue="1" operator="lessThan">
      <formula>0.05</formula>
    </cfRule>
    <cfRule type="cellIs" dxfId="11965" priority="12083" stopIfTrue="1" operator="lessThan">
      <formula>0</formula>
    </cfRule>
  </conditionalFormatting>
  <conditionalFormatting sqref="H8:H9">
    <cfRule type="cellIs" dxfId="11964" priority="12080" stopIfTrue="1" operator="lessThan">
      <formula>0</formula>
    </cfRule>
    <cfRule type="cellIs" dxfId="11963" priority="12081" stopIfTrue="1" operator="lessThan">
      <formula>0</formula>
    </cfRule>
  </conditionalFormatting>
  <conditionalFormatting sqref="H8:H9">
    <cfRule type="cellIs" dxfId="11962" priority="12078" stopIfTrue="1" operator="lessThan">
      <formula>0</formula>
    </cfRule>
    <cfRule type="cellIs" dxfId="11961" priority="12079" stopIfTrue="1" operator="lessThan">
      <formula>0</formula>
    </cfRule>
  </conditionalFormatting>
  <conditionalFormatting sqref="H8:H9">
    <cfRule type="cellIs" dxfId="11960" priority="12076" stopIfTrue="1" operator="lessThan">
      <formula>0.05</formula>
    </cfRule>
    <cfRule type="cellIs" dxfId="11959" priority="12077" stopIfTrue="1" operator="lessThan">
      <formula>0</formula>
    </cfRule>
  </conditionalFormatting>
  <conditionalFormatting sqref="H8:H9">
    <cfRule type="cellIs" dxfId="11958" priority="12074" stopIfTrue="1" operator="lessThan">
      <formula>0</formula>
    </cfRule>
    <cfRule type="cellIs" dxfId="11957" priority="12075" stopIfTrue="1" operator="lessThan">
      <formula>0</formula>
    </cfRule>
  </conditionalFormatting>
  <conditionalFormatting sqref="H8:H9">
    <cfRule type="cellIs" dxfId="11956" priority="12072" stopIfTrue="1" operator="lessThan">
      <formula>0</formula>
    </cfRule>
    <cfRule type="cellIs" dxfId="11955" priority="12073" stopIfTrue="1" operator="lessThan">
      <formula>0</formula>
    </cfRule>
  </conditionalFormatting>
  <conditionalFormatting sqref="H8:H9">
    <cfRule type="cellIs" dxfId="11954" priority="12070" stopIfTrue="1" operator="lessThan">
      <formula>0.05</formula>
    </cfRule>
    <cfRule type="cellIs" dxfId="11953" priority="12071" stopIfTrue="1" operator="lessThan">
      <formula>0</formula>
    </cfRule>
  </conditionalFormatting>
  <conditionalFormatting sqref="H8:H9">
    <cfRule type="cellIs" dxfId="11952" priority="12068" stopIfTrue="1" operator="lessThan">
      <formula>0</formula>
    </cfRule>
    <cfRule type="cellIs" dxfId="11951" priority="12069" stopIfTrue="1" operator="lessThan">
      <formula>0</formula>
    </cfRule>
  </conditionalFormatting>
  <conditionalFormatting sqref="H8:H9">
    <cfRule type="cellIs" dxfId="11950" priority="12066" stopIfTrue="1" operator="lessThan">
      <formula>0.05</formula>
    </cfRule>
    <cfRule type="cellIs" dxfId="11949" priority="12067" stopIfTrue="1" operator="lessThan">
      <formula>0</formula>
    </cfRule>
  </conditionalFormatting>
  <conditionalFormatting sqref="H8:H9">
    <cfRule type="cellIs" dxfId="11948" priority="12064" stopIfTrue="1" operator="lessThan">
      <formula>0</formula>
    </cfRule>
    <cfRule type="cellIs" dxfId="11947" priority="12065" stopIfTrue="1" operator="lessThan">
      <formula>0</formula>
    </cfRule>
  </conditionalFormatting>
  <conditionalFormatting sqref="H8:H9">
    <cfRule type="cellIs" dxfId="11946" priority="12062" stopIfTrue="1" operator="lessThan">
      <formula>0.05</formula>
    </cfRule>
    <cfRule type="cellIs" dxfId="11945" priority="12063" stopIfTrue="1" operator="lessThan">
      <formula>0</formula>
    </cfRule>
  </conditionalFormatting>
  <conditionalFormatting sqref="H8:H9">
    <cfRule type="cellIs" dxfId="11944" priority="12060" stopIfTrue="1" operator="lessThan">
      <formula>0</formula>
    </cfRule>
    <cfRule type="cellIs" dxfId="11943" priority="12061" stopIfTrue="1" operator="lessThan">
      <formula>0</formula>
    </cfRule>
  </conditionalFormatting>
  <conditionalFormatting sqref="H8:H9">
    <cfRule type="cellIs" dxfId="11942" priority="12058" stopIfTrue="1" operator="lessThan">
      <formula>0</formula>
    </cfRule>
    <cfRule type="cellIs" dxfId="11941" priority="12059" stopIfTrue="1" operator="lessThan">
      <formula>0</formula>
    </cfRule>
  </conditionalFormatting>
  <conditionalFormatting sqref="H8:H9">
    <cfRule type="cellIs" dxfId="11940" priority="12056" stopIfTrue="1" operator="lessThan">
      <formula>0</formula>
    </cfRule>
    <cfRule type="cellIs" dxfId="11939" priority="12057" stopIfTrue="1" operator="lessThan">
      <formula>0</formula>
    </cfRule>
  </conditionalFormatting>
  <conditionalFormatting sqref="H8:H9">
    <cfRule type="cellIs" dxfId="11938" priority="12054" stopIfTrue="1" operator="lessThan">
      <formula>0.05</formula>
    </cfRule>
    <cfRule type="cellIs" dxfId="11937" priority="12055" stopIfTrue="1" operator="lessThan">
      <formula>0</formula>
    </cfRule>
  </conditionalFormatting>
  <conditionalFormatting sqref="H8:H9">
    <cfRule type="cellIs" dxfId="11936" priority="12052" stopIfTrue="1" operator="lessThan">
      <formula>0</formula>
    </cfRule>
    <cfRule type="cellIs" dxfId="11935" priority="12053" stopIfTrue="1" operator="lessThan">
      <formula>0</formula>
    </cfRule>
  </conditionalFormatting>
  <conditionalFormatting sqref="H8:H9">
    <cfRule type="cellIs" dxfId="11934" priority="12050" stopIfTrue="1" operator="lessThan">
      <formula>0.05</formula>
    </cfRule>
    <cfRule type="cellIs" dxfId="11933" priority="12051" stopIfTrue="1" operator="lessThan">
      <formula>0</formula>
    </cfRule>
  </conditionalFormatting>
  <conditionalFormatting sqref="H8:H9">
    <cfRule type="cellIs" dxfId="11932" priority="12048" stopIfTrue="1" operator="lessThan">
      <formula>0</formula>
    </cfRule>
    <cfRule type="cellIs" dxfId="11931" priority="12049" stopIfTrue="1" operator="lessThan">
      <formula>0</formula>
    </cfRule>
  </conditionalFormatting>
  <conditionalFormatting sqref="H8:H9">
    <cfRule type="cellIs" dxfId="11930" priority="12046" stopIfTrue="1" operator="lessThan">
      <formula>0.05</formula>
    </cfRule>
    <cfRule type="cellIs" dxfId="11929" priority="12047" stopIfTrue="1" operator="lessThan">
      <formula>0</formula>
    </cfRule>
  </conditionalFormatting>
  <conditionalFormatting sqref="H8:H9">
    <cfRule type="cellIs" dxfId="11928" priority="12044" stopIfTrue="1" operator="lessThan">
      <formula>0</formula>
    </cfRule>
    <cfRule type="cellIs" dxfId="11927" priority="12045" stopIfTrue="1" operator="lessThan">
      <formula>0</formula>
    </cfRule>
  </conditionalFormatting>
  <conditionalFormatting sqref="H166">
    <cfRule type="cellIs" dxfId="11926" priority="12042" stopIfTrue="1" operator="lessThan">
      <formula>0</formula>
    </cfRule>
    <cfRule type="cellIs" dxfId="11925" priority="12043" stopIfTrue="1" operator="lessThan">
      <formula>0</formula>
    </cfRule>
  </conditionalFormatting>
  <conditionalFormatting sqref="H166">
    <cfRule type="cellIs" dxfId="11924" priority="12040" stopIfTrue="1" operator="lessThan">
      <formula>0</formula>
    </cfRule>
    <cfRule type="cellIs" dxfId="11923" priority="12041" stopIfTrue="1" operator="lessThan">
      <formula>0</formula>
    </cfRule>
  </conditionalFormatting>
  <conditionalFormatting sqref="H166">
    <cfRule type="cellIs" dxfId="11922" priority="12038" stopIfTrue="1" operator="lessThan">
      <formula>0.05</formula>
    </cfRule>
    <cfRule type="cellIs" dxfId="11921" priority="12039" stopIfTrue="1" operator="lessThan">
      <formula>0</formula>
    </cfRule>
  </conditionalFormatting>
  <conditionalFormatting sqref="H166">
    <cfRule type="cellIs" dxfId="11920" priority="12036" stopIfTrue="1" operator="lessThan">
      <formula>0</formula>
    </cfRule>
    <cfRule type="cellIs" dxfId="11919" priority="12037" stopIfTrue="1" operator="lessThan">
      <formula>0</formula>
    </cfRule>
  </conditionalFormatting>
  <conditionalFormatting sqref="H166">
    <cfRule type="cellIs" dxfId="11918" priority="12034" stopIfTrue="1" operator="lessThan">
      <formula>0.05</formula>
    </cfRule>
    <cfRule type="cellIs" dxfId="11917" priority="12035" stopIfTrue="1" operator="lessThan">
      <formula>0</formula>
    </cfRule>
  </conditionalFormatting>
  <conditionalFormatting sqref="H166">
    <cfRule type="cellIs" dxfId="11916" priority="12032" stopIfTrue="1" operator="lessThan">
      <formula>0</formula>
    </cfRule>
    <cfRule type="cellIs" dxfId="11915" priority="12033" stopIfTrue="1" operator="lessThan">
      <formula>0</formula>
    </cfRule>
  </conditionalFormatting>
  <conditionalFormatting sqref="H166">
    <cfRule type="cellIs" dxfId="11914" priority="12030" stopIfTrue="1" operator="lessThan">
      <formula>0.05</formula>
    </cfRule>
    <cfRule type="cellIs" dxfId="11913" priority="12031" stopIfTrue="1" operator="lessThan">
      <formula>0</formula>
    </cfRule>
  </conditionalFormatting>
  <conditionalFormatting sqref="H166">
    <cfRule type="cellIs" dxfId="11912" priority="12028" stopIfTrue="1" operator="lessThan">
      <formula>0</formula>
    </cfRule>
    <cfRule type="cellIs" dxfId="11911" priority="12029" stopIfTrue="1" operator="lessThan">
      <formula>0</formula>
    </cfRule>
  </conditionalFormatting>
  <conditionalFormatting sqref="H166">
    <cfRule type="cellIs" dxfId="11910" priority="12026" stopIfTrue="1" operator="lessThan">
      <formula>0</formula>
    </cfRule>
    <cfRule type="cellIs" dxfId="11909" priority="12027" stopIfTrue="1" operator="lessThan">
      <formula>0</formula>
    </cfRule>
  </conditionalFormatting>
  <conditionalFormatting sqref="H166">
    <cfRule type="cellIs" dxfId="11908" priority="12024" stopIfTrue="1" operator="lessThan">
      <formula>0</formula>
    </cfRule>
    <cfRule type="cellIs" dxfId="11907" priority="12025" stopIfTrue="1" operator="lessThan">
      <formula>0</formula>
    </cfRule>
  </conditionalFormatting>
  <conditionalFormatting sqref="H166">
    <cfRule type="cellIs" dxfId="11906" priority="12022" stopIfTrue="1" operator="lessThan">
      <formula>0.05</formula>
    </cfRule>
    <cfRule type="cellIs" dxfId="11905" priority="12023" stopIfTrue="1" operator="lessThan">
      <formula>0</formula>
    </cfRule>
  </conditionalFormatting>
  <conditionalFormatting sqref="H166">
    <cfRule type="cellIs" dxfId="11904" priority="12020" stopIfTrue="1" operator="lessThan">
      <formula>0</formula>
    </cfRule>
    <cfRule type="cellIs" dxfId="11903" priority="12021" stopIfTrue="1" operator="lessThan">
      <formula>0</formula>
    </cfRule>
  </conditionalFormatting>
  <conditionalFormatting sqref="H166">
    <cfRule type="cellIs" dxfId="11902" priority="12018" stopIfTrue="1" operator="lessThan">
      <formula>0.05</formula>
    </cfRule>
    <cfRule type="cellIs" dxfId="11901" priority="12019" stopIfTrue="1" operator="lessThan">
      <formula>0</formula>
    </cfRule>
  </conditionalFormatting>
  <conditionalFormatting sqref="H166">
    <cfRule type="cellIs" dxfId="11900" priority="12016" stopIfTrue="1" operator="lessThan">
      <formula>0</formula>
    </cfRule>
    <cfRule type="cellIs" dxfId="11899" priority="12017" stopIfTrue="1" operator="lessThan">
      <formula>0</formula>
    </cfRule>
  </conditionalFormatting>
  <conditionalFormatting sqref="H166">
    <cfRule type="cellIs" dxfId="11898" priority="12014" stopIfTrue="1" operator="lessThan">
      <formula>0.05</formula>
    </cfRule>
    <cfRule type="cellIs" dxfId="11897" priority="12015" stopIfTrue="1" operator="lessThan">
      <formula>0</formula>
    </cfRule>
  </conditionalFormatting>
  <conditionalFormatting sqref="H166">
    <cfRule type="cellIs" dxfId="11896" priority="12012" stopIfTrue="1" operator="lessThan">
      <formula>0</formula>
    </cfRule>
    <cfRule type="cellIs" dxfId="11895" priority="12013" stopIfTrue="1" operator="lessThan">
      <formula>0</formula>
    </cfRule>
  </conditionalFormatting>
  <conditionalFormatting sqref="H102">
    <cfRule type="cellIs" dxfId="11894" priority="12010" stopIfTrue="1" operator="lessThan">
      <formula>0</formula>
    </cfRule>
    <cfRule type="cellIs" dxfId="11893" priority="12011" stopIfTrue="1" operator="lessThan">
      <formula>0</formula>
    </cfRule>
  </conditionalFormatting>
  <conditionalFormatting sqref="H102">
    <cfRule type="cellIs" dxfId="11892" priority="12008" stopIfTrue="1" operator="lessThan">
      <formula>0</formula>
    </cfRule>
    <cfRule type="cellIs" dxfId="11891" priority="12009" stopIfTrue="1" operator="lessThan">
      <formula>0</formula>
    </cfRule>
  </conditionalFormatting>
  <conditionalFormatting sqref="H102">
    <cfRule type="cellIs" dxfId="11890" priority="12006" stopIfTrue="1" operator="lessThan">
      <formula>0.05</formula>
    </cfRule>
    <cfRule type="cellIs" dxfId="11889" priority="12007" stopIfTrue="1" operator="lessThan">
      <formula>0</formula>
    </cfRule>
  </conditionalFormatting>
  <conditionalFormatting sqref="H102">
    <cfRule type="cellIs" dxfId="11888" priority="12004" stopIfTrue="1" operator="lessThan">
      <formula>0</formula>
    </cfRule>
    <cfRule type="cellIs" dxfId="11887" priority="12005" stopIfTrue="1" operator="lessThan">
      <formula>0</formula>
    </cfRule>
  </conditionalFormatting>
  <conditionalFormatting sqref="H102">
    <cfRule type="cellIs" dxfId="11886" priority="12002" stopIfTrue="1" operator="lessThan">
      <formula>0.05</formula>
    </cfRule>
    <cfRule type="cellIs" dxfId="11885" priority="12003" stopIfTrue="1" operator="lessThan">
      <formula>0</formula>
    </cfRule>
  </conditionalFormatting>
  <conditionalFormatting sqref="H102">
    <cfRule type="cellIs" dxfId="11884" priority="12000" stopIfTrue="1" operator="lessThan">
      <formula>0</formula>
    </cfRule>
    <cfRule type="cellIs" dxfId="11883" priority="12001" stopIfTrue="1" operator="lessThan">
      <formula>0</formula>
    </cfRule>
  </conditionalFormatting>
  <conditionalFormatting sqref="H102">
    <cfRule type="cellIs" dxfId="11882" priority="11998" stopIfTrue="1" operator="lessThan">
      <formula>0.05</formula>
    </cfRule>
    <cfRule type="cellIs" dxfId="11881" priority="11999" stopIfTrue="1" operator="lessThan">
      <formula>0</formula>
    </cfRule>
  </conditionalFormatting>
  <conditionalFormatting sqref="H102">
    <cfRule type="cellIs" dxfId="11880" priority="11996" stopIfTrue="1" operator="lessThan">
      <formula>0</formula>
    </cfRule>
    <cfRule type="cellIs" dxfId="11879" priority="11997" stopIfTrue="1" operator="lessThan">
      <formula>0</formula>
    </cfRule>
  </conditionalFormatting>
  <conditionalFormatting sqref="H102">
    <cfRule type="cellIs" dxfId="11878" priority="11994" stopIfTrue="1" operator="lessThan">
      <formula>0</formula>
    </cfRule>
    <cfRule type="cellIs" dxfId="11877" priority="11995" stopIfTrue="1" operator="lessThan">
      <formula>0</formula>
    </cfRule>
  </conditionalFormatting>
  <conditionalFormatting sqref="H102">
    <cfRule type="cellIs" dxfId="11876" priority="11992" stopIfTrue="1" operator="lessThan">
      <formula>0</formula>
    </cfRule>
    <cfRule type="cellIs" dxfId="11875" priority="11993" stopIfTrue="1" operator="lessThan">
      <formula>0</formula>
    </cfRule>
  </conditionalFormatting>
  <conditionalFormatting sqref="H102">
    <cfRule type="cellIs" dxfId="11874" priority="11990" stopIfTrue="1" operator="lessThan">
      <formula>0.05</formula>
    </cfRule>
    <cfRule type="cellIs" dxfId="11873" priority="11991" stopIfTrue="1" operator="lessThan">
      <formula>0</formula>
    </cfRule>
  </conditionalFormatting>
  <conditionalFormatting sqref="H102">
    <cfRule type="cellIs" dxfId="11872" priority="11988" stopIfTrue="1" operator="lessThan">
      <formula>0</formula>
    </cfRule>
    <cfRule type="cellIs" dxfId="11871" priority="11989" stopIfTrue="1" operator="lessThan">
      <formula>0</formula>
    </cfRule>
  </conditionalFormatting>
  <conditionalFormatting sqref="H102">
    <cfRule type="cellIs" dxfId="11870" priority="11986" stopIfTrue="1" operator="lessThan">
      <formula>0.05</formula>
    </cfRule>
    <cfRule type="cellIs" dxfId="11869" priority="11987" stopIfTrue="1" operator="lessThan">
      <formula>0</formula>
    </cfRule>
  </conditionalFormatting>
  <conditionalFormatting sqref="H102">
    <cfRule type="cellIs" dxfId="11868" priority="11984" stopIfTrue="1" operator="lessThan">
      <formula>0</formula>
    </cfRule>
    <cfRule type="cellIs" dxfId="11867" priority="11985" stopIfTrue="1" operator="lessThan">
      <formula>0</formula>
    </cfRule>
  </conditionalFormatting>
  <conditionalFormatting sqref="H102">
    <cfRule type="cellIs" dxfId="11866" priority="11982" stopIfTrue="1" operator="lessThan">
      <formula>0.05</formula>
    </cfRule>
    <cfRule type="cellIs" dxfId="11865" priority="11983" stopIfTrue="1" operator="lessThan">
      <formula>0</formula>
    </cfRule>
  </conditionalFormatting>
  <conditionalFormatting sqref="H102">
    <cfRule type="cellIs" dxfId="11864" priority="11980" stopIfTrue="1" operator="lessThan">
      <formula>0</formula>
    </cfRule>
    <cfRule type="cellIs" dxfId="11863" priority="11981" stopIfTrue="1" operator="lessThan">
      <formula>0</formula>
    </cfRule>
  </conditionalFormatting>
  <conditionalFormatting sqref="H102">
    <cfRule type="cellIs" dxfId="11862" priority="11978" stopIfTrue="1" operator="lessThan">
      <formula>0</formula>
    </cfRule>
    <cfRule type="cellIs" dxfId="11861" priority="11979" stopIfTrue="1" operator="lessThan">
      <formula>0</formula>
    </cfRule>
  </conditionalFormatting>
  <conditionalFormatting sqref="H102">
    <cfRule type="cellIs" dxfId="11860" priority="11976" stopIfTrue="1" operator="lessThan">
      <formula>0.05</formula>
    </cfRule>
    <cfRule type="cellIs" dxfId="11859" priority="11977" stopIfTrue="1" operator="lessThan">
      <formula>0</formula>
    </cfRule>
  </conditionalFormatting>
  <conditionalFormatting sqref="H102">
    <cfRule type="cellIs" dxfId="11858" priority="11974" stopIfTrue="1" operator="lessThan">
      <formula>0</formula>
    </cfRule>
    <cfRule type="cellIs" dxfId="11857" priority="11975" stopIfTrue="1" operator="lessThan">
      <formula>0</formula>
    </cfRule>
  </conditionalFormatting>
  <conditionalFormatting sqref="H102">
    <cfRule type="cellIs" dxfId="11856" priority="11972" stopIfTrue="1" operator="lessThan">
      <formula>0.05</formula>
    </cfRule>
    <cfRule type="cellIs" dxfId="11855" priority="11973" stopIfTrue="1" operator="lessThan">
      <formula>0</formula>
    </cfRule>
  </conditionalFormatting>
  <conditionalFormatting sqref="H102">
    <cfRule type="cellIs" dxfId="11854" priority="11970" stopIfTrue="1" operator="lessThan">
      <formula>0</formula>
    </cfRule>
    <cfRule type="cellIs" dxfId="11853" priority="11971" stopIfTrue="1" operator="lessThan">
      <formula>0</formula>
    </cfRule>
  </conditionalFormatting>
  <conditionalFormatting sqref="H102">
    <cfRule type="cellIs" dxfId="11852" priority="11968" stopIfTrue="1" operator="lessThan">
      <formula>0.05</formula>
    </cfRule>
    <cfRule type="cellIs" dxfId="11851" priority="11969" stopIfTrue="1" operator="lessThan">
      <formula>0</formula>
    </cfRule>
  </conditionalFormatting>
  <conditionalFormatting sqref="H102">
    <cfRule type="cellIs" dxfId="11850" priority="11966" stopIfTrue="1" operator="lessThan">
      <formula>0</formula>
    </cfRule>
    <cfRule type="cellIs" dxfId="11849" priority="11967" stopIfTrue="1" operator="lessThan">
      <formula>0</formula>
    </cfRule>
  </conditionalFormatting>
  <conditionalFormatting sqref="H102">
    <cfRule type="cellIs" dxfId="11848" priority="11964" stopIfTrue="1" operator="lessThan">
      <formula>0</formula>
    </cfRule>
    <cfRule type="cellIs" dxfId="11847" priority="11965" stopIfTrue="1" operator="lessThan">
      <formula>0</formula>
    </cfRule>
  </conditionalFormatting>
  <conditionalFormatting sqref="H102">
    <cfRule type="cellIs" dxfId="11846" priority="11962" stopIfTrue="1" operator="lessThan">
      <formula>0</formula>
    </cfRule>
    <cfRule type="cellIs" dxfId="11845" priority="11963" stopIfTrue="1" operator="lessThan">
      <formula>0</formula>
    </cfRule>
  </conditionalFormatting>
  <conditionalFormatting sqref="H102">
    <cfRule type="cellIs" dxfId="11844" priority="11960" stopIfTrue="1" operator="lessThan">
      <formula>0.05</formula>
    </cfRule>
    <cfRule type="cellIs" dxfId="11843" priority="11961" stopIfTrue="1" operator="lessThan">
      <formula>0</formula>
    </cfRule>
  </conditionalFormatting>
  <conditionalFormatting sqref="H102">
    <cfRule type="cellIs" dxfId="11842" priority="11958" stopIfTrue="1" operator="lessThan">
      <formula>0</formula>
    </cfRule>
    <cfRule type="cellIs" dxfId="11841" priority="11959" stopIfTrue="1" operator="lessThan">
      <formula>0</formula>
    </cfRule>
  </conditionalFormatting>
  <conditionalFormatting sqref="H102">
    <cfRule type="cellIs" dxfId="11840" priority="11956" stopIfTrue="1" operator="lessThan">
      <formula>0.05</formula>
    </cfRule>
    <cfRule type="cellIs" dxfId="11839" priority="11957" stopIfTrue="1" operator="lessThan">
      <formula>0</formula>
    </cfRule>
  </conditionalFormatting>
  <conditionalFormatting sqref="H102">
    <cfRule type="cellIs" dxfId="11838" priority="11954" stopIfTrue="1" operator="lessThan">
      <formula>0</formula>
    </cfRule>
    <cfRule type="cellIs" dxfId="11837" priority="11955" stopIfTrue="1" operator="lessThan">
      <formula>0</formula>
    </cfRule>
  </conditionalFormatting>
  <conditionalFormatting sqref="H102">
    <cfRule type="cellIs" dxfId="11836" priority="11952" stopIfTrue="1" operator="lessThan">
      <formula>0.05</formula>
    </cfRule>
    <cfRule type="cellIs" dxfId="11835" priority="11953" stopIfTrue="1" operator="lessThan">
      <formula>0</formula>
    </cfRule>
  </conditionalFormatting>
  <conditionalFormatting sqref="H102">
    <cfRule type="cellIs" dxfId="11834" priority="11950" stopIfTrue="1" operator="lessThan">
      <formula>0</formula>
    </cfRule>
    <cfRule type="cellIs" dxfId="11833" priority="11951" stopIfTrue="1" operator="lessThan">
      <formula>0</formula>
    </cfRule>
  </conditionalFormatting>
  <conditionalFormatting sqref="H8">
    <cfRule type="cellIs" dxfId="11832" priority="11949" stopIfTrue="1" operator="lessThan">
      <formula>0.05</formula>
    </cfRule>
  </conditionalFormatting>
  <conditionalFormatting sqref="H9">
    <cfRule type="cellIs" dxfId="11831" priority="11948" stopIfTrue="1" operator="lessThan">
      <formula>0.05</formula>
    </cfRule>
  </conditionalFormatting>
  <conditionalFormatting sqref="H13:H14">
    <cfRule type="cellIs" dxfId="11830" priority="11946" stopIfTrue="1" operator="lessThan">
      <formula>0</formula>
    </cfRule>
    <cfRule type="cellIs" dxfId="11829" priority="11947" stopIfTrue="1" operator="lessThan">
      <formula>0</formula>
    </cfRule>
  </conditionalFormatting>
  <conditionalFormatting sqref="H13:H14">
    <cfRule type="cellIs" dxfId="11828" priority="11944" stopIfTrue="1" operator="lessThan">
      <formula>0.05</formula>
    </cfRule>
    <cfRule type="cellIs" dxfId="11827" priority="11945" stopIfTrue="1" operator="lessThan">
      <formula>0</formula>
    </cfRule>
  </conditionalFormatting>
  <conditionalFormatting sqref="H13:H14">
    <cfRule type="cellIs" dxfId="11826" priority="11942" stopIfTrue="1" operator="lessThan">
      <formula>0</formula>
    </cfRule>
    <cfRule type="cellIs" dxfId="11825" priority="11943" stopIfTrue="1" operator="lessThan">
      <formula>0</formula>
    </cfRule>
  </conditionalFormatting>
  <conditionalFormatting sqref="H13:H14">
    <cfRule type="cellIs" dxfId="11824" priority="11940" stopIfTrue="1" operator="lessThan">
      <formula>0</formula>
    </cfRule>
    <cfRule type="cellIs" dxfId="11823" priority="11941" stopIfTrue="1" operator="lessThan">
      <formula>0</formula>
    </cfRule>
  </conditionalFormatting>
  <conditionalFormatting sqref="H13:H14">
    <cfRule type="cellIs" dxfId="11822" priority="11938" stopIfTrue="1" operator="lessThan">
      <formula>0.05</formula>
    </cfRule>
    <cfRule type="cellIs" dxfId="11821" priority="11939" stopIfTrue="1" operator="lessThan">
      <formula>0</formula>
    </cfRule>
  </conditionalFormatting>
  <conditionalFormatting sqref="H13:H14">
    <cfRule type="cellIs" dxfId="11820" priority="11936" stopIfTrue="1" operator="lessThan">
      <formula>0</formula>
    </cfRule>
    <cfRule type="cellIs" dxfId="11819" priority="11937" stopIfTrue="1" operator="lessThan">
      <formula>0</formula>
    </cfRule>
  </conditionalFormatting>
  <conditionalFormatting sqref="H13:H14">
    <cfRule type="cellIs" dxfId="11818" priority="11934" stopIfTrue="1" operator="lessThan">
      <formula>0</formula>
    </cfRule>
    <cfRule type="cellIs" dxfId="11817" priority="11935" stopIfTrue="1" operator="lessThan">
      <formula>0</formula>
    </cfRule>
  </conditionalFormatting>
  <conditionalFormatting sqref="H13:H14">
    <cfRule type="cellIs" dxfId="11816" priority="11932" stopIfTrue="1" operator="lessThan">
      <formula>0.05</formula>
    </cfRule>
    <cfRule type="cellIs" dxfId="11815" priority="11933" stopIfTrue="1" operator="lessThan">
      <formula>0</formula>
    </cfRule>
  </conditionalFormatting>
  <conditionalFormatting sqref="H13:H14">
    <cfRule type="cellIs" dxfId="11814" priority="11930" stopIfTrue="1" operator="lessThan">
      <formula>0</formula>
    </cfRule>
    <cfRule type="cellIs" dxfId="11813" priority="11931" stopIfTrue="1" operator="lessThan">
      <formula>0</formula>
    </cfRule>
  </conditionalFormatting>
  <conditionalFormatting sqref="H13:H14">
    <cfRule type="cellIs" dxfId="11812" priority="11928" stopIfTrue="1" operator="lessThan">
      <formula>0</formula>
    </cfRule>
    <cfRule type="cellIs" dxfId="11811" priority="11929" stopIfTrue="1" operator="lessThan">
      <formula>0</formula>
    </cfRule>
  </conditionalFormatting>
  <conditionalFormatting sqref="H13:H14">
    <cfRule type="cellIs" dxfId="11810" priority="11926" stopIfTrue="1" operator="lessThan">
      <formula>0.05</formula>
    </cfRule>
    <cfRule type="cellIs" dxfId="11809" priority="11927" stopIfTrue="1" operator="lessThan">
      <formula>0</formula>
    </cfRule>
  </conditionalFormatting>
  <conditionalFormatting sqref="H13:H14">
    <cfRule type="cellIs" dxfId="11808" priority="11924" stopIfTrue="1" operator="lessThan">
      <formula>0</formula>
    </cfRule>
    <cfRule type="cellIs" dxfId="11807" priority="11925" stopIfTrue="1" operator="lessThan">
      <formula>0</formula>
    </cfRule>
  </conditionalFormatting>
  <conditionalFormatting sqref="H13:H14">
    <cfRule type="cellIs" dxfId="11806" priority="11922" stopIfTrue="1" operator="lessThan">
      <formula>0</formula>
    </cfRule>
    <cfRule type="cellIs" dxfId="11805" priority="11923" stopIfTrue="1" operator="lessThan">
      <formula>0</formula>
    </cfRule>
  </conditionalFormatting>
  <conditionalFormatting sqref="H13:H14">
    <cfRule type="cellIs" dxfId="11804" priority="11920" stopIfTrue="1" operator="lessThan">
      <formula>0.05</formula>
    </cfRule>
    <cfRule type="cellIs" dxfId="11803" priority="11921" stopIfTrue="1" operator="lessThan">
      <formula>0</formula>
    </cfRule>
  </conditionalFormatting>
  <conditionalFormatting sqref="H13:H14">
    <cfRule type="cellIs" dxfId="11802" priority="11918" stopIfTrue="1" operator="lessThan">
      <formula>0</formula>
    </cfRule>
    <cfRule type="cellIs" dxfId="11801" priority="11919" stopIfTrue="1" operator="lessThan">
      <formula>0</formula>
    </cfRule>
  </conditionalFormatting>
  <conditionalFormatting sqref="H13:H14">
    <cfRule type="cellIs" dxfId="11800" priority="11916" stopIfTrue="1" operator="lessThan">
      <formula>0</formula>
    </cfRule>
    <cfRule type="cellIs" dxfId="11799" priority="11917" stopIfTrue="1" operator="lessThan">
      <formula>0</formula>
    </cfRule>
  </conditionalFormatting>
  <conditionalFormatting sqref="H13:H14">
    <cfRule type="cellIs" dxfId="11798" priority="11914" stopIfTrue="1" operator="lessThan">
      <formula>0.05</formula>
    </cfRule>
    <cfRule type="cellIs" dxfId="11797" priority="11915" stopIfTrue="1" operator="lessThan">
      <formula>0</formula>
    </cfRule>
  </conditionalFormatting>
  <conditionalFormatting sqref="H13:H14">
    <cfRule type="cellIs" dxfId="11796" priority="11912" stopIfTrue="1" operator="lessThan">
      <formula>0</formula>
    </cfRule>
    <cfRule type="cellIs" dxfId="11795" priority="11913" stopIfTrue="1" operator="lessThan">
      <formula>0</formula>
    </cfRule>
  </conditionalFormatting>
  <conditionalFormatting sqref="H13:H14">
    <cfRule type="cellIs" dxfId="11794" priority="11910" stopIfTrue="1" operator="lessThan">
      <formula>0</formula>
    </cfRule>
    <cfRule type="cellIs" dxfId="11793" priority="11911" stopIfTrue="1" operator="lessThan">
      <formula>0</formula>
    </cfRule>
  </conditionalFormatting>
  <conditionalFormatting sqref="H13:H14">
    <cfRule type="cellIs" dxfId="11792" priority="11908" stopIfTrue="1" operator="lessThan">
      <formula>0.05</formula>
    </cfRule>
    <cfRule type="cellIs" dxfId="11791" priority="11909" stopIfTrue="1" operator="lessThan">
      <formula>0</formula>
    </cfRule>
  </conditionalFormatting>
  <conditionalFormatting sqref="H13:H14">
    <cfRule type="cellIs" dxfId="11790" priority="11906" stopIfTrue="1" operator="lessThan">
      <formula>0</formula>
    </cfRule>
    <cfRule type="cellIs" dxfId="11789" priority="11907" stopIfTrue="1" operator="lessThan">
      <formula>0</formula>
    </cfRule>
  </conditionalFormatting>
  <conditionalFormatting sqref="H13:H14">
    <cfRule type="cellIs" dxfId="11788" priority="11904" stopIfTrue="1" operator="lessThan">
      <formula>0</formula>
    </cfRule>
    <cfRule type="cellIs" dxfId="11787" priority="11905" stopIfTrue="1" operator="lessThan">
      <formula>0</formula>
    </cfRule>
  </conditionalFormatting>
  <conditionalFormatting sqref="H13:H14">
    <cfRule type="cellIs" dxfId="11786" priority="11902" stopIfTrue="1" operator="lessThan">
      <formula>0.05</formula>
    </cfRule>
    <cfRule type="cellIs" dxfId="11785" priority="11903" stopIfTrue="1" operator="lessThan">
      <formula>0</formula>
    </cfRule>
  </conditionalFormatting>
  <conditionalFormatting sqref="H13:H14">
    <cfRule type="cellIs" dxfId="11784" priority="11900" stopIfTrue="1" operator="lessThan">
      <formula>0</formula>
    </cfRule>
    <cfRule type="cellIs" dxfId="11783" priority="11901" stopIfTrue="1" operator="lessThan">
      <formula>0</formula>
    </cfRule>
  </conditionalFormatting>
  <conditionalFormatting sqref="H13:H14">
    <cfRule type="cellIs" dxfId="11782" priority="11898" stopIfTrue="1" operator="lessThan">
      <formula>0</formula>
    </cfRule>
    <cfRule type="cellIs" dxfId="11781" priority="11899" stopIfTrue="1" operator="lessThan">
      <formula>0</formula>
    </cfRule>
  </conditionalFormatting>
  <conditionalFormatting sqref="H13:H14">
    <cfRule type="cellIs" dxfId="11780" priority="11896" stopIfTrue="1" operator="lessThan">
      <formula>0.05</formula>
    </cfRule>
    <cfRule type="cellIs" dxfId="11779" priority="11897" stopIfTrue="1" operator="lessThan">
      <formula>0</formula>
    </cfRule>
  </conditionalFormatting>
  <conditionalFormatting sqref="H13:H14">
    <cfRule type="cellIs" dxfId="11778" priority="11894" stopIfTrue="1" operator="lessThan">
      <formula>0</formula>
    </cfRule>
    <cfRule type="cellIs" dxfId="11777" priority="11895" stopIfTrue="1" operator="lessThan">
      <formula>0</formula>
    </cfRule>
  </conditionalFormatting>
  <conditionalFormatting sqref="H13:H14">
    <cfRule type="cellIs" dxfId="11776" priority="11892" stopIfTrue="1" operator="lessThan">
      <formula>0</formula>
    </cfRule>
    <cfRule type="cellIs" dxfId="11775" priority="11893" stopIfTrue="1" operator="lessThan">
      <formula>0</formula>
    </cfRule>
  </conditionalFormatting>
  <conditionalFormatting sqref="H13:H14">
    <cfRule type="cellIs" dxfId="11774" priority="11890" stopIfTrue="1" operator="lessThan">
      <formula>0.05</formula>
    </cfRule>
    <cfRule type="cellIs" dxfId="11773" priority="11891" stopIfTrue="1" operator="lessThan">
      <formula>0</formula>
    </cfRule>
  </conditionalFormatting>
  <conditionalFormatting sqref="H13:H14">
    <cfRule type="cellIs" dxfId="11772" priority="11888" stopIfTrue="1" operator="lessThan">
      <formula>0</formula>
    </cfRule>
    <cfRule type="cellIs" dxfId="11771" priority="11889" stopIfTrue="1" operator="lessThan">
      <formula>0</formula>
    </cfRule>
  </conditionalFormatting>
  <conditionalFormatting sqref="H13:H14">
    <cfRule type="cellIs" dxfId="11770" priority="11886" stopIfTrue="1" operator="lessThan">
      <formula>0</formula>
    </cfRule>
    <cfRule type="cellIs" dxfId="11769" priority="11887" stopIfTrue="1" operator="lessThan">
      <formula>0</formula>
    </cfRule>
  </conditionalFormatting>
  <conditionalFormatting sqref="H13:H14">
    <cfRule type="cellIs" dxfId="11768" priority="11884" stopIfTrue="1" operator="lessThan">
      <formula>0.05</formula>
    </cfRule>
    <cfRule type="cellIs" dxfId="11767" priority="11885" stopIfTrue="1" operator="lessThan">
      <formula>0</formula>
    </cfRule>
  </conditionalFormatting>
  <conditionalFormatting sqref="H13:H14">
    <cfRule type="cellIs" dxfId="11766" priority="11882" stopIfTrue="1" operator="lessThan">
      <formula>0</formula>
    </cfRule>
    <cfRule type="cellIs" dxfId="11765" priority="11883" stopIfTrue="1" operator="lessThan">
      <formula>0</formula>
    </cfRule>
  </conditionalFormatting>
  <conditionalFormatting sqref="H13:H14">
    <cfRule type="cellIs" dxfId="11764" priority="11880" stopIfTrue="1" operator="lessThan">
      <formula>0</formula>
    </cfRule>
    <cfRule type="cellIs" dxfId="11763" priority="11881" stopIfTrue="1" operator="lessThan">
      <formula>0</formula>
    </cfRule>
  </conditionalFormatting>
  <conditionalFormatting sqref="H13:H14">
    <cfRule type="cellIs" dxfId="11762" priority="11878" stopIfTrue="1" operator="lessThan">
      <formula>0.05</formula>
    </cfRule>
    <cfRule type="cellIs" dxfId="11761" priority="11879" stopIfTrue="1" operator="lessThan">
      <formula>0</formula>
    </cfRule>
  </conditionalFormatting>
  <conditionalFormatting sqref="H13:H14">
    <cfRule type="cellIs" dxfId="11760" priority="11876" stopIfTrue="1" operator="lessThan">
      <formula>0</formula>
    </cfRule>
    <cfRule type="cellIs" dxfId="11759" priority="11877" stopIfTrue="1" operator="lessThan">
      <formula>0</formula>
    </cfRule>
  </conditionalFormatting>
  <conditionalFormatting sqref="H13:H14">
    <cfRule type="cellIs" dxfId="11758" priority="11874" stopIfTrue="1" operator="lessThan">
      <formula>0</formula>
    </cfRule>
    <cfRule type="cellIs" dxfId="11757" priority="11875" stopIfTrue="1" operator="lessThan">
      <formula>0</formula>
    </cfRule>
  </conditionalFormatting>
  <conditionalFormatting sqref="H13:H14">
    <cfRule type="cellIs" dxfId="11756" priority="11872" stopIfTrue="1" operator="lessThan">
      <formula>0.05</formula>
    </cfRule>
    <cfRule type="cellIs" dxfId="11755" priority="11873" stopIfTrue="1" operator="lessThan">
      <formula>0</formula>
    </cfRule>
  </conditionalFormatting>
  <conditionalFormatting sqref="H13:H14">
    <cfRule type="cellIs" dxfId="11754" priority="11870" stopIfTrue="1" operator="lessThan">
      <formula>0</formula>
    </cfRule>
    <cfRule type="cellIs" dxfId="11753" priority="11871" stopIfTrue="1" operator="lessThan">
      <formula>0</formula>
    </cfRule>
  </conditionalFormatting>
  <conditionalFormatting sqref="H13:H14">
    <cfRule type="cellIs" dxfId="11752" priority="11868" stopIfTrue="1" operator="lessThan">
      <formula>0</formula>
    </cfRule>
    <cfRule type="cellIs" dxfId="11751" priority="11869" stopIfTrue="1" operator="lessThan">
      <formula>0</formula>
    </cfRule>
  </conditionalFormatting>
  <conditionalFormatting sqref="H13:H14">
    <cfRule type="cellIs" dxfId="11750" priority="11866" stopIfTrue="1" operator="lessThan">
      <formula>0.05</formula>
    </cfRule>
    <cfRule type="cellIs" dxfId="11749" priority="11867" stopIfTrue="1" operator="lessThan">
      <formula>0</formula>
    </cfRule>
  </conditionalFormatting>
  <conditionalFormatting sqref="H13:H14">
    <cfRule type="cellIs" dxfId="11748" priority="11864" stopIfTrue="1" operator="lessThan">
      <formula>0</formula>
    </cfRule>
    <cfRule type="cellIs" dxfId="11747" priority="11865" stopIfTrue="1" operator="lessThan">
      <formula>0</formula>
    </cfRule>
  </conditionalFormatting>
  <conditionalFormatting sqref="H13:H14">
    <cfRule type="cellIs" dxfId="11746" priority="11862" stopIfTrue="1" operator="lessThan">
      <formula>0.05</formula>
    </cfRule>
    <cfRule type="cellIs" dxfId="11745" priority="11863" stopIfTrue="1" operator="lessThan">
      <formula>0</formula>
    </cfRule>
  </conditionalFormatting>
  <conditionalFormatting sqref="H13:H14">
    <cfRule type="cellIs" dxfId="11744" priority="11860" stopIfTrue="1" operator="lessThan">
      <formula>0</formula>
    </cfRule>
    <cfRule type="cellIs" dxfId="11743" priority="11861" stopIfTrue="1" operator="lessThan">
      <formula>0</formula>
    </cfRule>
  </conditionalFormatting>
  <conditionalFormatting sqref="H13:H14">
    <cfRule type="cellIs" dxfId="11742" priority="11858" stopIfTrue="1" operator="lessThan">
      <formula>0.05</formula>
    </cfRule>
    <cfRule type="cellIs" dxfId="11741" priority="11859" stopIfTrue="1" operator="lessThan">
      <formula>0</formula>
    </cfRule>
  </conditionalFormatting>
  <conditionalFormatting sqref="H13:H14">
    <cfRule type="cellIs" dxfId="11740" priority="11856" stopIfTrue="1" operator="lessThan">
      <formula>0</formula>
    </cfRule>
    <cfRule type="cellIs" dxfId="11739" priority="11857" stopIfTrue="1" operator="lessThan">
      <formula>0</formula>
    </cfRule>
  </conditionalFormatting>
  <conditionalFormatting sqref="H13:H14">
    <cfRule type="cellIs" dxfId="11738" priority="11854" stopIfTrue="1" operator="lessThan">
      <formula>0</formula>
    </cfRule>
    <cfRule type="cellIs" dxfId="11737" priority="11855" stopIfTrue="1" operator="lessThan">
      <formula>0</formula>
    </cfRule>
  </conditionalFormatting>
  <conditionalFormatting sqref="H13:H14">
    <cfRule type="cellIs" dxfId="11736" priority="11852" stopIfTrue="1" operator="lessThan">
      <formula>0</formula>
    </cfRule>
    <cfRule type="cellIs" dxfId="11735" priority="11853" stopIfTrue="1" operator="lessThan">
      <formula>0</formula>
    </cfRule>
  </conditionalFormatting>
  <conditionalFormatting sqref="H13:H14">
    <cfRule type="cellIs" dxfId="11734" priority="11850" stopIfTrue="1" operator="lessThan">
      <formula>0.05</formula>
    </cfRule>
    <cfRule type="cellIs" dxfId="11733" priority="11851" stopIfTrue="1" operator="lessThan">
      <formula>0</formula>
    </cfRule>
  </conditionalFormatting>
  <conditionalFormatting sqref="H13:H14">
    <cfRule type="cellIs" dxfId="11732" priority="11848" stopIfTrue="1" operator="lessThan">
      <formula>0</formula>
    </cfRule>
    <cfRule type="cellIs" dxfId="11731" priority="11849" stopIfTrue="1" operator="lessThan">
      <formula>0</formula>
    </cfRule>
  </conditionalFormatting>
  <conditionalFormatting sqref="H13:H14">
    <cfRule type="cellIs" dxfId="11730" priority="11846" stopIfTrue="1" operator="lessThan">
      <formula>0.05</formula>
    </cfRule>
    <cfRule type="cellIs" dxfId="11729" priority="11847" stopIfTrue="1" operator="lessThan">
      <formula>0</formula>
    </cfRule>
  </conditionalFormatting>
  <conditionalFormatting sqref="H13:H14">
    <cfRule type="cellIs" dxfId="11728" priority="11844" stopIfTrue="1" operator="lessThan">
      <formula>0</formula>
    </cfRule>
    <cfRule type="cellIs" dxfId="11727" priority="11845" stopIfTrue="1" operator="lessThan">
      <formula>0</formula>
    </cfRule>
  </conditionalFormatting>
  <conditionalFormatting sqref="H13:H14">
    <cfRule type="cellIs" dxfId="11726" priority="11842" stopIfTrue="1" operator="lessThan">
      <formula>0.05</formula>
    </cfRule>
    <cfRule type="cellIs" dxfId="11725" priority="11843" stopIfTrue="1" operator="lessThan">
      <formula>0</formula>
    </cfRule>
  </conditionalFormatting>
  <conditionalFormatting sqref="H13:H14">
    <cfRule type="cellIs" dxfId="11724" priority="11840" stopIfTrue="1" operator="lessThan">
      <formula>0</formula>
    </cfRule>
    <cfRule type="cellIs" dxfId="11723" priority="11841" stopIfTrue="1" operator="lessThan">
      <formula>0</formula>
    </cfRule>
  </conditionalFormatting>
  <conditionalFormatting sqref="H13:H14">
    <cfRule type="cellIs" dxfId="11722" priority="11839" stopIfTrue="1" operator="lessThan">
      <formula>0.05</formula>
    </cfRule>
  </conditionalFormatting>
  <conditionalFormatting sqref="H18:H19">
    <cfRule type="cellIs" dxfId="11721" priority="11837" stopIfTrue="1" operator="lessThan">
      <formula>0</formula>
    </cfRule>
    <cfRule type="cellIs" dxfId="11720" priority="11838" stopIfTrue="1" operator="lessThan">
      <formula>0</formula>
    </cfRule>
  </conditionalFormatting>
  <conditionalFormatting sqref="H18:H19">
    <cfRule type="cellIs" dxfId="11719" priority="11835" stopIfTrue="1" operator="lessThan">
      <formula>0.05</formula>
    </cfRule>
    <cfRule type="cellIs" dxfId="11718" priority="11836" stopIfTrue="1" operator="lessThan">
      <formula>0</formula>
    </cfRule>
  </conditionalFormatting>
  <conditionalFormatting sqref="H18:H19">
    <cfRule type="cellIs" dxfId="11717" priority="11833" stopIfTrue="1" operator="lessThan">
      <formula>0</formula>
    </cfRule>
    <cfRule type="cellIs" dxfId="11716" priority="11834" stopIfTrue="1" operator="lessThan">
      <formula>0</formula>
    </cfRule>
  </conditionalFormatting>
  <conditionalFormatting sqref="H18:H19">
    <cfRule type="cellIs" dxfId="11715" priority="11831" stopIfTrue="1" operator="lessThan">
      <formula>0</formula>
    </cfRule>
    <cfRule type="cellIs" dxfId="11714" priority="11832" stopIfTrue="1" operator="lessThan">
      <formula>0</formula>
    </cfRule>
  </conditionalFormatting>
  <conditionalFormatting sqref="H18:H19">
    <cfRule type="cellIs" dxfId="11713" priority="11829" stopIfTrue="1" operator="lessThan">
      <formula>0.05</formula>
    </cfRule>
    <cfRule type="cellIs" dxfId="11712" priority="11830" stopIfTrue="1" operator="lessThan">
      <formula>0</formula>
    </cfRule>
  </conditionalFormatting>
  <conditionalFormatting sqref="H18:H19">
    <cfRule type="cellIs" dxfId="11711" priority="11827" stopIfTrue="1" operator="lessThan">
      <formula>0</formula>
    </cfRule>
    <cfRule type="cellIs" dxfId="11710" priority="11828" stopIfTrue="1" operator="lessThan">
      <formula>0</formula>
    </cfRule>
  </conditionalFormatting>
  <conditionalFormatting sqref="H18:H19">
    <cfRule type="cellIs" dxfId="11709" priority="11825" stopIfTrue="1" operator="lessThan">
      <formula>0</formula>
    </cfRule>
    <cfRule type="cellIs" dxfId="11708" priority="11826" stopIfTrue="1" operator="lessThan">
      <formula>0</formula>
    </cfRule>
  </conditionalFormatting>
  <conditionalFormatting sqref="H18:H19">
    <cfRule type="cellIs" dxfId="11707" priority="11823" stopIfTrue="1" operator="lessThan">
      <formula>0.05</formula>
    </cfRule>
    <cfRule type="cellIs" dxfId="11706" priority="11824" stopIfTrue="1" operator="lessThan">
      <formula>0</formula>
    </cfRule>
  </conditionalFormatting>
  <conditionalFormatting sqref="H18:H19">
    <cfRule type="cellIs" dxfId="11705" priority="11821" stopIfTrue="1" operator="lessThan">
      <formula>0</formula>
    </cfRule>
    <cfRule type="cellIs" dxfId="11704" priority="11822" stopIfTrue="1" operator="lessThan">
      <formula>0</formula>
    </cfRule>
  </conditionalFormatting>
  <conditionalFormatting sqref="H18:H19">
    <cfRule type="cellIs" dxfId="11703" priority="11819" stopIfTrue="1" operator="lessThan">
      <formula>0</formula>
    </cfRule>
    <cfRule type="cellIs" dxfId="11702" priority="11820" stopIfTrue="1" operator="lessThan">
      <formula>0</formula>
    </cfRule>
  </conditionalFormatting>
  <conditionalFormatting sqref="H18:H19">
    <cfRule type="cellIs" dxfId="11701" priority="11817" stopIfTrue="1" operator="lessThan">
      <formula>0.05</formula>
    </cfRule>
    <cfRule type="cellIs" dxfId="11700" priority="11818" stopIfTrue="1" operator="lessThan">
      <formula>0</formula>
    </cfRule>
  </conditionalFormatting>
  <conditionalFormatting sqref="H18:H19">
    <cfRule type="cellIs" dxfId="11699" priority="11815" stopIfTrue="1" operator="lessThan">
      <formula>0</formula>
    </cfRule>
    <cfRule type="cellIs" dxfId="11698" priority="11816" stopIfTrue="1" operator="lessThan">
      <formula>0</formula>
    </cfRule>
  </conditionalFormatting>
  <conditionalFormatting sqref="H18:H19">
    <cfRule type="cellIs" dxfId="11697" priority="11813" stopIfTrue="1" operator="lessThan">
      <formula>0</formula>
    </cfRule>
    <cfRule type="cellIs" dxfId="11696" priority="11814" stopIfTrue="1" operator="lessThan">
      <formula>0</formula>
    </cfRule>
  </conditionalFormatting>
  <conditionalFormatting sqref="H18:H19">
    <cfRule type="cellIs" dxfId="11695" priority="11811" stopIfTrue="1" operator="lessThan">
      <formula>0.05</formula>
    </cfRule>
    <cfRule type="cellIs" dxfId="11694" priority="11812" stopIfTrue="1" operator="lessThan">
      <formula>0</formula>
    </cfRule>
  </conditionalFormatting>
  <conditionalFormatting sqref="H18:H19">
    <cfRule type="cellIs" dxfId="11693" priority="11809" stopIfTrue="1" operator="lessThan">
      <formula>0</formula>
    </cfRule>
    <cfRule type="cellIs" dxfId="11692" priority="11810" stopIfTrue="1" operator="lessThan">
      <formula>0</formula>
    </cfRule>
  </conditionalFormatting>
  <conditionalFormatting sqref="H18:H19">
    <cfRule type="cellIs" dxfId="11691" priority="11807" stopIfTrue="1" operator="lessThan">
      <formula>0</formula>
    </cfRule>
    <cfRule type="cellIs" dxfId="11690" priority="11808" stopIfTrue="1" operator="lessThan">
      <formula>0</formula>
    </cfRule>
  </conditionalFormatting>
  <conditionalFormatting sqref="H18:H19">
    <cfRule type="cellIs" dxfId="11689" priority="11805" stopIfTrue="1" operator="lessThan">
      <formula>0.05</formula>
    </cfRule>
    <cfRule type="cellIs" dxfId="11688" priority="11806" stopIfTrue="1" operator="lessThan">
      <formula>0</formula>
    </cfRule>
  </conditionalFormatting>
  <conditionalFormatting sqref="H18:H19">
    <cfRule type="cellIs" dxfId="11687" priority="11803" stopIfTrue="1" operator="lessThan">
      <formula>0</formula>
    </cfRule>
    <cfRule type="cellIs" dxfId="11686" priority="11804" stopIfTrue="1" operator="lessThan">
      <formula>0</formula>
    </cfRule>
  </conditionalFormatting>
  <conditionalFormatting sqref="H18:H19">
    <cfRule type="cellIs" dxfId="11685" priority="11801" stopIfTrue="1" operator="lessThan">
      <formula>0</formula>
    </cfRule>
    <cfRule type="cellIs" dxfId="11684" priority="11802" stopIfTrue="1" operator="lessThan">
      <formula>0</formula>
    </cfRule>
  </conditionalFormatting>
  <conditionalFormatting sqref="H18:H19">
    <cfRule type="cellIs" dxfId="11683" priority="11799" stopIfTrue="1" operator="lessThan">
      <formula>0.05</formula>
    </cfRule>
    <cfRule type="cellIs" dxfId="11682" priority="11800" stopIfTrue="1" operator="lessThan">
      <formula>0</formula>
    </cfRule>
  </conditionalFormatting>
  <conditionalFormatting sqref="H18:H19">
    <cfRule type="cellIs" dxfId="11681" priority="11797" stopIfTrue="1" operator="lessThan">
      <formula>0</formula>
    </cfRule>
    <cfRule type="cellIs" dxfId="11680" priority="11798" stopIfTrue="1" operator="lessThan">
      <formula>0</formula>
    </cfRule>
  </conditionalFormatting>
  <conditionalFormatting sqref="H18:H19">
    <cfRule type="cellIs" dxfId="11679" priority="11795" stopIfTrue="1" operator="lessThan">
      <formula>0</formula>
    </cfRule>
    <cfRule type="cellIs" dxfId="11678" priority="11796" stopIfTrue="1" operator="lessThan">
      <formula>0</formula>
    </cfRule>
  </conditionalFormatting>
  <conditionalFormatting sqref="H18:H19">
    <cfRule type="cellIs" dxfId="11677" priority="11793" stopIfTrue="1" operator="lessThan">
      <formula>0.05</formula>
    </cfRule>
    <cfRule type="cellIs" dxfId="11676" priority="11794" stopIfTrue="1" operator="lessThan">
      <formula>0</formula>
    </cfRule>
  </conditionalFormatting>
  <conditionalFormatting sqref="H18:H19">
    <cfRule type="cellIs" dxfId="11675" priority="11791" stopIfTrue="1" operator="lessThan">
      <formula>0</formula>
    </cfRule>
    <cfRule type="cellIs" dxfId="11674" priority="11792" stopIfTrue="1" operator="lessThan">
      <formula>0</formula>
    </cfRule>
  </conditionalFormatting>
  <conditionalFormatting sqref="H18:H19">
    <cfRule type="cellIs" dxfId="11673" priority="11789" stopIfTrue="1" operator="lessThan">
      <formula>0</formula>
    </cfRule>
    <cfRule type="cellIs" dxfId="11672" priority="11790" stopIfTrue="1" operator="lessThan">
      <formula>0</formula>
    </cfRule>
  </conditionalFormatting>
  <conditionalFormatting sqref="H18:H19">
    <cfRule type="cellIs" dxfId="11671" priority="11787" stopIfTrue="1" operator="lessThan">
      <formula>0.05</formula>
    </cfRule>
    <cfRule type="cellIs" dxfId="11670" priority="11788" stopIfTrue="1" operator="lessThan">
      <formula>0</formula>
    </cfRule>
  </conditionalFormatting>
  <conditionalFormatting sqref="H18:H19">
    <cfRule type="cellIs" dxfId="11669" priority="11785" stopIfTrue="1" operator="lessThan">
      <formula>0</formula>
    </cfRule>
    <cfRule type="cellIs" dxfId="11668" priority="11786" stopIfTrue="1" operator="lessThan">
      <formula>0</formula>
    </cfRule>
  </conditionalFormatting>
  <conditionalFormatting sqref="H18:H19">
    <cfRule type="cellIs" dxfId="11667" priority="11783" stopIfTrue="1" operator="lessThan">
      <formula>0</formula>
    </cfRule>
    <cfRule type="cellIs" dxfId="11666" priority="11784" stopIfTrue="1" operator="lessThan">
      <formula>0</formula>
    </cfRule>
  </conditionalFormatting>
  <conditionalFormatting sqref="H18:H19">
    <cfRule type="cellIs" dxfId="11665" priority="11781" stopIfTrue="1" operator="lessThan">
      <formula>0.05</formula>
    </cfRule>
    <cfRule type="cellIs" dxfId="11664" priority="11782" stopIfTrue="1" operator="lessThan">
      <formula>0</formula>
    </cfRule>
  </conditionalFormatting>
  <conditionalFormatting sqref="H18:H19">
    <cfRule type="cellIs" dxfId="11663" priority="11779" stopIfTrue="1" operator="lessThan">
      <formula>0</formula>
    </cfRule>
    <cfRule type="cellIs" dxfId="11662" priority="11780" stopIfTrue="1" operator="lessThan">
      <formula>0</formula>
    </cfRule>
  </conditionalFormatting>
  <conditionalFormatting sqref="H18:H19">
    <cfRule type="cellIs" dxfId="11661" priority="11777" stopIfTrue="1" operator="lessThan">
      <formula>0</formula>
    </cfRule>
    <cfRule type="cellIs" dxfId="11660" priority="11778" stopIfTrue="1" operator="lessThan">
      <formula>0</formula>
    </cfRule>
  </conditionalFormatting>
  <conditionalFormatting sqref="H18:H19">
    <cfRule type="cellIs" dxfId="11659" priority="11775" stopIfTrue="1" operator="lessThan">
      <formula>0.05</formula>
    </cfRule>
    <cfRule type="cellIs" dxfId="11658" priority="11776" stopIfTrue="1" operator="lessThan">
      <formula>0</formula>
    </cfRule>
  </conditionalFormatting>
  <conditionalFormatting sqref="H18:H19">
    <cfRule type="cellIs" dxfId="11657" priority="11773" stopIfTrue="1" operator="lessThan">
      <formula>0</formula>
    </cfRule>
    <cfRule type="cellIs" dxfId="11656" priority="11774" stopIfTrue="1" operator="lessThan">
      <formula>0</formula>
    </cfRule>
  </conditionalFormatting>
  <conditionalFormatting sqref="H18:H19">
    <cfRule type="cellIs" dxfId="11655" priority="11771" stopIfTrue="1" operator="lessThan">
      <formula>0</formula>
    </cfRule>
    <cfRule type="cellIs" dxfId="11654" priority="11772" stopIfTrue="1" operator="lessThan">
      <formula>0</formula>
    </cfRule>
  </conditionalFormatting>
  <conditionalFormatting sqref="H18:H19">
    <cfRule type="cellIs" dxfId="11653" priority="11769" stopIfTrue="1" operator="lessThan">
      <formula>0.05</formula>
    </cfRule>
    <cfRule type="cellIs" dxfId="11652" priority="11770" stopIfTrue="1" operator="lessThan">
      <formula>0</formula>
    </cfRule>
  </conditionalFormatting>
  <conditionalFormatting sqref="H18:H19">
    <cfRule type="cellIs" dxfId="11651" priority="11767" stopIfTrue="1" operator="lessThan">
      <formula>0</formula>
    </cfRule>
    <cfRule type="cellIs" dxfId="11650" priority="11768" stopIfTrue="1" operator="lessThan">
      <formula>0</formula>
    </cfRule>
  </conditionalFormatting>
  <conditionalFormatting sqref="H18:H19">
    <cfRule type="cellIs" dxfId="11649" priority="11765" stopIfTrue="1" operator="lessThan">
      <formula>0.05</formula>
    </cfRule>
    <cfRule type="cellIs" dxfId="11648" priority="11766" stopIfTrue="1" operator="lessThan">
      <formula>0</formula>
    </cfRule>
  </conditionalFormatting>
  <conditionalFormatting sqref="H18:H19">
    <cfRule type="cellIs" dxfId="11647" priority="11763" stopIfTrue="1" operator="lessThan">
      <formula>0</formula>
    </cfRule>
    <cfRule type="cellIs" dxfId="11646" priority="11764" stopIfTrue="1" operator="lessThan">
      <formula>0</formula>
    </cfRule>
  </conditionalFormatting>
  <conditionalFormatting sqref="H18:H19">
    <cfRule type="cellIs" dxfId="11645" priority="11761" stopIfTrue="1" operator="lessThan">
      <formula>0.05</formula>
    </cfRule>
    <cfRule type="cellIs" dxfId="11644" priority="11762" stopIfTrue="1" operator="lessThan">
      <formula>0</formula>
    </cfRule>
  </conditionalFormatting>
  <conditionalFormatting sqref="H18:H19">
    <cfRule type="cellIs" dxfId="11643" priority="11759" stopIfTrue="1" operator="lessThan">
      <formula>0</formula>
    </cfRule>
    <cfRule type="cellIs" dxfId="11642" priority="11760" stopIfTrue="1" operator="lessThan">
      <formula>0</formula>
    </cfRule>
  </conditionalFormatting>
  <conditionalFormatting sqref="H18:H19">
    <cfRule type="cellIs" dxfId="11641" priority="11757" stopIfTrue="1" operator="lessThan">
      <formula>0</formula>
    </cfRule>
    <cfRule type="cellIs" dxfId="11640" priority="11758" stopIfTrue="1" operator="lessThan">
      <formula>0</formula>
    </cfRule>
  </conditionalFormatting>
  <conditionalFormatting sqref="H18:H19">
    <cfRule type="cellIs" dxfId="11639" priority="11755" stopIfTrue="1" operator="lessThan">
      <formula>0</formula>
    </cfRule>
    <cfRule type="cellIs" dxfId="11638" priority="11756" stopIfTrue="1" operator="lessThan">
      <formula>0</formula>
    </cfRule>
  </conditionalFormatting>
  <conditionalFormatting sqref="H18:H19">
    <cfRule type="cellIs" dxfId="11637" priority="11753" stopIfTrue="1" operator="lessThan">
      <formula>0.05</formula>
    </cfRule>
    <cfRule type="cellIs" dxfId="11636" priority="11754" stopIfTrue="1" operator="lessThan">
      <formula>0</formula>
    </cfRule>
  </conditionalFormatting>
  <conditionalFormatting sqref="H18:H19">
    <cfRule type="cellIs" dxfId="11635" priority="11751" stopIfTrue="1" operator="lessThan">
      <formula>0</formula>
    </cfRule>
    <cfRule type="cellIs" dxfId="11634" priority="11752" stopIfTrue="1" operator="lessThan">
      <formula>0</formula>
    </cfRule>
  </conditionalFormatting>
  <conditionalFormatting sqref="H18:H19">
    <cfRule type="cellIs" dxfId="11633" priority="11749" stopIfTrue="1" operator="lessThan">
      <formula>0.05</formula>
    </cfRule>
    <cfRule type="cellIs" dxfId="11632" priority="11750" stopIfTrue="1" operator="lessThan">
      <formula>0</formula>
    </cfRule>
  </conditionalFormatting>
  <conditionalFormatting sqref="H18:H19">
    <cfRule type="cellIs" dxfId="11631" priority="11747" stopIfTrue="1" operator="lessThan">
      <formula>0</formula>
    </cfRule>
    <cfRule type="cellIs" dxfId="11630" priority="11748" stopIfTrue="1" operator="lessThan">
      <formula>0</formula>
    </cfRule>
  </conditionalFormatting>
  <conditionalFormatting sqref="H18:H19">
    <cfRule type="cellIs" dxfId="11629" priority="11745" stopIfTrue="1" operator="lessThan">
      <formula>0.05</formula>
    </cfRule>
    <cfRule type="cellIs" dxfId="11628" priority="11746" stopIfTrue="1" operator="lessThan">
      <formula>0</formula>
    </cfRule>
  </conditionalFormatting>
  <conditionalFormatting sqref="H18:H19">
    <cfRule type="cellIs" dxfId="11627" priority="11743" stopIfTrue="1" operator="lessThan">
      <formula>0</formula>
    </cfRule>
    <cfRule type="cellIs" dxfId="11626" priority="11744" stopIfTrue="1" operator="lessThan">
      <formula>0</formula>
    </cfRule>
  </conditionalFormatting>
  <conditionalFormatting sqref="H18:H19">
    <cfRule type="cellIs" dxfId="11625" priority="11741" stopIfTrue="1" operator="lessThan">
      <formula>0</formula>
    </cfRule>
    <cfRule type="cellIs" dxfId="11624" priority="11742" stopIfTrue="1" operator="lessThan">
      <formula>0</formula>
    </cfRule>
  </conditionalFormatting>
  <conditionalFormatting sqref="H18:H19">
    <cfRule type="cellIs" dxfId="11623" priority="11739" stopIfTrue="1" operator="lessThan">
      <formula>0.05</formula>
    </cfRule>
    <cfRule type="cellIs" dxfId="11622" priority="11740" stopIfTrue="1" operator="lessThan">
      <formula>0</formula>
    </cfRule>
  </conditionalFormatting>
  <conditionalFormatting sqref="H18:H19">
    <cfRule type="cellIs" dxfId="11621" priority="11737" stopIfTrue="1" operator="lessThan">
      <formula>0</formula>
    </cfRule>
    <cfRule type="cellIs" dxfId="11620" priority="11738" stopIfTrue="1" operator="lessThan">
      <formula>0</formula>
    </cfRule>
  </conditionalFormatting>
  <conditionalFormatting sqref="H18:H19">
    <cfRule type="cellIs" dxfId="11619" priority="11735" stopIfTrue="1" operator="lessThan">
      <formula>0</formula>
    </cfRule>
    <cfRule type="cellIs" dxfId="11618" priority="11736" stopIfTrue="1" operator="lessThan">
      <formula>0</formula>
    </cfRule>
  </conditionalFormatting>
  <conditionalFormatting sqref="H18:H19">
    <cfRule type="cellIs" dxfId="11617" priority="11733" stopIfTrue="1" operator="lessThan">
      <formula>0.05</formula>
    </cfRule>
    <cfRule type="cellIs" dxfId="11616" priority="11734" stopIfTrue="1" operator="lessThan">
      <formula>0</formula>
    </cfRule>
  </conditionalFormatting>
  <conditionalFormatting sqref="H18:H19">
    <cfRule type="cellIs" dxfId="11615" priority="11731" stopIfTrue="1" operator="lessThan">
      <formula>0</formula>
    </cfRule>
    <cfRule type="cellIs" dxfId="11614" priority="11732" stopIfTrue="1" operator="lessThan">
      <formula>0</formula>
    </cfRule>
  </conditionalFormatting>
  <conditionalFormatting sqref="H18:H19">
    <cfRule type="cellIs" dxfId="11613" priority="11729" stopIfTrue="1" operator="lessThan">
      <formula>0</formula>
    </cfRule>
    <cfRule type="cellIs" dxfId="11612" priority="11730" stopIfTrue="1" operator="lessThan">
      <formula>0</formula>
    </cfRule>
  </conditionalFormatting>
  <conditionalFormatting sqref="H18:H19">
    <cfRule type="cellIs" dxfId="11611" priority="11727" stopIfTrue="1" operator="lessThan">
      <formula>0.05</formula>
    </cfRule>
    <cfRule type="cellIs" dxfId="11610" priority="11728" stopIfTrue="1" operator="lessThan">
      <formula>0</formula>
    </cfRule>
  </conditionalFormatting>
  <conditionalFormatting sqref="H18:H19">
    <cfRule type="cellIs" dxfId="11609" priority="11725" stopIfTrue="1" operator="lessThan">
      <formula>0</formula>
    </cfRule>
    <cfRule type="cellIs" dxfId="11608" priority="11726" stopIfTrue="1" operator="lessThan">
      <formula>0</formula>
    </cfRule>
  </conditionalFormatting>
  <conditionalFormatting sqref="H18:H19">
    <cfRule type="cellIs" dxfId="11607" priority="11723" stopIfTrue="1" operator="lessThan">
      <formula>0</formula>
    </cfRule>
    <cfRule type="cellIs" dxfId="11606" priority="11724" stopIfTrue="1" operator="lessThan">
      <formula>0</formula>
    </cfRule>
  </conditionalFormatting>
  <conditionalFormatting sqref="H18:H19">
    <cfRule type="cellIs" dxfId="11605" priority="11721" stopIfTrue="1" operator="lessThan">
      <formula>0.05</formula>
    </cfRule>
    <cfRule type="cellIs" dxfId="11604" priority="11722" stopIfTrue="1" operator="lessThan">
      <formula>0</formula>
    </cfRule>
  </conditionalFormatting>
  <conditionalFormatting sqref="H18:H19">
    <cfRule type="cellIs" dxfId="11603" priority="11719" stopIfTrue="1" operator="lessThan">
      <formula>0</formula>
    </cfRule>
    <cfRule type="cellIs" dxfId="11602" priority="11720" stopIfTrue="1" operator="lessThan">
      <formula>0</formula>
    </cfRule>
  </conditionalFormatting>
  <conditionalFormatting sqref="H18:H19">
    <cfRule type="cellIs" dxfId="11601" priority="11717" stopIfTrue="1" operator="lessThan">
      <formula>0</formula>
    </cfRule>
    <cfRule type="cellIs" dxfId="11600" priority="11718" stopIfTrue="1" operator="lessThan">
      <formula>0</formula>
    </cfRule>
  </conditionalFormatting>
  <conditionalFormatting sqref="H18:H19">
    <cfRule type="cellIs" dxfId="11599" priority="11715" stopIfTrue="1" operator="lessThan">
      <formula>0.05</formula>
    </cfRule>
    <cfRule type="cellIs" dxfId="11598" priority="11716" stopIfTrue="1" operator="lessThan">
      <formula>0</formula>
    </cfRule>
  </conditionalFormatting>
  <conditionalFormatting sqref="H18:H19">
    <cfRule type="cellIs" dxfId="11597" priority="11713" stopIfTrue="1" operator="lessThan">
      <formula>0</formula>
    </cfRule>
    <cfRule type="cellIs" dxfId="11596" priority="11714" stopIfTrue="1" operator="lessThan">
      <formula>0</formula>
    </cfRule>
  </conditionalFormatting>
  <conditionalFormatting sqref="H18:H19">
    <cfRule type="cellIs" dxfId="11595" priority="11711" stopIfTrue="1" operator="lessThan">
      <formula>0</formula>
    </cfRule>
    <cfRule type="cellIs" dxfId="11594" priority="11712" stopIfTrue="1" operator="lessThan">
      <formula>0</formula>
    </cfRule>
  </conditionalFormatting>
  <conditionalFormatting sqref="H18:H19">
    <cfRule type="cellIs" dxfId="11593" priority="11709" stopIfTrue="1" operator="lessThan">
      <formula>0.05</formula>
    </cfRule>
    <cfRule type="cellIs" dxfId="11592" priority="11710" stopIfTrue="1" operator="lessThan">
      <formula>0</formula>
    </cfRule>
  </conditionalFormatting>
  <conditionalFormatting sqref="H18:H19">
    <cfRule type="cellIs" dxfId="11591" priority="11707" stopIfTrue="1" operator="lessThan">
      <formula>0</formula>
    </cfRule>
    <cfRule type="cellIs" dxfId="11590" priority="11708" stopIfTrue="1" operator="lessThan">
      <formula>0</formula>
    </cfRule>
  </conditionalFormatting>
  <conditionalFormatting sqref="H18:H19">
    <cfRule type="cellIs" dxfId="11589" priority="11705" stopIfTrue="1" operator="lessThan">
      <formula>0</formula>
    </cfRule>
    <cfRule type="cellIs" dxfId="11588" priority="11706" stopIfTrue="1" operator="lessThan">
      <formula>0</formula>
    </cfRule>
  </conditionalFormatting>
  <conditionalFormatting sqref="H18:H19">
    <cfRule type="cellIs" dxfId="11587" priority="11703" stopIfTrue="1" operator="lessThan">
      <formula>0.05</formula>
    </cfRule>
    <cfRule type="cellIs" dxfId="11586" priority="11704" stopIfTrue="1" operator="lessThan">
      <formula>0</formula>
    </cfRule>
  </conditionalFormatting>
  <conditionalFormatting sqref="H18:H19">
    <cfRule type="cellIs" dxfId="11585" priority="11701" stopIfTrue="1" operator="lessThan">
      <formula>0</formula>
    </cfRule>
    <cfRule type="cellIs" dxfId="11584" priority="11702" stopIfTrue="1" operator="lessThan">
      <formula>0</formula>
    </cfRule>
  </conditionalFormatting>
  <conditionalFormatting sqref="H18:H19">
    <cfRule type="cellIs" dxfId="11583" priority="11699" stopIfTrue="1" operator="lessThan">
      <formula>0</formula>
    </cfRule>
    <cfRule type="cellIs" dxfId="11582" priority="11700" stopIfTrue="1" operator="lessThan">
      <formula>0</formula>
    </cfRule>
  </conditionalFormatting>
  <conditionalFormatting sqref="H18:H19">
    <cfRule type="cellIs" dxfId="11581" priority="11697" stopIfTrue="1" operator="lessThan">
      <formula>0.05</formula>
    </cfRule>
    <cfRule type="cellIs" dxfId="11580" priority="11698" stopIfTrue="1" operator="lessThan">
      <formula>0</formula>
    </cfRule>
  </conditionalFormatting>
  <conditionalFormatting sqref="H18:H19">
    <cfRule type="cellIs" dxfId="11579" priority="11695" stopIfTrue="1" operator="lessThan">
      <formula>0</formula>
    </cfRule>
    <cfRule type="cellIs" dxfId="11578" priority="11696" stopIfTrue="1" operator="lessThan">
      <formula>0</formula>
    </cfRule>
  </conditionalFormatting>
  <conditionalFormatting sqref="H18:H19">
    <cfRule type="cellIs" dxfId="11577" priority="11693" stopIfTrue="1" operator="lessThan">
      <formula>0</formula>
    </cfRule>
    <cfRule type="cellIs" dxfId="11576" priority="11694" stopIfTrue="1" operator="lessThan">
      <formula>0</formula>
    </cfRule>
  </conditionalFormatting>
  <conditionalFormatting sqref="H18:H19">
    <cfRule type="cellIs" dxfId="11575" priority="11691" stopIfTrue="1" operator="lessThan">
      <formula>0.05</formula>
    </cfRule>
    <cfRule type="cellIs" dxfId="11574" priority="11692" stopIfTrue="1" operator="lessThan">
      <formula>0</formula>
    </cfRule>
  </conditionalFormatting>
  <conditionalFormatting sqref="H18:H19">
    <cfRule type="cellIs" dxfId="11573" priority="11689" stopIfTrue="1" operator="lessThan">
      <formula>0</formula>
    </cfRule>
    <cfRule type="cellIs" dxfId="11572" priority="11690" stopIfTrue="1" operator="lessThan">
      <formula>0</formula>
    </cfRule>
  </conditionalFormatting>
  <conditionalFormatting sqref="H18:H19">
    <cfRule type="cellIs" dxfId="11571" priority="11687" stopIfTrue="1" operator="lessThan">
      <formula>0</formula>
    </cfRule>
    <cfRule type="cellIs" dxfId="11570" priority="11688" stopIfTrue="1" operator="lessThan">
      <formula>0</formula>
    </cfRule>
  </conditionalFormatting>
  <conditionalFormatting sqref="H18:H19">
    <cfRule type="cellIs" dxfId="11569" priority="11685" stopIfTrue="1" operator="lessThan">
      <formula>0.05</formula>
    </cfRule>
    <cfRule type="cellIs" dxfId="11568" priority="11686" stopIfTrue="1" operator="lessThan">
      <formula>0</formula>
    </cfRule>
  </conditionalFormatting>
  <conditionalFormatting sqref="H18:H19">
    <cfRule type="cellIs" dxfId="11567" priority="11683" stopIfTrue="1" operator="lessThan">
      <formula>0</formula>
    </cfRule>
    <cfRule type="cellIs" dxfId="11566" priority="11684" stopIfTrue="1" operator="lessThan">
      <formula>0</formula>
    </cfRule>
  </conditionalFormatting>
  <conditionalFormatting sqref="H18:H19">
    <cfRule type="cellIs" dxfId="11565" priority="11681" stopIfTrue="1" operator="lessThan">
      <formula>0</formula>
    </cfRule>
    <cfRule type="cellIs" dxfId="11564" priority="11682" stopIfTrue="1" operator="lessThan">
      <formula>0</formula>
    </cfRule>
  </conditionalFormatting>
  <conditionalFormatting sqref="H18:H19">
    <cfRule type="cellIs" dxfId="11563" priority="11679" stopIfTrue="1" operator="lessThan">
      <formula>0.05</formula>
    </cfRule>
    <cfRule type="cellIs" dxfId="11562" priority="11680" stopIfTrue="1" operator="lessThan">
      <formula>0</formula>
    </cfRule>
  </conditionalFormatting>
  <conditionalFormatting sqref="H18:H19">
    <cfRule type="cellIs" dxfId="11561" priority="11677" stopIfTrue="1" operator="lessThan">
      <formula>0</formula>
    </cfRule>
    <cfRule type="cellIs" dxfId="11560" priority="11678" stopIfTrue="1" operator="lessThan">
      <formula>0</formula>
    </cfRule>
  </conditionalFormatting>
  <conditionalFormatting sqref="H18:H19">
    <cfRule type="cellIs" dxfId="11559" priority="11675" stopIfTrue="1" operator="lessThan">
      <formula>0</formula>
    </cfRule>
    <cfRule type="cellIs" dxfId="11558" priority="11676" stopIfTrue="1" operator="lessThan">
      <formula>0</formula>
    </cfRule>
  </conditionalFormatting>
  <conditionalFormatting sqref="H18:H19">
    <cfRule type="cellIs" dxfId="11557" priority="11673" stopIfTrue="1" operator="lessThan">
      <formula>0.05</formula>
    </cfRule>
    <cfRule type="cellIs" dxfId="11556" priority="11674" stopIfTrue="1" operator="lessThan">
      <formula>0</formula>
    </cfRule>
  </conditionalFormatting>
  <conditionalFormatting sqref="H18:H19">
    <cfRule type="cellIs" dxfId="11555" priority="11671" stopIfTrue="1" operator="lessThan">
      <formula>0</formula>
    </cfRule>
    <cfRule type="cellIs" dxfId="11554" priority="11672" stopIfTrue="1" operator="lessThan">
      <formula>0</formula>
    </cfRule>
  </conditionalFormatting>
  <conditionalFormatting sqref="H18:H19">
    <cfRule type="cellIs" dxfId="11553" priority="11669" stopIfTrue="1" operator="lessThan">
      <formula>0</formula>
    </cfRule>
    <cfRule type="cellIs" dxfId="11552" priority="11670" stopIfTrue="1" operator="lessThan">
      <formula>0</formula>
    </cfRule>
  </conditionalFormatting>
  <conditionalFormatting sqref="H18:H19">
    <cfRule type="cellIs" dxfId="11551" priority="11667" stopIfTrue="1" operator="lessThan">
      <formula>0.05</formula>
    </cfRule>
    <cfRule type="cellIs" dxfId="11550" priority="11668" stopIfTrue="1" operator="lessThan">
      <formula>0</formula>
    </cfRule>
  </conditionalFormatting>
  <conditionalFormatting sqref="H18:H19">
    <cfRule type="cellIs" dxfId="11549" priority="11665" stopIfTrue="1" operator="lessThan">
      <formula>0</formula>
    </cfRule>
    <cfRule type="cellIs" dxfId="11548" priority="11666" stopIfTrue="1" operator="lessThan">
      <formula>0</formula>
    </cfRule>
  </conditionalFormatting>
  <conditionalFormatting sqref="H18:H19">
    <cfRule type="cellIs" dxfId="11547" priority="11663" stopIfTrue="1" operator="lessThan">
      <formula>0</formula>
    </cfRule>
    <cfRule type="cellIs" dxfId="11546" priority="11664" stopIfTrue="1" operator="lessThan">
      <formula>0</formula>
    </cfRule>
  </conditionalFormatting>
  <conditionalFormatting sqref="H18:H19">
    <cfRule type="cellIs" dxfId="11545" priority="11661" stopIfTrue="1" operator="lessThan">
      <formula>0.05</formula>
    </cfRule>
    <cfRule type="cellIs" dxfId="11544" priority="11662" stopIfTrue="1" operator="lessThan">
      <formula>0</formula>
    </cfRule>
  </conditionalFormatting>
  <conditionalFormatting sqref="H18:H19">
    <cfRule type="cellIs" dxfId="11543" priority="11659" stopIfTrue="1" operator="lessThan">
      <formula>0</formula>
    </cfRule>
    <cfRule type="cellIs" dxfId="11542" priority="11660" stopIfTrue="1" operator="lessThan">
      <formula>0</formula>
    </cfRule>
  </conditionalFormatting>
  <conditionalFormatting sqref="H18:H19">
    <cfRule type="cellIs" dxfId="11541" priority="11657" stopIfTrue="1" operator="lessThan">
      <formula>0.05</formula>
    </cfRule>
    <cfRule type="cellIs" dxfId="11540" priority="11658" stopIfTrue="1" operator="lessThan">
      <formula>0</formula>
    </cfRule>
  </conditionalFormatting>
  <conditionalFormatting sqref="H18:H19">
    <cfRule type="cellIs" dxfId="11539" priority="11655" stopIfTrue="1" operator="lessThan">
      <formula>0</formula>
    </cfRule>
    <cfRule type="cellIs" dxfId="11538" priority="11656" stopIfTrue="1" operator="lessThan">
      <formula>0</formula>
    </cfRule>
  </conditionalFormatting>
  <conditionalFormatting sqref="H18:H19">
    <cfRule type="cellIs" dxfId="11537" priority="11653" stopIfTrue="1" operator="lessThan">
      <formula>0.05</formula>
    </cfRule>
    <cfRule type="cellIs" dxfId="11536" priority="11654" stopIfTrue="1" operator="lessThan">
      <formula>0</formula>
    </cfRule>
  </conditionalFormatting>
  <conditionalFormatting sqref="H18:H19">
    <cfRule type="cellIs" dxfId="11535" priority="11651" stopIfTrue="1" operator="lessThan">
      <formula>0</formula>
    </cfRule>
    <cfRule type="cellIs" dxfId="11534" priority="11652" stopIfTrue="1" operator="lessThan">
      <formula>0</formula>
    </cfRule>
  </conditionalFormatting>
  <conditionalFormatting sqref="H18:H19">
    <cfRule type="cellIs" dxfId="11533" priority="11649" stopIfTrue="1" operator="lessThan">
      <formula>0</formula>
    </cfRule>
    <cfRule type="cellIs" dxfId="11532" priority="11650" stopIfTrue="1" operator="lessThan">
      <formula>0</formula>
    </cfRule>
  </conditionalFormatting>
  <conditionalFormatting sqref="H18:H19">
    <cfRule type="cellIs" dxfId="11531" priority="11647" stopIfTrue="1" operator="lessThan">
      <formula>0</formula>
    </cfRule>
    <cfRule type="cellIs" dxfId="11530" priority="11648" stopIfTrue="1" operator="lessThan">
      <formula>0</formula>
    </cfRule>
  </conditionalFormatting>
  <conditionalFormatting sqref="H18:H19">
    <cfRule type="cellIs" dxfId="11529" priority="11645" stopIfTrue="1" operator="lessThan">
      <formula>0.05</formula>
    </cfRule>
    <cfRule type="cellIs" dxfId="11528" priority="11646" stopIfTrue="1" operator="lessThan">
      <formula>0</formula>
    </cfRule>
  </conditionalFormatting>
  <conditionalFormatting sqref="H18:H19">
    <cfRule type="cellIs" dxfId="11527" priority="11643" stopIfTrue="1" operator="lessThan">
      <formula>0</formula>
    </cfRule>
    <cfRule type="cellIs" dxfId="11526" priority="11644" stopIfTrue="1" operator="lessThan">
      <formula>0</formula>
    </cfRule>
  </conditionalFormatting>
  <conditionalFormatting sqref="H18:H19">
    <cfRule type="cellIs" dxfId="11525" priority="11641" stopIfTrue="1" operator="lessThan">
      <formula>0.05</formula>
    </cfRule>
    <cfRule type="cellIs" dxfId="11524" priority="11642" stopIfTrue="1" operator="lessThan">
      <formula>0</formula>
    </cfRule>
  </conditionalFormatting>
  <conditionalFormatting sqref="H18:H19">
    <cfRule type="cellIs" dxfId="11523" priority="11639" stopIfTrue="1" operator="lessThan">
      <formula>0</formula>
    </cfRule>
    <cfRule type="cellIs" dxfId="11522" priority="11640" stopIfTrue="1" operator="lessThan">
      <formula>0</formula>
    </cfRule>
  </conditionalFormatting>
  <conditionalFormatting sqref="H18:H19">
    <cfRule type="cellIs" dxfId="11521" priority="11637" stopIfTrue="1" operator="lessThan">
      <formula>0.05</formula>
    </cfRule>
    <cfRule type="cellIs" dxfId="11520" priority="11638" stopIfTrue="1" operator="lessThan">
      <formula>0</formula>
    </cfRule>
  </conditionalFormatting>
  <conditionalFormatting sqref="H18:H19">
    <cfRule type="cellIs" dxfId="11519" priority="11635" stopIfTrue="1" operator="lessThan">
      <formula>0</formula>
    </cfRule>
    <cfRule type="cellIs" dxfId="11518" priority="11636" stopIfTrue="1" operator="lessThan">
      <formula>0</formula>
    </cfRule>
  </conditionalFormatting>
  <conditionalFormatting sqref="H18:H19">
    <cfRule type="cellIs" dxfId="11517" priority="11634" stopIfTrue="1" operator="lessThan">
      <formula>0.05</formula>
    </cfRule>
  </conditionalFormatting>
  <conditionalFormatting sqref="H25:H26">
    <cfRule type="cellIs" dxfId="11516" priority="11632" stopIfTrue="1" operator="lessThan">
      <formula>0</formula>
    </cfRule>
    <cfRule type="cellIs" dxfId="11515" priority="11633" stopIfTrue="1" operator="lessThan">
      <formula>0</formula>
    </cfRule>
  </conditionalFormatting>
  <conditionalFormatting sqref="H25:H26">
    <cfRule type="cellIs" dxfId="11514" priority="11630" stopIfTrue="1" operator="lessThan">
      <formula>0.05</formula>
    </cfRule>
    <cfRule type="cellIs" dxfId="11513" priority="11631" stopIfTrue="1" operator="lessThan">
      <formula>0</formula>
    </cfRule>
  </conditionalFormatting>
  <conditionalFormatting sqref="H25:H26">
    <cfRule type="cellIs" dxfId="11512" priority="11628" stopIfTrue="1" operator="lessThan">
      <formula>0</formula>
    </cfRule>
    <cfRule type="cellIs" dxfId="11511" priority="11629" stopIfTrue="1" operator="lessThan">
      <formula>0</formula>
    </cfRule>
  </conditionalFormatting>
  <conditionalFormatting sqref="H25:H26">
    <cfRule type="cellIs" dxfId="11510" priority="11626" stopIfTrue="1" operator="lessThan">
      <formula>0</formula>
    </cfRule>
    <cfRule type="cellIs" dxfId="11509" priority="11627" stopIfTrue="1" operator="lessThan">
      <formula>0</formula>
    </cfRule>
  </conditionalFormatting>
  <conditionalFormatting sqref="H25:H26">
    <cfRule type="cellIs" dxfId="11508" priority="11624" stopIfTrue="1" operator="lessThan">
      <formula>0.05</formula>
    </cfRule>
    <cfRule type="cellIs" dxfId="11507" priority="11625" stopIfTrue="1" operator="lessThan">
      <formula>0</formula>
    </cfRule>
  </conditionalFormatting>
  <conditionalFormatting sqref="H25:H26">
    <cfRule type="cellIs" dxfId="11506" priority="11622" stopIfTrue="1" operator="lessThan">
      <formula>0</formula>
    </cfRule>
    <cfRule type="cellIs" dxfId="11505" priority="11623" stopIfTrue="1" operator="lessThan">
      <formula>0</formula>
    </cfRule>
  </conditionalFormatting>
  <conditionalFormatting sqref="H25:H26">
    <cfRule type="cellIs" dxfId="11504" priority="11620" stopIfTrue="1" operator="lessThan">
      <formula>0</formula>
    </cfRule>
    <cfRule type="cellIs" dxfId="11503" priority="11621" stopIfTrue="1" operator="lessThan">
      <formula>0</formula>
    </cfRule>
  </conditionalFormatting>
  <conditionalFormatting sqref="H25:H26">
    <cfRule type="cellIs" dxfId="11502" priority="11618" stopIfTrue="1" operator="lessThan">
      <formula>0.05</formula>
    </cfRule>
    <cfRule type="cellIs" dxfId="11501" priority="11619" stopIfTrue="1" operator="lessThan">
      <formula>0</formula>
    </cfRule>
  </conditionalFormatting>
  <conditionalFormatting sqref="H25:H26">
    <cfRule type="cellIs" dxfId="11500" priority="11616" stopIfTrue="1" operator="lessThan">
      <formula>0</formula>
    </cfRule>
    <cfRule type="cellIs" dxfId="11499" priority="11617" stopIfTrue="1" operator="lessThan">
      <formula>0</formula>
    </cfRule>
  </conditionalFormatting>
  <conditionalFormatting sqref="H25:H26">
    <cfRule type="cellIs" dxfId="11498" priority="11614" stopIfTrue="1" operator="lessThan">
      <formula>0</formula>
    </cfRule>
    <cfRule type="cellIs" dxfId="11497" priority="11615" stopIfTrue="1" operator="lessThan">
      <formula>0</formula>
    </cfRule>
  </conditionalFormatting>
  <conditionalFormatting sqref="H25:H26">
    <cfRule type="cellIs" dxfId="11496" priority="11612" stopIfTrue="1" operator="lessThan">
      <formula>0.05</formula>
    </cfRule>
    <cfRule type="cellIs" dxfId="11495" priority="11613" stopIfTrue="1" operator="lessThan">
      <formula>0</formula>
    </cfRule>
  </conditionalFormatting>
  <conditionalFormatting sqref="H25:H26">
    <cfRule type="cellIs" dxfId="11494" priority="11610" stopIfTrue="1" operator="lessThan">
      <formula>0</formula>
    </cfRule>
    <cfRule type="cellIs" dxfId="11493" priority="11611" stopIfTrue="1" operator="lessThan">
      <formula>0</formula>
    </cfRule>
  </conditionalFormatting>
  <conditionalFormatting sqref="H25:H26">
    <cfRule type="cellIs" dxfId="11492" priority="11608" stopIfTrue="1" operator="lessThan">
      <formula>0</formula>
    </cfRule>
    <cfRule type="cellIs" dxfId="11491" priority="11609" stopIfTrue="1" operator="lessThan">
      <formula>0</formula>
    </cfRule>
  </conditionalFormatting>
  <conditionalFormatting sqref="H25:H26">
    <cfRule type="cellIs" dxfId="11490" priority="11606" stopIfTrue="1" operator="lessThan">
      <formula>0.05</formula>
    </cfRule>
    <cfRule type="cellIs" dxfId="11489" priority="11607" stopIfTrue="1" operator="lessThan">
      <formula>0</formula>
    </cfRule>
  </conditionalFormatting>
  <conditionalFormatting sqref="H25:H26">
    <cfRule type="cellIs" dxfId="11488" priority="11604" stopIfTrue="1" operator="lessThan">
      <formula>0</formula>
    </cfRule>
    <cfRule type="cellIs" dxfId="11487" priority="11605" stopIfTrue="1" operator="lessThan">
      <formula>0</formula>
    </cfRule>
  </conditionalFormatting>
  <conditionalFormatting sqref="H25:H26">
    <cfRule type="cellIs" dxfId="11486" priority="11602" stopIfTrue="1" operator="lessThan">
      <formula>0</formula>
    </cfRule>
    <cfRule type="cellIs" dxfId="11485" priority="11603" stopIfTrue="1" operator="lessThan">
      <formula>0</formula>
    </cfRule>
  </conditionalFormatting>
  <conditionalFormatting sqref="H25:H26">
    <cfRule type="cellIs" dxfId="11484" priority="11600" stopIfTrue="1" operator="lessThan">
      <formula>0.05</formula>
    </cfRule>
    <cfRule type="cellIs" dxfId="11483" priority="11601" stopIfTrue="1" operator="lessThan">
      <formula>0</formula>
    </cfRule>
  </conditionalFormatting>
  <conditionalFormatting sqref="H25:H26">
    <cfRule type="cellIs" dxfId="11482" priority="11598" stopIfTrue="1" operator="lessThan">
      <formula>0</formula>
    </cfRule>
    <cfRule type="cellIs" dxfId="11481" priority="11599" stopIfTrue="1" operator="lessThan">
      <formula>0</formula>
    </cfRule>
  </conditionalFormatting>
  <conditionalFormatting sqref="H25:H26">
    <cfRule type="cellIs" dxfId="11480" priority="11596" stopIfTrue="1" operator="lessThan">
      <formula>0</formula>
    </cfRule>
    <cfRule type="cellIs" dxfId="11479" priority="11597" stopIfTrue="1" operator="lessThan">
      <formula>0</formula>
    </cfRule>
  </conditionalFormatting>
  <conditionalFormatting sqref="H25:H26">
    <cfRule type="cellIs" dxfId="11478" priority="11594" stopIfTrue="1" operator="lessThan">
      <formula>0.05</formula>
    </cfRule>
    <cfRule type="cellIs" dxfId="11477" priority="11595" stopIfTrue="1" operator="lessThan">
      <formula>0</formula>
    </cfRule>
  </conditionalFormatting>
  <conditionalFormatting sqref="H25:H26">
    <cfRule type="cellIs" dxfId="11476" priority="11592" stopIfTrue="1" operator="lessThan">
      <formula>0</formula>
    </cfRule>
    <cfRule type="cellIs" dxfId="11475" priority="11593" stopIfTrue="1" operator="lessThan">
      <formula>0</formula>
    </cfRule>
  </conditionalFormatting>
  <conditionalFormatting sqref="H25:H26">
    <cfRule type="cellIs" dxfId="11474" priority="11590" stopIfTrue="1" operator="lessThan">
      <formula>0</formula>
    </cfRule>
    <cfRule type="cellIs" dxfId="11473" priority="11591" stopIfTrue="1" operator="lessThan">
      <formula>0</formula>
    </cfRule>
  </conditionalFormatting>
  <conditionalFormatting sqref="H25:H26">
    <cfRule type="cellIs" dxfId="11472" priority="11588" stopIfTrue="1" operator="lessThan">
      <formula>0.05</formula>
    </cfRule>
    <cfRule type="cellIs" dxfId="11471" priority="11589" stopIfTrue="1" operator="lessThan">
      <formula>0</formula>
    </cfRule>
  </conditionalFormatting>
  <conditionalFormatting sqref="H25:H26">
    <cfRule type="cellIs" dxfId="11470" priority="11586" stopIfTrue="1" operator="lessThan">
      <formula>0</formula>
    </cfRule>
    <cfRule type="cellIs" dxfId="11469" priority="11587" stopIfTrue="1" operator="lessThan">
      <formula>0</formula>
    </cfRule>
  </conditionalFormatting>
  <conditionalFormatting sqref="H25:H26">
    <cfRule type="cellIs" dxfId="11468" priority="11584" stopIfTrue="1" operator="lessThan">
      <formula>0</formula>
    </cfRule>
    <cfRule type="cellIs" dxfId="11467" priority="11585" stopIfTrue="1" operator="lessThan">
      <formula>0</formula>
    </cfRule>
  </conditionalFormatting>
  <conditionalFormatting sqref="H25:H26">
    <cfRule type="cellIs" dxfId="11466" priority="11582" stopIfTrue="1" operator="lessThan">
      <formula>0.05</formula>
    </cfRule>
    <cfRule type="cellIs" dxfId="11465" priority="11583" stopIfTrue="1" operator="lessThan">
      <formula>0</formula>
    </cfRule>
  </conditionalFormatting>
  <conditionalFormatting sqref="H25:H26">
    <cfRule type="cellIs" dxfId="11464" priority="11580" stopIfTrue="1" operator="lessThan">
      <formula>0</formula>
    </cfRule>
    <cfRule type="cellIs" dxfId="11463" priority="11581" stopIfTrue="1" operator="lessThan">
      <formula>0</formula>
    </cfRule>
  </conditionalFormatting>
  <conditionalFormatting sqref="H25:H26">
    <cfRule type="cellIs" dxfId="11462" priority="11578" stopIfTrue="1" operator="lessThan">
      <formula>0</formula>
    </cfRule>
    <cfRule type="cellIs" dxfId="11461" priority="11579" stopIfTrue="1" operator="lessThan">
      <formula>0</formula>
    </cfRule>
  </conditionalFormatting>
  <conditionalFormatting sqref="H25:H26">
    <cfRule type="cellIs" dxfId="11460" priority="11576" stopIfTrue="1" operator="lessThan">
      <formula>0.05</formula>
    </cfRule>
    <cfRule type="cellIs" dxfId="11459" priority="11577" stopIfTrue="1" operator="lessThan">
      <formula>0</formula>
    </cfRule>
  </conditionalFormatting>
  <conditionalFormatting sqref="H25:H26">
    <cfRule type="cellIs" dxfId="11458" priority="11574" stopIfTrue="1" operator="lessThan">
      <formula>0</formula>
    </cfRule>
    <cfRule type="cellIs" dxfId="11457" priority="11575" stopIfTrue="1" operator="lessThan">
      <formula>0</formula>
    </cfRule>
  </conditionalFormatting>
  <conditionalFormatting sqref="H25:H26">
    <cfRule type="cellIs" dxfId="11456" priority="11572" stopIfTrue="1" operator="lessThan">
      <formula>0</formula>
    </cfRule>
    <cfRule type="cellIs" dxfId="11455" priority="11573" stopIfTrue="1" operator="lessThan">
      <formula>0</formula>
    </cfRule>
  </conditionalFormatting>
  <conditionalFormatting sqref="H25:H26">
    <cfRule type="cellIs" dxfId="11454" priority="11570" stopIfTrue="1" operator="lessThan">
      <formula>0.05</formula>
    </cfRule>
    <cfRule type="cellIs" dxfId="11453" priority="11571" stopIfTrue="1" operator="lessThan">
      <formula>0</formula>
    </cfRule>
  </conditionalFormatting>
  <conditionalFormatting sqref="H25:H26">
    <cfRule type="cellIs" dxfId="11452" priority="11568" stopIfTrue="1" operator="lessThan">
      <formula>0</formula>
    </cfRule>
    <cfRule type="cellIs" dxfId="11451" priority="11569" stopIfTrue="1" operator="lessThan">
      <formula>0</formula>
    </cfRule>
  </conditionalFormatting>
  <conditionalFormatting sqref="H25:H26">
    <cfRule type="cellIs" dxfId="11450" priority="11566" stopIfTrue="1" operator="lessThan">
      <formula>0.05</formula>
    </cfRule>
    <cfRule type="cellIs" dxfId="11449" priority="11567" stopIfTrue="1" operator="lessThan">
      <formula>0</formula>
    </cfRule>
  </conditionalFormatting>
  <conditionalFormatting sqref="H25:H26">
    <cfRule type="cellIs" dxfId="11448" priority="11564" stopIfTrue="1" operator="lessThan">
      <formula>0</formula>
    </cfRule>
    <cfRule type="cellIs" dxfId="11447" priority="11565" stopIfTrue="1" operator="lessThan">
      <formula>0</formula>
    </cfRule>
  </conditionalFormatting>
  <conditionalFormatting sqref="H25:H26">
    <cfRule type="cellIs" dxfId="11446" priority="11562" stopIfTrue="1" operator="lessThan">
      <formula>0.05</formula>
    </cfRule>
    <cfRule type="cellIs" dxfId="11445" priority="11563" stopIfTrue="1" operator="lessThan">
      <formula>0</formula>
    </cfRule>
  </conditionalFormatting>
  <conditionalFormatting sqref="H25:H26">
    <cfRule type="cellIs" dxfId="11444" priority="11560" stopIfTrue="1" operator="lessThan">
      <formula>0</formula>
    </cfRule>
    <cfRule type="cellIs" dxfId="11443" priority="11561" stopIfTrue="1" operator="lessThan">
      <formula>0</formula>
    </cfRule>
  </conditionalFormatting>
  <conditionalFormatting sqref="H25:H26">
    <cfRule type="cellIs" dxfId="11442" priority="11558" stopIfTrue="1" operator="lessThan">
      <formula>0</formula>
    </cfRule>
    <cfRule type="cellIs" dxfId="11441" priority="11559" stopIfTrue="1" operator="lessThan">
      <formula>0</formula>
    </cfRule>
  </conditionalFormatting>
  <conditionalFormatting sqref="H25:H26">
    <cfRule type="cellIs" dxfId="11440" priority="11556" stopIfTrue="1" operator="lessThan">
      <formula>0</formula>
    </cfRule>
    <cfRule type="cellIs" dxfId="11439" priority="11557" stopIfTrue="1" operator="lessThan">
      <formula>0</formula>
    </cfRule>
  </conditionalFormatting>
  <conditionalFormatting sqref="H25:H26">
    <cfRule type="cellIs" dxfId="11438" priority="11554" stopIfTrue="1" operator="lessThan">
      <formula>0.05</formula>
    </cfRule>
    <cfRule type="cellIs" dxfId="11437" priority="11555" stopIfTrue="1" operator="lessThan">
      <formula>0</formula>
    </cfRule>
  </conditionalFormatting>
  <conditionalFormatting sqref="H25:H26">
    <cfRule type="cellIs" dxfId="11436" priority="11552" stopIfTrue="1" operator="lessThan">
      <formula>0</formula>
    </cfRule>
    <cfRule type="cellIs" dxfId="11435" priority="11553" stopIfTrue="1" operator="lessThan">
      <formula>0</formula>
    </cfRule>
  </conditionalFormatting>
  <conditionalFormatting sqref="H25:H26">
    <cfRule type="cellIs" dxfId="11434" priority="11550" stopIfTrue="1" operator="lessThan">
      <formula>0.05</formula>
    </cfRule>
    <cfRule type="cellIs" dxfId="11433" priority="11551" stopIfTrue="1" operator="lessThan">
      <formula>0</formula>
    </cfRule>
  </conditionalFormatting>
  <conditionalFormatting sqref="H25:H26">
    <cfRule type="cellIs" dxfId="11432" priority="11548" stopIfTrue="1" operator="lessThan">
      <formula>0</formula>
    </cfRule>
    <cfRule type="cellIs" dxfId="11431" priority="11549" stopIfTrue="1" operator="lessThan">
      <formula>0</formula>
    </cfRule>
  </conditionalFormatting>
  <conditionalFormatting sqref="H25:H26">
    <cfRule type="cellIs" dxfId="11430" priority="11546" stopIfTrue="1" operator="lessThan">
      <formula>0.05</formula>
    </cfRule>
    <cfRule type="cellIs" dxfId="11429" priority="11547" stopIfTrue="1" operator="lessThan">
      <formula>0</formula>
    </cfRule>
  </conditionalFormatting>
  <conditionalFormatting sqref="H25:H26">
    <cfRule type="cellIs" dxfId="11428" priority="11544" stopIfTrue="1" operator="lessThan">
      <formula>0</formula>
    </cfRule>
    <cfRule type="cellIs" dxfId="11427" priority="11545" stopIfTrue="1" operator="lessThan">
      <formula>0</formula>
    </cfRule>
  </conditionalFormatting>
  <conditionalFormatting sqref="H25:H26">
    <cfRule type="cellIs" dxfId="11426" priority="11542" stopIfTrue="1" operator="lessThan">
      <formula>0</formula>
    </cfRule>
    <cfRule type="cellIs" dxfId="11425" priority="11543" stopIfTrue="1" operator="lessThan">
      <formula>0</formula>
    </cfRule>
  </conditionalFormatting>
  <conditionalFormatting sqref="H25:H26">
    <cfRule type="cellIs" dxfId="11424" priority="11540" stopIfTrue="1" operator="lessThan">
      <formula>0.05</formula>
    </cfRule>
    <cfRule type="cellIs" dxfId="11423" priority="11541" stopIfTrue="1" operator="lessThan">
      <formula>0</formula>
    </cfRule>
  </conditionalFormatting>
  <conditionalFormatting sqref="H25:H26">
    <cfRule type="cellIs" dxfId="11422" priority="11538" stopIfTrue="1" operator="lessThan">
      <formula>0</formula>
    </cfRule>
    <cfRule type="cellIs" dxfId="11421" priority="11539" stopIfTrue="1" operator="lessThan">
      <formula>0</formula>
    </cfRule>
  </conditionalFormatting>
  <conditionalFormatting sqref="H25:H26">
    <cfRule type="cellIs" dxfId="11420" priority="11536" stopIfTrue="1" operator="lessThan">
      <formula>0</formula>
    </cfRule>
    <cfRule type="cellIs" dxfId="11419" priority="11537" stopIfTrue="1" operator="lessThan">
      <formula>0</formula>
    </cfRule>
  </conditionalFormatting>
  <conditionalFormatting sqref="H25:H26">
    <cfRule type="cellIs" dxfId="11418" priority="11534" stopIfTrue="1" operator="lessThan">
      <formula>0.05</formula>
    </cfRule>
    <cfRule type="cellIs" dxfId="11417" priority="11535" stopIfTrue="1" operator="lessThan">
      <formula>0</formula>
    </cfRule>
  </conditionalFormatting>
  <conditionalFormatting sqref="H25:H26">
    <cfRule type="cellIs" dxfId="11416" priority="11532" stopIfTrue="1" operator="lessThan">
      <formula>0</formula>
    </cfRule>
    <cfRule type="cellIs" dxfId="11415" priority="11533" stopIfTrue="1" operator="lessThan">
      <formula>0</formula>
    </cfRule>
  </conditionalFormatting>
  <conditionalFormatting sqref="H25:H26">
    <cfRule type="cellIs" dxfId="11414" priority="11530" stopIfTrue="1" operator="lessThan">
      <formula>0</formula>
    </cfRule>
    <cfRule type="cellIs" dxfId="11413" priority="11531" stopIfTrue="1" operator="lessThan">
      <formula>0</formula>
    </cfRule>
  </conditionalFormatting>
  <conditionalFormatting sqref="H25:H26">
    <cfRule type="cellIs" dxfId="11412" priority="11528" stopIfTrue="1" operator="lessThan">
      <formula>0.05</formula>
    </cfRule>
    <cfRule type="cellIs" dxfId="11411" priority="11529" stopIfTrue="1" operator="lessThan">
      <formula>0</formula>
    </cfRule>
  </conditionalFormatting>
  <conditionalFormatting sqref="H25:H26">
    <cfRule type="cellIs" dxfId="11410" priority="11526" stopIfTrue="1" operator="lessThan">
      <formula>0</formula>
    </cfRule>
    <cfRule type="cellIs" dxfId="11409" priority="11527" stopIfTrue="1" operator="lessThan">
      <formula>0</formula>
    </cfRule>
  </conditionalFormatting>
  <conditionalFormatting sqref="H25:H26">
    <cfRule type="cellIs" dxfId="11408" priority="11524" stopIfTrue="1" operator="lessThan">
      <formula>0</formula>
    </cfRule>
    <cfRule type="cellIs" dxfId="11407" priority="11525" stopIfTrue="1" operator="lessThan">
      <formula>0</formula>
    </cfRule>
  </conditionalFormatting>
  <conditionalFormatting sqref="H25:H26">
    <cfRule type="cellIs" dxfId="11406" priority="11522" stopIfTrue="1" operator="lessThan">
      <formula>0.05</formula>
    </cfRule>
    <cfRule type="cellIs" dxfId="11405" priority="11523" stopIfTrue="1" operator="lessThan">
      <formula>0</formula>
    </cfRule>
  </conditionalFormatting>
  <conditionalFormatting sqref="H25:H26">
    <cfRule type="cellIs" dxfId="11404" priority="11520" stopIfTrue="1" operator="lessThan">
      <formula>0</formula>
    </cfRule>
    <cfRule type="cellIs" dxfId="11403" priority="11521" stopIfTrue="1" operator="lessThan">
      <formula>0</formula>
    </cfRule>
  </conditionalFormatting>
  <conditionalFormatting sqref="H25:H26">
    <cfRule type="cellIs" dxfId="11402" priority="11518" stopIfTrue="1" operator="lessThan">
      <formula>0</formula>
    </cfRule>
    <cfRule type="cellIs" dxfId="11401" priority="11519" stopIfTrue="1" operator="lessThan">
      <formula>0</formula>
    </cfRule>
  </conditionalFormatting>
  <conditionalFormatting sqref="H25:H26">
    <cfRule type="cellIs" dxfId="11400" priority="11516" stopIfTrue="1" operator="lessThan">
      <formula>0.05</formula>
    </cfRule>
    <cfRule type="cellIs" dxfId="11399" priority="11517" stopIfTrue="1" operator="lessThan">
      <formula>0</formula>
    </cfRule>
  </conditionalFormatting>
  <conditionalFormatting sqref="H25:H26">
    <cfRule type="cellIs" dxfId="11398" priority="11514" stopIfTrue="1" operator="lessThan">
      <formula>0</formula>
    </cfRule>
    <cfRule type="cellIs" dxfId="11397" priority="11515" stopIfTrue="1" operator="lessThan">
      <formula>0</formula>
    </cfRule>
  </conditionalFormatting>
  <conditionalFormatting sqref="H25:H26">
    <cfRule type="cellIs" dxfId="11396" priority="11512" stopIfTrue="1" operator="lessThan">
      <formula>0</formula>
    </cfRule>
    <cfRule type="cellIs" dxfId="11395" priority="11513" stopIfTrue="1" operator="lessThan">
      <formula>0</formula>
    </cfRule>
  </conditionalFormatting>
  <conditionalFormatting sqref="H25:H26">
    <cfRule type="cellIs" dxfId="11394" priority="11510" stopIfTrue="1" operator="lessThan">
      <formula>0.05</formula>
    </cfRule>
    <cfRule type="cellIs" dxfId="11393" priority="11511" stopIfTrue="1" operator="lessThan">
      <formula>0</formula>
    </cfRule>
  </conditionalFormatting>
  <conditionalFormatting sqref="H25:H26">
    <cfRule type="cellIs" dxfId="11392" priority="11508" stopIfTrue="1" operator="lessThan">
      <formula>0</formula>
    </cfRule>
    <cfRule type="cellIs" dxfId="11391" priority="11509" stopIfTrue="1" operator="lessThan">
      <formula>0</formula>
    </cfRule>
  </conditionalFormatting>
  <conditionalFormatting sqref="H25:H26">
    <cfRule type="cellIs" dxfId="11390" priority="11506" stopIfTrue="1" operator="lessThan">
      <formula>0</formula>
    </cfRule>
    <cfRule type="cellIs" dxfId="11389" priority="11507" stopIfTrue="1" operator="lessThan">
      <formula>0</formula>
    </cfRule>
  </conditionalFormatting>
  <conditionalFormatting sqref="H25:H26">
    <cfRule type="cellIs" dxfId="11388" priority="11504" stopIfTrue="1" operator="lessThan">
      <formula>0.05</formula>
    </cfRule>
    <cfRule type="cellIs" dxfId="11387" priority="11505" stopIfTrue="1" operator="lessThan">
      <formula>0</formula>
    </cfRule>
  </conditionalFormatting>
  <conditionalFormatting sqref="H25:H26">
    <cfRule type="cellIs" dxfId="11386" priority="11502" stopIfTrue="1" operator="lessThan">
      <formula>0</formula>
    </cfRule>
    <cfRule type="cellIs" dxfId="11385" priority="11503" stopIfTrue="1" operator="lessThan">
      <formula>0</formula>
    </cfRule>
  </conditionalFormatting>
  <conditionalFormatting sqref="H25:H26">
    <cfRule type="cellIs" dxfId="11384" priority="11500" stopIfTrue="1" operator="lessThan">
      <formula>0</formula>
    </cfRule>
    <cfRule type="cellIs" dxfId="11383" priority="11501" stopIfTrue="1" operator="lessThan">
      <formula>0</formula>
    </cfRule>
  </conditionalFormatting>
  <conditionalFormatting sqref="H25:H26">
    <cfRule type="cellIs" dxfId="11382" priority="11498" stopIfTrue="1" operator="lessThan">
      <formula>0.05</formula>
    </cfRule>
    <cfRule type="cellIs" dxfId="11381" priority="11499" stopIfTrue="1" operator="lessThan">
      <formula>0</formula>
    </cfRule>
  </conditionalFormatting>
  <conditionalFormatting sqref="H25:H26">
    <cfRule type="cellIs" dxfId="11380" priority="11496" stopIfTrue="1" operator="lessThan">
      <formula>0</formula>
    </cfRule>
    <cfRule type="cellIs" dxfId="11379" priority="11497" stopIfTrue="1" operator="lessThan">
      <formula>0</formula>
    </cfRule>
  </conditionalFormatting>
  <conditionalFormatting sqref="H25:H26">
    <cfRule type="cellIs" dxfId="11378" priority="11494" stopIfTrue="1" operator="lessThan">
      <formula>0</formula>
    </cfRule>
    <cfRule type="cellIs" dxfId="11377" priority="11495" stopIfTrue="1" operator="lessThan">
      <formula>0</formula>
    </cfRule>
  </conditionalFormatting>
  <conditionalFormatting sqref="H25:H26">
    <cfRule type="cellIs" dxfId="11376" priority="11492" stopIfTrue="1" operator="lessThan">
      <formula>0.05</formula>
    </cfRule>
    <cfRule type="cellIs" dxfId="11375" priority="11493" stopIfTrue="1" operator="lessThan">
      <formula>0</formula>
    </cfRule>
  </conditionalFormatting>
  <conditionalFormatting sqref="H25:H26">
    <cfRule type="cellIs" dxfId="11374" priority="11490" stopIfTrue="1" operator="lessThan">
      <formula>0</formula>
    </cfRule>
    <cfRule type="cellIs" dxfId="11373" priority="11491" stopIfTrue="1" operator="lessThan">
      <formula>0</formula>
    </cfRule>
  </conditionalFormatting>
  <conditionalFormatting sqref="H25:H26">
    <cfRule type="cellIs" dxfId="11372" priority="11488" stopIfTrue="1" operator="lessThan">
      <formula>0</formula>
    </cfRule>
    <cfRule type="cellIs" dxfId="11371" priority="11489" stopIfTrue="1" operator="lessThan">
      <formula>0</formula>
    </cfRule>
  </conditionalFormatting>
  <conditionalFormatting sqref="H25:H26">
    <cfRule type="cellIs" dxfId="11370" priority="11486" stopIfTrue="1" operator="lessThan">
      <formula>0.05</formula>
    </cfRule>
    <cfRule type="cellIs" dxfId="11369" priority="11487" stopIfTrue="1" operator="lessThan">
      <formula>0</formula>
    </cfRule>
  </conditionalFormatting>
  <conditionalFormatting sqref="H25:H26">
    <cfRule type="cellIs" dxfId="11368" priority="11484" stopIfTrue="1" operator="lessThan">
      <formula>0</formula>
    </cfRule>
    <cfRule type="cellIs" dxfId="11367" priority="11485" stopIfTrue="1" operator="lessThan">
      <formula>0</formula>
    </cfRule>
  </conditionalFormatting>
  <conditionalFormatting sqref="H25:H26">
    <cfRule type="cellIs" dxfId="11366" priority="11482" stopIfTrue="1" operator="lessThan">
      <formula>0</formula>
    </cfRule>
    <cfRule type="cellIs" dxfId="11365" priority="11483" stopIfTrue="1" operator="lessThan">
      <formula>0</formula>
    </cfRule>
  </conditionalFormatting>
  <conditionalFormatting sqref="H25:H26">
    <cfRule type="cellIs" dxfId="11364" priority="11480" stopIfTrue="1" operator="lessThan">
      <formula>0.05</formula>
    </cfRule>
    <cfRule type="cellIs" dxfId="11363" priority="11481" stopIfTrue="1" operator="lessThan">
      <formula>0</formula>
    </cfRule>
  </conditionalFormatting>
  <conditionalFormatting sqref="H25:H26">
    <cfRule type="cellIs" dxfId="11362" priority="11478" stopIfTrue="1" operator="lessThan">
      <formula>0</formula>
    </cfRule>
    <cfRule type="cellIs" dxfId="11361" priority="11479" stopIfTrue="1" operator="lessThan">
      <formula>0</formula>
    </cfRule>
  </conditionalFormatting>
  <conditionalFormatting sqref="H25:H26">
    <cfRule type="cellIs" dxfId="11360" priority="11476" stopIfTrue="1" operator="lessThan">
      <formula>0</formula>
    </cfRule>
    <cfRule type="cellIs" dxfId="11359" priority="11477" stopIfTrue="1" operator="lessThan">
      <formula>0</formula>
    </cfRule>
  </conditionalFormatting>
  <conditionalFormatting sqref="H25:H26">
    <cfRule type="cellIs" dxfId="11358" priority="11474" stopIfTrue="1" operator="lessThan">
      <formula>0.05</formula>
    </cfRule>
    <cfRule type="cellIs" dxfId="11357" priority="11475" stopIfTrue="1" operator="lessThan">
      <formula>0</formula>
    </cfRule>
  </conditionalFormatting>
  <conditionalFormatting sqref="H25:H26">
    <cfRule type="cellIs" dxfId="11356" priority="11472" stopIfTrue="1" operator="lessThan">
      <formula>0</formula>
    </cfRule>
    <cfRule type="cellIs" dxfId="11355" priority="11473" stopIfTrue="1" operator="lessThan">
      <formula>0</formula>
    </cfRule>
  </conditionalFormatting>
  <conditionalFormatting sqref="H25:H26">
    <cfRule type="cellIs" dxfId="11354" priority="11470" stopIfTrue="1" operator="lessThan">
      <formula>0.05</formula>
    </cfRule>
    <cfRule type="cellIs" dxfId="11353" priority="11471" stopIfTrue="1" operator="lessThan">
      <formula>0</formula>
    </cfRule>
  </conditionalFormatting>
  <conditionalFormatting sqref="H25:H26">
    <cfRule type="cellIs" dxfId="11352" priority="11468" stopIfTrue="1" operator="lessThan">
      <formula>0</formula>
    </cfRule>
    <cfRule type="cellIs" dxfId="11351" priority="11469" stopIfTrue="1" operator="lessThan">
      <formula>0</formula>
    </cfRule>
  </conditionalFormatting>
  <conditionalFormatting sqref="H25:H26">
    <cfRule type="cellIs" dxfId="11350" priority="11466" stopIfTrue="1" operator="lessThan">
      <formula>0.05</formula>
    </cfRule>
    <cfRule type="cellIs" dxfId="11349" priority="11467" stopIfTrue="1" operator="lessThan">
      <formula>0</formula>
    </cfRule>
  </conditionalFormatting>
  <conditionalFormatting sqref="H25:H26">
    <cfRule type="cellIs" dxfId="11348" priority="11464" stopIfTrue="1" operator="lessThan">
      <formula>0</formula>
    </cfRule>
    <cfRule type="cellIs" dxfId="11347" priority="11465" stopIfTrue="1" operator="lessThan">
      <formula>0</formula>
    </cfRule>
  </conditionalFormatting>
  <conditionalFormatting sqref="H25:H26">
    <cfRule type="cellIs" dxfId="11346" priority="11462" stopIfTrue="1" operator="lessThan">
      <formula>0</formula>
    </cfRule>
    <cfRule type="cellIs" dxfId="11345" priority="11463" stopIfTrue="1" operator="lessThan">
      <formula>0</formula>
    </cfRule>
  </conditionalFormatting>
  <conditionalFormatting sqref="H25:H26">
    <cfRule type="cellIs" dxfId="11344" priority="11460" stopIfTrue="1" operator="lessThan">
      <formula>0</formula>
    </cfRule>
    <cfRule type="cellIs" dxfId="11343" priority="11461" stopIfTrue="1" operator="lessThan">
      <formula>0</formula>
    </cfRule>
  </conditionalFormatting>
  <conditionalFormatting sqref="H25:H26">
    <cfRule type="cellIs" dxfId="11342" priority="11458" stopIfTrue="1" operator="lessThan">
      <formula>0.05</formula>
    </cfRule>
    <cfRule type="cellIs" dxfId="11341" priority="11459" stopIfTrue="1" operator="lessThan">
      <formula>0</formula>
    </cfRule>
  </conditionalFormatting>
  <conditionalFormatting sqref="H25:H26">
    <cfRule type="cellIs" dxfId="11340" priority="11456" stopIfTrue="1" operator="lessThan">
      <formula>0</formula>
    </cfRule>
    <cfRule type="cellIs" dxfId="11339" priority="11457" stopIfTrue="1" operator="lessThan">
      <formula>0</formula>
    </cfRule>
  </conditionalFormatting>
  <conditionalFormatting sqref="H25:H26">
    <cfRule type="cellIs" dxfId="11338" priority="11454" stopIfTrue="1" operator="lessThan">
      <formula>0.05</formula>
    </cfRule>
    <cfRule type="cellIs" dxfId="11337" priority="11455" stopIfTrue="1" operator="lessThan">
      <formula>0</formula>
    </cfRule>
  </conditionalFormatting>
  <conditionalFormatting sqref="H25:H26">
    <cfRule type="cellIs" dxfId="11336" priority="11452" stopIfTrue="1" operator="lessThan">
      <formula>0</formula>
    </cfRule>
    <cfRule type="cellIs" dxfId="11335" priority="11453" stopIfTrue="1" operator="lessThan">
      <formula>0</formula>
    </cfRule>
  </conditionalFormatting>
  <conditionalFormatting sqref="H25:H26">
    <cfRule type="cellIs" dxfId="11334" priority="11450" stopIfTrue="1" operator="lessThan">
      <formula>0.05</formula>
    </cfRule>
    <cfRule type="cellIs" dxfId="11333" priority="11451" stopIfTrue="1" operator="lessThan">
      <formula>0</formula>
    </cfRule>
  </conditionalFormatting>
  <conditionalFormatting sqref="H25:H26">
    <cfRule type="cellIs" dxfId="11332" priority="11448" stopIfTrue="1" operator="lessThan">
      <formula>0</formula>
    </cfRule>
    <cfRule type="cellIs" dxfId="11331" priority="11449" stopIfTrue="1" operator="lessThan">
      <formula>0</formula>
    </cfRule>
  </conditionalFormatting>
  <conditionalFormatting sqref="H25:H26">
    <cfRule type="cellIs" dxfId="11330" priority="11446" stopIfTrue="1" operator="lessThan">
      <formula>0</formula>
    </cfRule>
    <cfRule type="cellIs" dxfId="11329" priority="11447" stopIfTrue="1" operator="lessThan">
      <formula>0</formula>
    </cfRule>
  </conditionalFormatting>
  <conditionalFormatting sqref="H25:H26">
    <cfRule type="cellIs" dxfId="11328" priority="11444" stopIfTrue="1" operator="lessThan">
      <formula>0.05</formula>
    </cfRule>
    <cfRule type="cellIs" dxfId="11327" priority="11445" stopIfTrue="1" operator="lessThan">
      <formula>0</formula>
    </cfRule>
  </conditionalFormatting>
  <conditionalFormatting sqref="H25:H26">
    <cfRule type="cellIs" dxfId="11326" priority="11442" stopIfTrue="1" operator="lessThan">
      <formula>0</formula>
    </cfRule>
    <cfRule type="cellIs" dxfId="11325" priority="11443" stopIfTrue="1" operator="lessThan">
      <formula>0</formula>
    </cfRule>
  </conditionalFormatting>
  <conditionalFormatting sqref="H25:H26">
    <cfRule type="cellIs" dxfId="11324" priority="11440" stopIfTrue="1" operator="lessThan">
      <formula>0</formula>
    </cfRule>
    <cfRule type="cellIs" dxfId="11323" priority="11441" stopIfTrue="1" operator="lessThan">
      <formula>0</formula>
    </cfRule>
  </conditionalFormatting>
  <conditionalFormatting sqref="H25:H26">
    <cfRule type="cellIs" dxfId="11322" priority="11438" stopIfTrue="1" operator="lessThan">
      <formula>0.05</formula>
    </cfRule>
    <cfRule type="cellIs" dxfId="11321" priority="11439" stopIfTrue="1" operator="lessThan">
      <formula>0</formula>
    </cfRule>
  </conditionalFormatting>
  <conditionalFormatting sqref="H25:H26">
    <cfRule type="cellIs" dxfId="11320" priority="11436" stopIfTrue="1" operator="lessThan">
      <formula>0</formula>
    </cfRule>
    <cfRule type="cellIs" dxfId="11319" priority="11437" stopIfTrue="1" operator="lessThan">
      <formula>0</formula>
    </cfRule>
  </conditionalFormatting>
  <conditionalFormatting sqref="H25:H26">
    <cfRule type="cellIs" dxfId="11318" priority="11434" stopIfTrue="1" operator="lessThan">
      <formula>0</formula>
    </cfRule>
    <cfRule type="cellIs" dxfId="11317" priority="11435" stopIfTrue="1" operator="lessThan">
      <formula>0</formula>
    </cfRule>
  </conditionalFormatting>
  <conditionalFormatting sqref="H25:H26">
    <cfRule type="cellIs" dxfId="11316" priority="11432" stopIfTrue="1" operator="lessThan">
      <formula>0.05</formula>
    </cfRule>
    <cfRule type="cellIs" dxfId="11315" priority="11433" stopIfTrue="1" operator="lessThan">
      <formula>0</formula>
    </cfRule>
  </conditionalFormatting>
  <conditionalFormatting sqref="H25:H26">
    <cfRule type="cellIs" dxfId="11314" priority="11430" stopIfTrue="1" operator="lessThan">
      <formula>0</formula>
    </cfRule>
    <cfRule type="cellIs" dxfId="11313" priority="11431" stopIfTrue="1" operator="lessThan">
      <formula>0</formula>
    </cfRule>
  </conditionalFormatting>
  <conditionalFormatting sqref="H25:H26">
    <cfRule type="cellIs" dxfId="11312" priority="11428" stopIfTrue="1" operator="lessThan">
      <formula>0</formula>
    </cfRule>
    <cfRule type="cellIs" dxfId="11311" priority="11429" stopIfTrue="1" operator="lessThan">
      <formula>0</formula>
    </cfRule>
  </conditionalFormatting>
  <conditionalFormatting sqref="H25:H26">
    <cfRule type="cellIs" dxfId="11310" priority="11426" stopIfTrue="1" operator="lessThan">
      <formula>0.05</formula>
    </cfRule>
    <cfRule type="cellIs" dxfId="11309" priority="11427" stopIfTrue="1" operator="lessThan">
      <formula>0</formula>
    </cfRule>
  </conditionalFormatting>
  <conditionalFormatting sqref="H25:H26">
    <cfRule type="cellIs" dxfId="11308" priority="11424" stopIfTrue="1" operator="lessThan">
      <formula>0</formula>
    </cfRule>
    <cfRule type="cellIs" dxfId="11307" priority="11425" stopIfTrue="1" operator="lessThan">
      <formula>0</formula>
    </cfRule>
  </conditionalFormatting>
  <conditionalFormatting sqref="H25:H26">
    <cfRule type="cellIs" dxfId="11306" priority="11422" stopIfTrue="1" operator="lessThan">
      <formula>0</formula>
    </cfRule>
    <cfRule type="cellIs" dxfId="11305" priority="11423" stopIfTrue="1" operator="lessThan">
      <formula>0</formula>
    </cfRule>
  </conditionalFormatting>
  <conditionalFormatting sqref="H25:H26">
    <cfRule type="cellIs" dxfId="11304" priority="11420" stopIfTrue="1" operator="lessThan">
      <formula>0.05</formula>
    </cfRule>
    <cfRule type="cellIs" dxfId="11303" priority="11421" stopIfTrue="1" operator="lessThan">
      <formula>0</formula>
    </cfRule>
  </conditionalFormatting>
  <conditionalFormatting sqref="H25:H26">
    <cfRule type="cellIs" dxfId="11302" priority="11418" stopIfTrue="1" operator="lessThan">
      <formula>0</formula>
    </cfRule>
    <cfRule type="cellIs" dxfId="11301" priority="11419" stopIfTrue="1" operator="lessThan">
      <formula>0</formula>
    </cfRule>
  </conditionalFormatting>
  <conditionalFormatting sqref="H25:H26">
    <cfRule type="cellIs" dxfId="11300" priority="11416" stopIfTrue="1" operator="lessThan">
      <formula>0</formula>
    </cfRule>
    <cfRule type="cellIs" dxfId="11299" priority="11417" stopIfTrue="1" operator="lessThan">
      <formula>0</formula>
    </cfRule>
  </conditionalFormatting>
  <conditionalFormatting sqref="H25:H26">
    <cfRule type="cellIs" dxfId="11298" priority="11414" stopIfTrue="1" operator="lessThan">
      <formula>0.05</formula>
    </cfRule>
    <cfRule type="cellIs" dxfId="11297" priority="11415" stopIfTrue="1" operator="lessThan">
      <formula>0</formula>
    </cfRule>
  </conditionalFormatting>
  <conditionalFormatting sqref="H25:H26">
    <cfRule type="cellIs" dxfId="11296" priority="11412" stopIfTrue="1" operator="lessThan">
      <formula>0</formula>
    </cfRule>
    <cfRule type="cellIs" dxfId="11295" priority="11413" stopIfTrue="1" operator="lessThan">
      <formula>0</formula>
    </cfRule>
  </conditionalFormatting>
  <conditionalFormatting sqref="H25:H26">
    <cfRule type="cellIs" dxfId="11294" priority="11410" stopIfTrue="1" operator="lessThan">
      <formula>0</formula>
    </cfRule>
    <cfRule type="cellIs" dxfId="11293" priority="11411" stopIfTrue="1" operator="lessThan">
      <formula>0</formula>
    </cfRule>
  </conditionalFormatting>
  <conditionalFormatting sqref="H25:H26">
    <cfRule type="cellIs" dxfId="11292" priority="11408" stopIfTrue="1" operator="lessThan">
      <formula>0.05</formula>
    </cfRule>
    <cfRule type="cellIs" dxfId="11291" priority="11409" stopIfTrue="1" operator="lessThan">
      <formula>0</formula>
    </cfRule>
  </conditionalFormatting>
  <conditionalFormatting sqref="H25:H26">
    <cfRule type="cellIs" dxfId="11290" priority="11406" stopIfTrue="1" operator="lessThan">
      <formula>0</formula>
    </cfRule>
    <cfRule type="cellIs" dxfId="11289" priority="11407" stopIfTrue="1" operator="lessThan">
      <formula>0</formula>
    </cfRule>
  </conditionalFormatting>
  <conditionalFormatting sqref="H25:H26">
    <cfRule type="cellIs" dxfId="11288" priority="11404" stopIfTrue="1" operator="lessThan">
      <formula>0</formula>
    </cfRule>
    <cfRule type="cellIs" dxfId="11287" priority="11405" stopIfTrue="1" operator="lessThan">
      <formula>0</formula>
    </cfRule>
  </conditionalFormatting>
  <conditionalFormatting sqref="H25:H26">
    <cfRule type="cellIs" dxfId="11286" priority="11402" stopIfTrue="1" operator="lessThan">
      <formula>0.05</formula>
    </cfRule>
    <cfRule type="cellIs" dxfId="11285" priority="11403" stopIfTrue="1" operator="lessThan">
      <formula>0</formula>
    </cfRule>
  </conditionalFormatting>
  <conditionalFormatting sqref="H25:H26">
    <cfRule type="cellIs" dxfId="11284" priority="11400" stopIfTrue="1" operator="lessThan">
      <formula>0</formula>
    </cfRule>
    <cfRule type="cellIs" dxfId="11283" priority="11401" stopIfTrue="1" operator="lessThan">
      <formula>0</formula>
    </cfRule>
  </conditionalFormatting>
  <conditionalFormatting sqref="H25:H26">
    <cfRule type="cellIs" dxfId="11282" priority="11398" stopIfTrue="1" operator="lessThan">
      <formula>0</formula>
    </cfRule>
    <cfRule type="cellIs" dxfId="11281" priority="11399" stopIfTrue="1" operator="lessThan">
      <formula>0</formula>
    </cfRule>
  </conditionalFormatting>
  <conditionalFormatting sqref="H25:H26">
    <cfRule type="cellIs" dxfId="11280" priority="11396" stopIfTrue="1" operator="lessThan">
      <formula>0.05</formula>
    </cfRule>
    <cfRule type="cellIs" dxfId="11279" priority="11397" stopIfTrue="1" operator="lessThan">
      <formula>0</formula>
    </cfRule>
  </conditionalFormatting>
  <conditionalFormatting sqref="H25:H26">
    <cfRule type="cellIs" dxfId="11278" priority="11394" stopIfTrue="1" operator="lessThan">
      <formula>0</formula>
    </cfRule>
    <cfRule type="cellIs" dxfId="11277" priority="11395" stopIfTrue="1" operator="lessThan">
      <formula>0</formula>
    </cfRule>
  </conditionalFormatting>
  <conditionalFormatting sqref="H25:H26">
    <cfRule type="cellIs" dxfId="11276" priority="11392" stopIfTrue="1" operator="lessThan">
      <formula>0</formula>
    </cfRule>
    <cfRule type="cellIs" dxfId="11275" priority="11393" stopIfTrue="1" operator="lessThan">
      <formula>0</formula>
    </cfRule>
  </conditionalFormatting>
  <conditionalFormatting sqref="H25:H26">
    <cfRule type="cellIs" dxfId="11274" priority="11390" stopIfTrue="1" operator="lessThan">
      <formula>0.05</formula>
    </cfRule>
    <cfRule type="cellIs" dxfId="11273" priority="11391" stopIfTrue="1" operator="lessThan">
      <formula>0</formula>
    </cfRule>
  </conditionalFormatting>
  <conditionalFormatting sqref="H25:H26">
    <cfRule type="cellIs" dxfId="11272" priority="11388" stopIfTrue="1" operator="lessThan">
      <formula>0</formula>
    </cfRule>
    <cfRule type="cellIs" dxfId="11271" priority="11389" stopIfTrue="1" operator="lessThan">
      <formula>0</formula>
    </cfRule>
  </conditionalFormatting>
  <conditionalFormatting sqref="H25:H26">
    <cfRule type="cellIs" dxfId="11270" priority="11386" stopIfTrue="1" operator="lessThan">
      <formula>0</formula>
    </cfRule>
    <cfRule type="cellIs" dxfId="11269" priority="11387" stopIfTrue="1" operator="lessThan">
      <formula>0</formula>
    </cfRule>
  </conditionalFormatting>
  <conditionalFormatting sqref="H25:H26">
    <cfRule type="cellIs" dxfId="11268" priority="11384" stopIfTrue="1" operator="lessThan">
      <formula>0.05</formula>
    </cfRule>
    <cfRule type="cellIs" dxfId="11267" priority="11385" stopIfTrue="1" operator="lessThan">
      <formula>0</formula>
    </cfRule>
  </conditionalFormatting>
  <conditionalFormatting sqref="H25:H26">
    <cfRule type="cellIs" dxfId="11266" priority="11382" stopIfTrue="1" operator="lessThan">
      <formula>0</formula>
    </cfRule>
    <cfRule type="cellIs" dxfId="11265" priority="11383" stopIfTrue="1" operator="lessThan">
      <formula>0</formula>
    </cfRule>
  </conditionalFormatting>
  <conditionalFormatting sqref="H25:H26">
    <cfRule type="cellIs" dxfId="11264" priority="11380" stopIfTrue="1" operator="lessThan">
      <formula>0</formula>
    </cfRule>
    <cfRule type="cellIs" dxfId="11263" priority="11381" stopIfTrue="1" operator="lessThan">
      <formula>0</formula>
    </cfRule>
  </conditionalFormatting>
  <conditionalFormatting sqref="H25:H26">
    <cfRule type="cellIs" dxfId="11262" priority="11378" stopIfTrue="1" operator="lessThan">
      <formula>0.05</formula>
    </cfRule>
    <cfRule type="cellIs" dxfId="11261" priority="11379" stopIfTrue="1" operator="lessThan">
      <formula>0</formula>
    </cfRule>
  </conditionalFormatting>
  <conditionalFormatting sqref="H25:H26">
    <cfRule type="cellIs" dxfId="11260" priority="11376" stopIfTrue="1" operator="lessThan">
      <formula>0</formula>
    </cfRule>
    <cfRule type="cellIs" dxfId="11259" priority="11377" stopIfTrue="1" operator="lessThan">
      <formula>0</formula>
    </cfRule>
  </conditionalFormatting>
  <conditionalFormatting sqref="H25:H26">
    <cfRule type="cellIs" dxfId="11258" priority="11374" stopIfTrue="1" operator="lessThan">
      <formula>0</formula>
    </cfRule>
    <cfRule type="cellIs" dxfId="11257" priority="11375" stopIfTrue="1" operator="lessThan">
      <formula>0</formula>
    </cfRule>
  </conditionalFormatting>
  <conditionalFormatting sqref="H25:H26">
    <cfRule type="cellIs" dxfId="11256" priority="11372" stopIfTrue="1" operator="lessThan">
      <formula>0.05</formula>
    </cfRule>
    <cfRule type="cellIs" dxfId="11255" priority="11373" stopIfTrue="1" operator="lessThan">
      <formula>0</formula>
    </cfRule>
  </conditionalFormatting>
  <conditionalFormatting sqref="H25:H26">
    <cfRule type="cellIs" dxfId="11254" priority="11370" stopIfTrue="1" operator="lessThan">
      <formula>0</formula>
    </cfRule>
    <cfRule type="cellIs" dxfId="11253" priority="11371" stopIfTrue="1" operator="lessThan">
      <formula>0</formula>
    </cfRule>
  </conditionalFormatting>
  <conditionalFormatting sqref="H25:H26">
    <cfRule type="cellIs" dxfId="11252" priority="11368" stopIfTrue="1" operator="lessThan">
      <formula>0</formula>
    </cfRule>
    <cfRule type="cellIs" dxfId="11251" priority="11369" stopIfTrue="1" operator="lessThan">
      <formula>0</formula>
    </cfRule>
  </conditionalFormatting>
  <conditionalFormatting sqref="H25:H26">
    <cfRule type="cellIs" dxfId="11250" priority="11366" stopIfTrue="1" operator="lessThan">
      <formula>0.05</formula>
    </cfRule>
    <cfRule type="cellIs" dxfId="11249" priority="11367" stopIfTrue="1" operator="lessThan">
      <formula>0</formula>
    </cfRule>
  </conditionalFormatting>
  <conditionalFormatting sqref="H25:H26">
    <cfRule type="cellIs" dxfId="11248" priority="11364" stopIfTrue="1" operator="lessThan">
      <formula>0</formula>
    </cfRule>
    <cfRule type="cellIs" dxfId="11247" priority="11365" stopIfTrue="1" operator="lessThan">
      <formula>0</formula>
    </cfRule>
  </conditionalFormatting>
  <conditionalFormatting sqref="H25:H26">
    <cfRule type="cellIs" dxfId="11246" priority="11362" stopIfTrue="1" operator="lessThan">
      <formula>0.05</formula>
    </cfRule>
    <cfRule type="cellIs" dxfId="11245" priority="11363" stopIfTrue="1" operator="lessThan">
      <formula>0</formula>
    </cfRule>
  </conditionalFormatting>
  <conditionalFormatting sqref="H25:H26">
    <cfRule type="cellIs" dxfId="11244" priority="11360" stopIfTrue="1" operator="lessThan">
      <formula>0</formula>
    </cfRule>
    <cfRule type="cellIs" dxfId="11243" priority="11361" stopIfTrue="1" operator="lessThan">
      <formula>0</formula>
    </cfRule>
  </conditionalFormatting>
  <conditionalFormatting sqref="H25:H26">
    <cfRule type="cellIs" dxfId="11242" priority="11358" stopIfTrue="1" operator="lessThan">
      <formula>0.05</formula>
    </cfRule>
    <cfRule type="cellIs" dxfId="11241" priority="11359" stopIfTrue="1" operator="lessThan">
      <formula>0</formula>
    </cfRule>
  </conditionalFormatting>
  <conditionalFormatting sqref="H25:H26">
    <cfRule type="cellIs" dxfId="11240" priority="11356" stopIfTrue="1" operator="lessThan">
      <formula>0</formula>
    </cfRule>
    <cfRule type="cellIs" dxfId="11239" priority="11357" stopIfTrue="1" operator="lessThan">
      <formula>0</formula>
    </cfRule>
  </conditionalFormatting>
  <conditionalFormatting sqref="H25:H26">
    <cfRule type="cellIs" dxfId="11238" priority="11354" stopIfTrue="1" operator="lessThan">
      <formula>0</formula>
    </cfRule>
    <cfRule type="cellIs" dxfId="11237" priority="11355" stopIfTrue="1" operator="lessThan">
      <formula>0</formula>
    </cfRule>
  </conditionalFormatting>
  <conditionalFormatting sqref="H25:H26">
    <cfRule type="cellIs" dxfId="11236" priority="11352" stopIfTrue="1" operator="lessThan">
      <formula>0</formula>
    </cfRule>
    <cfRule type="cellIs" dxfId="11235" priority="11353" stopIfTrue="1" operator="lessThan">
      <formula>0</formula>
    </cfRule>
  </conditionalFormatting>
  <conditionalFormatting sqref="H25:H26">
    <cfRule type="cellIs" dxfId="11234" priority="11350" stopIfTrue="1" operator="lessThan">
      <formula>0.05</formula>
    </cfRule>
    <cfRule type="cellIs" dxfId="11233" priority="11351" stopIfTrue="1" operator="lessThan">
      <formula>0</formula>
    </cfRule>
  </conditionalFormatting>
  <conditionalFormatting sqref="H25:H26">
    <cfRule type="cellIs" dxfId="11232" priority="11348" stopIfTrue="1" operator="lessThan">
      <formula>0</formula>
    </cfRule>
    <cfRule type="cellIs" dxfId="11231" priority="11349" stopIfTrue="1" operator="lessThan">
      <formula>0</formula>
    </cfRule>
  </conditionalFormatting>
  <conditionalFormatting sqref="H25:H26">
    <cfRule type="cellIs" dxfId="11230" priority="11346" stopIfTrue="1" operator="lessThan">
      <formula>0.05</formula>
    </cfRule>
    <cfRule type="cellIs" dxfId="11229" priority="11347" stopIfTrue="1" operator="lessThan">
      <formula>0</formula>
    </cfRule>
  </conditionalFormatting>
  <conditionalFormatting sqref="H25:H26">
    <cfRule type="cellIs" dxfId="11228" priority="11344" stopIfTrue="1" operator="lessThan">
      <formula>0</formula>
    </cfRule>
    <cfRule type="cellIs" dxfId="11227" priority="11345" stopIfTrue="1" operator="lessThan">
      <formula>0</formula>
    </cfRule>
  </conditionalFormatting>
  <conditionalFormatting sqref="H25:H26">
    <cfRule type="cellIs" dxfId="11226" priority="11342" stopIfTrue="1" operator="lessThan">
      <formula>0.05</formula>
    </cfRule>
    <cfRule type="cellIs" dxfId="11225" priority="11343" stopIfTrue="1" operator="lessThan">
      <formula>0</formula>
    </cfRule>
  </conditionalFormatting>
  <conditionalFormatting sqref="H25:H26">
    <cfRule type="cellIs" dxfId="11224" priority="11340" stopIfTrue="1" operator="lessThan">
      <formula>0</formula>
    </cfRule>
    <cfRule type="cellIs" dxfId="11223" priority="11341" stopIfTrue="1" operator="lessThan">
      <formula>0</formula>
    </cfRule>
  </conditionalFormatting>
  <conditionalFormatting sqref="H25:H26">
    <cfRule type="cellIs" dxfId="11222" priority="11339" stopIfTrue="1" operator="lessThan">
      <formula>0.05</formula>
    </cfRule>
  </conditionalFormatting>
  <conditionalFormatting sqref="H30:H31">
    <cfRule type="cellIs" dxfId="11221" priority="11337" stopIfTrue="1" operator="lessThan">
      <formula>0</formula>
    </cfRule>
    <cfRule type="cellIs" dxfId="11220" priority="11338" stopIfTrue="1" operator="lessThan">
      <formula>0</formula>
    </cfRule>
  </conditionalFormatting>
  <conditionalFormatting sqref="H30:H31">
    <cfRule type="cellIs" dxfId="11219" priority="11335" stopIfTrue="1" operator="lessThan">
      <formula>0.05</formula>
    </cfRule>
    <cfRule type="cellIs" dxfId="11218" priority="11336" stopIfTrue="1" operator="lessThan">
      <formula>0</formula>
    </cfRule>
  </conditionalFormatting>
  <conditionalFormatting sqref="H30:H31">
    <cfRule type="cellIs" dxfId="11217" priority="11333" stopIfTrue="1" operator="lessThan">
      <formula>0</formula>
    </cfRule>
    <cfRule type="cellIs" dxfId="11216" priority="11334" stopIfTrue="1" operator="lessThan">
      <formula>0</formula>
    </cfRule>
  </conditionalFormatting>
  <conditionalFormatting sqref="H30:H31">
    <cfRule type="cellIs" dxfId="11215" priority="11331" stopIfTrue="1" operator="lessThan">
      <formula>0</formula>
    </cfRule>
    <cfRule type="cellIs" dxfId="11214" priority="11332" stopIfTrue="1" operator="lessThan">
      <formula>0</formula>
    </cfRule>
  </conditionalFormatting>
  <conditionalFormatting sqref="H30:H31">
    <cfRule type="cellIs" dxfId="11213" priority="11329" stopIfTrue="1" operator="lessThan">
      <formula>0.05</formula>
    </cfRule>
    <cfRule type="cellIs" dxfId="11212" priority="11330" stopIfTrue="1" operator="lessThan">
      <formula>0</formula>
    </cfRule>
  </conditionalFormatting>
  <conditionalFormatting sqref="H30:H31">
    <cfRule type="cellIs" dxfId="11211" priority="11327" stopIfTrue="1" operator="lessThan">
      <formula>0</formula>
    </cfRule>
    <cfRule type="cellIs" dxfId="11210" priority="11328" stopIfTrue="1" operator="lessThan">
      <formula>0</formula>
    </cfRule>
  </conditionalFormatting>
  <conditionalFormatting sqref="H30:H31">
    <cfRule type="cellIs" dxfId="11209" priority="11325" stopIfTrue="1" operator="lessThan">
      <formula>0</formula>
    </cfRule>
    <cfRule type="cellIs" dxfId="11208" priority="11326" stopIfTrue="1" operator="lessThan">
      <formula>0</formula>
    </cfRule>
  </conditionalFormatting>
  <conditionalFormatting sqref="H30:H31">
    <cfRule type="cellIs" dxfId="11207" priority="11323" stopIfTrue="1" operator="lessThan">
      <formula>0.05</formula>
    </cfRule>
    <cfRule type="cellIs" dxfId="11206" priority="11324" stopIfTrue="1" operator="lessThan">
      <formula>0</formula>
    </cfRule>
  </conditionalFormatting>
  <conditionalFormatting sqref="H30:H31">
    <cfRule type="cellIs" dxfId="11205" priority="11321" stopIfTrue="1" operator="lessThan">
      <formula>0</formula>
    </cfRule>
    <cfRule type="cellIs" dxfId="11204" priority="11322" stopIfTrue="1" operator="lessThan">
      <formula>0</formula>
    </cfRule>
  </conditionalFormatting>
  <conditionalFormatting sqref="H30">
    <cfRule type="cellIs" dxfId="11203" priority="11319" stopIfTrue="1" operator="lessThan">
      <formula>0</formula>
    </cfRule>
    <cfRule type="cellIs" dxfId="11202" priority="11320" stopIfTrue="1" operator="lessThan">
      <formula>0</formula>
    </cfRule>
  </conditionalFormatting>
  <conditionalFormatting sqref="H30">
    <cfRule type="cellIs" dxfId="11201" priority="11317" stopIfTrue="1" operator="lessThan">
      <formula>0.05</formula>
    </cfRule>
    <cfRule type="cellIs" dxfId="11200" priority="11318" stopIfTrue="1" operator="lessThan">
      <formula>0</formula>
    </cfRule>
  </conditionalFormatting>
  <conditionalFormatting sqref="H30">
    <cfRule type="cellIs" dxfId="11199" priority="11315" stopIfTrue="1" operator="lessThan">
      <formula>0</formula>
    </cfRule>
    <cfRule type="cellIs" dxfId="11198" priority="11316" stopIfTrue="1" operator="lessThan">
      <formula>0</formula>
    </cfRule>
  </conditionalFormatting>
  <conditionalFormatting sqref="H30">
    <cfRule type="cellIs" dxfId="11197" priority="11313" stopIfTrue="1" operator="lessThan">
      <formula>0</formula>
    </cfRule>
    <cfRule type="cellIs" dxfId="11196" priority="11314" stopIfTrue="1" operator="lessThan">
      <formula>0</formula>
    </cfRule>
  </conditionalFormatting>
  <conditionalFormatting sqref="H30">
    <cfRule type="cellIs" dxfId="11195" priority="11311" stopIfTrue="1" operator="lessThan">
      <formula>0.05</formula>
    </cfRule>
    <cfRule type="cellIs" dxfId="11194" priority="11312" stopIfTrue="1" operator="lessThan">
      <formula>0</formula>
    </cfRule>
  </conditionalFormatting>
  <conditionalFormatting sqref="H30">
    <cfRule type="cellIs" dxfId="11193" priority="11309" stopIfTrue="1" operator="lessThan">
      <formula>0</formula>
    </cfRule>
    <cfRule type="cellIs" dxfId="11192" priority="11310" stopIfTrue="1" operator="lessThan">
      <formula>0</formula>
    </cfRule>
  </conditionalFormatting>
  <conditionalFormatting sqref="H30">
    <cfRule type="cellIs" dxfId="11191" priority="11307" stopIfTrue="1" operator="lessThan">
      <formula>0</formula>
    </cfRule>
    <cfRule type="cellIs" dxfId="11190" priority="11308" stopIfTrue="1" operator="lessThan">
      <formula>0</formula>
    </cfRule>
  </conditionalFormatting>
  <conditionalFormatting sqref="H30">
    <cfRule type="cellIs" dxfId="11189" priority="11305" stopIfTrue="1" operator="lessThan">
      <formula>0.05</formula>
    </cfRule>
    <cfRule type="cellIs" dxfId="11188" priority="11306" stopIfTrue="1" operator="lessThan">
      <formula>0</formula>
    </cfRule>
  </conditionalFormatting>
  <conditionalFormatting sqref="H30">
    <cfRule type="cellIs" dxfId="11187" priority="11303" stopIfTrue="1" operator="lessThan">
      <formula>0</formula>
    </cfRule>
    <cfRule type="cellIs" dxfId="11186" priority="11304" stopIfTrue="1" operator="lessThan">
      <formula>0</formula>
    </cfRule>
  </conditionalFormatting>
  <conditionalFormatting sqref="H30">
    <cfRule type="cellIs" dxfId="11185" priority="11301" stopIfTrue="1" operator="lessThan">
      <formula>0</formula>
    </cfRule>
    <cfRule type="cellIs" dxfId="11184" priority="11302" stopIfTrue="1" operator="lessThan">
      <formula>0</formula>
    </cfRule>
  </conditionalFormatting>
  <conditionalFormatting sqref="H30">
    <cfRule type="cellIs" dxfId="11183" priority="11299" stopIfTrue="1" operator="lessThan">
      <formula>0.05</formula>
    </cfRule>
    <cfRule type="cellIs" dxfId="11182" priority="11300" stopIfTrue="1" operator="lessThan">
      <formula>0</formula>
    </cfRule>
  </conditionalFormatting>
  <conditionalFormatting sqref="H30">
    <cfRule type="cellIs" dxfId="11181" priority="11297" stopIfTrue="1" operator="lessThan">
      <formula>0</formula>
    </cfRule>
    <cfRule type="cellIs" dxfId="11180" priority="11298" stopIfTrue="1" operator="lessThan">
      <formula>0</formula>
    </cfRule>
  </conditionalFormatting>
  <conditionalFormatting sqref="H30">
    <cfRule type="cellIs" dxfId="11179" priority="11295" stopIfTrue="1" operator="lessThan">
      <formula>0.05</formula>
    </cfRule>
    <cfRule type="cellIs" dxfId="11178" priority="11296" stopIfTrue="1" operator="lessThan">
      <formula>0</formula>
    </cfRule>
  </conditionalFormatting>
  <conditionalFormatting sqref="H30">
    <cfRule type="cellIs" dxfId="11177" priority="11293" stopIfTrue="1" operator="lessThan">
      <formula>0</formula>
    </cfRule>
    <cfRule type="cellIs" dxfId="11176" priority="11294" stopIfTrue="1" operator="lessThan">
      <formula>0</formula>
    </cfRule>
  </conditionalFormatting>
  <conditionalFormatting sqref="H30">
    <cfRule type="cellIs" dxfId="11175" priority="11291" stopIfTrue="1" operator="lessThan">
      <formula>0.05</formula>
    </cfRule>
    <cfRule type="cellIs" dxfId="11174" priority="11292" stopIfTrue="1" operator="lessThan">
      <formula>0</formula>
    </cfRule>
  </conditionalFormatting>
  <conditionalFormatting sqref="H30">
    <cfRule type="cellIs" dxfId="11173" priority="11289" stopIfTrue="1" operator="lessThan">
      <formula>0</formula>
    </cfRule>
    <cfRule type="cellIs" dxfId="11172" priority="11290" stopIfTrue="1" operator="lessThan">
      <formula>0</formula>
    </cfRule>
  </conditionalFormatting>
  <conditionalFormatting sqref="H30">
    <cfRule type="cellIs" dxfId="11171" priority="11287" stopIfTrue="1" operator="lessThan">
      <formula>0</formula>
    </cfRule>
    <cfRule type="cellIs" dxfId="11170" priority="11288" stopIfTrue="1" operator="lessThan">
      <formula>0</formula>
    </cfRule>
  </conditionalFormatting>
  <conditionalFormatting sqref="H30">
    <cfRule type="cellIs" dxfId="11169" priority="11285" stopIfTrue="1" operator="lessThan">
      <formula>0</formula>
    </cfRule>
    <cfRule type="cellIs" dxfId="11168" priority="11286" stopIfTrue="1" operator="lessThan">
      <formula>0</formula>
    </cfRule>
  </conditionalFormatting>
  <conditionalFormatting sqref="H30">
    <cfRule type="cellIs" dxfId="11167" priority="11283" stopIfTrue="1" operator="lessThan">
      <formula>0.05</formula>
    </cfRule>
    <cfRule type="cellIs" dxfId="11166" priority="11284" stopIfTrue="1" operator="lessThan">
      <formula>0</formula>
    </cfRule>
  </conditionalFormatting>
  <conditionalFormatting sqref="H30">
    <cfRule type="cellIs" dxfId="11165" priority="11281" stopIfTrue="1" operator="lessThan">
      <formula>0</formula>
    </cfRule>
    <cfRule type="cellIs" dxfId="11164" priority="11282" stopIfTrue="1" operator="lessThan">
      <formula>0</formula>
    </cfRule>
  </conditionalFormatting>
  <conditionalFormatting sqref="H30">
    <cfRule type="cellIs" dxfId="11163" priority="11279" stopIfTrue="1" operator="lessThan">
      <formula>0.05</formula>
    </cfRule>
    <cfRule type="cellIs" dxfId="11162" priority="11280" stopIfTrue="1" operator="lessThan">
      <formula>0</formula>
    </cfRule>
  </conditionalFormatting>
  <conditionalFormatting sqref="H30">
    <cfRule type="cellIs" dxfId="11161" priority="11277" stopIfTrue="1" operator="lessThan">
      <formula>0</formula>
    </cfRule>
    <cfRule type="cellIs" dxfId="11160" priority="11278" stopIfTrue="1" operator="lessThan">
      <formula>0</formula>
    </cfRule>
  </conditionalFormatting>
  <conditionalFormatting sqref="H30">
    <cfRule type="cellIs" dxfId="11159" priority="11275" stopIfTrue="1" operator="lessThan">
      <formula>0.05</formula>
    </cfRule>
    <cfRule type="cellIs" dxfId="11158" priority="11276" stopIfTrue="1" operator="lessThan">
      <formula>0</formula>
    </cfRule>
  </conditionalFormatting>
  <conditionalFormatting sqref="H30">
    <cfRule type="cellIs" dxfId="11157" priority="11273" stopIfTrue="1" operator="lessThan">
      <formula>0</formula>
    </cfRule>
    <cfRule type="cellIs" dxfId="11156" priority="11274" stopIfTrue="1" operator="lessThan">
      <formula>0</formula>
    </cfRule>
  </conditionalFormatting>
  <conditionalFormatting sqref="H30:H31">
    <cfRule type="cellIs" dxfId="11155" priority="11271" stopIfTrue="1" operator="lessThan">
      <formula>0</formula>
    </cfRule>
    <cfRule type="cellIs" dxfId="11154" priority="11272" stopIfTrue="1" operator="lessThan">
      <formula>0</formula>
    </cfRule>
  </conditionalFormatting>
  <conditionalFormatting sqref="H30:H31">
    <cfRule type="cellIs" dxfId="11153" priority="11269" stopIfTrue="1" operator="lessThan">
      <formula>0.05</formula>
    </cfRule>
    <cfRule type="cellIs" dxfId="11152" priority="11270" stopIfTrue="1" operator="lessThan">
      <formula>0</formula>
    </cfRule>
  </conditionalFormatting>
  <conditionalFormatting sqref="H30:H31">
    <cfRule type="cellIs" dxfId="11151" priority="11267" stopIfTrue="1" operator="lessThan">
      <formula>0</formula>
    </cfRule>
    <cfRule type="cellIs" dxfId="11150" priority="11268" stopIfTrue="1" operator="lessThan">
      <formula>0</formula>
    </cfRule>
  </conditionalFormatting>
  <conditionalFormatting sqref="H30:H31">
    <cfRule type="cellIs" dxfId="11149" priority="11265" stopIfTrue="1" operator="lessThan">
      <formula>0</formula>
    </cfRule>
    <cfRule type="cellIs" dxfId="11148" priority="11266" stopIfTrue="1" operator="lessThan">
      <formula>0</formula>
    </cfRule>
  </conditionalFormatting>
  <conditionalFormatting sqref="H30:H31">
    <cfRule type="cellIs" dxfId="11147" priority="11263" stopIfTrue="1" operator="lessThan">
      <formula>0.05</formula>
    </cfRule>
    <cfRule type="cellIs" dxfId="11146" priority="11264" stopIfTrue="1" operator="lessThan">
      <formula>0</formula>
    </cfRule>
  </conditionalFormatting>
  <conditionalFormatting sqref="H30:H31">
    <cfRule type="cellIs" dxfId="11145" priority="11261" stopIfTrue="1" operator="lessThan">
      <formula>0</formula>
    </cfRule>
    <cfRule type="cellIs" dxfId="11144" priority="11262" stopIfTrue="1" operator="lessThan">
      <formula>0</formula>
    </cfRule>
  </conditionalFormatting>
  <conditionalFormatting sqref="H30:H31">
    <cfRule type="cellIs" dxfId="11143" priority="11259" stopIfTrue="1" operator="lessThan">
      <formula>0</formula>
    </cfRule>
    <cfRule type="cellIs" dxfId="11142" priority="11260" stopIfTrue="1" operator="lessThan">
      <formula>0</formula>
    </cfRule>
  </conditionalFormatting>
  <conditionalFormatting sqref="H30:H31">
    <cfRule type="cellIs" dxfId="11141" priority="11257" stopIfTrue="1" operator="lessThan">
      <formula>0.05</formula>
    </cfRule>
    <cfRule type="cellIs" dxfId="11140" priority="11258" stopIfTrue="1" operator="lessThan">
      <formula>0</formula>
    </cfRule>
  </conditionalFormatting>
  <conditionalFormatting sqref="H30:H31">
    <cfRule type="cellIs" dxfId="11139" priority="11255" stopIfTrue="1" operator="lessThan">
      <formula>0</formula>
    </cfRule>
    <cfRule type="cellIs" dxfId="11138" priority="11256" stopIfTrue="1" operator="lessThan">
      <formula>0</formula>
    </cfRule>
  </conditionalFormatting>
  <conditionalFormatting sqref="H30:H31">
    <cfRule type="cellIs" dxfId="11137" priority="11253" stopIfTrue="1" operator="lessThan">
      <formula>0</formula>
    </cfRule>
    <cfRule type="cellIs" dxfId="11136" priority="11254" stopIfTrue="1" operator="lessThan">
      <formula>0</formula>
    </cfRule>
  </conditionalFormatting>
  <conditionalFormatting sqref="H30:H31">
    <cfRule type="cellIs" dxfId="11135" priority="11251" stopIfTrue="1" operator="lessThan">
      <formula>0.05</formula>
    </cfRule>
    <cfRule type="cellIs" dxfId="11134" priority="11252" stopIfTrue="1" operator="lessThan">
      <formula>0</formula>
    </cfRule>
  </conditionalFormatting>
  <conditionalFormatting sqref="H30:H31">
    <cfRule type="cellIs" dxfId="11133" priority="11249" stopIfTrue="1" operator="lessThan">
      <formula>0</formula>
    </cfRule>
    <cfRule type="cellIs" dxfId="11132" priority="11250" stopIfTrue="1" operator="lessThan">
      <formula>0</formula>
    </cfRule>
  </conditionalFormatting>
  <conditionalFormatting sqref="H30:H31">
    <cfRule type="cellIs" dxfId="11131" priority="11247" stopIfTrue="1" operator="lessThan">
      <formula>0</formula>
    </cfRule>
    <cfRule type="cellIs" dxfId="11130" priority="11248" stopIfTrue="1" operator="lessThan">
      <formula>0</formula>
    </cfRule>
  </conditionalFormatting>
  <conditionalFormatting sqref="H30:H31">
    <cfRule type="cellIs" dxfId="11129" priority="11245" stopIfTrue="1" operator="lessThan">
      <formula>0.05</formula>
    </cfRule>
    <cfRule type="cellIs" dxfId="11128" priority="11246" stopIfTrue="1" operator="lessThan">
      <formula>0</formula>
    </cfRule>
  </conditionalFormatting>
  <conditionalFormatting sqref="H30:H31">
    <cfRule type="cellIs" dxfId="11127" priority="11243" stopIfTrue="1" operator="lessThan">
      <formula>0</formula>
    </cfRule>
    <cfRule type="cellIs" dxfId="11126" priority="11244" stopIfTrue="1" operator="lessThan">
      <formula>0</formula>
    </cfRule>
  </conditionalFormatting>
  <conditionalFormatting sqref="H30:H31">
    <cfRule type="cellIs" dxfId="11125" priority="11241" stopIfTrue="1" operator="lessThan">
      <formula>0</formula>
    </cfRule>
    <cfRule type="cellIs" dxfId="11124" priority="11242" stopIfTrue="1" operator="lessThan">
      <formula>0</formula>
    </cfRule>
  </conditionalFormatting>
  <conditionalFormatting sqref="H30:H31">
    <cfRule type="cellIs" dxfId="11123" priority="11239" stopIfTrue="1" operator="lessThan">
      <formula>0.05</formula>
    </cfRule>
    <cfRule type="cellIs" dxfId="11122" priority="11240" stopIfTrue="1" operator="lessThan">
      <formula>0</formula>
    </cfRule>
  </conditionalFormatting>
  <conditionalFormatting sqref="H30:H31">
    <cfRule type="cellIs" dxfId="11121" priority="11237" stopIfTrue="1" operator="lessThan">
      <formula>0</formula>
    </cfRule>
    <cfRule type="cellIs" dxfId="11120" priority="11238" stopIfTrue="1" operator="lessThan">
      <formula>0</formula>
    </cfRule>
  </conditionalFormatting>
  <conditionalFormatting sqref="H30:H31">
    <cfRule type="cellIs" dxfId="11119" priority="11235" stopIfTrue="1" operator="lessThan">
      <formula>0</formula>
    </cfRule>
    <cfRule type="cellIs" dxfId="11118" priority="11236" stopIfTrue="1" operator="lessThan">
      <formula>0</formula>
    </cfRule>
  </conditionalFormatting>
  <conditionalFormatting sqref="H30:H31">
    <cfRule type="cellIs" dxfId="11117" priority="11233" stopIfTrue="1" operator="lessThan">
      <formula>0.05</formula>
    </cfRule>
    <cfRule type="cellIs" dxfId="11116" priority="11234" stopIfTrue="1" operator="lessThan">
      <formula>0</formula>
    </cfRule>
  </conditionalFormatting>
  <conditionalFormatting sqref="H30:H31">
    <cfRule type="cellIs" dxfId="11115" priority="11231" stopIfTrue="1" operator="lessThan">
      <formula>0</formula>
    </cfRule>
    <cfRule type="cellIs" dxfId="11114" priority="11232" stopIfTrue="1" operator="lessThan">
      <formula>0</formula>
    </cfRule>
  </conditionalFormatting>
  <conditionalFormatting sqref="H30:H31">
    <cfRule type="cellIs" dxfId="11113" priority="11229" stopIfTrue="1" operator="lessThan">
      <formula>0</formula>
    </cfRule>
    <cfRule type="cellIs" dxfId="11112" priority="11230" stopIfTrue="1" operator="lessThan">
      <formula>0</formula>
    </cfRule>
  </conditionalFormatting>
  <conditionalFormatting sqref="H30:H31">
    <cfRule type="cellIs" dxfId="11111" priority="11227" stopIfTrue="1" operator="lessThan">
      <formula>0.05</formula>
    </cfRule>
    <cfRule type="cellIs" dxfId="11110" priority="11228" stopIfTrue="1" operator="lessThan">
      <formula>0</formula>
    </cfRule>
  </conditionalFormatting>
  <conditionalFormatting sqref="H30:H31">
    <cfRule type="cellIs" dxfId="11109" priority="11225" stopIfTrue="1" operator="lessThan">
      <formula>0</formula>
    </cfRule>
    <cfRule type="cellIs" dxfId="11108" priority="11226" stopIfTrue="1" operator="lessThan">
      <formula>0</formula>
    </cfRule>
  </conditionalFormatting>
  <conditionalFormatting sqref="H30:H31">
    <cfRule type="cellIs" dxfId="11107" priority="11223" stopIfTrue="1" operator="lessThan">
      <formula>0</formula>
    </cfRule>
    <cfRule type="cellIs" dxfId="11106" priority="11224" stopIfTrue="1" operator="lessThan">
      <formula>0</formula>
    </cfRule>
  </conditionalFormatting>
  <conditionalFormatting sqref="H30:H31">
    <cfRule type="cellIs" dxfId="11105" priority="11221" stopIfTrue="1" operator="lessThan">
      <formula>0.05</formula>
    </cfRule>
    <cfRule type="cellIs" dxfId="11104" priority="11222" stopIfTrue="1" operator="lessThan">
      <formula>0</formula>
    </cfRule>
  </conditionalFormatting>
  <conditionalFormatting sqref="H30:H31">
    <cfRule type="cellIs" dxfId="11103" priority="11219" stopIfTrue="1" operator="lessThan">
      <formula>0</formula>
    </cfRule>
    <cfRule type="cellIs" dxfId="11102" priority="11220" stopIfTrue="1" operator="lessThan">
      <formula>0</formula>
    </cfRule>
  </conditionalFormatting>
  <conditionalFormatting sqref="H30:H31">
    <cfRule type="cellIs" dxfId="11101" priority="11217" stopIfTrue="1" operator="lessThan">
      <formula>0</formula>
    </cfRule>
    <cfRule type="cellIs" dxfId="11100" priority="11218" stopIfTrue="1" operator="lessThan">
      <formula>0</formula>
    </cfRule>
  </conditionalFormatting>
  <conditionalFormatting sqref="H30:H31">
    <cfRule type="cellIs" dxfId="11099" priority="11215" stopIfTrue="1" operator="lessThan">
      <formula>0.05</formula>
    </cfRule>
    <cfRule type="cellIs" dxfId="11098" priority="11216" stopIfTrue="1" operator="lessThan">
      <formula>0</formula>
    </cfRule>
  </conditionalFormatting>
  <conditionalFormatting sqref="H30:H31">
    <cfRule type="cellIs" dxfId="11097" priority="11213" stopIfTrue="1" operator="lessThan">
      <formula>0</formula>
    </cfRule>
    <cfRule type="cellIs" dxfId="11096" priority="11214" stopIfTrue="1" operator="lessThan">
      <formula>0</formula>
    </cfRule>
  </conditionalFormatting>
  <conditionalFormatting sqref="H30:H31">
    <cfRule type="cellIs" dxfId="11095" priority="11211" stopIfTrue="1" operator="lessThan">
      <formula>0</formula>
    </cfRule>
    <cfRule type="cellIs" dxfId="11094" priority="11212" stopIfTrue="1" operator="lessThan">
      <formula>0</formula>
    </cfRule>
  </conditionalFormatting>
  <conditionalFormatting sqref="H30:H31">
    <cfRule type="cellIs" dxfId="11093" priority="11209" stopIfTrue="1" operator="lessThan">
      <formula>0.05</formula>
    </cfRule>
    <cfRule type="cellIs" dxfId="11092" priority="11210" stopIfTrue="1" operator="lessThan">
      <formula>0</formula>
    </cfRule>
  </conditionalFormatting>
  <conditionalFormatting sqref="H30:H31">
    <cfRule type="cellIs" dxfId="11091" priority="11207" stopIfTrue="1" operator="lessThan">
      <formula>0</formula>
    </cfRule>
    <cfRule type="cellIs" dxfId="11090" priority="11208" stopIfTrue="1" operator="lessThan">
      <formula>0</formula>
    </cfRule>
  </conditionalFormatting>
  <conditionalFormatting sqref="H30:H31">
    <cfRule type="cellIs" dxfId="11089" priority="11205" stopIfTrue="1" operator="lessThan">
      <formula>0.05</formula>
    </cfRule>
    <cfRule type="cellIs" dxfId="11088" priority="11206" stopIfTrue="1" operator="lessThan">
      <formula>0</formula>
    </cfRule>
  </conditionalFormatting>
  <conditionalFormatting sqref="H30:H31">
    <cfRule type="cellIs" dxfId="11087" priority="11203" stopIfTrue="1" operator="lessThan">
      <formula>0</formula>
    </cfRule>
    <cfRule type="cellIs" dxfId="11086" priority="11204" stopIfTrue="1" operator="lessThan">
      <formula>0</formula>
    </cfRule>
  </conditionalFormatting>
  <conditionalFormatting sqref="H30:H31">
    <cfRule type="cellIs" dxfId="11085" priority="11201" stopIfTrue="1" operator="lessThan">
      <formula>0.05</formula>
    </cfRule>
    <cfRule type="cellIs" dxfId="11084" priority="11202" stopIfTrue="1" operator="lessThan">
      <formula>0</formula>
    </cfRule>
  </conditionalFormatting>
  <conditionalFormatting sqref="H30:H31">
    <cfRule type="cellIs" dxfId="11083" priority="11199" stopIfTrue="1" operator="lessThan">
      <formula>0</formula>
    </cfRule>
    <cfRule type="cellIs" dxfId="11082" priority="11200" stopIfTrue="1" operator="lessThan">
      <formula>0</formula>
    </cfRule>
  </conditionalFormatting>
  <conditionalFormatting sqref="H30:H31">
    <cfRule type="cellIs" dxfId="11081" priority="11197" stopIfTrue="1" operator="lessThan">
      <formula>0</formula>
    </cfRule>
    <cfRule type="cellIs" dxfId="11080" priority="11198" stopIfTrue="1" operator="lessThan">
      <formula>0</formula>
    </cfRule>
  </conditionalFormatting>
  <conditionalFormatting sqref="H30:H31">
    <cfRule type="cellIs" dxfId="11079" priority="11195" stopIfTrue="1" operator="lessThan">
      <formula>0</formula>
    </cfRule>
    <cfRule type="cellIs" dxfId="11078" priority="11196" stopIfTrue="1" operator="lessThan">
      <formula>0</formula>
    </cfRule>
  </conditionalFormatting>
  <conditionalFormatting sqref="H30:H31">
    <cfRule type="cellIs" dxfId="11077" priority="11193" stopIfTrue="1" operator="lessThan">
      <formula>0.05</formula>
    </cfRule>
    <cfRule type="cellIs" dxfId="11076" priority="11194" stopIfTrue="1" operator="lessThan">
      <formula>0</formula>
    </cfRule>
  </conditionalFormatting>
  <conditionalFormatting sqref="H30:H31">
    <cfRule type="cellIs" dxfId="11075" priority="11191" stopIfTrue="1" operator="lessThan">
      <formula>0</formula>
    </cfRule>
    <cfRule type="cellIs" dxfId="11074" priority="11192" stopIfTrue="1" operator="lessThan">
      <formula>0</formula>
    </cfRule>
  </conditionalFormatting>
  <conditionalFormatting sqref="H30:H31">
    <cfRule type="cellIs" dxfId="11073" priority="11189" stopIfTrue="1" operator="lessThan">
      <formula>0.05</formula>
    </cfRule>
    <cfRule type="cellIs" dxfId="11072" priority="11190" stopIfTrue="1" operator="lessThan">
      <formula>0</formula>
    </cfRule>
  </conditionalFormatting>
  <conditionalFormatting sqref="H30:H31">
    <cfRule type="cellIs" dxfId="11071" priority="11187" stopIfTrue="1" operator="lessThan">
      <formula>0</formula>
    </cfRule>
    <cfRule type="cellIs" dxfId="11070" priority="11188" stopIfTrue="1" operator="lessThan">
      <formula>0</formula>
    </cfRule>
  </conditionalFormatting>
  <conditionalFormatting sqref="H30:H31">
    <cfRule type="cellIs" dxfId="11069" priority="11185" stopIfTrue="1" operator="lessThan">
      <formula>0.05</formula>
    </cfRule>
    <cfRule type="cellIs" dxfId="11068" priority="11186" stopIfTrue="1" operator="lessThan">
      <formula>0</formula>
    </cfRule>
  </conditionalFormatting>
  <conditionalFormatting sqref="H30:H31">
    <cfRule type="cellIs" dxfId="11067" priority="11183" stopIfTrue="1" operator="lessThan">
      <formula>0</formula>
    </cfRule>
    <cfRule type="cellIs" dxfId="11066" priority="11184" stopIfTrue="1" operator="lessThan">
      <formula>0</formula>
    </cfRule>
  </conditionalFormatting>
  <conditionalFormatting sqref="H30:H31">
    <cfRule type="cellIs" dxfId="11065" priority="11181" stopIfTrue="1" operator="lessThan">
      <formula>0</formula>
    </cfRule>
    <cfRule type="cellIs" dxfId="11064" priority="11182" stopIfTrue="1" operator="lessThan">
      <formula>0</formula>
    </cfRule>
  </conditionalFormatting>
  <conditionalFormatting sqref="H30:H31">
    <cfRule type="cellIs" dxfId="11063" priority="11179" stopIfTrue="1" operator="lessThan">
      <formula>0.05</formula>
    </cfRule>
    <cfRule type="cellIs" dxfId="11062" priority="11180" stopIfTrue="1" operator="lessThan">
      <formula>0</formula>
    </cfRule>
  </conditionalFormatting>
  <conditionalFormatting sqref="H30:H31">
    <cfRule type="cellIs" dxfId="11061" priority="11177" stopIfTrue="1" operator="lessThan">
      <formula>0</formula>
    </cfRule>
    <cfRule type="cellIs" dxfId="11060" priority="11178" stopIfTrue="1" operator="lessThan">
      <formula>0</formula>
    </cfRule>
  </conditionalFormatting>
  <conditionalFormatting sqref="H30:H31">
    <cfRule type="cellIs" dxfId="11059" priority="11175" stopIfTrue="1" operator="lessThan">
      <formula>0</formula>
    </cfRule>
    <cfRule type="cellIs" dxfId="11058" priority="11176" stopIfTrue="1" operator="lessThan">
      <formula>0</formula>
    </cfRule>
  </conditionalFormatting>
  <conditionalFormatting sqref="H30:H31">
    <cfRule type="cellIs" dxfId="11057" priority="11173" stopIfTrue="1" operator="lessThan">
      <formula>0.05</formula>
    </cfRule>
    <cfRule type="cellIs" dxfId="11056" priority="11174" stopIfTrue="1" operator="lessThan">
      <formula>0</formula>
    </cfRule>
  </conditionalFormatting>
  <conditionalFormatting sqref="H30:H31">
    <cfRule type="cellIs" dxfId="11055" priority="11171" stopIfTrue="1" operator="lessThan">
      <formula>0</formula>
    </cfRule>
    <cfRule type="cellIs" dxfId="11054" priority="11172" stopIfTrue="1" operator="lessThan">
      <formula>0</formula>
    </cfRule>
  </conditionalFormatting>
  <conditionalFormatting sqref="H30:H31">
    <cfRule type="cellIs" dxfId="11053" priority="11169" stopIfTrue="1" operator="lessThan">
      <formula>0</formula>
    </cfRule>
    <cfRule type="cellIs" dxfId="11052" priority="11170" stopIfTrue="1" operator="lessThan">
      <formula>0</formula>
    </cfRule>
  </conditionalFormatting>
  <conditionalFormatting sqref="H30:H31">
    <cfRule type="cellIs" dxfId="11051" priority="11167" stopIfTrue="1" operator="lessThan">
      <formula>0.05</formula>
    </cfRule>
    <cfRule type="cellIs" dxfId="11050" priority="11168" stopIfTrue="1" operator="lessThan">
      <formula>0</formula>
    </cfRule>
  </conditionalFormatting>
  <conditionalFormatting sqref="H30:H31">
    <cfRule type="cellIs" dxfId="11049" priority="11165" stopIfTrue="1" operator="lessThan">
      <formula>0</formula>
    </cfRule>
    <cfRule type="cellIs" dxfId="11048" priority="11166" stopIfTrue="1" operator="lessThan">
      <formula>0</formula>
    </cfRule>
  </conditionalFormatting>
  <conditionalFormatting sqref="H30:H31">
    <cfRule type="cellIs" dxfId="11047" priority="11163" stopIfTrue="1" operator="lessThan">
      <formula>0</formula>
    </cfRule>
    <cfRule type="cellIs" dxfId="11046" priority="11164" stopIfTrue="1" operator="lessThan">
      <formula>0</formula>
    </cfRule>
  </conditionalFormatting>
  <conditionalFormatting sqref="H30:H31">
    <cfRule type="cellIs" dxfId="11045" priority="11161" stopIfTrue="1" operator="lessThan">
      <formula>0.05</formula>
    </cfRule>
    <cfRule type="cellIs" dxfId="11044" priority="11162" stopIfTrue="1" operator="lessThan">
      <formula>0</formula>
    </cfRule>
  </conditionalFormatting>
  <conditionalFormatting sqref="H30:H31">
    <cfRule type="cellIs" dxfId="11043" priority="11159" stopIfTrue="1" operator="lessThan">
      <formula>0</formula>
    </cfRule>
    <cfRule type="cellIs" dxfId="11042" priority="11160" stopIfTrue="1" operator="lessThan">
      <formula>0</formula>
    </cfRule>
  </conditionalFormatting>
  <conditionalFormatting sqref="H30:H31">
    <cfRule type="cellIs" dxfId="11041" priority="11157" stopIfTrue="1" operator="lessThan">
      <formula>0</formula>
    </cfRule>
    <cfRule type="cellIs" dxfId="11040" priority="11158" stopIfTrue="1" operator="lessThan">
      <formula>0</formula>
    </cfRule>
  </conditionalFormatting>
  <conditionalFormatting sqref="H30:H31">
    <cfRule type="cellIs" dxfId="11039" priority="11155" stopIfTrue="1" operator="lessThan">
      <formula>0.05</formula>
    </cfRule>
    <cfRule type="cellIs" dxfId="11038" priority="11156" stopIfTrue="1" operator="lessThan">
      <formula>0</formula>
    </cfRule>
  </conditionalFormatting>
  <conditionalFormatting sqref="H30:H31">
    <cfRule type="cellIs" dxfId="11037" priority="11153" stopIfTrue="1" operator="lessThan">
      <formula>0</formula>
    </cfRule>
    <cfRule type="cellIs" dxfId="11036" priority="11154" stopIfTrue="1" operator="lessThan">
      <formula>0</formula>
    </cfRule>
  </conditionalFormatting>
  <conditionalFormatting sqref="H30:H31">
    <cfRule type="cellIs" dxfId="11035" priority="11151" stopIfTrue="1" operator="lessThan">
      <formula>0</formula>
    </cfRule>
    <cfRule type="cellIs" dxfId="11034" priority="11152" stopIfTrue="1" operator="lessThan">
      <formula>0</formula>
    </cfRule>
  </conditionalFormatting>
  <conditionalFormatting sqref="H30:H31">
    <cfRule type="cellIs" dxfId="11033" priority="11149" stopIfTrue="1" operator="lessThan">
      <formula>0.05</formula>
    </cfRule>
    <cfRule type="cellIs" dxfId="11032" priority="11150" stopIfTrue="1" operator="lessThan">
      <formula>0</formula>
    </cfRule>
  </conditionalFormatting>
  <conditionalFormatting sqref="H30:H31">
    <cfRule type="cellIs" dxfId="11031" priority="11147" stopIfTrue="1" operator="lessThan">
      <formula>0</formula>
    </cfRule>
    <cfRule type="cellIs" dxfId="11030" priority="11148" stopIfTrue="1" operator="lessThan">
      <formula>0</formula>
    </cfRule>
  </conditionalFormatting>
  <conditionalFormatting sqref="H30:H31">
    <cfRule type="cellIs" dxfId="11029" priority="11145" stopIfTrue="1" operator="lessThan">
      <formula>0</formula>
    </cfRule>
    <cfRule type="cellIs" dxfId="11028" priority="11146" stopIfTrue="1" operator="lessThan">
      <formula>0</formula>
    </cfRule>
  </conditionalFormatting>
  <conditionalFormatting sqref="H30:H31">
    <cfRule type="cellIs" dxfId="11027" priority="11143" stopIfTrue="1" operator="lessThan">
      <formula>0.05</formula>
    </cfRule>
    <cfRule type="cellIs" dxfId="11026" priority="11144" stopIfTrue="1" operator="lessThan">
      <formula>0</formula>
    </cfRule>
  </conditionalFormatting>
  <conditionalFormatting sqref="H30:H31">
    <cfRule type="cellIs" dxfId="11025" priority="11141" stopIfTrue="1" operator="lessThan">
      <formula>0</formula>
    </cfRule>
    <cfRule type="cellIs" dxfId="11024" priority="11142" stopIfTrue="1" operator="lessThan">
      <formula>0</formula>
    </cfRule>
  </conditionalFormatting>
  <conditionalFormatting sqref="H30:H31">
    <cfRule type="cellIs" dxfId="11023" priority="11139" stopIfTrue="1" operator="lessThan">
      <formula>0</formula>
    </cfRule>
    <cfRule type="cellIs" dxfId="11022" priority="11140" stopIfTrue="1" operator="lessThan">
      <formula>0</formula>
    </cfRule>
  </conditionalFormatting>
  <conditionalFormatting sqref="H30:H31">
    <cfRule type="cellIs" dxfId="11021" priority="11137" stopIfTrue="1" operator="lessThan">
      <formula>0.05</formula>
    </cfRule>
    <cfRule type="cellIs" dxfId="11020" priority="11138" stopIfTrue="1" operator="lessThan">
      <formula>0</formula>
    </cfRule>
  </conditionalFormatting>
  <conditionalFormatting sqref="H30:H31">
    <cfRule type="cellIs" dxfId="11019" priority="11135" stopIfTrue="1" operator="lessThan">
      <formula>0</formula>
    </cfRule>
    <cfRule type="cellIs" dxfId="11018" priority="11136" stopIfTrue="1" operator="lessThan">
      <formula>0</formula>
    </cfRule>
  </conditionalFormatting>
  <conditionalFormatting sqref="H30:H31">
    <cfRule type="cellIs" dxfId="11017" priority="11133" stopIfTrue="1" operator="lessThan">
      <formula>0</formula>
    </cfRule>
    <cfRule type="cellIs" dxfId="11016" priority="11134" stopIfTrue="1" operator="lessThan">
      <formula>0</formula>
    </cfRule>
  </conditionalFormatting>
  <conditionalFormatting sqref="H30:H31">
    <cfRule type="cellIs" dxfId="11015" priority="11131" stopIfTrue="1" operator="lessThan">
      <formula>0.05</formula>
    </cfRule>
    <cfRule type="cellIs" dxfId="11014" priority="11132" stopIfTrue="1" operator="lessThan">
      <formula>0</formula>
    </cfRule>
  </conditionalFormatting>
  <conditionalFormatting sqref="H30:H31">
    <cfRule type="cellIs" dxfId="11013" priority="11129" stopIfTrue="1" operator="lessThan">
      <formula>0</formula>
    </cfRule>
    <cfRule type="cellIs" dxfId="11012" priority="11130" stopIfTrue="1" operator="lessThan">
      <formula>0</formula>
    </cfRule>
  </conditionalFormatting>
  <conditionalFormatting sqref="H30:H31">
    <cfRule type="cellIs" dxfId="11011" priority="11127" stopIfTrue="1" operator="lessThan">
      <formula>0</formula>
    </cfRule>
    <cfRule type="cellIs" dxfId="11010" priority="11128" stopIfTrue="1" operator="lessThan">
      <formula>0</formula>
    </cfRule>
  </conditionalFormatting>
  <conditionalFormatting sqref="H30:H31">
    <cfRule type="cellIs" dxfId="11009" priority="11125" stopIfTrue="1" operator="lessThan">
      <formula>0.05</formula>
    </cfRule>
    <cfRule type="cellIs" dxfId="11008" priority="11126" stopIfTrue="1" operator="lessThan">
      <formula>0</formula>
    </cfRule>
  </conditionalFormatting>
  <conditionalFormatting sqref="H30:H31">
    <cfRule type="cellIs" dxfId="11007" priority="11123" stopIfTrue="1" operator="lessThan">
      <formula>0</formula>
    </cfRule>
    <cfRule type="cellIs" dxfId="11006" priority="11124" stopIfTrue="1" operator="lessThan">
      <formula>0</formula>
    </cfRule>
  </conditionalFormatting>
  <conditionalFormatting sqref="H30:H31">
    <cfRule type="cellIs" dxfId="11005" priority="11121" stopIfTrue="1" operator="lessThan">
      <formula>0</formula>
    </cfRule>
    <cfRule type="cellIs" dxfId="11004" priority="11122" stopIfTrue="1" operator="lessThan">
      <formula>0</formula>
    </cfRule>
  </conditionalFormatting>
  <conditionalFormatting sqref="H30:H31">
    <cfRule type="cellIs" dxfId="11003" priority="11119" stopIfTrue="1" operator="lessThan">
      <formula>0.05</formula>
    </cfRule>
    <cfRule type="cellIs" dxfId="11002" priority="11120" stopIfTrue="1" operator="lessThan">
      <formula>0</formula>
    </cfRule>
  </conditionalFormatting>
  <conditionalFormatting sqref="H30:H31">
    <cfRule type="cellIs" dxfId="11001" priority="11117" stopIfTrue="1" operator="lessThan">
      <formula>0</formula>
    </cfRule>
    <cfRule type="cellIs" dxfId="11000" priority="11118" stopIfTrue="1" operator="lessThan">
      <formula>0</formula>
    </cfRule>
  </conditionalFormatting>
  <conditionalFormatting sqref="H30:H31">
    <cfRule type="cellIs" dxfId="10999" priority="11115" stopIfTrue="1" operator="lessThan">
      <formula>0</formula>
    </cfRule>
    <cfRule type="cellIs" dxfId="10998" priority="11116" stopIfTrue="1" operator="lessThan">
      <formula>0</formula>
    </cfRule>
  </conditionalFormatting>
  <conditionalFormatting sqref="H30:H31">
    <cfRule type="cellIs" dxfId="10997" priority="11113" stopIfTrue="1" operator="lessThan">
      <formula>0.05</formula>
    </cfRule>
    <cfRule type="cellIs" dxfId="10996" priority="11114" stopIfTrue="1" operator="lessThan">
      <formula>0</formula>
    </cfRule>
  </conditionalFormatting>
  <conditionalFormatting sqref="H30:H31">
    <cfRule type="cellIs" dxfId="10995" priority="11111" stopIfTrue="1" operator="lessThan">
      <formula>0</formula>
    </cfRule>
    <cfRule type="cellIs" dxfId="10994" priority="11112" stopIfTrue="1" operator="lessThan">
      <formula>0</formula>
    </cfRule>
  </conditionalFormatting>
  <conditionalFormatting sqref="H30:H31">
    <cfRule type="cellIs" dxfId="10993" priority="11109" stopIfTrue="1" operator="lessThan">
      <formula>0.05</formula>
    </cfRule>
    <cfRule type="cellIs" dxfId="10992" priority="11110" stopIfTrue="1" operator="lessThan">
      <formula>0</formula>
    </cfRule>
  </conditionalFormatting>
  <conditionalFormatting sqref="H30:H31">
    <cfRule type="cellIs" dxfId="10991" priority="11107" stopIfTrue="1" operator="lessThan">
      <formula>0</formula>
    </cfRule>
    <cfRule type="cellIs" dxfId="10990" priority="11108" stopIfTrue="1" operator="lessThan">
      <formula>0</formula>
    </cfRule>
  </conditionalFormatting>
  <conditionalFormatting sqref="H30:H31">
    <cfRule type="cellIs" dxfId="10989" priority="11105" stopIfTrue="1" operator="lessThan">
      <formula>0.05</formula>
    </cfRule>
    <cfRule type="cellIs" dxfId="10988" priority="11106" stopIfTrue="1" operator="lessThan">
      <formula>0</formula>
    </cfRule>
  </conditionalFormatting>
  <conditionalFormatting sqref="H30:H31">
    <cfRule type="cellIs" dxfId="10987" priority="11103" stopIfTrue="1" operator="lessThan">
      <formula>0</formula>
    </cfRule>
    <cfRule type="cellIs" dxfId="10986" priority="11104" stopIfTrue="1" operator="lessThan">
      <formula>0</formula>
    </cfRule>
  </conditionalFormatting>
  <conditionalFormatting sqref="H30:H31">
    <cfRule type="cellIs" dxfId="10985" priority="11101" stopIfTrue="1" operator="lessThan">
      <formula>0</formula>
    </cfRule>
    <cfRule type="cellIs" dxfId="10984" priority="11102" stopIfTrue="1" operator="lessThan">
      <formula>0</formula>
    </cfRule>
  </conditionalFormatting>
  <conditionalFormatting sqref="H30:H31">
    <cfRule type="cellIs" dxfId="10983" priority="11099" stopIfTrue="1" operator="lessThan">
      <formula>0</formula>
    </cfRule>
    <cfRule type="cellIs" dxfId="10982" priority="11100" stopIfTrue="1" operator="lessThan">
      <formula>0</formula>
    </cfRule>
  </conditionalFormatting>
  <conditionalFormatting sqref="H30:H31">
    <cfRule type="cellIs" dxfId="10981" priority="11097" stopIfTrue="1" operator="lessThan">
      <formula>0.05</formula>
    </cfRule>
    <cfRule type="cellIs" dxfId="10980" priority="11098" stopIfTrue="1" operator="lessThan">
      <formula>0</formula>
    </cfRule>
  </conditionalFormatting>
  <conditionalFormatting sqref="H30:H31">
    <cfRule type="cellIs" dxfId="10979" priority="11095" stopIfTrue="1" operator="lessThan">
      <formula>0</formula>
    </cfRule>
    <cfRule type="cellIs" dxfId="10978" priority="11096" stopIfTrue="1" operator="lessThan">
      <formula>0</formula>
    </cfRule>
  </conditionalFormatting>
  <conditionalFormatting sqref="H30:H31">
    <cfRule type="cellIs" dxfId="10977" priority="11093" stopIfTrue="1" operator="lessThan">
      <formula>0.05</formula>
    </cfRule>
    <cfRule type="cellIs" dxfId="10976" priority="11094" stopIfTrue="1" operator="lessThan">
      <formula>0</formula>
    </cfRule>
  </conditionalFormatting>
  <conditionalFormatting sqref="H30:H31">
    <cfRule type="cellIs" dxfId="10975" priority="11091" stopIfTrue="1" operator="lessThan">
      <formula>0</formula>
    </cfRule>
    <cfRule type="cellIs" dxfId="10974" priority="11092" stopIfTrue="1" operator="lessThan">
      <formula>0</formula>
    </cfRule>
  </conditionalFormatting>
  <conditionalFormatting sqref="H30:H31">
    <cfRule type="cellIs" dxfId="10973" priority="11089" stopIfTrue="1" operator="lessThan">
      <formula>0.05</formula>
    </cfRule>
    <cfRule type="cellIs" dxfId="10972" priority="11090" stopIfTrue="1" operator="lessThan">
      <formula>0</formula>
    </cfRule>
  </conditionalFormatting>
  <conditionalFormatting sqref="H30:H31">
    <cfRule type="cellIs" dxfId="10971" priority="11087" stopIfTrue="1" operator="lessThan">
      <formula>0</formula>
    </cfRule>
    <cfRule type="cellIs" dxfId="10970" priority="11088" stopIfTrue="1" operator="lessThan">
      <formula>0</formula>
    </cfRule>
  </conditionalFormatting>
  <conditionalFormatting sqref="H30:H31">
    <cfRule type="cellIs" dxfId="10969" priority="11085" stopIfTrue="1" operator="lessThan">
      <formula>0</formula>
    </cfRule>
    <cfRule type="cellIs" dxfId="10968" priority="11086" stopIfTrue="1" operator="lessThan">
      <formula>0</formula>
    </cfRule>
  </conditionalFormatting>
  <conditionalFormatting sqref="H30:H31">
    <cfRule type="cellIs" dxfId="10967" priority="11083" stopIfTrue="1" operator="lessThan">
      <formula>0.05</formula>
    </cfRule>
    <cfRule type="cellIs" dxfId="10966" priority="11084" stopIfTrue="1" operator="lessThan">
      <formula>0</formula>
    </cfRule>
  </conditionalFormatting>
  <conditionalFormatting sqref="H30:H31">
    <cfRule type="cellIs" dxfId="10965" priority="11081" stopIfTrue="1" operator="lessThan">
      <formula>0</formula>
    </cfRule>
    <cfRule type="cellIs" dxfId="10964" priority="11082" stopIfTrue="1" operator="lessThan">
      <formula>0</formula>
    </cfRule>
  </conditionalFormatting>
  <conditionalFormatting sqref="H30:H31">
    <cfRule type="cellIs" dxfId="10963" priority="11079" stopIfTrue="1" operator="lessThan">
      <formula>0</formula>
    </cfRule>
    <cfRule type="cellIs" dxfId="10962" priority="11080" stopIfTrue="1" operator="lessThan">
      <formula>0</formula>
    </cfRule>
  </conditionalFormatting>
  <conditionalFormatting sqref="H30:H31">
    <cfRule type="cellIs" dxfId="10961" priority="11077" stopIfTrue="1" operator="lessThan">
      <formula>0.05</formula>
    </cfRule>
    <cfRule type="cellIs" dxfId="10960" priority="11078" stopIfTrue="1" operator="lessThan">
      <formula>0</formula>
    </cfRule>
  </conditionalFormatting>
  <conditionalFormatting sqref="H30:H31">
    <cfRule type="cellIs" dxfId="10959" priority="11075" stopIfTrue="1" operator="lessThan">
      <formula>0</formula>
    </cfRule>
    <cfRule type="cellIs" dxfId="10958" priority="11076" stopIfTrue="1" operator="lessThan">
      <formula>0</formula>
    </cfRule>
  </conditionalFormatting>
  <conditionalFormatting sqref="H30:H31">
    <cfRule type="cellIs" dxfId="10957" priority="11073" stopIfTrue="1" operator="lessThan">
      <formula>0</formula>
    </cfRule>
    <cfRule type="cellIs" dxfId="10956" priority="11074" stopIfTrue="1" operator="lessThan">
      <formula>0</formula>
    </cfRule>
  </conditionalFormatting>
  <conditionalFormatting sqref="H30:H31">
    <cfRule type="cellIs" dxfId="10955" priority="11071" stopIfTrue="1" operator="lessThan">
      <formula>0.05</formula>
    </cfRule>
    <cfRule type="cellIs" dxfId="10954" priority="11072" stopIfTrue="1" operator="lessThan">
      <formula>0</formula>
    </cfRule>
  </conditionalFormatting>
  <conditionalFormatting sqref="H30:H31">
    <cfRule type="cellIs" dxfId="10953" priority="11069" stopIfTrue="1" operator="lessThan">
      <formula>0</formula>
    </cfRule>
    <cfRule type="cellIs" dxfId="10952" priority="11070" stopIfTrue="1" operator="lessThan">
      <formula>0</formula>
    </cfRule>
  </conditionalFormatting>
  <conditionalFormatting sqref="H30:H31">
    <cfRule type="cellIs" dxfId="10951" priority="11067" stopIfTrue="1" operator="lessThan">
      <formula>0</formula>
    </cfRule>
    <cfRule type="cellIs" dxfId="10950" priority="11068" stopIfTrue="1" operator="lessThan">
      <formula>0</formula>
    </cfRule>
  </conditionalFormatting>
  <conditionalFormatting sqref="H30:H31">
    <cfRule type="cellIs" dxfId="10949" priority="11065" stopIfTrue="1" operator="lessThan">
      <formula>0.05</formula>
    </cfRule>
    <cfRule type="cellIs" dxfId="10948" priority="11066" stopIfTrue="1" operator="lessThan">
      <formula>0</formula>
    </cfRule>
  </conditionalFormatting>
  <conditionalFormatting sqref="H30:H31">
    <cfRule type="cellIs" dxfId="10947" priority="11063" stopIfTrue="1" operator="lessThan">
      <formula>0</formula>
    </cfRule>
    <cfRule type="cellIs" dxfId="10946" priority="11064" stopIfTrue="1" operator="lessThan">
      <formula>0</formula>
    </cfRule>
  </conditionalFormatting>
  <conditionalFormatting sqref="H30:H31">
    <cfRule type="cellIs" dxfId="10945" priority="11061" stopIfTrue="1" operator="lessThan">
      <formula>0</formula>
    </cfRule>
    <cfRule type="cellIs" dxfId="10944" priority="11062" stopIfTrue="1" operator="lessThan">
      <formula>0</formula>
    </cfRule>
  </conditionalFormatting>
  <conditionalFormatting sqref="H30:H31">
    <cfRule type="cellIs" dxfId="10943" priority="11059" stopIfTrue="1" operator="lessThan">
      <formula>0.05</formula>
    </cfRule>
    <cfRule type="cellIs" dxfId="10942" priority="11060" stopIfTrue="1" operator="lessThan">
      <formula>0</formula>
    </cfRule>
  </conditionalFormatting>
  <conditionalFormatting sqref="H30:H31">
    <cfRule type="cellIs" dxfId="10941" priority="11057" stopIfTrue="1" operator="lessThan">
      <formula>0</formula>
    </cfRule>
    <cfRule type="cellIs" dxfId="10940" priority="11058" stopIfTrue="1" operator="lessThan">
      <formula>0</formula>
    </cfRule>
  </conditionalFormatting>
  <conditionalFormatting sqref="H30:H31">
    <cfRule type="cellIs" dxfId="10939" priority="11055" stopIfTrue="1" operator="lessThan">
      <formula>0</formula>
    </cfRule>
    <cfRule type="cellIs" dxfId="10938" priority="11056" stopIfTrue="1" operator="lessThan">
      <formula>0</formula>
    </cfRule>
  </conditionalFormatting>
  <conditionalFormatting sqref="H30:H31">
    <cfRule type="cellIs" dxfId="10937" priority="11053" stopIfTrue="1" operator="lessThan">
      <formula>0.05</formula>
    </cfRule>
    <cfRule type="cellIs" dxfId="10936" priority="11054" stopIfTrue="1" operator="lessThan">
      <formula>0</formula>
    </cfRule>
  </conditionalFormatting>
  <conditionalFormatting sqref="H30:H31">
    <cfRule type="cellIs" dxfId="10935" priority="11051" stopIfTrue="1" operator="lessThan">
      <formula>0</formula>
    </cfRule>
    <cfRule type="cellIs" dxfId="10934" priority="11052" stopIfTrue="1" operator="lessThan">
      <formula>0</formula>
    </cfRule>
  </conditionalFormatting>
  <conditionalFormatting sqref="H30:H31">
    <cfRule type="cellIs" dxfId="10933" priority="11049" stopIfTrue="1" operator="lessThan">
      <formula>0</formula>
    </cfRule>
    <cfRule type="cellIs" dxfId="10932" priority="11050" stopIfTrue="1" operator="lessThan">
      <formula>0</formula>
    </cfRule>
  </conditionalFormatting>
  <conditionalFormatting sqref="H30:H31">
    <cfRule type="cellIs" dxfId="10931" priority="11047" stopIfTrue="1" operator="lessThan">
      <formula>0.05</formula>
    </cfRule>
    <cfRule type="cellIs" dxfId="10930" priority="11048" stopIfTrue="1" operator="lessThan">
      <formula>0</formula>
    </cfRule>
  </conditionalFormatting>
  <conditionalFormatting sqref="H30:H31">
    <cfRule type="cellIs" dxfId="10929" priority="11045" stopIfTrue="1" operator="lessThan">
      <formula>0</formula>
    </cfRule>
    <cfRule type="cellIs" dxfId="10928" priority="11046" stopIfTrue="1" operator="lessThan">
      <formula>0</formula>
    </cfRule>
  </conditionalFormatting>
  <conditionalFormatting sqref="H30:H31">
    <cfRule type="cellIs" dxfId="10927" priority="11043" stopIfTrue="1" operator="lessThan">
      <formula>0</formula>
    </cfRule>
    <cfRule type="cellIs" dxfId="10926" priority="11044" stopIfTrue="1" operator="lessThan">
      <formula>0</formula>
    </cfRule>
  </conditionalFormatting>
  <conditionalFormatting sqref="H30:H31">
    <cfRule type="cellIs" dxfId="10925" priority="11041" stopIfTrue="1" operator="lessThan">
      <formula>0.05</formula>
    </cfRule>
    <cfRule type="cellIs" dxfId="10924" priority="11042" stopIfTrue="1" operator="lessThan">
      <formula>0</formula>
    </cfRule>
  </conditionalFormatting>
  <conditionalFormatting sqref="H30:H31">
    <cfRule type="cellIs" dxfId="10923" priority="11039" stopIfTrue="1" operator="lessThan">
      <formula>0</formula>
    </cfRule>
    <cfRule type="cellIs" dxfId="10922" priority="11040" stopIfTrue="1" operator="lessThan">
      <formula>0</formula>
    </cfRule>
  </conditionalFormatting>
  <conditionalFormatting sqref="H30:H31">
    <cfRule type="cellIs" dxfId="10921" priority="11037" stopIfTrue="1" operator="lessThan">
      <formula>0</formula>
    </cfRule>
    <cfRule type="cellIs" dxfId="10920" priority="11038" stopIfTrue="1" operator="lessThan">
      <formula>0</formula>
    </cfRule>
  </conditionalFormatting>
  <conditionalFormatting sqref="H30:H31">
    <cfRule type="cellIs" dxfId="10919" priority="11035" stopIfTrue="1" operator="lessThan">
      <formula>0.05</formula>
    </cfRule>
    <cfRule type="cellIs" dxfId="10918" priority="11036" stopIfTrue="1" operator="lessThan">
      <formula>0</formula>
    </cfRule>
  </conditionalFormatting>
  <conditionalFormatting sqref="H30:H31">
    <cfRule type="cellIs" dxfId="10917" priority="11033" stopIfTrue="1" operator="lessThan">
      <formula>0</formula>
    </cfRule>
    <cfRule type="cellIs" dxfId="10916" priority="11034" stopIfTrue="1" operator="lessThan">
      <formula>0</formula>
    </cfRule>
  </conditionalFormatting>
  <conditionalFormatting sqref="H30:H31">
    <cfRule type="cellIs" dxfId="10915" priority="11031" stopIfTrue="1" operator="lessThan">
      <formula>0</formula>
    </cfRule>
    <cfRule type="cellIs" dxfId="10914" priority="11032" stopIfTrue="1" operator="lessThan">
      <formula>0</formula>
    </cfRule>
  </conditionalFormatting>
  <conditionalFormatting sqref="H30:H31">
    <cfRule type="cellIs" dxfId="10913" priority="11029" stopIfTrue="1" operator="lessThan">
      <formula>0.05</formula>
    </cfRule>
    <cfRule type="cellIs" dxfId="10912" priority="11030" stopIfTrue="1" operator="lessThan">
      <formula>0</formula>
    </cfRule>
  </conditionalFormatting>
  <conditionalFormatting sqref="H30:H31">
    <cfRule type="cellIs" dxfId="10911" priority="11027" stopIfTrue="1" operator="lessThan">
      <formula>0</formula>
    </cfRule>
    <cfRule type="cellIs" dxfId="10910" priority="11028" stopIfTrue="1" operator="lessThan">
      <formula>0</formula>
    </cfRule>
  </conditionalFormatting>
  <conditionalFormatting sqref="H30:H31">
    <cfRule type="cellIs" dxfId="10909" priority="11025" stopIfTrue="1" operator="lessThan">
      <formula>0</formula>
    </cfRule>
    <cfRule type="cellIs" dxfId="10908" priority="11026" stopIfTrue="1" operator="lessThan">
      <formula>0</formula>
    </cfRule>
  </conditionalFormatting>
  <conditionalFormatting sqref="H30:H31">
    <cfRule type="cellIs" dxfId="10907" priority="11023" stopIfTrue="1" operator="lessThan">
      <formula>0.05</formula>
    </cfRule>
    <cfRule type="cellIs" dxfId="10906" priority="11024" stopIfTrue="1" operator="lessThan">
      <formula>0</formula>
    </cfRule>
  </conditionalFormatting>
  <conditionalFormatting sqref="H30:H31">
    <cfRule type="cellIs" dxfId="10905" priority="11021" stopIfTrue="1" operator="lessThan">
      <formula>0</formula>
    </cfRule>
    <cfRule type="cellIs" dxfId="10904" priority="11022" stopIfTrue="1" operator="lessThan">
      <formula>0</formula>
    </cfRule>
  </conditionalFormatting>
  <conditionalFormatting sqref="H30:H31">
    <cfRule type="cellIs" dxfId="10903" priority="11019" stopIfTrue="1" operator="lessThan">
      <formula>0</formula>
    </cfRule>
    <cfRule type="cellIs" dxfId="10902" priority="11020" stopIfTrue="1" operator="lessThan">
      <formula>0</formula>
    </cfRule>
  </conditionalFormatting>
  <conditionalFormatting sqref="H30:H31">
    <cfRule type="cellIs" dxfId="10901" priority="11017" stopIfTrue="1" operator="lessThan">
      <formula>0.05</formula>
    </cfRule>
    <cfRule type="cellIs" dxfId="10900" priority="11018" stopIfTrue="1" operator="lessThan">
      <formula>0</formula>
    </cfRule>
  </conditionalFormatting>
  <conditionalFormatting sqref="H30:H31">
    <cfRule type="cellIs" dxfId="10899" priority="11015" stopIfTrue="1" operator="lessThan">
      <formula>0</formula>
    </cfRule>
    <cfRule type="cellIs" dxfId="10898" priority="11016" stopIfTrue="1" operator="lessThan">
      <formula>0</formula>
    </cfRule>
  </conditionalFormatting>
  <conditionalFormatting sqref="H30:H31">
    <cfRule type="cellIs" dxfId="10897" priority="11013" stopIfTrue="1" operator="lessThan">
      <formula>0</formula>
    </cfRule>
    <cfRule type="cellIs" dxfId="10896" priority="11014" stopIfTrue="1" operator="lessThan">
      <formula>0</formula>
    </cfRule>
  </conditionalFormatting>
  <conditionalFormatting sqref="H30:H31">
    <cfRule type="cellIs" dxfId="10895" priority="11011" stopIfTrue="1" operator="lessThan">
      <formula>0.05</formula>
    </cfRule>
    <cfRule type="cellIs" dxfId="10894" priority="11012" stopIfTrue="1" operator="lessThan">
      <formula>0</formula>
    </cfRule>
  </conditionalFormatting>
  <conditionalFormatting sqref="H30:H31">
    <cfRule type="cellIs" dxfId="10893" priority="11009" stopIfTrue="1" operator="lessThan">
      <formula>0</formula>
    </cfRule>
    <cfRule type="cellIs" dxfId="10892" priority="11010" stopIfTrue="1" operator="lessThan">
      <formula>0</formula>
    </cfRule>
  </conditionalFormatting>
  <conditionalFormatting sqref="H30:H31">
    <cfRule type="cellIs" dxfId="10891" priority="11007" stopIfTrue="1" operator="lessThan">
      <formula>0</formula>
    </cfRule>
    <cfRule type="cellIs" dxfId="10890" priority="11008" stopIfTrue="1" operator="lessThan">
      <formula>0</formula>
    </cfRule>
  </conditionalFormatting>
  <conditionalFormatting sqref="H30:H31">
    <cfRule type="cellIs" dxfId="10889" priority="11005" stopIfTrue="1" operator="lessThan">
      <formula>0.05</formula>
    </cfRule>
    <cfRule type="cellIs" dxfId="10888" priority="11006" stopIfTrue="1" operator="lessThan">
      <formula>0</formula>
    </cfRule>
  </conditionalFormatting>
  <conditionalFormatting sqref="H30:H31">
    <cfRule type="cellIs" dxfId="10887" priority="11003" stopIfTrue="1" operator="lessThan">
      <formula>0</formula>
    </cfRule>
    <cfRule type="cellIs" dxfId="10886" priority="11004" stopIfTrue="1" operator="lessThan">
      <formula>0</formula>
    </cfRule>
  </conditionalFormatting>
  <conditionalFormatting sqref="H30:H31">
    <cfRule type="cellIs" dxfId="10885" priority="11001" stopIfTrue="1" operator="lessThan">
      <formula>0.05</formula>
    </cfRule>
    <cfRule type="cellIs" dxfId="10884" priority="11002" stopIfTrue="1" operator="lessThan">
      <formula>0</formula>
    </cfRule>
  </conditionalFormatting>
  <conditionalFormatting sqref="H30:H31">
    <cfRule type="cellIs" dxfId="10883" priority="10999" stopIfTrue="1" operator="lessThan">
      <formula>0</formula>
    </cfRule>
    <cfRule type="cellIs" dxfId="10882" priority="11000" stopIfTrue="1" operator="lessThan">
      <formula>0</formula>
    </cfRule>
  </conditionalFormatting>
  <conditionalFormatting sqref="H30:H31">
    <cfRule type="cellIs" dxfId="10881" priority="10997" stopIfTrue="1" operator="lessThan">
      <formula>0.05</formula>
    </cfRule>
    <cfRule type="cellIs" dxfId="10880" priority="10998" stopIfTrue="1" operator="lessThan">
      <formula>0</formula>
    </cfRule>
  </conditionalFormatting>
  <conditionalFormatting sqref="H30:H31">
    <cfRule type="cellIs" dxfId="10879" priority="10995" stopIfTrue="1" operator="lessThan">
      <formula>0</formula>
    </cfRule>
    <cfRule type="cellIs" dxfId="10878" priority="10996" stopIfTrue="1" operator="lessThan">
      <formula>0</formula>
    </cfRule>
  </conditionalFormatting>
  <conditionalFormatting sqref="H30:H31">
    <cfRule type="cellIs" dxfId="10877" priority="10993" stopIfTrue="1" operator="lessThan">
      <formula>0</formula>
    </cfRule>
    <cfRule type="cellIs" dxfId="10876" priority="10994" stopIfTrue="1" operator="lessThan">
      <formula>0</formula>
    </cfRule>
  </conditionalFormatting>
  <conditionalFormatting sqref="H30:H31">
    <cfRule type="cellIs" dxfId="10875" priority="10991" stopIfTrue="1" operator="lessThan">
      <formula>0</formula>
    </cfRule>
    <cfRule type="cellIs" dxfId="10874" priority="10992" stopIfTrue="1" operator="lessThan">
      <formula>0</formula>
    </cfRule>
  </conditionalFormatting>
  <conditionalFormatting sqref="H30:H31">
    <cfRule type="cellIs" dxfId="10873" priority="10989" stopIfTrue="1" operator="lessThan">
      <formula>0.05</formula>
    </cfRule>
    <cfRule type="cellIs" dxfId="10872" priority="10990" stopIfTrue="1" operator="lessThan">
      <formula>0</formula>
    </cfRule>
  </conditionalFormatting>
  <conditionalFormatting sqref="H30:H31">
    <cfRule type="cellIs" dxfId="10871" priority="10987" stopIfTrue="1" operator="lessThan">
      <formula>0</formula>
    </cfRule>
    <cfRule type="cellIs" dxfId="10870" priority="10988" stopIfTrue="1" operator="lessThan">
      <formula>0</formula>
    </cfRule>
  </conditionalFormatting>
  <conditionalFormatting sqref="H30:H31">
    <cfRule type="cellIs" dxfId="10869" priority="10985" stopIfTrue="1" operator="lessThan">
      <formula>0.05</formula>
    </cfRule>
    <cfRule type="cellIs" dxfId="10868" priority="10986" stopIfTrue="1" operator="lessThan">
      <formula>0</formula>
    </cfRule>
  </conditionalFormatting>
  <conditionalFormatting sqref="H30:H31">
    <cfRule type="cellIs" dxfId="10867" priority="10983" stopIfTrue="1" operator="lessThan">
      <formula>0</formula>
    </cfRule>
    <cfRule type="cellIs" dxfId="10866" priority="10984" stopIfTrue="1" operator="lessThan">
      <formula>0</formula>
    </cfRule>
  </conditionalFormatting>
  <conditionalFormatting sqref="H30:H31">
    <cfRule type="cellIs" dxfId="10865" priority="10981" stopIfTrue="1" operator="lessThan">
      <formula>0.05</formula>
    </cfRule>
    <cfRule type="cellIs" dxfId="10864" priority="10982" stopIfTrue="1" operator="lessThan">
      <formula>0</formula>
    </cfRule>
  </conditionalFormatting>
  <conditionalFormatting sqref="H30:H31">
    <cfRule type="cellIs" dxfId="10863" priority="10979" stopIfTrue="1" operator="lessThan">
      <formula>0</formula>
    </cfRule>
    <cfRule type="cellIs" dxfId="10862" priority="10980" stopIfTrue="1" operator="lessThan">
      <formula>0</formula>
    </cfRule>
  </conditionalFormatting>
  <conditionalFormatting sqref="H30:H31">
    <cfRule type="cellIs" dxfId="10861" priority="10978" stopIfTrue="1" operator="lessThan">
      <formula>0.05</formula>
    </cfRule>
  </conditionalFormatting>
  <conditionalFormatting sqref="H35:H36">
    <cfRule type="cellIs" dxfId="10860" priority="10976" stopIfTrue="1" operator="lessThan">
      <formula>0</formula>
    </cfRule>
    <cfRule type="cellIs" dxfId="10859" priority="10977" stopIfTrue="1" operator="lessThan">
      <formula>0</formula>
    </cfRule>
  </conditionalFormatting>
  <conditionalFormatting sqref="H35:H36">
    <cfRule type="cellIs" dxfId="10858" priority="10974" stopIfTrue="1" operator="lessThan">
      <formula>0.05</formula>
    </cfRule>
    <cfRule type="cellIs" dxfId="10857" priority="10975" stopIfTrue="1" operator="lessThan">
      <formula>0</formula>
    </cfRule>
  </conditionalFormatting>
  <conditionalFormatting sqref="H35:H36">
    <cfRule type="cellIs" dxfId="10856" priority="10972" stopIfTrue="1" operator="lessThan">
      <formula>0</formula>
    </cfRule>
    <cfRule type="cellIs" dxfId="10855" priority="10973" stopIfTrue="1" operator="lessThan">
      <formula>0</formula>
    </cfRule>
  </conditionalFormatting>
  <conditionalFormatting sqref="H35">
    <cfRule type="cellIs" dxfId="10854" priority="10970" stopIfTrue="1" operator="lessThan">
      <formula>0</formula>
    </cfRule>
    <cfRule type="cellIs" dxfId="10853" priority="10971" stopIfTrue="1" operator="lessThan">
      <formula>0</formula>
    </cfRule>
  </conditionalFormatting>
  <conditionalFormatting sqref="H35">
    <cfRule type="cellIs" dxfId="10852" priority="10968" stopIfTrue="1" operator="lessThan">
      <formula>0.05</formula>
    </cfRule>
    <cfRule type="cellIs" dxfId="10851" priority="10969" stopIfTrue="1" operator="lessThan">
      <formula>0</formula>
    </cfRule>
  </conditionalFormatting>
  <conditionalFormatting sqref="H35">
    <cfRule type="cellIs" dxfId="10850" priority="10966" stopIfTrue="1" operator="lessThan">
      <formula>0</formula>
    </cfRule>
    <cfRule type="cellIs" dxfId="10849" priority="10967" stopIfTrue="1" operator="lessThan">
      <formula>0</formula>
    </cfRule>
  </conditionalFormatting>
  <conditionalFormatting sqref="H35">
    <cfRule type="cellIs" dxfId="10848" priority="10964" stopIfTrue="1" operator="lessThan">
      <formula>0</formula>
    </cfRule>
    <cfRule type="cellIs" dxfId="10847" priority="10965" stopIfTrue="1" operator="lessThan">
      <formula>0</formula>
    </cfRule>
  </conditionalFormatting>
  <conditionalFormatting sqref="H35">
    <cfRule type="cellIs" dxfId="10846" priority="10962" stopIfTrue="1" operator="lessThan">
      <formula>0.05</formula>
    </cfRule>
    <cfRule type="cellIs" dxfId="10845" priority="10963" stopIfTrue="1" operator="lessThan">
      <formula>0</formula>
    </cfRule>
  </conditionalFormatting>
  <conditionalFormatting sqref="H35">
    <cfRule type="cellIs" dxfId="10844" priority="10960" stopIfTrue="1" operator="lessThan">
      <formula>0</formula>
    </cfRule>
    <cfRule type="cellIs" dxfId="10843" priority="10961" stopIfTrue="1" operator="lessThan">
      <formula>0</formula>
    </cfRule>
  </conditionalFormatting>
  <conditionalFormatting sqref="H35">
    <cfRule type="cellIs" dxfId="10842" priority="10958" stopIfTrue="1" operator="lessThan">
      <formula>0</formula>
    </cfRule>
    <cfRule type="cellIs" dxfId="10841" priority="10959" stopIfTrue="1" operator="lessThan">
      <formula>0</formula>
    </cfRule>
  </conditionalFormatting>
  <conditionalFormatting sqref="H35">
    <cfRule type="cellIs" dxfId="10840" priority="10956" stopIfTrue="1" operator="lessThan">
      <formula>0.05</formula>
    </cfRule>
    <cfRule type="cellIs" dxfId="10839" priority="10957" stopIfTrue="1" operator="lessThan">
      <formula>0</formula>
    </cfRule>
  </conditionalFormatting>
  <conditionalFormatting sqref="H35">
    <cfRule type="cellIs" dxfId="10838" priority="10954" stopIfTrue="1" operator="lessThan">
      <formula>0</formula>
    </cfRule>
    <cfRule type="cellIs" dxfId="10837" priority="10955" stopIfTrue="1" operator="lessThan">
      <formula>0</formula>
    </cfRule>
  </conditionalFormatting>
  <conditionalFormatting sqref="H35">
    <cfRule type="cellIs" dxfId="10836" priority="10952" stopIfTrue="1" operator="lessThan">
      <formula>0.05</formula>
    </cfRule>
    <cfRule type="cellIs" dxfId="10835" priority="10953" stopIfTrue="1" operator="lessThan">
      <formula>0</formula>
    </cfRule>
  </conditionalFormatting>
  <conditionalFormatting sqref="H35">
    <cfRule type="cellIs" dxfId="10834" priority="10950" stopIfTrue="1" operator="lessThan">
      <formula>0</formula>
    </cfRule>
    <cfRule type="cellIs" dxfId="10833" priority="10951" stopIfTrue="1" operator="lessThan">
      <formula>0</formula>
    </cfRule>
  </conditionalFormatting>
  <conditionalFormatting sqref="H35">
    <cfRule type="cellIs" dxfId="10832" priority="10948" stopIfTrue="1" operator="lessThan">
      <formula>0.05</formula>
    </cfRule>
    <cfRule type="cellIs" dxfId="10831" priority="10949" stopIfTrue="1" operator="lessThan">
      <formula>0</formula>
    </cfRule>
  </conditionalFormatting>
  <conditionalFormatting sqref="H35">
    <cfRule type="cellIs" dxfId="10830" priority="10946" stopIfTrue="1" operator="lessThan">
      <formula>0</formula>
    </cfRule>
    <cfRule type="cellIs" dxfId="10829" priority="10947" stopIfTrue="1" operator="lessThan">
      <formula>0</formula>
    </cfRule>
  </conditionalFormatting>
  <conditionalFormatting sqref="H35">
    <cfRule type="cellIs" dxfId="10828" priority="10944" stopIfTrue="1" operator="lessThan">
      <formula>0</formula>
    </cfRule>
    <cfRule type="cellIs" dxfId="10827" priority="10945" stopIfTrue="1" operator="lessThan">
      <formula>0</formula>
    </cfRule>
  </conditionalFormatting>
  <conditionalFormatting sqref="H35">
    <cfRule type="cellIs" dxfId="10826" priority="10942" stopIfTrue="1" operator="lessThan">
      <formula>0</formula>
    </cfRule>
    <cfRule type="cellIs" dxfId="10825" priority="10943" stopIfTrue="1" operator="lessThan">
      <formula>0</formula>
    </cfRule>
  </conditionalFormatting>
  <conditionalFormatting sqref="H35">
    <cfRule type="cellIs" dxfId="10824" priority="10940" stopIfTrue="1" operator="lessThan">
      <formula>0.05</formula>
    </cfRule>
    <cfRule type="cellIs" dxfId="10823" priority="10941" stopIfTrue="1" operator="lessThan">
      <formula>0</formula>
    </cfRule>
  </conditionalFormatting>
  <conditionalFormatting sqref="H35">
    <cfRule type="cellIs" dxfId="10822" priority="10938" stopIfTrue="1" operator="lessThan">
      <formula>0</formula>
    </cfRule>
    <cfRule type="cellIs" dxfId="10821" priority="10939" stopIfTrue="1" operator="lessThan">
      <formula>0</formula>
    </cfRule>
  </conditionalFormatting>
  <conditionalFormatting sqref="H35">
    <cfRule type="cellIs" dxfId="10820" priority="10936" stopIfTrue="1" operator="lessThan">
      <formula>0.05</formula>
    </cfRule>
    <cfRule type="cellIs" dxfId="10819" priority="10937" stopIfTrue="1" operator="lessThan">
      <formula>0</formula>
    </cfRule>
  </conditionalFormatting>
  <conditionalFormatting sqref="H35">
    <cfRule type="cellIs" dxfId="10818" priority="10934" stopIfTrue="1" operator="lessThan">
      <formula>0</formula>
    </cfRule>
    <cfRule type="cellIs" dxfId="10817" priority="10935" stopIfTrue="1" operator="lessThan">
      <formula>0</formula>
    </cfRule>
  </conditionalFormatting>
  <conditionalFormatting sqref="H35">
    <cfRule type="cellIs" dxfId="10816" priority="10932" stopIfTrue="1" operator="lessThan">
      <formula>0.05</formula>
    </cfRule>
    <cfRule type="cellIs" dxfId="10815" priority="10933" stopIfTrue="1" operator="lessThan">
      <formula>0</formula>
    </cfRule>
  </conditionalFormatting>
  <conditionalFormatting sqref="H35">
    <cfRule type="cellIs" dxfId="10814" priority="10930" stopIfTrue="1" operator="lessThan">
      <formula>0</formula>
    </cfRule>
    <cfRule type="cellIs" dxfId="10813" priority="10931" stopIfTrue="1" operator="lessThan">
      <formula>0</formula>
    </cfRule>
  </conditionalFormatting>
  <conditionalFormatting sqref="H35:H36">
    <cfRule type="cellIs" dxfId="10812" priority="10928" stopIfTrue="1" operator="lessThan">
      <formula>0</formula>
    </cfRule>
    <cfRule type="cellIs" dxfId="10811" priority="10929" stopIfTrue="1" operator="lessThan">
      <formula>0</formula>
    </cfRule>
  </conditionalFormatting>
  <conditionalFormatting sqref="H35:H36">
    <cfRule type="cellIs" dxfId="10810" priority="10926" stopIfTrue="1" operator="lessThan">
      <formula>0.05</formula>
    </cfRule>
    <cfRule type="cellIs" dxfId="10809" priority="10927" stopIfTrue="1" operator="lessThan">
      <formula>0</formula>
    </cfRule>
  </conditionalFormatting>
  <conditionalFormatting sqref="H35:H36">
    <cfRule type="cellIs" dxfId="10808" priority="10924" stopIfTrue="1" operator="lessThan">
      <formula>0</formula>
    </cfRule>
    <cfRule type="cellIs" dxfId="10807" priority="10925" stopIfTrue="1" operator="lessThan">
      <formula>0</formula>
    </cfRule>
  </conditionalFormatting>
  <conditionalFormatting sqref="H35:H36">
    <cfRule type="cellIs" dxfId="10806" priority="10922" stopIfTrue="1" operator="lessThan">
      <formula>0</formula>
    </cfRule>
    <cfRule type="cellIs" dxfId="10805" priority="10923" stopIfTrue="1" operator="lessThan">
      <formula>0</formula>
    </cfRule>
  </conditionalFormatting>
  <conditionalFormatting sqref="H35:H36">
    <cfRule type="cellIs" dxfId="10804" priority="10920" stopIfTrue="1" operator="lessThan">
      <formula>0.05</formula>
    </cfRule>
    <cfRule type="cellIs" dxfId="10803" priority="10921" stopIfTrue="1" operator="lessThan">
      <formula>0</formula>
    </cfRule>
  </conditionalFormatting>
  <conditionalFormatting sqref="H35:H36">
    <cfRule type="cellIs" dxfId="10802" priority="10918" stopIfTrue="1" operator="lessThan">
      <formula>0</formula>
    </cfRule>
    <cfRule type="cellIs" dxfId="10801" priority="10919" stopIfTrue="1" operator="lessThan">
      <formula>0</formula>
    </cfRule>
  </conditionalFormatting>
  <conditionalFormatting sqref="H35:H36">
    <cfRule type="cellIs" dxfId="10800" priority="10916" stopIfTrue="1" operator="lessThan">
      <formula>0</formula>
    </cfRule>
    <cfRule type="cellIs" dxfId="10799" priority="10917" stopIfTrue="1" operator="lessThan">
      <formula>0</formula>
    </cfRule>
  </conditionalFormatting>
  <conditionalFormatting sqref="H35:H36">
    <cfRule type="cellIs" dxfId="10798" priority="10914" stopIfTrue="1" operator="lessThan">
      <formula>0.05</formula>
    </cfRule>
    <cfRule type="cellIs" dxfId="10797" priority="10915" stopIfTrue="1" operator="lessThan">
      <formula>0</formula>
    </cfRule>
  </conditionalFormatting>
  <conditionalFormatting sqref="H35:H36">
    <cfRule type="cellIs" dxfId="10796" priority="10912" stopIfTrue="1" operator="lessThan">
      <formula>0</formula>
    </cfRule>
    <cfRule type="cellIs" dxfId="10795" priority="10913" stopIfTrue="1" operator="lessThan">
      <formula>0</formula>
    </cfRule>
  </conditionalFormatting>
  <conditionalFormatting sqref="H35">
    <cfRule type="cellIs" dxfId="10794" priority="10910" stopIfTrue="1" operator="lessThan">
      <formula>0</formula>
    </cfRule>
    <cfRule type="cellIs" dxfId="10793" priority="10911" stopIfTrue="1" operator="lessThan">
      <formula>0</formula>
    </cfRule>
  </conditionalFormatting>
  <conditionalFormatting sqref="H35">
    <cfRule type="cellIs" dxfId="10792" priority="10908" stopIfTrue="1" operator="lessThan">
      <formula>0.05</formula>
    </cfRule>
    <cfRule type="cellIs" dxfId="10791" priority="10909" stopIfTrue="1" operator="lessThan">
      <formula>0</formula>
    </cfRule>
  </conditionalFormatting>
  <conditionalFormatting sqref="H35">
    <cfRule type="cellIs" dxfId="10790" priority="10906" stopIfTrue="1" operator="lessThan">
      <formula>0</formula>
    </cfRule>
    <cfRule type="cellIs" dxfId="10789" priority="10907" stopIfTrue="1" operator="lessThan">
      <formula>0</formula>
    </cfRule>
  </conditionalFormatting>
  <conditionalFormatting sqref="H35">
    <cfRule type="cellIs" dxfId="10788" priority="10904" stopIfTrue="1" operator="lessThan">
      <formula>0</formula>
    </cfRule>
    <cfRule type="cellIs" dxfId="10787" priority="10905" stopIfTrue="1" operator="lessThan">
      <formula>0</formula>
    </cfRule>
  </conditionalFormatting>
  <conditionalFormatting sqref="H35">
    <cfRule type="cellIs" dxfId="10786" priority="10902" stopIfTrue="1" operator="lessThan">
      <formula>0.05</formula>
    </cfRule>
    <cfRule type="cellIs" dxfId="10785" priority="10903" stopIfTrue="1" operator="lessThan">
      <formula>0</formula>
    </cfRule>
  </conditionalFormatting>
  <conditionalFormatting sqref="H35">
    <cfRule type="cellIs" dxfId="10784" priority="10900" stopIfTrue="1" operator="lessThan">
      <formula>0</formula>
    </cfRule>
    <cfRule type="cellIs" dxfId="10783" priority="10901" stopIfTrue="1" operator="lessThan">
      <formula>0</formula>
    </cfRule>
  </conditionalFormatting>
  <conditionalFormatting sqref="H35">
    <cfRule type="cellIs" dxfId="10782" priority="10898" stopIfTrue="1" operator="lessThan">
      <formula>0</formula>
    </cfRule>
    <cfRule type="cellIs" dxfId="10781" priority="10899" stopIfTrue="1" operator="lessThan">
      <formula>0</formula>
    </cfRule>
  </conditionalFormatting>
  <conditionalFormatting sqref="H35">
    <cfRule type="cellIs" dxfId="10780" priority="10896" stopIfTrue="1" operator="lessThan">
      <formula>0.05</formula>
    </cfRule>
    <cfRule type="cellIs" dxfId="10779" priority="10897" stopIfTrue="1" operator="lessThan">
      <formula>0</formula>
    </cfRule>
  </conditionalFormatting>
  <conditionalFormatting sqref="H35">
    <cfRule type="cellIs" dxfId="10778" priority="10894" stopIfTrue="1" operator="lessThan">
      <formula>0</formula>
    </cfRule>
    <cfRule type="cellIs" dxfId="10777" priority="10895" stopIfTrue="1" operator="lessThan">
      <formula>0</formula>
    </cfRule>
  </conditionalFormatting>
  <conditionalFormatting sqref="H35">
    <cfRule type="cellIs" dxfId="10776" priority="10892" stopIfTrue="1" operator="lessThan">
      <formula>0</formula>
    </cfRule>
    <cfRule type="cellIs" dxfId="10775" priority="10893" stopIfTrue="1" operator="lessThan">
      <formula>0</formula>
    </cfRule>
  </conditionalFormatting>
  <conditionalFormatting sqref="H35">
    <cfRule type="cellIs" dxfId="10774" priority="10890" stopIfTrue="1" operator="lessThan">
      <formula>0.05</formula>
    </cfRule>
    <cfRule type="cellIs" dxfId="10773" priority="10891" stopIfTrue="1" operator="lessThan">
      <formula>0</formula>
    </cfRule>
  </conditionalFormatting>
  <conditionalFormatting sqref="H35">
    <cfRule type="cellIs" dxfId="10772" priority="10888" stopIfTrue="1" operator="lessThan">
      <formula>0</formula>
    </cfRule>
    <cfRule type="cellIs" dxfId="10771" priority="10889" stopIfTrue="1" operator="lessThan">
      <formula>0</formula>
    </cfRule>
  </conditionalFormatting>
  <conditionalFormatting sqref="H35">
    <cfRule type="cellIs" dxfId="10770" priority="10886" stopIfTrue="1" operator="lessThan">
      <formula>0.05</formula>
    </cfRule>
    <cfRule type="cellIs" dxfId="10769" priority="10887" stopIfTrue="1" operator="lessThan">
      <formula>0</formula>
    </cfRule>
  </conditionalFormatting>
  <conditionalFormatting sqref="H35">
    <cfRule type="cellIs" dxfId="10768" priority="10884" stopIfTrue="1" operator="lessThan">
      <formula>0</formula>
    </cfRule>
    <cfRule type="cellIs" dxfId="10767" priority="10885" stopIfTrue="1" operator="lessThan">
      <formula>0</formula>
    </cfRule>
  </conditionalFormatting>
  <conditionalFormatting sqref="H35">
    <cfRule type="cellIs" dxfId="10766" priority="10882" stopIfTrue="1" operator="lessThan">
      <formula>0.05</formula>
    </cfRule>
    <cfRule type="cellIs" dxfId="10765" priority="10883" stopIfTrue="1" operator="lessThan">
      <formula>0</formula>
    </cfRule>
  </conditionalFormatting>
  <conditionalFormatting sqref="H35">
    <cfRule type="cellIs" dxfId="10764" priority="10880" stopIfTrue="1" operator="lessThan">
      <formula>0</formula>
    </cfRule>
    <cfRule type="cellIs" dxfId="10763" priority="10881" stopIfTrue="1" operator="lessThan">
      <formula>0</formula>
    </cfRule>
  </conditionalFormatting>
  <conditionalFormatting sqref="H35">
    <cfRule type="cellIs" dxfId="10762" priority="10878" stopIfTrue="1" operator="lessThan">
      <formula>0</formula>
    </cfRule>
    <cfRule type="cellIs" dxfId="10761" priority="10879" stopIfTrue="1" operator="lessThan">
      <formula>0</formula>
    </cfRule>
  </conditionalFormatting>
  <conditionalFormatting sqref="H35">
    <cfRule type="cellIs" dxfId="10760" priority="10876" stopIfTrue="1" operator="lessThan">
      <formula>0</formula>
    </cfRule>
    <cfRule type="cellIs" dxfId="10759" priority="10877" stopIfTrue="1" operator="lessThan">
      <formula>0</formula>
    </cfRule>
  </conditionalFormatting>
  <conditionalFormatting sqref="H35">
    <cfRule type="cellIs" dxfId="10758" priority="10874" stopIfTrue="1" operator="lessThan">
      <formula>0.05</formula>
    </cfRule>
    <cfRule type="cellIs" dxfId="10757" priority="10875" stopIfTrue="1" operator="lessThan">
      <formula>0</formula>
    </cfRule>
  </conditionalFormatting>
  <conditionalFormatting sqref="H35">
    <cfRule type="cellIs" dxfId="10756" priority="10872" stopIfTrue="1" operator="lessThan">
      <formula>0</formula>
    </cfRule>
    <cfRule type="cellIs" dxfId="10755" priority="10873" stopIfTrue="1" operator="lessThan">
      <formula>0</formula>
    </cfRule>
  </conditionalFormatting>
  <conditionalFormatting sqref="H35">
    <cfRule type="cellIs" dxfId="10754" priority="10870" stopIfTrue="1" operator="lessThan">
      <formula>0.05</formula>
    </cfRule>
    <cfRule type="cellIs" dxfId="10753" priority="10871" stopIfTrue="1" operator="lessThan">
      <formula>0</formula>
    </cfRule>
  </conditionalFormatting>
  <conditionalFormatting sqref="H35">
    <cfRule type="cellIs" dxfId="10752" priority="10868" stopIfTrue="1" operator="lessThan">
      <formula>0</formula>
    </cfRule>
    <cfRule type="cellIs" dxfId="10751" priority="10869" stopIfTrue="1" operator="lessThan">
      <formula>0</formula>
    </cfRule>
  </conditionalFormatting>
  <conditionalFormatting sqref="H35">
    <cfRule type="cellIs" dxfId="10750" priority="10866" stopIfTrue="1" operator="lessThan">
      <formula>0.05</formula>
    </cfRule>
    <cfRule type="cellIs" dxfId="10749" priority="10867" stopIfTrue="1" operator="lessThan">
      <formula>0</formula>
    </cfRule>
  </conditionalFormatting>
  <conditionalFormatting sqref="H35">
    <cfRule type="cellIs" dxfId="10748" priority="10864" stopIfTrue="1" operator="lessThan">
      <formula>0</formula>
    </cfRule>
    <cfRule type="cellIs" dxfId="10747" priority="10865" stopIfTrue="1" operator="lessThan">
      <formula>0</formula>
    </cfRule>
  </conditionalFormatting>
  <conditionalFormatting sqref="H35:H36">
    <cfRule type="cellIs" dxfId="10746" priority="10862" stopIfTrue="1" operator="lessThan">
      <formula>0</formula>
    </cfRule>
    <cfRule type="cellIs" dxfId="10745" priority="10863" stopIfTrue="1" operator="lessThan">
      <formula>0</formula>
    </cfRule>
  </conditionalFormatting>
  <conditionalFormatting sqref="H35:H36">
    <cfRule type="cellIs" dxfId="10744" priority="10860" stopIfTrue="1" operator="lessThan">
      <formula>0.05</formula>
    </cfRule>
    <cfRule type="cellIs" dxfId="10743" priority="10861" stopIfTrue="1" operator="lessThan">
      <formula>0</formula>
    </cfRule>
  </conditionalFormatting>
  <conditionalFormatting sqref="H35:H36">
    <cfRule type="cellIs" dxfId="10742" priority="10858" stopIfTrue="1" operator="lessThan">
      <formula>0</formula>
    </cfRule>
    <cfRule type="cellIs" dxfId="10741" priority="10859" stopIfTrue="1" operator="lessThan">
      <formula>0</formula>
    </cfRule>
  </conditionalFormatting>
  <conditionalFormatting sqref="H35:H36">
    <cfRule type="cellIs" dxfId="10740" priority="10856" stopIfTrue="1" operator="lessThan">
      <formula>0</formula>
    </cfRule>
    <cfRule type="cellIs" dxfId="10739" priority="10857" stopIfTrue="1" operator="lessThan">
      <formula>0</formula>
    </cfRule>
  </conditionalFormatting>
  <conditionalFormatting sqref="H35:H36">
    <cfRule type="cellIs" dxfId="10738" priority="10854" stopIfTrue="1" operator="lessThan">
      <formula>0.05</formula>
    </cfRule>
    <cfRule type="cellIs" dxfId="10737" priority="10855" stopIfTrue="1" operator="lessThan">
      <formula>0</formula>
    </cfRule>
  </conditionalFormatting>
  <conditionalFormatting sqref="H35:H36">
    <cfRule type="cellIs" dxfId="10736" priority="10852" stopIfTrue="1" operator="lessThan">
      <formula>0</formula>
    </cfRule>
    <cfRule type="cellIs" dxfId="10735" priority="10853" stopIfTrue="1" operator="lessThan">
      <formula>0</formula>
    </cfRule>
  </conditionalFormatting>
  <conditionalFormatting sqref="H35:H36">
    <cfRule type="cellIs" dxfId="10734" priority="10850" stopIfTrue="1" operator="lessThan">
      <formula>0</formula>
    </cfRule>
    <cfRule type="cellIs" dxfId="10733" priority="10851" stopIfTrue="1" operator="lessThan">
      <formula>0</formula>
    </cfRule>
  </conditionalFormatting>
  <conditionalFormatting sqref="H35:H36">
    <cfRule type="cellIs" dxfId="10732" priority="10848" stopIfTrue="1" operator="lessThan">
      <formula>0.05</formula>
    </cfRule>
    <cfRule type="cellIs" dxfId="10731" priority="10849" stopIfTrue="1" operator="lessThan">
      <formula>0</formula>
    </cfRule>
  </conditionalFormatting>
  <conditionalFormatting sqref="H35:H36">
    <cfRule type="cellIs" dxfId="10730" priority="10846" stopIfTrue="1" operator="lessThan">
      <formula>0</formula>
    </cfRule>
    <cfRule type="cellIs" dxfId="10729" priority="10847" stopIfTrue="1" operator="lessThan">
      <formula>0</formula>
    </cfRule>
  </conditionalFormatting>
  <conditionalFormatting sqref="H35:H36">
    <cfRule type="cellIs" dxfId="10728" priority="10844" stopIfTrue="1" operator="lessThan">
      <formula>0</formula>
    </cfRule>
    <cfRule type="cellIs" dxfId="10727" priority="10845" stopIfTrue="1" operator="lessThan">
      <formula>0</formula>
    </cfRule>
  </conditionalFormatting>
  <conditionalFormatting sqref="H35:H36">
    <cfRule type="cellIs" dxfId="10726" priority="10842" stopIfTrue="1" operator="lessThan">
      <formula>0.05</formula>
    </cfRule>
    <cfRule type="cellIs" dxfId="10725" priority="10843" stopIfTrue="1" operator="lessThan">
      <formula>0</formula>
    </cfRule>
  </conditionalFormatting>
  <conditionalFormatting sqref="H35:H36">
    <cfRule type="cellIs" dxfId="10724" priority="10840" stopIfTrue="1" operator="lessThan">
      <formula>0</formula>
    </cfRule>
    <cfRule type="cellIs" dxfId="10723" priority="10841" stopIfTrue="1" operator="lessThan">
      <formula>0</formula>
    </cfRule>
  </conditionalFormatting>
  <conditionalFormatting sqref="H35:H36">
    <cfRule type="cellIs" dxfId="10722" priority="10838" stopIfTrue="1" operator="lessThan">
      <formula>0</formula>
    </cfRule>
    <cfRule type="cellIs" dxfId="10721" priority="10839" stopIfTrue="1" operator="lessThan">
      <formula>0</formula>
    </cfRule>
  </conditionalFormatting>
  <conditionalFormatting sqref="H35:H36">
    <cfRule type="cellIs" dxfId="10720" priority="10836" stopIfTrue="1" operator="lessThan">
      <formula>0.05</formula>
    </cfRule>
    <cfRule type="cellIs" dxfId="10719" priority="10837" stopIfTrue="1" operator="lessThan">
      <formula>0</formula>
    </cfRule>
  </conditionalFormatting>
  <conditionalFormatting sqref="H35:H36">
    <cfRule type="cellIs" dxfId="10718" priority="10834" stopIfTrue="1" operator="lessThan">
      <formula>0</formula>
    </cfRule>
    <cfRule type="cellIs" dxfId="10717" priority="10835" stopIfTrue="1" operator="lessThan">
      <formula>0</formula>
    </cfRule>
  </conditionalFormatting>
  <conditionalFormatting sqref="H35:H36">
    <cfRule type="cellIs" dxfId="10716" priority="10832" stopIfTrue="1" operator="lessThan">
      <formula>0</formula>
    </cfRule>
    <cfRule type="cellIs" dxfId="10715" priority="10833" stopIfTrue="1" operator="lessThan">
      <formula>0</formula>
    </cfRule>
  </conditionalFormatting>
  <conditionalFormatting sqref="H35:H36">
    <cfRule type="cellIs" dxfId="10714" priority="10830" stopIfTrue="1" operator="lessThan">
      <formula>0.05</formula>
    </cfRule>
    <cfRule type="cellIs" dxfId="10713" priority="10831" stopIfTrue="1" operator="lessThan">
      <formula>0</formula>
    </cfRule>
  </conditionalFormatting>
  <conditionalFormatting sqref="H35:H36">
    <cfRule type="cellIs" dxfId="10712" priority="10828" stopIfTrue="1" operator="lessThan">
      <formula>0</formula>
    </cfRule>
    <cfRule type="cellIs" dxfId="10711" priority="10829" stopIfTrue="1" operator="lessThan">
      <formula>0</formula>
    </cfRule>
  </conditionalFormatting>
  <conditionalFormatting sqref="H35:H36">
    <cfRule type="cellIs" dxfId="10710" priority="10826" stopIfTrue="1" operator="lessThan">
      <formula>0</formula>
    </cfRule>
    <cfRule type="cellIs" dxfId="10709" priority="10827" stopIfTrue="1" operator="lessThan">
      <formula>0</formula>
    </cfRule>
  </conditionalFormatting>
  <conditionalFormatting sqref="H35:H36">
    <cfRule type="cellIs" dxfId="10708" priority="10824" stopIfTrue="1" operator="lessThan">
      <formula>0.05</formula>
    </cfRule>
    <cfRule type="cellIs" dxfId="10707" priority="10825" stopIfTrue="1" operator="lessThan">
      <formula>0</formula>
    </cfRule>
  </conditionalFormatting>
  <conditionalFormatting sqref="H35:H36">
    <cfRule type="cellIs" dxfId="10706" priority="10822" stopIfTrue="1" operator="lessThan">
      <formula>0</formula>
    </cfRule>
    <cfRule type="cellIs" dxfId="10705" priority="10823" stopIfTrue="1" operator="lessThan">
      <formula>0</formula>
    </cfRule>
  </conditionalFormatting>
  <conditionalFormatting sqref="H35:H36">
    <cfRule type="cellIs" dxfId="10704" priority="10820" stopIfTrue="1" operator="lessThan">
      <formula>0</formula>
    </cfRule>
    <cfRule type="cellIs" dxfId="10703" priority="10821" stopIfTrue="1" operator="lessThan">
      <formula>0</formula>
    </cfRule>
  </conditionalFormatting>
  <conditionalFormatting sqref="H35:H36">
    <cfRule type="cellIs" dxfId="10702" priority="10818" stopIfTrue="1" operator="lessThan">
      <formula>0.05</formula>
    </cfRule>
    <cfRule type="cellIs" dxfId="10701" priority="10819" stopIfTrue="1" operator="lessThan">
      <formula>0</formula>
    </cfRule>
  </conditionalFormatting>
  <conditionalFormatting sqref="H35:H36">
    <cfRule type="cellIs" dxfId="10700" priority="10816" stopIfTrue="1" operator="lessThan">
      <formula>0</formula>
    </cfRule>
    <cfRule type="cellIs" dxfId="10699" priority="10817" stopIfTrue="1" operator="lessThan">
      <formula>0</formula>
    </cfRule>
  </conditionalFormatting>
  <conditionalFormatting sqref="H35:H36">
    <cfRule type="cellIs" dxfId="10698" priority="10814" stopIfTrue="1" operator="lessThan">
      <formula>0</formula>
    </cfRule>
    <cfRule type="cellIs" dxfId="10697" priority="10815" stopIfTrue="1" operator="lessThan">
      <formula>0</formula>
    </cfRule>
  </conditionalFormatting>
  <conditionalFormatting sqref="H35:H36">
    <cfRule type="cellIs" dxfId="10696" priority="10812" stopIfTrue="1" operator="lessThan">
      <formula>0.05</formula>
    </cfRule>
    <cfRule type="cellIs" dxfId="10695" priority="10813" stopIfTrue="1" operator="lessThan">
      <formula>0</formula>
    </cfRule>
  </conditionalFormatting>
  <conditionalFormatting sqref="H35:H36">
    <cfRule type="cellIs" dxfId="10694" priority="10810" stopIfTrue="1" operator="lessThan">
      <formula>0</formula>
    </cfRule>
    <cfRule type="cellIs" dxfId="10693" priority="10811" stopIfTrue="1" operator="lessThan">
      <formula>0</formula>
    </cfRule>
  </conditionalFormatting>
  <conditionalFormatting sqref="H35:H36">
    <cfRule type="cellIs" dxfId="10692" priority="10808" stopIfTrue="1" operator="lessThan">
      <formula>0</formula>
    </cfRule>
    <cfRule type="cellIs" dxfId="10691" priority="10809" stopIfTrue="1" operator="lessThan">
      <formula>0</formula>
    </cfRule>
  </conditionalFormatting>
  <conditionalFormatting sqref="H35:H36">
    <cfRule type="cellIs" dxfId="10690" priority="10806" stopIfTrue="1" operator="lessThan">
      <formula>0.05</formula>
    </cfRule>
    <cfRule type="cellIs" dxfId="10689" priority="10807" stopIfTrue="1" operator="lessThan">
      <formula>0</formula>
    </cfRule>
  </conditionalFormatting>
  <conditionalFormatting sqref="H35:H36">
    <cfRule type="cellIs" dxfId="10688" priority="10804" stopIfTrue="1" operator="lessThan">
      <formula>0</formula>
    </cfRule>
    <cfRule type="cellIs" dxfId="10687" priority="10805" stopIfTrue="1" operator="lessThan">
      <formula>0</formula>
    </cfRule>
  </conditionalFormatting>
  <conditionalFormatting sqref="H35:H36">
    <cfRule type="cellIs" dxfId="10686" priority="10802" stopIfTrue="1" operator="lessThan">
      <formula>0</formula>
    </cfRule>
    <cfRule type="cellIs" dxfId="10685" priority="10803" stopIfTrue="1" operator="lessThan">
      <formula>0</formula>
    </cfRule>
  </conditionalFormatting>
  <conditionalFormatting sqref="H35:H36">
    <cfRule type="cellIs" dxfId="10684" priority="10800" stopIfTrue="1" operator="lessThan">
      <formula>0.05</formula>
    </cfRule>
    <cfRule type="cellIs" dxfId="10683" priority="10801" stopIfTrue="1" operator="lessThan">
      <formula>0</formula>
    </cfRule>
  </conditionalFormatting>
  <conditionalFormatting sqref="H35:H36">
    <cfRule type="cellIs" dxfId="10682" priority="10798" stopIfTrue="1" operator="lessThan">
      <formula>0</formula>
    </cfRule>
    <cfRule type="cellIs" dxfId="10681" priority="10799" stopIfTrue="1" operator="lessThan">
      <formula>0</formula>
    </cfRule>
  </conditionalFormatting>
  <conditionalFormatting sqref="H35:H36">
    <cfRule type="cellIs" dxfId="10680" priority="10796" stopIfTrue="1" operator="lessThan">
      <formula>0.05</formula>
    </cfRule>
    <cfRule type="cellIs" dxfId="10679" priority="10797" stopIfTrue="1" operator="lessThan">
      <formula>0</formula>
    </cfRule>
  </conditionalFormatting>
  <conditionalFormatting sqref="H35:H36">
    <cfRule type="cellIs" dxfId="10678" priority="10794" stopIfTrue="1" operator="lessThan">
      <formula>0</formula>
    </cfRule>
    <cfRule type="cellIs" dxfId="10677" priority="10795" stopIfTrue="1" operator="lessThan">
      <formula>0</formula>
    </cfRule>
  </conditionalFormatting>
  <conditionalFormatting sqref="H35:H36">
    <cfRule type="cellIs" dxfId="10676" priority="10792" stopIfTrue="1" operator="lessThan">
      <formula>0.05</formula>
    </cfRule>
    <cfRule type="cellIs" dxfId="10675" priority="10793" stopIfTrue="1" operator="lessThan">
      <formula>0</formula>
    </cfRule>
  </conditionalFormatting>
  <conditionalFormatting sqref="H35:H36">
    <cfRule type="cellIs" dxfId="10674" priority="10790" stopIfTrue="1" operator="lessThan">
      <formula>0</formula>
    </cfRule>
    <cfRule type="cellIs" dxfId="10673" priority="10791" stopIfTrue="1" operator="lessThan">
      <formula>0</formula>
    </cfRule>
  </conditionalFormatting>
  <conditionalFormatting sqref="H35:H36">
    <cfRule type="cellIs" dxfId="10672" priority="10788" stopIfTrue="1" operator="lessThan">
      <formula>0</formula>
    </cfRule>
    <cfRule type="cellIs" dxfId="10671" priority="10789" stopIfTrue="1" operator="lessThan">
      <formula>0</formula>
    </cfRule>
  </conditionalFormatting>
  <conditionalFormatting sqref="H35:H36">
    <cfRule type="cellIs" dxfId="10670" priority="10786" stopIfTrue="1" operator="lessThan">
      <formula>0</formula>
    </cfRule>
    <cfRule type="cellIs" dxfId="10669" priority="10787" stopIfTrue="1" operator="lessThan">
      <formula>0</formula>
    </cfRule>
  </conditionalFormatting>
  <conditionalFormatting sqref="H35:H36">
    <cfRule type="cellIs" dxfId="10668" priority="10784" stopIfTrue="1" operator="lessThan">
      <formula>0.05</formula>
    </cfRule>
    <cfRule type="cellIs" dxfId="10667" priority="10785" stopIfTrue="1" operator="lessThan">
      <formula>0</formula>
    </cfRule>
  </conditionalFormatting>
  <conditionalFormatting sqref="H35:H36">
    <cfRule type="cellIs" dxfId="10666" priority="10782" stopIfTrue="1" operator="lessThan">
      <formula>0</formula>
    </cfRule>
    <cfRule type="cellIs" dxfId="10665" priority="10783" stopIfTrue="1" operator="lessThan">
      <formula>0</formula>
    </cfRule>
  </conditionalFormatting>
  <conditionalFormatting sqref="H35:H36">
    <cfRule type="cellIs" dxfId="10664" priority="10780" stopIfTrue="1" operator="lessThan">
      <formula>0.05</formula>
    </cfRule>
    <cfRule type="cellIs" dxfId="10663" priority="10781" stopIfTrue="1" operator="lessThan">
      <formula>0</formula>
    </cfRule>
  </conditionalFormatting>
  <conditionalFormatting sqref="H35:H36">
    <cfRule type="cellIs" dxfId="10662" priority="10778" stopIfTrue="1" operator="lessThan">
      <formula>0</formula>
    </cfRule>
    <cfRule type="cellIs" dxfId="10661" priority="10779" stopIfTrue="1" operator="lessThan">
      <formula>0</formula>
    </cfRule>
  </conditionalFormatting>
  <conditionalFormatting sqref="H35:H36">
    <cfRule type="cellIs" dxfId="10660" priority="10776" stopIfTrue="1" operator="lessThan">
      <formula>0.05</formula>
    </cfRule>
    <cfRule type="cellIs" dxfId="10659" priority="10777" stopIfTrue="1" operator="lessThan">
      <formula>0</formula>
    </cfRule>
  </conditionalFormatting>
  <conditionalFormatting sqref="H35:H36">
    <cfRule type="cellIs" dxfId="10658" priority="10774" stopIfTrue="1" operator="lessThan">
      <formula>0</formula>
    </cfRule>
    <cfRule type="cellIs" dxfId="10657" priority="10775" stopIfTrue="1" operator="lessThan">
      <formula>0</formula>
    </cfRule>
  </conditionalFormatting>
  <conditionalFormatting sqref="H35:H36">
    <cfRule type="cellIs" dxfId="10656" priority="10772" stopIfTrue="1" operator="lessThan">
      <formula>0</formula>
    </cfRule>
    <cfRule type="cellIs" dxfId="10655" priority="10773" stopIfTrue="1" operator="lessThan">
      <formula>0</formula>
    </cfRule>
  </conditionalFormatting>
  <conditionalFormatting sqref="H35:H36">
    <cfRule type="cellIs" dxfId="10654" priority="10770" stopIfTrue="1" operator="lessThan">
      <formula>0.05</formula>
    </cfRule>
    <cfRule type="cellIs" dxfId="10653" priority="10771" stopIfTrue="1" operator="lessThan">
      <formula>0</formula>
    </cfRule>
  </conditionalFormatting>
  <conditionalFormatting sqref="H35:H36">
    <cfRule type="cellIs" dxfId="10652" priority="10768" stopIfTrue="1" operator="lessThan">
      <formula>0</formula>
    </cfRule>
    <cfRule type="cellIs" dxfId="10651" priority="10769" stopIfTrue="1" operator="lessThan">
      <formula>0</formula>
    </cfRule>
  </conditionalFormatting>
  <conditionalFormatting sqref="H35:H36">
    <cfRule type="cellIs" dxfId="10650" priority="10766" stopIfTrue="1" operator="lessThan">
      <formula>0</formula>
    </cfRule>
    <cfRule type="cellIs" dxfId="10649" priority="10767" stopIfTrue="1" operator="lessThan">
      <formula>0</formula>
    </cfRule>
  </conditionalFormatting>
  <conditionalFormatting sqref="H35:H36">
    <cfRule type="cellIs" dxfId="10648" priority="10764" stopIfTrue="1" operator="lessThan">
      <formula>0.05</formula>
    </cfRule>
    <cfRule type="cellIs" dxfId="10647" priority="10765" stopIfTrue="1" operator="lessThan">
      <formula>0</formula>
    </cfRule>
  </conditionalFormatting>
  <conditionalFormatting sqref="H35:H36">
    <cfRule type="cellIs" dxfId="10646" priority="10762" stopIfTrue="1" operator="lessThan">
      <formula>0</formula>
    </cfRule>
    <cfRule type="cellIs" dxfId="10645" priority="10763" stopIfTrue="1" operator="lessThan">
      <formula>0</formula>
    </cfRule>
  </conditionalFormatting>
  <conditionalFormatting sqref="H35:H36">
    <cfRule type="cellIs" dxfId="10644" priority="10760" stopIfTrue="1" operator="lessThan">
      <formula>0</formula>
    </cfRule>
    <cfRule type="cellIs" dxfId="10643" priority="10761" stopIfTrue="1" operator="lessThan">
      <formula>0</formula>
    </cfRule>
  </conditionalFormatting>
  <conditionalFormatting sqref="H35:H36">
    <cfRule type="cellIs" dxfId="10642" priority="10758" stopIfTrue="1" operator="lessThan">
      <formula>0.05</formula>
    </cfRule>
    <cfRule type="cellIs" dxfId="10641" priority="10759" stopIfTrue="1" operator="lessThan">
      <formula>0</formula>
    </cfRule>
  </conditionalFormatting>
  <conditionalFormatting sqref="H35:H36">
    <cfRule type="cellIs" dxfId="10640" priority="10756" stopIfTrue="1" operator="lessThan">
      <formula>0</formula>
    </cfRule>
    <cfRule type="cellIs" dxfId="10639" priority="10757" stopIfTrue="1" operator="lessThan">
      <formula>0</formula>
    </cfRule>
  </conditionalFormatting>
  <conditionalFormatting sqref="H35:H36">
    <cfRule type="cellIs" dxfId="10638" priority="10754" stopIfTrue="1" operator="lessThan">
      <formula>0</formula>
    </cfRule>
    <cfRule type="cellIs" dxfId="10637" priority="10755" stopIfTrue="1" operator="lessThan">
      <formula>0</formula>
    </cfRule>
  </conditionalFormatting>
  <conditionalFormatting sqref="H35:H36">
    <cfRule type="cellIs" dxfId="10636" priority="10752" stopIfTrue="1" operator="lessThan">
      <formula>0.05</formula>
    </cfRule>
    <cfRule type="cellIs" dxfId="10635" priority="10753" stopIfTrue="1" operator="lessThan">
      <formula>0</formula>
    </cfRule>
  </conditionalFormatting>
  <conditionalFormatting sqref="H35:H36">
    <cfRule type="cellIs" dxfId="10634" priority="10750" stopIfTrue="1" operator="lessThan">
      <formula>0</formula>
    </cfRule>
    <cfRule type="cellIs" dxfId="10633" priority="10751" stopIfTrue="1" operator="lessThan">
      <formula>0</formula>
    </cfRule>
  </conditionalFormatting>
  <conditionalFormatting sqref="H35:H36">
    <cfRule type="cellIs" dxfId="10632" priority="10748" stopIfTrue="1" operator="lessThan">
      <formula>0</formula>
    </cfRule>
    <cfRule type="cellIs" dxfId="10631" priority="10749" stopIfTrue="1" operator="lessThan">
      <formula>0</formula>
    </cfRule>
  </conditionalFormatting>
  <conditionalFormatting sqref="H35:H36">
    <cfRule type="cellIs" dxfId="10630" priority="10746" stopIfTrue="1" operator="lessThan">
      <formula>0.05</formula>
    </cfRule>
    <cfRule type="cellIs" dxfId="10629" priority="10747" stopIfTrue="1" operator="lessThan">
      <formula>0</formula>
    </cfRule>
  </conditionalFormatting>
  <conditionalFormatting sqref="H35:H36">
    <cfRule type="cellIs" dxfId="10628" priority="10744" stopIfTrue="1" operator="lessThan">
      <formula>0</formula>
    </cfRule>
    <cfRule type="cellIs" dxfId="10627" priority="10745" stopIfTrue="1" operator="lessThan">
      <formula>0</formula>
    </cfRule>
  </conditionalFormatting>
  <conditionalFormatting sqref="H35:H36">
    <cfRule type="cellIs" dxfId="10626" priority="10742" stopIfTrue="1" operator="lessThan">
      <formula>0</formula>
    </cfRule>
    <cfRule type="cellIs" dxfId="10625" priority="10743" stopIfTrue="1" operator="lessThan">
      <formula>0</formula>
    </cfRule>
  </conditionalFormatting>
  <conditionalFormatting sqref="H35:H36">
    <cfRule type="cellIs" dxfId="10624" priority="10740" stopIfTrue="1" operator="lessThan">
      <formula>0.05</formula>
    </cfRule>
    <cfRule type="cellIs" dxfId="10623" priority="10741" stopIfTrue="1" operator="lessThan">
      <formula>0</formula>
    </cfRule>
  </conditionalFormatting>
  <conditionalFormatting sqref="H35:H36">
    <cfRule type="cellIs" dxfId="10622" priority="10738" stopIfTrue="1" operator="lessThan">
      <formula>0</formula>
    </cfRule>
    <cfRule type="cellIs" dxfId="10621" priority="10739" stopIfTrue="1" operator="lessThan">
      <formula>0</formula>
    </cfRule>
  </conditionalFormatting>
  <conditionalFormatting sqref="H35:H36">
    <cfRule type="cellIs" dxfId="10620" priority="10736" stopIfTrue="1" operator="lessThan">
      <formula>0</formula>
    </cfRule>
    <cfRule type="cellIs" dxfId="10619" priority="10737" stopIfTrue="1" operator="lessThan">
      <formula>0</formula>
    </cfRule>
  </conditionalFormatting>
  <conditionalFormatting sqref="H35:H36">
    <cfRule type="cellIs" dxfId="10618" priority="10734" stopIfTrue="1" operator="lessThan">
      <formula>0.05</formula>
    </cfRule>
    <cfRule type="cellIs" dxfId="10617" priority="10735" stopIfTrue="1" operator="lessThan">
      <formula>0</formula>
    </cfRule>
  </conditionalFormatting>
  <conditionalFormatting sqref="H35:H36">
    <cfRule type="cellIs" dxfId="10616" priority="10732" stopIfTrue="1" operator="lessThan">
      <formula>0</formula>
    </cfRule>
    <cfRule type="cellIs" dxfId="10615" priority="10733" stopIfTrue="1" operator="lessThan">
      <formula>0</formula>
    </cfRule>
  </conditionalFormatting>
  <conditionalFormatting sqref="H35:H36">
    <cfRule type="cellIs" dxfId="10614" priority="10730" stopIfTrue="1" operator="lessThan">
      <formula>0</formula>
    </cfRule>
    <cfRule type="cellIs" dxfId="10613" priority="10731" stopIfTrue="1" operator="lessThan">
      <formula>0</formula>
    </cfRule>
  </conditionalFormatting>
  <conditionalFormatting sqref="H35:H36">
    <cfRule type="cellIs" dxfId="10612" priority="10728" stopIfTrue="1" operator="lessThan">
      <formula>0.05</formula>
    </cfRule>
    <cfRule type="cellIs" dxfId="10611" priority="10729" stopIfTrue="1" operator="lessThan">
      <formula>0</formula>
    </cfRule>
  </conditionalFormatting>
  <conditionalFormatting sqref="H35:H36">
    <cfRule type="cellIs" dxfId="10610" priority="10726" stopIfTrue="1" operator="lessThan">
      <formula>0</formula>
    </cfRule>
    <cfRule type="cellIs" dxfId="10609" priority="10727" stopIfTrue="1" operator="lessThan">
      <formula>0</formula>
    </cfRule>
  </conditionalFormatting>
  <conditionalFormatting sqref="H35:H36">
    <cfRule type="cellIs" dxfId="10608" priority="10724" stopIfTrue="1" operator="lessThan">
      <formula>0</formula>
    </cfRule>
    <cfRule type="cellIs" dxfId="10607" priority="10725" stopIfTrue="1" operator="lessThan">
      <formula>0</formula>
    </cfRule>
  </conditionalFormatting>
  <conditionalFormatting sqref="H35:H36">
    <cfRule type="cellIs" dxfId="10606" priority="10722" stopIfTrue="1" operator="lessThan">
      <formula>0.05</formula>
    </cfRule>
    <cfRule type="cellIs" dxfId="10605" priority="10723" stopIfTrue="1" operator="lessThan">
      <formula>0</formula>
    </cfRule>
  </conditionalFormatting>
  <conditionalFormatting sqref="H35:H36">
    <cfRule type="cellIs" dxfId="10604" priority="10720" stopIfTrue="1" operator="lessThan">
      <formula>0</formula>
    </cfRule>
    <cfRule type="cellIs" dxfId="10603" priority="10721" stopIfTrue="1" operator="lessThan">
      <formula>0</formula>
    </cfRule>
  </conditionalFormatting>
  <conditionalFormatting sqref="H35:H36">
    <cfRule type="cellIs" dxfId="10602" priority="10718" stopIfTrue="1" operator="lessThan">
      <formula>0</formula>
    </cfRule>
    <cfRule type="cellIs" dxfId="10601" priority="10719" stopIfTrue="1" operator="lessThan">
      <formula>0</formula>
    </cfRule>
  </conditionalFormatting>
  <conditionalFormatting sqref="H35:H36">
    <cfRule type="cellIs" dxfId="10600" priority="10716" stopIfTrue="1" operator="lessThan">
      <formula>0.05</formula>
    </cfRule>
    <cfRule type="cellIs" dxfId="10599" priority="10717" stopIfTrue="1" operator="lessThan">
      <formula>0</formula>
    </cfRule>
  </conditionalFormatting>
  <conditionalFormatting sqref="H35:H36">
    <cfRule type="cellIs" dxfId="10598" priority="10714" stopIfTrue="1" operator="lessThan">
      <formula>0</formula>
    </cfRule>
    <cfRule type="cellIs" dxfId="10597" priority="10715" stopIfTrue="1" operator="lessThan">
      <formula>0</formula>
    </cfRule>
  </conditionalFormatting>
  <conditionalFormatting sqref="H35:H36">
    <cfRule type="cellIs" dxfId="10596" priority="10712" stopIfTrue="1" operator="lessThan">
      <formula>0</formula>
    </cfRule>
    <cfRule type="cellIs" dxfId="10595" priority="10713" stopIfTrue="1" operator="lessThan">
      <formula>0</formula>
    </cfRule>
  </conditionalFormatting>
  <conditionalFormatting sqref="H35:H36">
    <cfRule type="cellIs" dxfId="10594" priority="10710" stopIfTrue="1" operator="lessThan">
      <formula>0.05</formula>
    </cfRule>
    <cfRule type="cellIs" dxfId="10593" priority="10711" stopIfTrue="1" operator="lessThan">
      <formula>0</formula>
    </cfRule>
  </conditionalFormatting>
  <conditionalFormatting sqref="H35:H36">
    <cfRule type="cellIs" dxfId="10592" priority="10708" stopIfTrue="1" operator="lessThan">
      <formula>0</formula>
    </cfRule>
    <cfRule type="cellIs" dxfId="10591" priority="10709" stopIfTrue="1" operator="lessThan">
      <formula>0</formula>
    </cfRule>
  </conditionalFormatting>
  <conditionalFormatting sqref="H35:H36">
    <cfRule type="cellIs" dxfId="10590" priority="10706" stopIfTrue="1" operator="lessThan">
      <formula>0</formula>
    </cfRule>
    <cfRule type="cellIs" dxfId="10589" priority="10707" stopIfTrue="1" operator="lessThan">
      <formula>0</formula>
    </cfRule>
  </conditionalFormatting>
  <conditionalFormatting sqref="H35:H36">
    <cfRule type="cellIs" dxfId="10588" priority="10704" stopIfTrue="1" operator="lessThan">
      <formula>0.05</formula>
    </cfRule>
    <cfRule type="cellIs" dxfId="10587" priority="10705" stopIfTrue="1" operator="lessThan">
      <formula>0</formula>
    </cfRule>
  </conditionalFormatting>
  <conditionalFormatting sqref="H35:H36">
    <cfRule type="cellIs" dxfId="10586" priority="10702" stopIfTrue="1" operator="lessThan">
      <formula>0</formula>
    </cfRule>
    <cfRule type="cellIs" dxfId="10585" priority="10703" stopIfTrue="1" operator="lessThan">
      <formula>0</formula>
    </cfRule>
  </conditionalFormatting>
  <conditionalFormatting sqref="H35:H36">
    <cfRule type="cellIs" dxfId="10584" priority="10700" stopIfTrue="1" operator="lessThan">
      <formula>0.05</formula>
    </cfRule>
    <cfRule type="cellIs" dxfId="10583" priority="10701" stopIfTrue="1" operator="lessThan">
      <formula>0</formula>
    </cfRule>
  </conditionalFormatting>
  <conditionalFormatting sqref="H35:H36">
    <cfRule type="cellIs" dxfId="10582" priority="10698" stopIfTrue="1" operator="lessThan">
      <formula>0</formula>
    </cfRule>
    <cfRule type="cellIs" dxfId="10581" priority="10699" stopIfTrue="1" operator="lessThan">
      <formula>0</formula>
    </cfRule>
  </conditionalFormatting>
  <conditionalFormatting sqref="H35:H36">
    <cfRule type="cellIs" dxfId="10580" priority="10696" stopIfTrue="1" operator="lessThan">
      <formula>0.05</formula>
    </cfRule>
    <cfRule type="cellIs" dxfId="10579" priority="10697" stopIfTrue="1" operator="lessThan">
      <formula>0</formula>
    </cfRule>
  </conditionalFormatting>
  <conditionalFormatting sqref="H35:H36">
    <cfRule type="cellIs" dxfId="10578" priority="10694" stopIfTrue="1" operator="lessThan">
      <formula>0</formula>
    </cfRule>
    <cfRule type="cellIs" dxfId="10577" priority="10695" stopIfTrue="1" operator="lessThan">
      <formula>0</formula>
    </cfRule>
  </conditionalFormatting>
  <conditionalFormatting sqref="H35:H36">
    <cfRule type="cellIs" dxfId="10576" priority="10692" stopIfTrue="1" operator="lessThan">
      <formula>0</formula>
    </cfRule>
    <cfRule type="cellIs" dxfId="10575" priority="10693" stopIfTrue="1" operator="lessThan">
      <formula>0</formula>
    </cfRule>
  </conditionalFormatting>
  <conditionalFormatting sqref="H35:H36">
    <cfRule type="cellIs" dxfId="10574" priority="10690" stopIfTrue="1" operator="lessThan">
      <formula>0</formula>
    </cfRule>
    <cfRule type="cellIs" dxfId="10573" priority="10691" stopIfTrue="1" operator="lessThan">
      <formula>0</formula>
    </cfRule>
  </conditionalFormatting>
  <conditionalFormatting sqref="H35:H36">
    <cfRule type="cellIs" dxfId="10572" priority="10688" stopIfTrue="1" operator="lessThan">
      <formula>0.05</formula>
    </cfRule>
    <cfRule type="cellIs" dxfId="10571" priority="10689" stopIfTrue="1" operator="lessThan">
      <formula>0</formula>
    </cfRule>
  </conditionalFormatting>
  <conditionalFormatting sqref="H35:H36">
    <cfRule type="cellIs" dxfId="10570" priority="10686" stopIfTrue="1" operator="lessThan">
      <formula>0</formula>
    </cfRule>
    <cfRule type="cellIs" dxfId="10569" priority="10687" stopIfTrue="1" operator="lessThan">
      <formula>0</formula>
    </cfRule>
  </conditionalFormatting>
  <conditionalFormatting sqref="H35:H36">
    <cfRule type="cellIs" dxfId="10568" priority="10684" stopIfTrue="1" operator="lessThan">
      <formula>0.05</formula>
    </cfRule>
    <cfRule type="cellIs" dxfId="10567" priority="10685" stopIfTrue="1" operator="lessThan">
      <formula>0</formula>
    </cfRule>
  </conditionalFormatting>
  <conditionalFormatting sqref="H35:H36">
    <cfRule type="cellIs" dxfId="10566" priority="10682" stopIfTrue="1" operator="lessThan">
      <formula>0</formula>
    </cfRule>
    <cfRule type="cellIs" dxfId="10565" priority="10683" stopIfTrue="1" operator="lessThan">
      <formula>0</formula>
    </cfRule>
  </conditionalFormatting>
  <conditionalFormatting sqref="H35:H36">
    <cfRule type="cellIs" dxfId="10564" priority="10680" stopIfTrue="1" operator="lessThan">
      <formula>0.05</formula>
    </cfRule>
    <cfRule type="cellIs" dxfId="10563" priority="10681" stopIfTrue="1" operator="lessThan">
      <formula>0</formula>
    </cfRule>
  </conditionalFormatting>
  <conditionalFormatting sqref="H35:H36">
    <cfRule type="cellIs" dxfId="10562" priority="10678" stopIfTrue="1" operator="lessThan">
      <formula>0</formula>
    </cfRule>
    <cfRule type="cellIs" dxfId="10561" priority="10679" stopIfTrue="1" operator="lessThan">
      <formula>0</formula>
    </cfRule>
  </conditionalFormatting>
  <conditionalFormatting sqref="H35:H36">
    <cfRule type="cellIs" dxfId="10560" priority="10676" stopIfTrue="1" operator="lessThan">
      <formula>0</formula>
    </cfRule>
    <cfRule type="cellIs" dxfId="10559" priority="10677" stopIfTrue="1" operator="lessThan">
      <formula>0</formula>
    </cfRule>
  </conditionalFormatting>
  <conditionalFormatting sqref="H35:H36">
    <cfRule type="cellIs" dxfId="10558" priority="10674" stopIfTrue="1" operator="lessThan">
      <formula>0.05</formula>
    </cfRule>
    <cfRule type="cellIs" dxfId="10557" priority="10675" stopIfTrue="1" operator="lessThan">
      <formula>0</formula>
    </cfRule>
  </conditionalFormatting>
  <conditionalFormatting sqref="H35:H36">
    <cfRule type="cellIs" dxfId="10556" priority="10672" stopIfTrue="1" operator="lessThan">
      <formula>0</formula>
    </cfRule>
    <cfRule type="cellIs" dxfId="10555" priority="10673" stopIfTrue="1" operator="lessThan">
      <formula>0</formula>
    </cfRule>
  </conditionalFormatting>
  <conditionalFormatting sqref="H35:H36">
    <cfRule type="cellIs" dxfId="10554" priority="10670" stopIfTrue="1" operator="lessThan">
      <formula>0</formula>
    </cfRule>
    <cfRule type="cellIs" dxfId="10553" priority="10671" stopIfTrue="1" operator="lessThan">
      <formula>0</formula>
    </cfRule>
  </conditionalFormatting>
  <conditionalFormatting sqref="H35:H36">
    <cfRule type="cellIs" dxfId="10552" priority="10668" stopIfTrue="1" operator="lessThan">
      <formula>0.05</formula>
    </cfRule>
    <cfRule type="cellIs" dxfId="10551" priority="10669" stopIfTrue="1" operator="lessThan">
      <formula>0</formula>
    </cfRule>
  </conditionalFormatting>
  <conditionalFormatting sqref="H35:H36">
    <cfRule type="cellIs" dxfId="10550" priority="10666" stopIfTrue="1" operator="lessThan">
      <formula>0</formula>
    </cfRule>
    <cfRule type="cellIs" dxfId="10549" priority="10667" stopIfTrue="1" operator="lessThan">
      <formula>0</formula>
    </cfRule>
  </conditionalFormatting>
  <conditionalFormatting sqref="H35:H36">
    <cfRule type="cellIs" dxfId="10548" priority="10664" stopIfTrue="1" operator="lessThan">
      <formula>0</formula>
    </cfRule>
    <cfRule type="cellIs" dxfId="10547" priority="10665" stopIfTrue="1" operator="lessThan">
      <formula>0</formula>
    </cfRule>
  </conditionalFormatting>
  <conditionalFormatting sqref="H35:H36">
    <cfRule type="cellIs" dxfId="10546" priority="10662" stopIfTrue="1" operator="lessThan">
      <formula>0.05</formula>
    </cfRule>
    <cfRule type="cellIs" dxfId="10545" priority="10663" stopIfTrue="1" operator="lessThan">
      <formula>0</formula>
    </cfRule>
  </conditionalFormatting>
  <conditionalFormatting sqref="H35:H36">
    <cfRule type="cellIs" dxfId="10544" priority="10660" stopIfTrue="1" operator="lessThan">
      <formula>0</formula>
    </cfRule>
    <cfRule type="cellIs" dxfId="10543" priority="10661" stopIfTrue="1" operator="lessThan">
      <formula>0</formula>
    </cfRule>
  </conditionalFormatting>
  <conditionalFormatting sqref="H35:H36">
    <cfRule type="cellIs" dxfId="10542" priority="10658" stopIfTrue="1" operator="lessThan">
      <formula>0</formula>
    </cfRule>
    <cfRule type="cellIs" dxfId="10541" priority="10659" stopIfTrue="1" operator="lessThan">
      <formula>0</formula>
    </cfRule>
  </conditionalFormatting>
  <conditionalFormatting sqref="H35:H36">
    <cfRule type="cellIs" dxfId="10540" priority="10656" stopIfTrue="1" operator="lessThan">
      <formula>0.05</formula>
    </cfRule>
    <cfRule type="cellIs" dxfId="10539" priority="10657" stopIfTrue="1" operator="lessThan">
      <formula>0</formula>
    </cfRule>
  </conditionalFormatting>
  <conditionalFormatting sqref="H35:H36">
    <cfRule type="cellIs" dxfId="10538" priority="10654" stopIfTrue="1" operator="lessThan">
      <formula>0</formula>
    </cfRule>
    <cfRule type="cellIs" dxfId="10537" priority="10655" stopIfTrue="1" operator="lessThan">
      <formula>0</formula>
    </cfRule>
  </conditionalFormatting>
  <conditionalFormatting sqref="H35:H36">
    <cfRule type="cellIs" dxfId="10536" priority="10652" stopIfTrue="1" operator="lessThan">
      <formula>0</formula>
    </cfRule>
    <cfRule type="cellIs" dxfId="10535" priority="10653" stopIfTrue="1" operator="lessThan">
      <formula>0</formula>
    </cfRule>
  </conditionalFormatting>
  <conditionalFormatting sqref="H35:H36">
    <cfRule type="cellIs" dxfId="10534" priority="10650" stopIfTrue="1" operator="lessThan">
      <formula>0.05</formula>
    </cfRule>
    <cfRule type="cellIs" dxfId="10533" priority="10651" stopIfTrue="1" operator="lessThan">
      <formula>0</formula>
    </cfRule>
  </conditionalFormatting>
  <conditionalFormatting sqref="H35:H36">
    <cfRule type="cellIs" dxfId="10532" priority="10648" stopIfTrue="1" operator="lessThan">
      <formula>0</formula>
    </cfRule>
    <cfRule type="cellIs" dxfId="10531" priority="10649" stopIfTrue="1" operator="lessThan">
      <formula>0</formula>
    </cfRule>
  </conditionalFormatting>
  <conditionalFormatting sqref="H35:H36">
    <cfRule type="cellIs" dxfId="10530" priority="10646" stopIfTrue="1" operator="lessThan">
      <formula>0</formula>
    </cfRule>
    <cfRule type="cellIs" dxfId="10529" priority="10647" stopIfTrue="1" operator="lessThan">
      <formula>0</formula>
    </cfRule>
  </conditionalFormatting>
  <conditionalFormatting sqref="H35:H36">
    <cfRule type="cellIs" dxfId="10528" priority="10644" stopIfTrue="1" operator="lessThan">
      <formula>0.05</formula>
    </cfRule>
    <cfRule type="cellIs" dxfId="10527" priority="10645" stopIfTrue="1" operator="lessThan">
      <formula>0</formula>
    </cfRule>
  </conditionalFormatting>
  <conditionalFormatting sqref="H35:H36">
    <cfRule type="cellIs" dxfId="10526" priority="10642" stopIfTrue="1" operator="lessThan">
      <formula>0</formula>
    </cfRule>
    <cfRule type="cellIs" dxfId="10525" priority="10643" stopIfTrue="1" operator="lessThan">
      <formula>0</formula>
    </cfRule>
  </conditionalFormatting>
  <conditionalFormatting sqref="H35:H36">
    <cfRule type="cellIs" dxfId="10524" priority="10640" stopIfTrue="1" operator="lessThan">
      <formula>0</formula>
    </cfRule>
    <cfRule type="cellIs" dxfId="10523" priority="10641" stopIfTrue="1" operator="lessThan">
      <formula>0</formula>
    </cfRule>
  </conditionalFormatting>
  <conditionalFormatting sqref="H35:H36">
    <cfRule type="cellIs" dxfId="10522" priority="10638" stopIfTrue="1" operator="lessThan">
      <formula>0.05</formula>
    </cfRule>
    <cfRule type="cellIs" dxfId="10521" priority="10639" stopIfTrue="1" operator="lessThan">
      <formula>0</formula>
    </cfRule>
  </conditionalFormatting>
  <conditionalFormatting sqref="H35:H36">
    <cfRule type="cellIs" dxfId="10520" priority="10636" stopIfTrue="1" operator="lessThan">
      <formula>0</formula>
    </cfRule>
    <cfRule type="cellIs" dxfId="10519" priority="10637" stopIfTrue="1" operator="lessThan">
      <formula>0</formula>
    </cfRule>
  </conditionalFormatting>
  <conditionalFormatting sqref="H35:H36">
    <cfRule type="cellIs" dxfId="10518" priority="10634" stopIfTrue="1" operator="lessThan">
      <formula>0</formula>
    </cfRule>
    <cfRule type="cellIs" dxfId="10517" priority="10635" stopIfTrue="1" operator="lessThan">
      <formula>0</formula>
    </cfRule>
  </conditionalFormatting>
  <conditionalFormatting sqref="H35:H36">
    <cfRule type="cellIs" dxfId="10516" priority="10632" stopIfTrue="1" operator="lessThan">
      <formula>0.05</formula>
    </cfRule>
    <cfRule type="cellIs" dxfId="10515" priority="10633" stopIfTrue="1" operator="lessThan">
      <formula>0</formula>
    </cfRule>
  </conditionalFormatting>
  <conditionalFormatting sqref="H35:H36">
    <cfRule type="cellIs" dxfId="10514" priority="10630" stopIfTrue="1" operator="lessThan">
      <formula>0</formula>
    </cfRule>
    <cfRule type="cellIs" dxfId="10513" priority="10631" stopIfTrue="1" operator="lessThan">
      <formula>0</formula>
    </cfRule>
  </conditionalFormatting>
  <conditionalFormatting sqref="H35:H36">
    <cfRule type="cellIs" dxfId="10512" priority="10628" stopIfTrue="1" operator="lessThan">
      <formula>0</formula>
    </cfRule>
    <cfRule type="cellIs" dxfId="10511" priority="10629" stopIfTrue="1" operator="lessThan">
      <formula>0</formula>
    </cfRule>
  </conditionalFormatting>
  <conditionalFormatting sqref="H35:H36">
    <cfRule type="cellIs" dxfId="10510" priority="10626" stopIfTrue="1" operator="lessThan">
      <formula>0.05</formula>
    </cfRule>
    <cfRule type="cellIs" dxfId="10509" priority="10627" stopIfTrue="1" operator="lessThan">
      <formula>0</formula>
    </cfRule>
  </conditionalFormatting>
  <conditionalFormatting sqref="H35:H36">
    <cfRule type="cellIs" dxfId="10508" priority="10624" stopIfTrue="1" operator="lessThan">
      <formula>0</formula>
    </cfRule>
    <cfRule type="cellIs" dxfId="10507" priority="10625" stopIfTrue="1" operator="lessThan">
      <formula>0</formula>
    </cfRule>
  </conditionalFormatting>
  <conditionalFormatting sqref="H35:H36">
    <cfRule type="cellIs" dxfId="10506" priority="10622" stopIfTrue="1" operator="lessThan">
      <formula>0</formula>
    </cfRule>
    <cfRule type="cellIs" dxfId="10505" priority="10623" stopIfTrue="1" operator="lessThan">
      <formula>0</formula>
    </cfRule>
  </conditionalFormatting>
  <conditionalFormatting sqref="H35:H36">
    <cfRule type="cellIs" dxfId="10504" priority="10620" stopIfTrue="1" operator="lessThan">
      <formula>0.05</formula>
    </cfRule>
    <cfRule type="cellIs" dxfId="10503" priority="10621" stopIfTrue="1" operator="lessThan">
      <formula>0</formula>
    </cfRule>
  </conditionalFormatting>
  <conditionalFormatting sqref="H35:H36">
    <cfRule type="cellIs" dxfId="10502" priority="10618" stopIfTrue="1" operator="lessThan">
      <formula>0</formula>
    </cfRule>
    <cfRule type="cellIs" dxfId="10501" priority="10619" stopIfTrue="1" operator="lessThan">
      <formula>0</formula>
    </cfRule>
  </conditionalFormatting>
  <conditionalFormatting sqref="H35:H36">
    <cfRule type="cellIs" dxfId="10500" priority="10616" stopIfTrue="1" operator="lessThan">
      <formula>0</formula>
    </cfRule>
    <cfRule type="cellIs" dxfId="10499" priority="10617" stopIfTrue="1" operator="lessThan">
      <formula>0</formula>
    </cfRule>
  </conditionalFormatting>
  <conditionalFormatting sqref="H35:H36">
    <cfRule type="cellIs" dxfId="10498" priority="10614" stopIfTrue="1" operator="lessThan">
      <formula>0.05</formula>
    </cfRule>
    <cfRule type="cellIs" dxfId="10497" priority="10615" stopIfTrue="1" operator="lessThan">
      <formula>0</formula>
    </cfRule>
  </conditionalFormatting>
  <conditionalFormatting sqref="H35:H36">
    <cfRule type="cellIs" dxfId="10496" priority="10612" stopIfTrue="1" operator="lessThan">
      <formula>0</formula>
    </cfRule>
    <cfRule type="cellIs" dxfId="10495" priority="10613" stopIfTrue="1" operator="lessThan">
      <formula>0</formula>
    </cfRule>
  </conditionalFormatting>
  <conditionalFormatting sqref="H35:H36">
    <cfRule type="cellIs" dxfId="10494" priority="10610" stopIfTrue="1" operator="lessThan">
      <formula>0</formula>
    </cfRule>
    <cfRule type="cellIs" dxfId="10493" priority="10611" stopIfTrue="1" operator="lessThan">
      <formula>0</formula>
    </cfRule>
  </conditionalFormatting>
  <conditionalFormatting sqref="H35:H36">
    <cfRule type="cellIs" dxfId="10492" priority="10608" stopIfTrue="1" operator="lessThan">
      <formula>0.05</formula>
    </cfRule>
    <cfRule type="cellIs" dxfId="10491" priority="10609" stopIfTrue="1" operator="lessThan">
      <formula>0</formula>
    </cfRule>
  </conditionalFormatting>
  <conditionalFormatting sqref="H35:H36">
    <cfRule type="cellIs" dxfId="10490" priority="10606" stopIfTrue="1" operator="lessThan">
      <formula>0</formula>
    </cfRule>
    <cfRule type="cellIs" dxfId="10489" priority="10607" stopIfTrue="1" operator="lessThan">
      <formula>0</formula>
    </cfRule>
  </conditionalFormatting>
  <conditionalFormatting sqref="H35:H36">
    <cfRule type="cellIs" dxfId="10488" priority="10604" stopIfTrue="1" operator="lessThan">
      <formula>0</formula>
    </cfRule>
    <cfRule type="cellIs" dxfId="10487" priority="10605" stopIfTrue="1" operator="lessThan">
      <formula>0</formula>
    </cfRule>
  </conditionalFormatting>
  <conditionalFormatting sqref="H35:H36">
    <cfRule type="cellIs" dxfId="10486" priority="10602" stopIfTrue="1" operator="lessThan">
      <formula>0.05</formula>
    </cfRule>
    <cfRule type="cellIs" dxfId="10485" priority="10603" stopIfTrue="1" operator="lessThan">
      <formula>0</formula>
    </cfRule>
  </conditionalFormatting>
  <conditionalFormatting sqref="H35:H36">
    <cfRule type="cellIs" dxfId="10484" priority="10600" stopIfTrue="1" operator="lessThan">
      <formula>0</formula>
    </cfRule>
    <cfRule type="cellIs" dxfId="10483" priority="10601" stopIfTrue="1" operator="lessThan">
      <formula>0</formula>
    </cfRule>
  </conditionalFormatting>
  <conditionalFormatting sqref="H35:H36">
    <cfRule type="cellIs" dxfId="10482" priority="10598" stopIfTrue="1" operator="lessThan">
      <formula>0</formula>
    </cfRule>
    <cfRule type="cellIs" dxfId="10481" priority="10599" stopIfTrue="1" operator="lessThan">
      <formula>0</formula>
    </cfRule>
  </conditionalFormatting>
  <conditionalFormatting sqref="H35:H36">
    <cfRule type="cellIs" dxfId="10480" priority="10596" stopIfTrue="1" operator="lessThan">
      <formula>0.05</formula>
    </cfRule>
    <cfRule type="cellIs" dxfId="10479" priority="10597" stopIfTrue="1" operator="lessThan">
      <formula>0</formula>
    </cfRule>
  </conditionalFormatting>
  <conditionalFormatting sqref="H35:H36">
    <cfRule type="cellIs" dxfId="10478" priority="10594" stopIfTrue="1" operator="lessThan">
      <formula>0</formula>
    </cfRule>
    <cfRule type="cellIs" dxfId="10477" priority="10595" stopIfTrue="1" operator="lessThan">
      <formula>0</formula>
    </cfRule>
  </conditionalFormatting>
  <conditionalFormatting sqref="H35:H36">
    <cfRule type="cellIs" dxfId="10476" priority="10592" stopIfTrue="1" operator="lessThan">
      <formula>0.05</formula>
    </cfRule>
    <cfRule type="cellIs" dxfId="10475" priority="10593" stopIfTrue="1" operator="lessThan">
      <formula>0</formula>
    </cfRule>
  </conditionalFormatting>
  <conditionalFormatting sqref="H35:H36">
    <cfRule type="cellIs" dxfId="10474" priority="10590" stopIfTrue="1" operator="lessThan">
      <formula>0</formula>
    </cfRule>
    <cfRule type="cellIs" dxfId="10473" priority="10591" stopIfTrue="1" operator="lessThan">
      <formula>0</formula>
    </cfRule>
  </conditionalFormatting>
  <conditionalFormatting sqref="H35:H36">
    <cfRule type="cellIs" dxfId="10472" priority="10588" stopIfTrue="1" operator="lessThan">
      <formula>0.05</formula>
    </cfRule>
    <cfRule type="cellIs" dxfId="10471" priority="10589" stopIfTrue="1" operator="lessThan">
      <formula>0</formula>
    </cfRule>
  </conditionalFormatting>
  <conditionalFormatting sqref="H35:H36">
    <cfRule type="cellIs" dxfId="10470" priority="10586" stopIfTrue="1" operator="lessThan">
      <formula>0</formula>
    </cfRule>
    <cfRule type="cellIs" dxfId="10469" priority="10587" stopIfTrue="1" operator="lessThan">
      <formula>0</formula>
    </cfRule>
  </conditionalFormatting>
  <conditionalFormatting sqref="H35:H36">
    <cfRule type="cellIs" dxfId="10468" priority="10584" stopIfTrue="1" operator="lessThan">
      <formula>0</formula>
    </cfRule>
    <cfRule type="cellIs" dxfId="10467" priority="10585" stopIfTrue="1" operator="lessThan">
      <formula>0</formula>
    </cfRule>
  </conditionalFormatting>
  <conditionalFormatting sqref="H35:H36">
    <cfRule type="cellIs" dxfId="10466" priority="10582" stopIfTrue="1" operator="lessThan">
      <formula>0</formula>
    </cfRule>
    <cfRule type="cellIs" dxfId="10465" priority="10583" stopIfTrue="1" operator="lessThan">
      <formula>0</formula>
    </cfRule>
  </conditionalFormatting>
  <conditionalFormatting sqref="H35:H36">
    <cfRule type="cellIs" dxfId="10464" priority="10580" stopIfTrue="1" operator="lessThan">
      <formula>0.05</formula>
    </cfRule>
    <cfRule type="cellIs" dxfId="10463" priority="10581" stopIfTrue="1" operator="lessThan">
      <formula>0</formula>
    </cfRule>
  </conditionalFormatting>
  <conditionalFormatting sqref="H35:H36">
    <cfRule type="cellIs" dxfId="10462" priority="10578" stopIfTrue="1" operator="lessThan">
      <formula>0</formula>
    </cfRule>
    <cfRule type="cellIs" dxfId="10461" priority="10579" stopIfTrue="1" operator="lessThan">
      <formula>0</formula>
    </cfRule>
  </conditionalFormatting>
  <conditionalFormatting sqref="H35:H36">
    <cfRule type="cellIs" dxfId="10460" priority="10576" stopIfTrue="1" operator="lessThan">
      <formula>0.05</formula>
    </cfRule>
    <cfRule type="cellIs" dxfId="10459" priority="10577" stopIfTrue="1" operator="lessThan">
      <formula>0</formula>
    </cfRule>
  </conditionalFormatting>
  <conditionalFormatting sqref="H35:H36">
    <cfRule type="cellIs" dxfId="10458" priority="10574" stopIfTrue="1" operator="lessThan">
      <formula>0</formula>
    </cfRule>
    <cfRule type="cellIs" dxfId="10457" priority="10575" stopIfTrue="1" operator="lessThan">
      <formula>0</formula>
    </cfRule>
  </conditionalFormatting>
  <conditionalFormatting sqref="H35:H36">
    <cfRule type="cellIs" dxfId="10456" priority="10572" stopIfTrue="1" operator="lessThan">
      <formula>0.05</formula>
    </cfRule>
    <cfRule type="cellIs" dxfId="10455" priority="10573" stopIfTrue="1" operator="lessThan">
      <formula>0</formula>
    </cfRule>
  </conditionalFormatting>
  <conditionalFormatting sqref="H35:H36">
    <cfRule type="cellIs" dxfId="10454" priority="10570" stopIfTrue="1" operator="lessThan">
      <formula>0</formula>
    </cfRule>
    <cfRule type="cellIs" dxfId="10453" priority="10571" stopIfTrue="1" operator="lessThan">
      <formula>0</formula>
    </cfRule>
  </conditionalFormatting>
  <conditionalFormatting sqref="H35:H36">
    <cfRule type="cellIs" dxfId="10452" priority="10569" stopIfTrue="1" operator="lessThan">
      <formula>0.05</formula>
    </cfRule>
  </conditionalFormatting>
  <conditionalFormatting sqref="H102">
    <cfRule type="cellIs" dxfId="10451" priority="10567" stopIfTrue="1" operator="lessThan">
      <formula>0</formula>
    </cfRule>
    <cfRule type="cellIs" dxfId="10450" priority="10568" stopIfTrue="1" operator="lessThan">
      <formula>0</formula>
    </cfRule>
  </conditionalFormatting>
  <conditionalFormatting sqref="H102">
    <cfRule type="cellIs" dxfId="10449" priority="10565" stopIfTrue="1" operator="lessThan">
      <formula>0.05</formula>
    </cfRule>
    <cfRule type="cellIs" dxfId="10448" priority="10566" stopIfTrue="1" operator="lessThan">
      <formula>0</formula>
    </cfRule>
  </conditionalFormatting>
  <conditionalFormatting sqref="H102">
    <cfRule type="cellIs" dxfId="10447" priority="10563" stopIfTrue="1" operator="lessThan">
      <formula>0</formula>
    </cfRule>
    <cfRule type="cellIs" dxfId="10446" priority="10564" stopIfTrue="1" operator="lessThan">
      <formula>0</formula>
    </cfRule>
  </conditionalFormatting>
  <conditionalFormatting sqref="H102">
    <cfRule type="cellIs" dxfId="10445" priority="10531" stopIfTrue="1" operator="lessThan">
      <formula>0</formula>
    </cfRule>
    <cfRule type="cellIs" dxfId="10444" priority="10532" stopIfTrue="1" operator="lessThan">
      <formula>0</formula>
    </cfRule>
  </conditionalFormatting>
  <conditionalFormatting sqref="H102">
    <cfRule type="cellIs" dxfId="10443" priority="10529" stopIfTrue="1" operator="lessThan">
      <formula>0.05</formula>
    </cfRule>
    <cfRule type="cellIs" dxfId="10442" priority="10530" stopIfTrue="1" operator="lessThan">
      <formula>0</formula>
    </cfRule>
  </conditionalFormatting>
  <conditionalFormatting sqref="H102">
    <cfRule type="cellIs" dxfId="10441" priority="10527" stopIfTrue="1" operator="lessThan">
      <formula>0</formula>
    </cfRule>
    <cfRule type="cellIs" dxfId="10440" priority="10528" stopIfTrue="1" operator="lessThan">
      <formula>0</formula>
    </cfRule>
  </conditionalFormatting>
  <conditionalFormatting sqref="H102">
    <cfRule type="cellIs" dxfId="10439" priority="10483" stopIfTrue="1" operator="lessThan">
      <formula>0</formula>
    </cfRule>
    <cfRule type="cellIs" dxfId="10438" priority="10484" stopIfTrue="1" operator="lessThan">
      <formula>0</formula>
    </cfRule>
  </conditionalFormatting>
  <conditionalFormatting sqref="H102">
    <cfRule type="cellIs" dxfId="10437" priority="10481" stopIfTrue="1" operator="lessThan">
      <formula>0.05</formula>
    </cfRule>
    <cfRule type="cellIs" dxfId="10436" priority="10482" stopIfTrue="1" operator="lessThan">
      <formula>0</formula>
    </cfRule>
  </conditionalFormatting>
  <conditionalFormatting sqref="H102">
    <cfRule type="cellIs" dxfId="10435" priority="10479" stopIfTrue="1" operator="lessThan">
      <formula>0</formula>
    </cfRule>
    <cfRule type="cellIs" dxfId="10434" priority="10480" stopIfTrue="1" operator="lessThan">
      <formula>0</formula>
    </cfRule>
  </conditionalFormatting>
  <conditionalFormatting sqref="H102">
    <cfRule type="cellIs" dxfId="10433" priority="10477" stopIfTrue="1" operator="lessThan">
      <formula>0</formula>
    </cfRule>
    <cfRule type="cellIs" dxfId="10432" priority="10478" stopIfTrue="1" operator="lessThan">
      <formula>0</formula>
    </cfRule>
  </conditionalFormatting>
  <conditionalFormatting sqref="H102">
    <cfRule type="cellIs" dxfId="10431" priority="10475" stopIfTrue="1" operator="lessThan">
      <formula>0.05</formula>
    </cfRule>
    <cfRule type="cellIs" dxfId="10430" priority="10476" stopIfTrue="1" operator="lessThan">
      <formula>0</formula>
    </cfRule>
  </conditionalFormatting>
  <conditionalFormatting sqref="H102">
    <cfRule type="cellIs" dxfId="10429" priority="10473" stopIfTrue="1" operator="lessThan">
      <formula>0</formula>
    </cfRule>
    <cfRule type="cellIs" dxfId="10428" priority="10474" stopIfTrue="1" operator="lessThan">
      <formula>0</formula>
    </cfRule>
  </conditionalFormatting>
  <conditionalFormatting sqref="H102">
    <cfRule type="cellIs" dxfId="10427" priority="10471" stopIfTrue="1" operator="lessThan">
      <formula>0</formula>
    </cfRule>
    <cfRule type="cellIs" dxfId="10426" priority="10472" stopIfTrue="1" operator="lessThan">
      <formula>0</formula>
    </cfRule>
  </conditionalFormatting>
  <conditionalFormatting sqref="H102">
    <cfRule type="cellIs" dxfId="10425" priority="10469" stopIfTrue="1" operator="lessThan">
      <formula>0.05</formula>
    </cfRule>
    <cfRule type="cellIs" dxfId="10424" priority="10470" stopIfTrue="1" operator="lessThan">
      <formula>0</formula>
    </cfRule>
  </conditionalFormatting>
  <conditionalFormatting sqref="H102">
    <cfRule type="cellIs" dxfId="10423" priority="10467" stopIfTrue="1" operator="lessThan">
      <formula>0</formula>
    </cfRule>
    <cfRule type="cellIs" dxfId="10422" priority="10468" stopIfTrue="1" operator="lessThan">
      <formula>0</formula>
    </cfRule>
  </conditionalFormatting>
  <conditionalFormatting sqref="H102">
    <cfRule type="cellIs" dxfId="10421" priority="10417" stopIfTrue="1" operator="lessThan">
      <formula>0</formula>
    </cfRule>
    <cfRule type="cellIs" dxfId="10420" priority="10418" stopIfTrue="1" operator="lessThan">
      <formula>0</formula>
    </cfRule>
  </conditionalFormatting>
  <conditionalFormatting sqref="H102">
    <cfRule type="cellIs" dxfId="10419" priority="10415" stopIfTrue="1" operator="lessThan">
      <formula>0.05</formula>
    </cfRule>
    <cfRule type="cellIs" dxfId="10418" priority="10416" stopIfTrue="1" operator="lessThan">
      <formula>0</formula>
    </cfRule>
  </conditionalFormatting>
  <conditionalFormatting sqref="H102">
    <cfRule type="cellIs" dxfId="10417" priority="10413" stopIfTrue="1" operator="lessThan">
      <formula>0</formula>
    </cfRule>
    <cfRule type="cellIs" dxfId="10416" priority="10414" stopIfTrue="1" operator="lessThan">
      <formula>0</formula>
    </cfRule>
  </conditionalFormatting>
  <conditionalFormatting sqref="H102">
    <cfRule type="cellIs" dxfId="10415" priority="10411" stopIfTrue="1" operator="lessThan">
      <formula>0</formula>
    </cfRule>
    <cfRule type="cellIs" dxfId="10414" priority="10412" stopIfTrue="1" operator="lessThan">
      <formula>0</formula>
    </cfRule>
  </conditionalFormatting>
  <conditionalFormatting sqref="H102">
    <cfRule type="cellIs" dxfId="10413" priority="10409" stopIfTrue="1" operator="lessThan">
      <formula>0.05</formula>
    </cfRule>
    <cfRule type="cellIs" dxfId="10412" priority="10410" stopIfTrue="1" operator="lessThan">
      <formula>0</formula>
    </cfRule>
  </conditionalFormatting>
  <conditionalFormatting sqref="H102">
    <cfRule type="cellIs" dxfId="10411" priority="10407" stopIfTrue="1" operator="lessThan">
      <formula>0</formula>
    </cfRule>
    <cfRule type="cellIs" dxfId="10410" priority="10408" stopIfTrue="1" operator="lessThan">
      <formula>0</formula>
    </cfRule>
  </conditionalFormatting>
  <conditionalFormatting sqref="H102">
    <cfRule type="cellIs" dxfId="10409" priority="10405" stopIfTrue="1" operator="lessThan">
      <formula>0</formula>
    </cfRule>
    <cfRule type="cellIs" dxfId="10408" priority="10406" stopIfTrue="1" operator="lessThan">
      <formula>0</formula>
    </cfRule>
  </conditionalFormatting>
  <conditionalFormatting sqref="H102">
    <cfRule type="cellIs" dxfId="10407" priority="10403" stopIfTrue="1" operator="lessThan">
      <formula>0.05</formula>
    </cfRule>
    <cfRule type="cellIs" dxfId="10406" priority="10404" stopIfTrue="1" operator="lessThan">
      <formula>0</formula>
    </cfRule>
  </conditionalFormatting>
  <conditionalFormatting sqref="H102">
    <cfRule type="cellIs" dxfId="10405" priority="10401" stopIfTrue="1" operator="lessThan">
      <formula>0</formula>
    </cfRule>
    <cfRule type="cellIs" dxfId="10404" priority="10402" stopIfTrue="1" operator="lessThan">
      <formula>0</formula>
    </cfRule>
  </conditionalFormatting>
  <conditionalFormatting sqref="H102">
    <cfRule type="cellIs" dxfId="10403" priority="10399" stopIfTrue="1" operator="lessThan">
      <formula>0</formula>
    </cfRule>
    <cfRule type="cellIs" dxfId="10402" priority="10400" stopIfTrue="1" operator="lessThan">
      <formula>0</formula>
    </cfRule>
  </conditionalFormatting>
  <conditionalFormatting sqref="H102">
    <cfRule type="cellIs" dxfId="10401" priority="10397" stopIfTrue="1" operator="lessThan">
      <formula>0.05</formula>
    </cfRule>
    <cfRule type="cellIs" dxfId="10400" priority="10398" stopIfTrue="1" operator="lessThan">
      <formula>0</formula>
    </cfRule>
  </conditionalFormatting>
  <conditionalFormatting sqref="H102">
    <cfRule type="cellIs" dxfId="10399" priority="10395" stopIfTrue="1" operator="lessThan">
      <formula>0</formula>
    </cfRule>
    <cfRule type="cellIs" dxfId="10398" priority="10396" stopIfTrue="1" operator="lessThan">
      <formula>0</formula>
    </cfRule>
  </conditionalFormatting>
  <conditionalFormatting sqref="H102">
    <cfRule type="cellIs" dxfId="10397" priority="10393" stopIfTrue="1" operator="lessThan">
      <formula>0</formula>
    </cfRule>
    <cfRule type="cellIs" dxfId="10396" priority="10394" stopIfTrue="1" operator="lessThan">
      <formula>0</formula>
    </cfRule>
  </conditionalFormatting>
  <conditionalFormatting sqref="H102">
    <cfRule type="cellIs" dxfId="10395" priority="10391" stopIfTrue="1" operator="lessThan">
      <formula>0.05</formula>
    </cfRule>
    <cfRule type="cellIs" dxfId="10394" priority="10392" stopIfTrue="1" operator="lessThan">
      <formula>0</formula>
    </cfRule>
  </conditionalFormatting>
  <conditionalFormatting sqref="H102">
    <cfRule type="cellIs" dxfId="10393" priority="10389" stopIfTrue="1" operator="lessThan">
      <formula>0</formula>
    </cfRule>
    <cfRule type="cellIs" dxfId="10392" priority="10390" stopIfTrue="1" operator="lessThan">
      <formula>0</formula>
    </cfRule>
  </conditionalFormatting>
  <conditionalFormatting sqref="H102">
    <cfRule type="cellIs" dxfId="10391" priority="10387" stopIfTrue="1" operator="lessThan">
      <formula>0</formula>
    </cfRule>
    <cfRule type="cellIs" dxfId="10390" priority="10388" stopIfTrue="1" operator="lessThan">
      <formula>0</formula>
    </cfRule>
  </conditionalFormatting>
  <conditionalFormatting sqref="H102">
    <cfRule type="cellIs" dxfId="10389" priority="10385" stopIfTrue="1" operator="lessThan">
      <formula>0.05</formula>
    </cfRule>
    <cfRule type="cellIs" dxfId="10388" priority="10386" stopIfTrue="1" operator="lessThan">
      <formula>0</formula>
    </cfRule>
  </conditionalFormatting>
  <conditionalFormatting sqref="H102">
    <cfRule type="cellIs" dxfId="10387" priority="10383" stopIfTrue="1" operator="lessThan">
      <formula>0</formula>
    </cfRule>
    <cfRule type="cellIs" dxfId="10386" priority="10384" stopIfTrue="1" operator="lessThan">
      <formula>0</formula>
    </cfRule>
  </conditionalFormatting>
  <conditionalFormatting sqref="H102">
    <cfRule type="cellIs" dxfId="10385" priority="10381" stopIfTrue="1" operator="lessThan">
      <formula>0</formula>
    </cfRule>
    <cfRule type="cellIs" dxfId="10384" priority="10382" stopIfTrue="1" operator="lessThan">
      <formula>0</formula>
    </cfRule>
  </conditionalFormatting>
  <conditionalFormatting sqref="H102">
    <cfRule type="cellIs" dxfId="10383" priority="10379" stopIfTrue="1" operator="lessThan">
      <formula>0.05</formula>
    </cfRule>
    <cfRule type="cellIs" dxfId="10382" priority="10380" stopIfTrue="1" operator="lessThan">
      <formula>0</formula>
    </cfRule>
  </conditionalFormatting>
  <conditionalFormatting sqref="H102">
    <cfRule type="cellIs" dxfId="10381" priority="10377" stopIfTrue="1" operator="lessThan">
      <formula>0</formula>
    </cfRule>
    <cfRule type="cellIs" dxfId="10380" priority="10378" stopIfTrue="1" operator="lessThan">
      <formula>0</formula>
    </cfRule>
  </conditionalFormatting>
  <conditionalFormatting sqref="H102">
    <cfRule type="cellIs" dxfId="10379" priority="10375" stopIfTrue="1" operator="lessThan">
      <formula>0</formula>
    </cfRule>
    <cfRule type="cellIs" dxfId="10378" priority="10376" stopIfTrue="1" operator="lessThan">
      <formula>0</formula>
    </cfRule>
  </conditionalFormatting>
  <conditionalFormatting sqref="H102">
    <cfRule type="cellIs" dxfId="10377" priority="10373" stopIfTrue="1" operator="lessThan">
      <formula>0.05</formula>
    </cfRule>
    <cfRule type="cellIs" dxfId="10376" priority="10374" stopIfTrue="1" operator="lessThan">
      <formula>0</formula>
    </cfRule>
  </conditionalFormatting>
  <conditionalFormatting sqref="H102">
    <cfRule type="cellIs" dxfId="10375" priority="10371" stopIfTrue="1" operator="lessThan">
      <formula>0</formula>
    </cfRule>
    <cfRule type="cellIs" dxfId="10374" priority="10372" stopIfTrue="1" operator="lessThan">
      <formula>0</formula>
    </cfRule>
  </conditionalFormatting>
  <conditionalFormatting sqref="H102">
    <cfRule type="cellIs" dxfId="10373" priority="10369" stopIfTrue="1" operator="lessThan">
      <formula>0</formula>
    </cfRule>
    <cfRule type="cellIs" dxfId="10372" priority="10370" stopIfTrue="1" operator="lessThan">
      <formula>0</formula>
    </cfRule>
  </conditionalFormatting>
  <conditionalFormatting sqref="H102">
    <cfRule type="cellIs" dxfId="10371" priority="10367" stopIfTrue="1" operator="lessThan">
      <formula>0.05</formula>
    </cfRule>
    <cfRule type="cellIs" dxfId="10370" priority="10368" stopIfTrue="1" operator="lessThan">
      <formula>0</formula>
    </cfRule>
  </conditionalFormatting>
  <conditionalFormatting sqref="H102">
    <cfRule type="cellIs" dxfId="10369" priority="10365" stopIfTrue="1" operator="lessThan">
      <formula>0</formula>
    </cfRule>
    <cfRule type="cellIs" dxfId="10368" priority="10366" stopIfTrue="1" operator="lessThan">
      <formula>0</formula>
    </cfRule>
  </conditionalFormatting>
  <conditionalFormatting sqref="H102">
    <cfRule type="cellIs" dxfId="10367" priority="10363" stopIfTrue="1" operator="lessThan">
      <formula>0</formula>
    </cfRule>
    <cfRule type="cellIs" dxfId="10366" priority="10364" stopIfTrue="1" operator="lessThan">
      <formula>0</formula>
    </cfRule>
  </conditionalFormatting>
  <conditionalFormatting sqref="H102">
    <cfRule type="cellIs" dxfId="10365" priority="10361" stopIfTrue="1" operator="lessThan">
      <formula>0.05</formula>
    </cfRule>
    <cfRule type="cellIs" dxfId="10364" priority="10362" stopIfTrue="1" operator="lessThan">
      <formula>0</formula>
    </cfRule>
  </conditionalFormatting>
  <conditionalFormatting sqref="H102">
    <cfRule type="cellIs" dxfId="10363" priority="10359" stopIfTrue="1" operator="lessThan">
      <formula>0</formula>
    </cfRule>
    <cfRule type="cellIs" dxfId="10362" priority="10360" stopIfTrue="1" operator="lessThan">
      <formula>0</formula>
    </cfRule>
  </conditionalFormatting>
  <conditionalFormatting sqref="H102">
    <cfRule type="cellIs" dxfId="10361" priority="10357" stopIfTrue="1" operator="lessThan">
      <formula>0</formula>
    </cfRule>
    <cfRule type="cellIs" dxfId="10360" priority="10358" stopIfTrue="1" operator="lessThan">
      <formula>0</formula>
    </cfRule>
  </conditionalFormatting>
  <conditionalFormatting sqref="H102">
    <cfRule type="cellIs" dxfId="10359" priority="10355" stopIfTrue="1" operator="lessThan">
      <formula>0.05</formula>
    </cfRule>
    <cfRule type="cellIs" dxfId="10358" priority="10356" stopIfTrue="1" operator="lessThan">
      <formula>0</formula>
    </cfRule>
  </conditionalFormatting>
  <conditionalFormatting sqref="H102">
    <cfRule type="cellIs" dxfId="10357" priority="10353" stopIfTrue="1" operator="lessThan">
      <formula>0</formula>
    </cfRule>
    <cfRule type="cellIs" dxfId="10356" priority="10354" stopIfTrue="1" operator="lessThan">
      <formula>0</formula>
    </cfRule>
  </conditionalFormatting>
  <conditionalFormatting sqref="H102">
    <cfRule type="cellIs" dxfId="10355" priority="10351" stopIfTrue="1" operator="lessThan">
      <formula>0.05</formula>
    </cfRule>
    <cfRule type="cellIs" dxfId="10354" priority="10352" stopIfTrue="1" operator="lessThan">
      <formula>0</formula>
    </cfRule>
  </conditionalFormatting>
  <conditionalFormatting sqref="H102">
    <cfRule type="cellIs" dxfId="10353" priority="10349" stopIfTrue="1" operator="lessThan">
      <formula>0</formula>
    </cfRule>
    <cfRule type="cellIs" dxfId="10352" priority="10350" stopIfTrue="1" operator="lessThan">
      <formula>0</formula>
    </cfRule>
  </conditionalFormatting>
  <conditionalFormatting sqref="H102">
    <cfRule type="cellIs" dxfId="10351" priority="10347" stopIfTrue="1" operator="lessThan">
      <formula>0.05</formula>
    </cfRule>
    <cfRule type="cellIs" dxfId="10350" priority="10348" stopIfTrue="1" operator="lessThan">
      <formula>0</formula>
    </cfRule>
  </conditionalFormatting>
  <conditionalFormatting sqref="H102">
    <cfRule type="cellIs" dxfId="10349" priority="10345" stopIfTrue="1" operator="lessThan">
      <formula>0</formula>
    </cfRule>
    <cfRule type="cellIs" dxfId="10348" priority="10346" stopIfTrue="1" operator="lessThan">
      <formula>0</formula>
    </cfRule>
  </conditionalFormatting>
  <conditionalFormatting sqref="H102">
    <cfRule type="cellIs" dxfId="10347" priority="10343" stopIfTrue="1" operator="lessThan">
      <formula>0</formula>
    </cfRule>
    <cfRule type="cellIs" dxfId="10346" priority="10344" stopIfTrue="1" operator="lessThan">
      <formula>0</formula>
    </cfRule>
  </conditionalFormatting>
  <conditionalFormatting sqref="H102">
    <cfRule type="cellIs" dxfId="10345" priority="10341" stopIfTrue="1" operator="lessThan">
      <formula>0</formula>
    </cfRule>
    <cfRule type="cellIs" dxfId="10344" priority="10342" stopIfTrue="1" operator="lessThan">
      <formula>0</formula>
    </cfRule>
  </conditionalFormatting>
  <conditionalFormatting sqref="H102">
    <cfRule type="cellIs" dxfId="10343" priority="10339" stopIfTrue="1" operator="lessThan">
      <formula>0.05</formula>
    </cfRule>
    <cfRule type="cellIs" dxfId="10342" priority="10340" stopIfTrue="1" operator="lessThan">
      <formula>0</formula>
    </cfRule>
  </conditionalFormatting>
  <conditionalFormatting sqref="H102">
    <cfRule type="cellIs" dxfId="10341" priority="10337" stopIfTrue="1" operator="lessThan">
      <formula>0</formula>
    </cfRule>
    <cfRule type="cellIs" dxfId="10340" priority="10338" stopIfTrue="1" operator="lessThan">
      <formula>0</formula>
    </cfRule>
  </conditionalFormatting>
  <conditionalFormatting sqref="H102">
    <cfRule type="cellIs" dxfId="10339" priority="10335" stopIfTrue="1" operator="lessThan">
      <formula>0.05</formula>
    </cfRule>
    <cfRule type="cellIs" dxfId="10338" priority="10336" stopIfTrue="1" operator="lessThan">
      <formula>0</formula>
    </cfRule>
  </conditionalFormatting>
  <conditionalFormatting sqref="H102">
    <cfRule type="cellIs" dxfId="10337" priority="10333" stopIfTrue="1" operator="lessThan">
      <formula>0</formula>
    </cfRule>
    <cfRule type="cellIs" dxfId="10336" priority="10334" stopIfTrue="1" operator="lessThan">
      <formula>0</formula>
    </cfRule>
  </conditionalFormatting>
  <conditionalFormatting sqref="H102">
    <cfRule type="cellIs" dxfId="10335" priority="10331" stopIfTrue="1" operator="lessThan">
      <formula>0.05</formula>
    </cfRule>
    <cfRule type="cellIs" dxfId="10334" priority="10332" stopIfTrue="1" operator="lessThan">
      <formula>0</formula>
    </cfRule>
  </conditionalFormatting>
  <conditionalFormatting sqref="H102">
    <cfRule type="cellIs" dxfId="10333" priority="10329" stopIfTrue="1" operator="lessThan">
      <formula>0</formula>
    </cfRule>
    <cfRule type="cellIs" dxfId="10332" priority="10330" stopIfTrue="1" operator="lessThan">
      <formula>0</formula>
    </cfRule>
  </conditionalFormatting>
  <conditionalFormatting sqref="H102">
    <cfRule type="cellIs" dxfId="10331" priority="10327" stopIfTrue="1" operator="lessThan">
      <formula>0</formula>
    </cfRule>
    <cfRule type="cellIs" dxfId="10330" priority="10328" stopIfTrue="1" operator="lessThan">
      <formula>0</formula>
    </cfRule>
  </conditionalFormatting>
  <conditionalFormatting sqref="H102">
    <cfRule type="cellIs" dxfId="10329" priority="10325" stopIfTrue="1" operator="lessThan">
      <formula>0.05</formula>
    </cfRule>
    <cfRule type="cellIs" dxfId="10328" priority="10326" stopIfTrue="1" operator="lessThan">
      <formula>0</formula>
    </cfRule>
  </conditionalFormatting>
  <conditionalFormatting sqref="H102">
    <cfRule type="cellIs" dxfId="10327" priority="10323" stopIfTrue="1" operator="lessThan">
      <formula>0</formula>
    </cfRule>
    <cfRule type="cellIs" dxfId="10326" priority="10324" stopIfTrue="1" operator="lessThan">
      <formula>0</formula>
    </cfRule>
  </conditionalFormatting>
  <conditionalFormatting sqref="H102">
    <cfRule type="cellIs" dxfId="10325" priority="10321" stopIfTrue="1" operator="lessThan">
      <formula>0</formula>
    </cfRule>
    <cfRule type="cellIs" dxfId="10324" priority="10322" stopIfTrue="1" operator="lessThan">
      <formula>0</formula>
    </cfRule>
  </conditionalFormatting>
  <conditionalFormatting sqref="H102">
    <cfRule type="cellIs" dxfId="10323" priority="10319" stopIfTrue="1" operator="lessThan">
      <formula>0.05</formula>
    </cfRule>
    <cfRule type="cellIs" dxfId="10322" priority="10320" stopIfTrue="1" operator="lessThan">
      <formula>0</formula>
    </cfRule>
  </conditionalFormatting>
  <conditionalFormatting sqref="H102">
    <cfRule type="cellIs" dxfId="10321" priority="10317" stopIfTrue="1" operator="lessThan">
      <formula>0</formula>
    </cfRule>
    <cfRule type="cellIs" dxfId="10320" priority="10318" stopIfTrue="1" operator="lessThan">
      <formula>0</formula>
    </cfRule>
  </conditionalFormatting>
  <conditionalFormatting sqref="H102">
    <cfRule type="cellIs" dxfId="10319" priority="10315" stopIfTrue="1" operator="lessThan">
      <formula>0</formula>
    </cfRule>
    <cfRule type="cellIs" dxfId="10318" priority="10316" stopIfTrue="1" operator="lessThan">
      <formula>0</formula>
    </cfRule>
  </conditionalFormatting>
  <conditionalFormatting sqref="H102">
    <cfRule type="cellIs" dxfId="10317" priority="10313" stopIfTrue="1" operator="lessThan">
      <formula>0.05</formula>
    </cfRule>
    <cfRule type="cellIs" dxfId="10316" priority="10314" stopIfTrue="1" operator="lessThan">
      <formula>0</formula>
    </cfRule>
  </conditionalFormatting>
  <conditionalFormatting sqref="H102">
    <cfRule type="cellIs" dxfId="10315" priority="10311" stopIfTrue="1" operator="lessThan">
      <formula>0</formula>
    </cfRule>
    <cfRule type="cellIs" dxfId="10314" priority="10312" stopIfTrue="1" operator="lessThan">
      <formula>0</formula>
    </cfRule>
  </conditionalFormatting>
  <conditionalFormatting sqref="H102">
    <cfRule type="cellIs" dxfId="10313" priority="10309" stopIfTrue="1" operator="lessThan">
      <formula>0</formula>
    </cfRule>
    <cfRule type="cellIs" dxfId="10312" priority="10310" stopIfTrue="1" operator="lessThan">
      <formula>0</formula>
    </cfRule>
  </conditionalFormatting>
  <conditionalFormatting sqref="H102">
    <cfRule type="cellIs" dxfId="10311" priority="10307" stopIfTrue="1" operator="lessThan">
      <formula>0.05</formula>
    </cfRule>
    <cfRule type="cellIs" dxfId="10310" priority="10308" stopIfTrue="1" operator="lessThan">
      <formula>0</formula>
    </cfRule>
  </conditionalFormatting>
  <conditionalFormatting sqref="H102">
    <cfRule type="cellIs" dxfId="10309" priority="10305" stopIfTrue="1" operator="lessThan">
      <formula>0</formula>
    </cfRule>
    <cfRule type="cellIs" dxfId="10308" priority="10306" stopIfTrue="1" operator="lessThan">
      <formula>0</formula>
    </cfRule>
  </conditionalFormatting>
  <conditionalFormatting sqref="H102">
    <cfRule type="cellIs" dxfId="10307" priority="10303" stopIfTrue="1" operator="lessThan">
      <formula>0</formula>
    </cfRule>
    <cfRule type="cellIs" dxfId="10306" priority="10304" stopIfTrue="1" operator="lessThan">
      <formula>0</formula>
    </cfRule>
  </conditionalFormatting>
  <conditionalFormatting sqref="H102">
    <cfRule type="cellIs" dxfId="10305" priority="10301" stopIfTrue="1" operator="lessThan">
      <formula>0.05</formula>
    </cfRule>
    <cfRule type="cellIs" dxfId="10304" priority="10302" stopIfTrue="1" operator="lessThan">
      <formula>0</formula>
    </cfRule>
  </conditionalFormatting>
  <conditionalFormatting sqref="H102">
    <cfRule type="cellIs" dxfId="10303" priority="10299" stopIfTrue="1" operator="lessThan">
      <formula>0</formula>
    </cfRule>
    <cfRule type="cellIs" dxfId="10302" priority="10300" stopIfTrue="1" operator="lessThan">
      <formula>0</formula>
    </cfRule>
  </conditionalFormatting>
  <conditionalFormatting sqref="H102">
    <cfRule type="cellIs" dxfId="10301" priority="10297" stopIfTrue="1" operator="lessThan">
      <formula>0</formula>
    </cfRule>
    <cfRule type="cellIs" dxfId="10300" priority="10298" stopIfTrue="1" operator="lessThan">
      <formula>0</formula>
    </cfRule>
  </conditionalFormatting>
  <conditionalFormatting sqref="H102">
    <cfRule type="cellIs" dxfId="10299" priority="10295" stopIfTrue="1" operator="lessThan">
      <formula>0.05</formula>
    </cfRule>
    <cfRule type="cellIs" dxfId="10298" priority="10296" stopIfTrue="1" operator="lessThan">
      <formula>0</formula>
    </cfRule>
  </conditionalFormatting>
  <conditionalFormatting sqref="H102">
    <cfRule type="cellIs" dxfId="10297" priority="10293" stopIfTrue="1" operator="lessThan">
      <formula>0</formula>
    </cfRule>
    <cfRule type="cellIs" dxfId="10296" priority="10294" stopIfTrue="1" operator="lessThan">
      <formula>0</formula>
    </cfRule>
  </conditionalFormatting>
  <conditionalFormatting sqref="H102">
    <cfRule type="cellIs" dxfId="10295" priority="10291" stopIfTrue="1" operator="lessThan">
      <formula>0</formula>
    </cfRule>
    <cfRule type="cellIs" dxfId="10294" priority="10292" stopIfTrue="1" operator="lessThan">
      <formula>0</formula>
    </cfRule>
  </conditionalFormatting>
  <conditionalFormatting sqref="H102">
    <cfRule type="cellIs" dxfId="10293" priority="10289" stopIfTrue="1" operator="lessThan">
      <formula>0.05</formula>
    </cfRule>
    <cfRule type="cellIs" dxfId="10292" priority="10290" stopIfTrue="1" operator="lessThan">
      <formula>0</formula>
    </cfRule>
  </conditionalFormatting>
  <conditionalFormatting sqref="H102">
    <cfRule type="cellIs" dxfId="10291" priority="10287" stopIfTrue="1" operator="lessThan">
      <formula>0</formula>
    </cfRule>
    <cfRule type="cellIs" dxfId="10290" priority="10288" stopIfTrue="1" operator="lessThan">
      <formula>0</formula>
    </cfRule>
  </conditionalFormatting>
  <conditionalFormatting sqref="H102">
    <cfRule type="cellIs" dxfId="10289" priority="10285" stopIfTrue="1" operator="lessThan">
      <formula>0</formula>
    </cfRule>
    <cfRule type="cellIs" dxfId="10288" priority="10286" stopIfTrue="1" operator="lessThan">
      <formula>0</formula>
    </cfRule>
  </conditionalFormatting>
  <conditionalFormatting sqref="H102">
    <cfRule type="cellIs" dxfId="10287" priority="10283" stopIfTrue="1" operator="lessThan">
      <formula>0.05</formula>
    </cfRule>
    <cfRule type="cellIs" dxfId="10286" priority="10284" stopIfTrue="1" operator="lessThan">
      <formula>0</formula>
    </cfRule>
  </conditionalFormatting>
  <conditionalFormatting sqref="H102">
    <cfRule type="cellIs" dxfId="10285" priority="10281" stopIfTrue="1" operator="lessThan">
      <formula>0</formula>
    </cfRule>
    <cfRule type="cellIs" dxfId="10284" priority="10282" stopIfTrue="1" operator="lessThan">
      <formula>0</formula>
    </cfRule>
  </conditionalFormatting>
  <conditionalFormatting sqref="H102">
    <cfRule type="cellIs" dxfId="10283" priority="10279" stopIfTrue="1" operator="lessThan">
      <formula>0</formula>
    </cfRule>
    <cfRule type="cellIs" dxfId="10282" priority="10280" stopIfTrue="1" operator="lessThan">
      <formula>0</formula>
    </cfRule>
  </conditionalFormatting>
  <conditionalFormatting sqref="H102">
    <cfRule type="cellIs" dxfId="10281" priority="10277" stopIfTrue="1" operator="lessThan">
      <formula>0.05</formula>
    </cfRule>
    <cfRule type="cellIs" dxfId="10280" priority="10278" stopIfTrue="1" operator="lessThan">
      <formula>0</formula>
    </cfRule>
  </conditionalFormatting>
  <conditionalFormatting sqref="H102">
    <cfRule type="cellIs" dxfId="10279" priority="10275" stopIfTrue="1" operator="lessThan">
      <formula>0</formula>
    </cfRule>
    <cfRule type="cellIs" dxfId="10278" priority="10276" stopIfTrue="1" operator="lessThan">
      <formula>0</formula>
    </cfRule>
  </conditionalFormatting>
  <conditionalFormatting sqref="H102">
    <cfRule type="cellIs" dxfId="10277" priority="10273" stopIfTrue="1" operator="lessThan">
      <formula>0</formula>
    </cfRule>
    <cfRule type="cellIs" dxfId="10276" priority="10274" stopIfTrue="1" operator="lessThan">
      <formula>0</formula>
    </cfRule>
  </conditionalFormatting>
  <conditionalFormatting sqref="H102">
    <cfRule type="cellIs" dxfId="10275" priority="10271" stopIfTrue="1" operator="lessThan">
      <formula>0.05</formula>
    </cfRule>
    <cfRule type="cellIs" dxfId="10274" priority="10272" stopIfTrue="1" operator="lessThan">
      <formula>0</formula>
    </cfRule>
  </conditionalFormatting>
  <conditionalFormatting sqref="H102">
    <cfRule type="cellIs" dxfId="10273" priority="10269" stopIfTrue="1" operator="lessThan">
      <formula>0</formula>
    </cfRule>
    <cfRule type="cellIs" dxfId="10272" priority="10270" stopIfTrue="1" operator="lessThan">
      <formula>0</formula>
    </cfRule>
  </conditionalFormatting>
  <conditionalFormatting sqref="H102">
    <cfRule type="cellIs" dxfId="10271" priority="10267" stopIfTrue="1" operator="lessThan">
      <formula>0</formula>
    </cfRule>
    <cfRule type="cellIs" dxfId="10270" priority="10268" stopIfTrue="1" operator="lessThan">
      <formula>0</formula>
    </cfRule>
  </conditionalFormatting>
  <conditionalFormatting sqref="H102">
    <cfRule type="cellIs" dxfId="10269" priority="10265" stopIfTrue="1" operator="lessThan">
      <formula>0.05</formula>
    </cfRule>
    <cfRule type="cellIs" dxfId="10268" priority="10266" stopIfTrue="1" operator="lessThan">
      <formula>0</formula>
    </cfRule>
  </conditionalFormatting>
  <conditionalFormatting sqref="H102">
    <cfRule type="cellIs" dxfId="10267" priority="10263" stopIfTrue="1" operator="lessThan">
      <formula>0</formula>
    </cfRule>
    <cfRule type="cellIs" dxfId="10266" priority="10264" stopIfTrue="1" operator="lessThan">
      <formula>0</formula>
    </cfRule>
  </conditionalFormatting>
  <conditionalFormatting sqref="H102">
    <cfRule type="cellIs" dxfId="10265" priority="10261" stopIfTrue="1" operator="lessThan">
      <formula>0</formula>
    </cfRule>
    <cfRule type="cellIs" dxfId="10264" priority="10262" stopIfTrue="1" operator="lessThan">
      <formula>0</formula>
    </cfRule>
  </conditionalFormatting>
  <conditionalFormatting sqref="H102">
    <cfRule type="cellIs" dxfId="10263" priority="10259" stopIfTrue="1" operator="lessThan">
      <formula>0.05</formula>
    </cfRule>
    <cfRule type="cellIs" dxfId="10262" priority="10260" stopIfTrue="1" operator="lessThan">
      <formula>0</formula>
    </cfRule>
  </conditionalFormatting>
  <conditionalFormatting sqref="H102">
    <cfRule type="cellIs" dxfId="10261" priority="10257" stopIfTrue="1" operator="lessThan">
      <formula>0</formula>
    </cfRule>
    <cfRule type="cellIs" dxfId="10260" priority="10258" stopIfTrue="1" operator="lessThan">
      <formula>0</formula>
    </cfRule>
  </conditionalFormatting>
  <conditionalFormatting sqref="H102">
    <cfRule type="cellIs" dxfId="10259" priority="10255" stopIfTrue="1" operator="lessThan">
      <formula>0.05</formula>
    </cfRule>
    <cfRule type="cellIs" dxfId="10258" priority="10256" stopIfTrue="1" operator="lessThan">
      <formula>0</formula>
    </cfRule>
  </conditionalFormatting>
  <conditionalFormatting sqref="H102">
    <cfRule type="cellIs" dxfId="10257" priority="10253" stopIfTrue="1" operator="lessThan">
      <formula>0</formula>
    </cfRule>
    <cfRule type="cellIs" dxfId="10256" priority="10254" stopIfTrue="1" operator="lessThan">
      <formula>0</formula>
    </cfRule>
  </conditionalFormatting>
  <conditionalFormatting sqref="H102">
    <cfRule type="cellIs" dxfId="10255" priority="10251" stopIfTrue="1" operator="lessThan">
      <formula>0.05</formula>
    </cfRule>
    <cfRule type="cellIs" dxfId="10254" priority="10252" stopIfTrue="1" operator="lessThan">
      <formula>0</formula>
    </cfRule>
  </conditionalFormatting>
  <conditionalFormatting sqref="H102">
    <cfRule type="cellIs" dxfId="10253" priority="10249" stopIfTrue="1" operator="lessThan">
      <formula>0</formula>
    </cfRule>
    <cfRule type="cellIs" dxfId="10252" priority="10250" stopIfTrue="1" operator="lessThan">
      <formula>0</formula>
    </cfRule>
  </conditionalFormatting>
  <conditionalFormatting sqref="H102">
    <cfRule type="cellIs" dxfId="10251" priority="10247" stopIfTrue="1" operator="lessThan">
      <formula>0</formula>
    </cfRule>
    <cfRule type="cellIs" dxfId="10250" priority="10248" stopIfTrue="1" operator="lessThan">
      <formula>0</formula>
    </cfRule>
  </conditionalFormatting>
  <conditionalFormatting sqref="H102">
    <cfRule type="cellIs" dxfId="10249" priority="10245" stopIfTrue="1" operator="lessThan">
      <formula>0</formula>
    </cfRule>
    <cfRule type="cellIs" dxfId="10248" priority="10246" stopIfTrue="1" operator="lessThan">
      <formula>0</formula>
    </cfRule>
  </conditionalFormatting>
  <conditionalFormatting sqref="H102">
    <cfRule type="cellIs" dxfId="10247" priority="10243" stopIfTrue="1" operator="lessThan">
      <formula>0.05</formula>
    </cfRule>
    <cfRule type="cellIs" dxfId="10246" priority="10244" stopIfTrue="1" operator="lessThan">
      <formula>0</formula>
    </cfRule>
  </conditionalFormatting>
  <conditionalFormatting sqref="H102">
    <cfRule type="cellIs" dxfId="10245" priority="10241" stopIfTrue="1" operator="lessThan">
      <formula>0</formula>
    </cfRule>
    <cfRule type="cellIs" dxfId="10244" priority="10242" stopIfTrue="1" operator="lessThan">
      <formula>0</formula>
    </cfRule>
  </conditionalFormatting>
  <conditionalFormatting sqref="H102">
    <cfRule type="cellIs" dxfId="10243" priority="10239" stopIfTrue="1" operator="lessThan">
      <formula>0.05</formula>
    </cfRule>
    <cfRule type="cellIs" dxfId="10242" priority="10240" stopIfTrue="1" operator="lessThan">
      <formula>0</formula>
    </cfRule>
  </conditionalFormatting>
  <conditionalFormatting sqref="H102">
    <cfRule type="cellIs" dxfId="10241" priority="10237" stopIfTrue="1" operator="lessThan">
      <formula>0</formula>
    </cfRule>
    <cfRule type="cellIs" dxfId="10240" priority="10238" stopIfTrue="1" operator="lessThan">
      <formula>0</formula>
    </cfRule>
  </conditionalFormatting>
  <conditionalFormatting sqref="H102">
    <cfRule type="cellIs" dxfId="10239" priority="10235" stopIfTrue="1" operator="lessThan">
      <formula>0.05</formula>
    </cfRule>
    <cfRule type="cellIs" dxfId="10238" priority="10236" stopIfTrue="1" operator="lessThan">
      <formula>0</formula>
    </cfRule>
  </conditionalFormatting>
  <conditionalFormatting sqref="H102">
    <cfRule type="cellIs" dxfId="10237" priority="10233" stopIfTrue="1" operator="lessThan">
      <formula>0</formula>
    </cfRule>
    <cfRule type="cellIs" dxfId="10236" priority="10234" stopIfTrue="1" operator="lessThan">
      <formula>0</formula>
    </cfRule>
  </conditionalFormatting>
  <conditionalFormatting sqref="H102">
    <cfRule type="cellIs" dxfId="10235" priority="10231" stopIfTrue="1" operator="lessThan">
      <formula>0</formula>
    </cfRule>
    <cfRule type="cellIs" dxfId="10234" priority="10232" stopIfTrue="1" operator="lessThan">
      <formula>0</formula>
    </cfRule>
  </conditionalFormatting>
  <conditionalFormatting sqref="H102">
    <cfRule type="cellIs" dxfId="10233" priority="10229" stopIfTrue="1" operator="lessThan">
      <formula>0.05</formula>
    </cfRule>
    <cfRule type="cellIs" dxfId="10232" priority="10230" stopIfTrue="1" operator="lessThan">
      <formula>0</formula>
    </cfRule>
  </conditionalFormatting>
  <conditionalFormatting sqref="H102">
    <cfRule type="cellIs" dxfId="10231" priority="10227" stopIfTrue="1" operator="lessThan">
      <formula>0</formula>
    </cfRule>
    <cfRule type="cellIs" dxfId="10230" priority="10228" stopIfTrue="1" operator="lessThan">
      <formula>0</formula>
    </cfRule>
  </conditionalFormatting>
  <conditionalFormatting sqref="H102">
    <cfRule type="cellIs" dxfId="10229" priority="10225" stopIfTrue="1" operator="lessThan">
      <formula>0</formula>
    </cfRule>
    <cfRule type="cellIs" dxfId="10228" priority="10226" stopIfTrue="1" operator="lessThan">
      <formula>0</formula>
    </cfRule>
  </conditionalFormatting>
  <conditionalFormatting sqref="H102">
    <cfRule type="cellIs" dxfId="10227" priority="10223" stopIfTrue="1" operator="lessThan">
      <formula>0.05</formula>
    </cfRule>
    <cfRule type="cellIs" dxfId="10226" priority="10224" stopIfTrue="1" operator="lessThan">
      <formula>0</formula>
    </cfRule>
  </conditionalFormatting>
  <conditionalFormatting sqref="H102">
    <cfRule type="cellIs" dxfId="10225" priority="10221" stopIfTrue="1" operator="lessThan">
      <formula>0</formula>
    </cfRule>
    <cfRule type="cellIs" dxfId="10224" priority="10222" stopIfTrue="1" operator="lessThan">
      <formula>0</formula>
    </cfRule>
  </conditionalFormatting>
  <conditionalFormatting sqref="H102">
    <cfRule type="cellIs" dxfId="10223" priority="10219" stopIfTrue="1" operator="lessThan">
      <formula>0</formula>
    </cfRule>
    <cfRule type="cellIs" dxfId="10222" priority="10220" stopIfTrue="1" operator="lessThan">
      <formula>0</formula>
    </cfRule>
  </conditionalFormatting>
  <conditionalFormatting sqref="H102">
    <cfRule type="cellIs" dxfId="10221" priority="10217" stopIfTrue="1" operator="lessThan">
      <formula>0.05</formula>
    </cfRule>
    <cfRule type="cellIs" dxfId="10220" priority="10218" stopIfTrue="1" operator="lessThan">
      <formula>0</formula>
    </cfRule>
  </conditionalFormatting>
  <conditionalFormatting sqref="H102">
    <cfRule type="cellIs" dxfId="10219" priority="10215" stopIfTrue="1" operator="lessThan">
      <formula>0</formula>
    </cfRule>
    <cfRule type="cellIs" dxfId="10218" priority="10216" stopIfTrue="1" operator="lessThan">
      <formula>0</formula>
    </cfRule>
  </conditionalFormatting>
  <conditionalFormatting sqref="H102">
    <cfRule type="cellIs" dxfId="10217" priority="10213" stopIfTrue="1" operator="lessThan">
      <formula>0</formula>
    </cfRule>
    <cfRule type="cellIs" dxfId="10216" priority="10214" stopIfTrue="1" operator="lessThan">
      <formula>0</formula>
    </cfRule>
  </conditionalFormatting>
  <conditionalFormatting sqref="H102">
    <cfRule type="cellIs" dxfId="10215" priority="10211" stopIfTrue="1" operator="lessThan">
      <formula>0.05</formula>
    </cfRule>
    <cfRule type="cellIs" dxfId="10214" priority="10212" stopIfTrue="1" operator="lessThan">
      <formula>0</formula>
    </cfRule>
  </conditionalFormatting>
  <conditionalFormatting sqref="H102">
    <cfRule type="cellIs" dxfId="10213" priority="10209" stopIfTrue="1" operator="lessThan">
      <formula>0</formula>
    </cfRule>
    <cfRule type="cellIs" dxfId="10212" priority="10210" stopIfTrue="1" operator="lessThan">
      <formula>0</formula>
    </cfRule>
  </conditionalFormatting>
  <conditionalFormatting sqref="H102">
    <cfRule type="cellIs" dxfId="10211" priority="10207" stopIfTrue="1" operator="lessThan">
      <formula>0</formula>
    </cfRule>
    <cfRule type="cellIs" dxfId="10210" priority="10208" stopIfTrue="1" operator="lessThan">
      <formula>0</formula>
    </cfRule>
  </conditionalFormatting>
  <conditionalFormatting sqref="H102">
    <cfRule type="cellIs" dxfId="10209" priority="10205" stopIfTrue="1" operator="lessThan">
      <formula>0.05</formula>
    </cfRule>
    <cfRule type="cellIs" dxfId="10208" priority="10206" stopIfTrue="1" operator="lessThan">
      <formula>0</formula>
    </cfRule>
  </conditionalFormatting>
  <conditionalFormatting sqref="H102">
    <cfRule type="cellIs" dxfId="10207" priority="10203" stopIfTrue="1" operator="lessThan">
      <formula>0</formula>
    </cfRule>
    <cfRule type="cellIs" dxfId="10206" priority="10204" stopIfTrue="1" operator="lessThan">
      <formula>0</formula>
    </cfRule>
  </conditionalFormatting>
  <conditionalFormatting sqref="H102">
    <cfRule type="cellIs" dxfId="10205" priority="10201" stopIfTrue="1" operator="lessThan">
      <formula>0</formula>
    </cfRule>
    <cfRule type="cellIs" dxfId="10204" priority="10202" stopIfTrue="1" operator="lessThan">
      <formula>0</formula>
    </cfRule>
  </conditionalFormatting>
  <conditionalFormatting sqref="H102">
    <cfRule type="cellIs" dxfId="10203" priority="10199" stopIfTrue="1" operator="lessThan">
      <formula>0.05</formula>
    </cfRule>
    <cfRule type="cellIs" dxfId="10202" priority="10200" stopIfTrue="1" operator="lessThan">
      <formula>0</formula>
    </cfRule>
  </conditionalFormatting>
  <conditionalFormatting sqref="H102">
    <cfRule type="cellIs" dxfId="10201" priority="10197" stopIfTrue="1" operator="lessThan">
      <formula>0</formula>
    </cfRule>
    <cfRule type="cellIs" dxfId="10200" priority="10198" stopIfTrue="1" operator="lessThan">
      <formula>0</formula>
    </cfRule>
  </conditionalFormatting>
  <conditionalFormatting sqref="H102">
    <cfRule type="cellIs" dxfId="10199" priority="10195" stopIfTrue="1" operator="lessThan">
      <formula>0</formula>
    </cfRule>
    <cfRule type="cellIs" dxfId="10198" priority="10196" stopIfTrue="1" operator="lessThan">
      <formula>0</formula>
    </cfRule>
  </conditionalFormatting>
  <conditionalFormatting sqref="H102">
    <cfRule type="cellIs" dxfId="10197" priority="10193" stopIfTrue="1" operator="lessThan">
      <formula>0.05</formula>
    </cfRule>
    <cfRule type="cellIs" dxfId="10196" priority="10194" stopIfTrue="1" operator="lessThan">
      <formula>0</formula>
    </cfRule>
  </conditionalFormatting>
  <conditionalFormatting sqref="H102">
    <cfRule type="cellIs" dxfId="10195" priority="10191" stopIfTrue="1" operator="lessThan">
      <formula>0</formula>
    </cfRule>
    <cfRule type="cellIs" dxfId="10194" priority="10192" stopIfTrue="1" operator="lessThan">
      <formula>0</formula>
    </cfRule>
  </conditionalFormatting>
  <conditionalFormatting sqref="H102">
    <cfRule type="cellIs" dxfId="10193" priority="10189" stopIfTrue="1" operator="lessThan">
      <formula>0</formula>
    </cfRule>
    <cfRule type="cellIs" dxfId="10192" priority="10190" stopIfTrue="1" operator="lessThan">
      <formula>0</formula>
    </cfRule>
  </conditionalFormatting>
  <conditionalFormatting sqref="H102">
    <cfRule type="cellIs" dxfId="10191" priority="10187" stopIfTrue="1" operator="lessThan">
      <formula>0.05</formula>
    </cfRule>
    <cfRule type="cellIs" dxfId="10190" priority="10188" stopIfTrue="1" operator="lessThan">
      <formula>0</formula>
    </cfRule>
  </conditionalFormatting>
  <conditionalFormatting sqref="H102">
    <cfRule type="cellIs" dxfId="10189" priority="10185" stopIfTrue="1" operator="lessThan">
      <formula>0</formula>
    </cfRule>
    <cfRule type="cellIs" dxfId="10188" priority="10186" stopIfTrue="1" operator="lessThan">
      <formula>0</formula>
    </cfRule>
  </conditionalFormatting>
  <conditionalFormatting sqref="H102">
    <cfRule type="cellIs" dxfId="10187" priority="10183" stopIfTrue="1" operator="lessThan">
      <formula>0</formula>
    </cfRule>
    <cfRule type="cellIs" dxfId="10186" priority="10184" stopIfTrue="1" operator="lessThan">
      <formula>0</formula>
    </cfRule>
  </conditionalFormatting>
  <conditionalFormatting sqref="H102">
    <cfRule type="cellIs" dxfId="10185" priority="10181" stopIfTrue="1" operator="lessThan">
      <formula>0.05</formula>
    </cfRule>
    <cfRule type="cellIs" dxfId="10184" priority="10182" stopIfTrue="1" operator="lessThan">
      <formula>0</formula>
    </cfRule>
  </conditionalFormatting>
  <conditionalFormatting sqref="H102">
    <cfRule type="cellIs" dxfId="10183" priority="10179" stopIfTrue="1" operator="lessThan">
      <formula>0</formula>
    </cfRule>
    <cfRule type="cellIs" dxfId="10182" priority="10180" stopIfTrue="1" operator="lessThan">
      <formula>0</formula>
    </cfRule>
  </conditionalFormatting>
  <conditionalFormatting sqref="H102">
    <cfRule type="cellIs" dxfId="10181" priority="10177" stopIfTrue="1" operator="lessThan">
      <formula>0</formula>
    </cfRule>
    <cfRule type="cellIs" dxfId="10180" priority="10178" stopIfTrue="1" operator="lessThan">
      <formula>0</formula>
    </cfRule>
  </conditionalFormatting>
  <conditionalFormatting sqref="H102">
    <cfRule type="cellIs" dxfId="10179" priority="10175" stopIfTrue="1" operator="lessThan">
      <formula>0.05</formula>
    </cfRule>
    <cfRule type="cellIs" dxfId="10178" priority="10176" stopIfTrue="1" operator="lessThan">
      <formula>0</formula>
    </cfRule>
  </conditionalFormatting>
  <conditionalFormatting sqref="H102">
    <cfRule type="cellIs" dxfId="10177" priority="10173" stopIfTrue="1" operator="lessThan">
      <formula>0</formula>
    </cfRule>
    <cfRule type="cellIs" dxfId="10176" priority="10174" stopIfTrue="1" operator="lessThan">
      <formula>0</formula>
    </cfRule>
  </conditionalFormatting>
  <conditionalFormatting sqref="H102">
    <cfRule type="cellIs" dxfId="10175" priority="10171" stopIfTrue="1" operator="lessThan">
      <formula>0</formula>
    </cfRule>
    <cfRule type="cellIs" dxfId="10174" priority="10172" stopIfTrue="1" operator="lessThan">
      <formula>0</formula>
    </cfRule>
  </conditionalFormatting>
  <conditionalFormatting sqref="H102">
    <cfRule type="cellIs" dxfId="10173" priority="10169" stopIfTrue="1" operator="lessThan">
      <formula>0.05</formula>
    </cfRule>
    <cfRule type="cellIs" dxfId="10172" priority="10170" stopIfTrue="1" operator="lessThan">
      <formula>0</formula>
    </cfRule>
  </conditionalFormatting>
  <conditionalFormatting sqref="H102">
    <cfRule type="cellIs" dxfId="10171" priority="10167" stopIfTrue="1" operator="lessThan">
      <formula>0</formula>
    </cfRule>
    <cfRule type="cellIs" dxfId="10170" priority="10168" stopIfTrue="1" operator="lessThan">
      <formula>0</formula>
    </cfRule>
  </conditionalFormatting>
  <conditionalFormatting sqref="H102">
    <cfRule type="cellIs" dxfId="10169" priority="10165" stopIfTrue="1" operator="lessThan">
      <formula>0</formula>
    </cfRule>
    <cfRule type="cellIs" dxfId="10168" priority="10166" stopIfTrue="1" operator="lessThan">
      <formula>0</formula>
    </cfRule>
  </conditionalFormatting>
  <conditionalFormatting sqref="H102">
    <cfRule type="cellIs" dxfId="10167" priority="10163" stopIfTrue="1" operator="lessThan">
      <formula>0.05</formula>
    </cfRule>
    <cfRule type="cellIs" dxfId="10166" priority="10164" stopIfTrue="1" operator="lessThan">
      <formula>0</formula>
    </cfRule>
  </conditionalFormatting>
  <conditionalFormatting sqref="H102">
    <cfRule type="cellIs" dxfId="10165" priority="10161" stopIfTrue="1" operator="lessThan">
      <formula>0</formula>
    </cfRule>
    <cfRule type="cellIs" dxfId="10164" priority="10162" stopIfTrue="1" operator="lessThan">
      <formula>0</formula>
    </cfRule>
  </conditionalFormatting>
  <conditionalFormatting sqref="H102">
    <cfRule type="cellIs" dxfId="10163" priority="10159" stopIfTrue="1" operator="lessThan">
      <formula>0</formula>
    </cfRule>
    <cfRule type="cellIs" dxfId="10162" priority="10160" stopIfTrue="1" operator="lessThan">
      <formula>0</formula>
    </cfRule>
  </conditionalFormatting>
  <conditionalFormatting sqref="H102">
    <cfRule type="cellIs" dxfId="10161" priority="10157" stopIfTrue="1" operator="lessThan">
      <formula>0.05</formula>
    </cfRule>
    <cfRule type="cellIs" dxfId="10160" priority="10158" stopIfTrue="1" operator="lessThan">
      <formula>0</formula>
    </cfRule>
  </conditionalFormatting>
  <conditionalFormatting sqref="H102">
    <cfRule type="cellIs" dxfId="10159" priority="10155" stopIfTrue="1" operator="lessThan">
      <formula>0</formula>
    </cfRule>
    <cfRule type="cellIs" dxfId="10158" priority="10156" stopIfTrue="1" operator="lessThan">
      <formula>0</formula>
    </cfRule>
  </conditionalFormatting>
  <conditionalFormatting sqref="H102">
    <cfRule type="cellIs" dxfId="10157" priority="10153" stopIfTrue="1" operator="lessThan">
      <formula>0</formula>
    </cfRule>
    <cfRule type="cellIs" dxfId="10156" priority="10154" stopIfTrue="1" operator="lessThan">
      <formula>0</formula>
    </cfRule>
  </conditionalFormatting>
  <conditionalFormatting sqref="H102">
    <cfRule type="cellIs" dxfId="10155" priority="10151" stopIfTrue="1" operator="lessThan">
      <formula>0.05</formula>
    </cfRule>
    <cfRule type="cellIs" dxfId="10154" priority="10152" stopIfTrue="1" operator="lessThan">
      <formula>0</formula>
    </cfRule>
  </conditionalFormatting>
  <conditionalFormatting sqref="H102">
    <cfRule type="cellIs" dxfId="10153" priority="10149" stopIfTrue="1" operator="lessThan">
      <formula>0</formula>
    </cfRule>
    <cfRule type="cellIs" dxfId="10152" priority="10150" stopIfTrue="1" operator="lessThan">
      <formula>0</formula>
    </cfRule>
  </conditionalFormatting>
  <conditionalFormatting sqref="H102">
    <cfRule type="cellIs" dxfId="10151" priority="10147" stopIfTrue="1" operator="lessThan">
      <formula>0.05</formula>
    </cfRule>
    <cfRule type="cellIs" dxfId="10150" priority="10148" stopIfTrue="1" operator="lessThan">
      <formula>0</formula>
    </cfRule>
  </conditionalFormatting>
  <conditionalFormatting sqref="H102">
    <cfRule type="cellIs" dxfId="10149" priority="10145" stopIfTrue="1" operator="lessThan">
      <formula>0</formula>
    </cfRule>
    <cfRule type="cellIs" dxfId="10148" priority="10146" stopIfTrue="1" operator="lessThan">
      <formula>0</formula>
    </cfRule>
  </conditionalFormatting>
  <conditionalFormatting sqref="H102">
    <cfRule type="cellIs" dxfId="10147" priority="10143" stopIfTrue="1" operator="lessThan">
      <formula>0.05</formula>
    </cfRule>
    <cfRule type="cellIs" dxfId="10146" priority="10144" stopIfTrue="1" operator="lessThan">
      <formula>0</formula>
    </cfRule>
  </conditionalFormatting>
  <conditionalFormatting sqref="H102">
    <cfRule type="cellIs" dxfId="10145" priority="10141" stopIfTrue="1" operator="lessThan">
      <formula>0</formula>
    </cfRule>
    <cfRule type="cellIs" dxfId="10144" priority="10142" stopIfTrue="1" operator="lessThan">
      <formula>0</formula>
    </cfRule>
  </conditionalFormatting>
  <conditionalFormatting sqref="H102">
    <cfRule type="cellIs" dxfId="10143" priority="10139" stopIfTrue="1" operator="lessThan">
      <formula>0</formula>
    </cfRule>
    <cfRule type="cellIs" dxfId="10142" priority="10140" stopIfTrue="1" operator="lessThan">
      <formula>0</formula>
    </cfRule>
  </conditionalFormatting>
  <conditionalFormatting sqref="H102">
    <cfRule type="cellIs" dxfId="10141" priority="10137" stopIfTrue="1" operator="lessThan">
      <formula>0</formula>
    </cfRule>
    <cfRule type="cellIs" dxfId="10140" priority="10138" stopIfTrue="1" operator="lessThan">
      <formula>0</formula>
    </cfRule>
  </conditionalFormatting>
  <conditionalFormatting sqref="H102">
    <cfRule type="cellIs" dxfId="10139" priority="10135" stopIfTrue="1" operator="lessThan">
      <formula>0.05</formula>
    </cfRule>
    <cfRule type="cellIs" dxfId="10138" priority="10136" stopIfTrue="1" operator="lessThan">
      <formula>0</formula>
    </cfRule>
  </conditionalFormatting>
  <conditionalFormatting sqref="H102">
    <cfRule type="cellIs" dxfId="10137" priority="10133" stopIfTrue="1" operator="lessThan">
      <formula>0</formula>
    </cfRule>
    <cfRule type="cellIs" dxfId="10136" priority="10134" stopIfTrue="1" operator="lessThan">
      <formula>0</formula>
    </cfRule>
  </conditionalFormatting>
  <conditionalFormatting sqref="H102">
    <cfRule type="cellIs" dxfId="10135" priority="10131" stopIfTrue="1" operator="lessThan">
      <formula>0.05</formula>
    </cfRule>
    <cfRule type="cellIs" dxfId="10134" priority="10132" stopIfTrue="1" operator="lessThan">
      <formula>0</formula>
    </cfRule>
  </conditionalFormatting>
  <conditionalFormatting sqref="H102">
    <cfRule type="cellIs" dxfId="10133" priority="10129" stopIfTrue="1" operator="lessThan">
      <formula>0</formula>
    </cfRule>
    <cfRule type="cellIs" dxfId="10132" priority="10130" stopIfTrue="1" operator="lessThan">
      <formula>0</formula>
    </cfRule>
  </conditionalFormatting>
  <conditionalFormatting sqref="H102">
    <cfRule type="cellIs" dxfId="10131" priority="10127" stopIfTrue="1" operator="lessThan">
      <formula>0.05</formula>
    </cfRule>
    <cfRule type="cellIs" dxfId="10130" priority="10128" stopIfTrue="1" operator="lessThan">
      <formula>0</formula>
    </cfRule>
  </conditionalFormatting>
  <conditionalFormatting sqref="H102">
    <cfRule type="cellIs" dxfId="10129" priority="10125" stopIfTrue="1" operator="lessThan">
      <formula>0</formula>
    </cfRule>
    <cfRule type="cellIs" dxfId="10128" priority="10126" stopIfTrue="1" operator="lessThan">
      <formula>0</formula>
    </cfRule>
  </conditionalFormatting>
  <conditionalFormatting sqref="H102">
    <cfRule type="cellIs" dxfId="10127" priority="10124" stopIfTrue="1" operator="lessThan">
      <formula>0.05</formula>
    </cfRule>
  </conditionalFormatting>
  <conditionalFormatting sqref="H105:H166">
    <cfRule type="cellIs" dxfId="10126" priority="10122" stopIfTrue="1" operator="lessThan">
      <formula>0</formula>
    </cfRule>
    <cfRule type="cellIs" dxfId="10125" priority="10123" stopIfTrue="1" operator="lessThan">
      <formula>0</formula>
    </cfRule>
  </conditionalFormatting>
  <conditionalFormatting sqref="H105:H166">
    <cfRule type="cellIs" dxfId="10124" priority="10120" stopIfTrue="1" operator="lessThan">
      <formula>0</formula>
    </cfRule>
    <cfRule type="cellIs" dxfId="10123" priority="10121" stopIfTrue="1" operator="lessThan">
      <formula>0</formula>
    </cfRule>
  </conditionalFormatting>
  <conditionalFormatting sqref="H105:H166">
    <cfRule type="cellIs" dxfId="10122" priority="10118" stopIfTrue="1" operator="lessThan">
      <formula>0.05</formula>
    </cfRule>
    <cfRule type="cellIs" dxfId="10121" priority="10119" stopIfTrue="1" operator="lessThan">
      <formula>0</formula>
    </cfRule>
  </conditionalFormatting>
  <conditionalFormatting sqref="H105:H166">
    <cfRule type="cellIs" dxfId="10120" priority="10116" stopIfTrue="1" operator="lessThan">
      <formula>0</formula>
    </cfRule>
    <cfRule type="cellIs" dxfId="10119" priority="10117" stopIfTrue="1" operator="lessThan">
      <formula>0</formula>
    </cfRule>
  </conditionalFormatting>
  <conditionalFormatting sqref="H105:H166">
    <cfRule type="cellIs" dxfId="10118" priority="10114" stopIfTrue="1" operator="lessThan">
      <formula>0.05</formula>
    </cfRule>
    <cfRule type="cellIs" dxfId="10117" priority="10115" stopIfTrue="1" operator="lessThan">
      <formula>0</formula>
    </cfRule>
  </conditionalFormatting>
  <conditionalFormatting sqref="H105:H166">
    <cfRule type="cellIs" dxfId="10116" priority="10112" stopIfTrue="1" operator="lessThan">
      <formula>0</formula>
    </cfRule>
    <cfRule type="cellIs" dxfId="10115" priority="10113" stopIfTrue="1" operator="lessThan">
      <formula>0</formula>
    </cfRule>
  </conditionalFormatting>
  <conditionalFormatting sqref="H105:H166">
    <cfRule type="cellIs" dxfId="10114" priority="10110" stopIfTrue="1" operator="lessThan">
      <formula>0.05</formula>
    </cfRule>
    <cfRule type="cellIs" dxfId="10113" priority="10111" stopIfTrue="1" operator="lessThan">
      <formula>0</formula>
    </cfRule>
  </conditionalFormatting>
  <conditionalFormatting sqref="H105:H166">
    <cfRule type="cellIs" dxfId="10112" priority="10108" stopIfTrue="1" operator="lessThan">
      <formula>0</formula>
    </cfRule>
    <cfRule type="cellIs" dxfId="10111" priority="10109" stopIfTrue="1" operator="lessThan">
      <formula>0</formula>
    </cfRule>
  </conditionalFormatting>
  <conditionalFormatting sqref="H105:H166">
    <cfRule type="cellIs" dxfId="10110" priority="10106" stopIfTrue="1" operator="lessThan">
      <formula>0</formula>
    </cfRule>
    <cfRule type="cellIs" dxfId="10109" priority="10107" stopIfTrue="1" operator="lessThan">
      <formula>0</formula>
    </cfRule>
  </conditionalFormatting>
  <conditionalFormatting sqref="H105:H166">
    <cfRule type="cellIs" dxfId="10108" priority="10104" stopIfTrue="1" operator="lessThan">
      <formula>0</formula>
    </cfRule>
    <cfRule type="cellIs" dxfId="10107" priority="10105" stopIfTrue="1" operator="lessThan">
      <formula>0</formula>
    </cfRule>
  </conditionalFormatting>
  <conditionalFormatting sqref="H105:H166">
    <cfRule type="cellIs" dxfId="10106" priority="10102" stopIfTrue="1" operator="lessThan">
      <formula>0.05</formula>
    </cfRule>
    <cfRule type="cellIs" dxfId="10105" priority="10103" stopIfTrue="1" operator="lessThan">
      <formula>0</formula>
    </cfRule>
  </conditionalFormatting>
  <conditionalFormatting sqref="H105:H166">
    <cfRule type="cellIs" dxfId="10104" priority="10100" stopIfTrue="1" operator="lessThan">
      <formula>0</formula>
    </cfRule>
    <cfRule type="cellIs" dxfId="10103" priority="10101" stopIfTrue="1" operator="lessThan">
      <formula>0</formula>
    </cfRule>
  </conditionalFormatting>
  <conditionalFormatting sqref="H105:H166">
    <cfRule type="cellIs" dxfId="10102" priority="10098" stopIfTrue="1" operator="lessThan">
      <formula>0.05</formula>
    </cfRule>
    <cfRule type="cellIs" dxfId="10101" priority="10099" stopIfTrue="1" operator="lessThan">
      <formula>0</formula>
    </cfRule>
  </conditionalFormatting>
  <conditionalFormatting sqref="H105:H166">
    <cfRule type="cellIs" dxfId="10100" priority="10096" stopIfTrue="1" operator="lessThan">
      <formula>0</formula>
    </cfRule>
    <cfRule type="cellIs" dxfId="10099" priority="10097" stopIfTrue="1" operator="lessThan">
      <formula>0</formula>
    </cfRule>
  </conditionalFormatting>
  <conditionalFormatting sqref="H105:H166">
    <cfRule type="cellIs" dxfId="10098" priority="10094" stopIfTrue="1" operator="lessThan">
      <formula>0.05</formula>
    </cfRule>
    <cfRule type="cellIs" dxfId="10097" priority="10095" stopIfTrue="1" operator="lessThan">
      <formula>0</formula>
    </cfRule>
  </conditionalFormatting>
  <conditionalFormatting sqref="H105:H166">
    <cfRule type="cellIs" dxfId="10096" priority="10092" stopIfTrue="1" operator="lessThan">
      <formula>0</formula>
    </cfRule>
    <cfRule type="cellIs" dxfId="10095" priority="10093" stopIfTrue="1" operator="lessThan">
      <formula>0</formula>
    </cfRule>
  </conditionalFormatting>
  <conditionalFormatting sqref="H105:H166">
    <cfRule type="cellIs" dxfId="10094" priority="10090" stopIfTrue="1" operator="lessThan">
      <formula>0</formula>
    </cfRule>
    <cfRule type="cellIs" dxfId="10093" priority="10091" stopIfTrue="1" operator="lessThan">
      <formula>0</formula>
    </cfRule>
  </conditionalFormatting>
  <conditionalFormatting sqref="H105:H166">
    <cfRule type="cellIs" dxfId="10092" priority="10088" stopIfTrue="1" operator="lessThan">
      <formula>0.05</formula>
    </cfRule>
    <cfRule type="cellIs" dxfId="10091" priority="10089" stopIfTrue="1" operator="lessThan">
      <formula>0</formula>
    </cfRule>
  </conditionalFormatting>
  <conditionalFormatting sqref="H105:H166">
    <cfRule type="cellIs" dxfId="10090" priority="10086" stopIfTrue="1" operator="lessThan">
      <formula>0</formula>
    </cfRule>
    <cfRule type="cellIs" dxfId="10089" priority="10087" stopIfTrue="1" operator="lessThan">
      <formula>0</formula>
    </cfRule>
  </conditionalFormatting>
  <conditionalFormatting sqref="H105:H166">
    <cfRule type="cellIs" dxfId="10088" priority="10084" stopIfTrue="1" operator="lessThan">
      <formula>0</formula>
    </cfRule>
    <cfRule type="cellIs" dxfId="10087" priority="10085" stopIfTrue="1" operator="lessThan">
      <formula>0</formula>
    </cfRule>
  </conditionalFormatting>
  <conditionalFormatting sqref="H105:H166">
    <cfRule type="cellIs" dxfId="10086" priority="10082" stopIfTrue="1" operator="lessThan">
      <formula>0.05</formula>
    </cfRule>
    <cfRule type="cellIs" dxfId="10085" priority="10083" stopIfTrue="1" operator="lessThan">
      <formula>0</formula>
    </cfRule>
  </conditionalFormatting>
  <conditionalFormatting sqref="H105:H166">
    <cfRule type="cellIs" dxfId="10084" priority="10080" stopIfTrue="1" operator="lessThan">
      <formula>0</formula>
    </cfRule>
    <cfRule type="cellIs" dxfId="10083" priority="10081" stopIfTrue="1" operator="lessThan">
      <formula>0</formula>
    </cfRule>
  </conditionalFormatting>
  <conditionalFormatting sqref="H105:H166">
    <cfRule type="cellIs" dxfId="10082" priority="10078" stopIfTrue="1" operator="lessThan">
      <formula>0</formula>
    </cfRule>
    <cfRule type="cellIs" dxfId="10081" priority="10079" stopIfTrue="1" operator="lessThan">
      <formula>0</formula>
    </cfRule>
  </conditionalFormatting>
  <conditionalFormatting sqref="H105:H166">
    <cfRule type="cellIs" dxfId="10080" priority="10076" stopIfTrue="1" operator="lessThan">
      <formula>0.05</formula>
    </cfRule>
    <cfRule type="cellIs" dxfId="10079" priority="10077" stopIfTrue="1" operator="lessThan">
      <formula>0</formula>
    </cfRule>
  </conditionalFormatting>
  <conditionalFormatting sqref="H105:H166">
    <cfRule type="cellIs" dxfId="10078" priority="10074" stopIfTrue="1" operator="lessThan">
      <formula>0</formula>
    </cfRule>
    <cfRule type="cellIs" dxfId="10077" priority="10075" stopIfTrue="1" operator="lessThan">
      <formula>0</formula>
    </cfRule>
  </conditionalFormatting>
  <conditionalFormatting sqref="H105:H166">
    <cfRule type="cellIs" dxfId="10076" priority="10072" stopIfTrue="1" operator="lessThan">
      <formula>0</formula>
    </cfRule>
    <cfRule type="cellIs" dxfId="10075" priority="10073" stopIfTrue="1" operator="lessThan">
      <formula>0</formula>
    </cfRule>
  </conditionalFormatting>
  <conditionalFormatting sqref="H105:H166">
    <cfRule type="cellIs" dxfId="10074" priority="10070" stopIfTrue="1" operator="lessThan">
      <formula>0.05</formula>
    </cfRule>
    <cfRule type="cellIs" dxfId="10073" priority="10071" stopIfTrue="1" operator="lessThan">
      <formula>0</formula>
    </cfRule>
  </conditionalFormatting>
  <conditionalFormatting sqref="H105:H166">
    <cfRule type="cellIs" dxfId="10072" priority="10068" stopIfTrue="1" operator="lessThan">
      <formula>0</formula>
    </cfRule>
    <cfRule type="cellIs" dxfId="10071" priority="10069" stopIfTrue="1" operator="lessThan">
      <formula>0</formula>
    </cfRule>
  </conditionalFormatting>
  <conditionalFormatting sqref="H105:H166">
    <cfRule type="cellIs" dxfId="10070" priority="10066" stopIfTrue="1" operator="lessThan">
      <formula>0</formula>
    </cfRule>
    <cfRule type="cellIs" dxfId="10069" priority="10067" stopIfTrue="1" operator="lessThan">
      <formula>0</formula>
    </cfRule>
  </conditionalFormatting>
  <conditionalFormatting sqref="H105:H166">
    <cfRule type="cellIs" dxfId="10068" priority="10064" stopIfTrue="1" operator="lessThan">
      <formula>0.05</formula>
    </cfRule>
    <cfRule type="cellIs" dxfId="10067" priority="10065" stopIfTrue="1" operator="lessThan">
      <formula>0</formula>
    </cfRule>
  </conditionalFormatting>
  <conditionalFormatting sqref="H105:H166">
    <cfRule type="cellIs" dxfId="10066" priority="10062" stopIfTrue="1" operator="lessThan">
      <formula>0</formula>
    </cfRule>
    <cfRule type="cellIs" dxfId="10065" priority="10063" stopIfTrue="1" operator="lessThan">
      <formula>0</formula>
    </cfRule>
  </conditionalFormatting>
  <conditionalFormatting sqref="H105:H166">
    <cfRule type="cellIs" dxfId="10064" priority="10060" stopIfTrue="1" operator="lessThan">
      <formula>0</formula>
    </cfRule>
    <cfRule type="cellIs" dxfId="10063" priority="10061" stopIfTrue="1" operator="lessThan">
      <formula>0</formula>
    </cfRule>
  </conditionalFormatting>
  <conditionalFormatting sqref="H105:H166">
    <cfRule type="cellIs" dxfId="10062" priority="10058" stopIfTrue="1" operator="lessThan">
      <formula>0.05</formula>
    </cfRule>
    <cfRule type="cellIs" dxfId="10061" priority="10059" stopIfTrue="1" operator="lessThan">
      <formula>0</formula>
    </cfRule>
  </conditionalFormatting>
  <conditionalFormatting sqref="H105:H166">
    <cfRule type="cellIs" dxfId="10060" priority="10056" stopIfTrue="1" operator="lessThan">
      <formula>0</formula>
    </cfRule>
    <cfRule type="cellIs" dxfId="10059" priority="10057" stopIfTrue="1" operator="lessThan">
      <formula>0</formula>
    </cfRule>
  </conditionalFormatting>
  <conditionalFormatting sqref="H105:H166">
    <cfRule type="cellIs" dxfId="10058" priority="10054" stopIfTrue="1" operator="lessThan">
      <formula>0</formula>
    </cfRule>
    <cfRule type="cellIs" dxfId="10057" priority="10055" stopIfTrue="1" operator="lessThan">
      <formula>0</formula>
    </cfRule>
  </conditionalFormatting>
  <conditionalFormatting sqref="H105:H166">
    <cfRule type="cellIs" dxfId="10056" priority="10052" stopIfTrue="1" operator="lessThan">
      <formula>0.05</formula>
    </cfRule>
    <cfRule type="cellIs" dxfId="10055" priority="10053" stopIfTrue="1" operator="lessThan">
      <formula>0</formula>
    </cfRule>
  </conditionalFormatting>
  <conditionalFormatting sqref="H105:H166">
    <cfRule type="cellIs" dxfId="10054" priority="10050" stopIfTrue="1" operator="lessThan">
      <formula>0</formula>
    </cfRule>
    <cfRule type="cellIs" dxfId="10053" priority="10051" stopIfTrue="1" operator="lessThan">
      <formula>0</formula>
    </cfRule>
  </conditionalFormatting>
  <conditionalFormatting sqref="H105:H166">
    <cfRule type="cellIs" dxfId="10052" priority="10048" stopIfTrue="1" operator="lessThan">
      <formula>0</formula>
    </cfRule>
    <cfRule type="cellIs" dxfId="10051" priority="10049" stopIfTrue="1" operator="lessThan">
      <formula>0</formula>
    </cfRule>
  </conditionalFormatting>
  <conditionalFormatting sqref="H105:H166">
    <cfRule type="cellIs" dxfId="10050" priority="10046" stopIfTrue="1" operator="lessThan">
      <formula>0.05</formula>
    </cfRule>
    <cfRule type="cellIs" dxfId="10049" priority="10047" stopIfTrue="1" operator="lessThan">
      <formula>0</formula>
    </cfRule>
  </conditionalFormatting>
  <conditionalFormatting sqref="H105:H166">
    <cfRule type="cellIs" dxfId="10048" priority="10044" stopIfTrue="1" operator="lessThan">
      <formula>0</formula>
    </cfRule>
    <cfRule type="cellIs" dxfId="10047" priority="10045" stopIfTrue="1" operator="lessThan">
      <formula>0</formula>
    </cfRule>
  </conditionalFormatting>
  <conditionalFormatting sqref="H105:H166">
    <cfRule type="cellIs" dxfId="10046" priority="10042" stopIfTrue="1" operator="lessThan">
      <formula>0</formula>
    </cfRule>
    <cfRule type="cellIs" dxfId="10045" priority="10043" stopIfTrue="1" operator="lessThan">
      <formula>0</formula>
    </cfRule>
  </conditionalFormatting>
  <conditionalFormatting sqref="H105:H166">
    <cfRule type="cellIs" dxfId="10044" priority="10040" stopIfTrue="1" operator="lessThan">
      <formula>0.05</formula>
    </cfRule>
    <cfRule type="cellIs" dxfId="10043" priority="10041" stopIfTrue="1" operator="lessThan">
      <formula>0</formula>
    </cfRule>
  </conditionalFormatting>
  <conditionalFormatting sqref="H105:H166">
    <cfRule type="cellIs" dxfId="10042" priority="10038" stopIfTrue="1" operator="lessThan">
      <formula>0</formula>
    </cfRule>
    <cfRule type="cellIs" dxfId="10041" priority="10039" stopIfTrue="1" operator="lessThan">
      <formula>0</formula>
    </cfRule>
  </conditionalFormatting>
  <conditionalFormatting sqref="H105:H166">
    <cfRule type="cellIs" dxfId="10040" priority="10036" stopIfTrue="1" operator="lessThan">
      <formula>0</formula>
    </cfRule>
    <cfRule type="cellIs" dxfId="10039" priority="10037" stopIfTrue="1" operator="lessThan">
      <formula>0</formula>
    </cfRule>
  </conditionalFormatting>
  <conditionalFormatting sqref="H105:H166">
    <cfRule type="cellIs" dxfId="10038" priority="10034" stopIfTrue="1" operator="lessThan">
      <formula>0.05</formula>
    </cfRule>
    <cfRule type="cellIs" dxfId="10037" priority="10035" stopIfTrue="1" operator="lessThan">
      <formula>0</formula>
    </cfRule>
  </conditionalFormatting>
  <conditionalFormatting sqref="H105:H166">
    <cfRule type="cellIs" dxfId="10036" priority="10032" stopIfTrue="1" operator="lessThan">
      <formula>0</formula>
    </cfRule>
    <cfRule type="cellIs" dxfId="10035" priority="10033" stopIfTrue="1" operator="lessThan">
      <formula>0</formula>
    </cfRule>
  </conditionalFormatting>
  <conditionalFormatting sqref="H105:H166">
    <cfRule type="cellIs" dxfId="10034" priority="10030" stopIfTrue="1" operator="lessThan">
      <formula>0</formula>
    </cfRule>
    <cfRule type="cellIs" dxfId="10033" priority="10031" stopIfTrue="1" operator="lessThan">
      <formula>0</formula>
    </cfRule>
  </conditionalFormatting>
  <conditionalFormatting sqref="H105:H166">
    <cfRule type="cellIs" dxfId="10032" priority="10028" stopIfTrue="1" operator="lessThan">
      <formula>0.05</formula>
    </cfRule>
    <cfRule type="cellIs" dxfId="10031" priority="10029" stopIfTrue="1" operator="lessThan">
      <formula>0</formula>
    </cfRule>
  </conditionalFormatting>
  <conditionalFormatting sqref="H105:H166">
    <cfRule type="cellIs" dxfId="10030" priority="10026" stopIfTrue="1" operator="lessThan">
      <formula>0</formula>
    </cfRule>
    <cfRule type="cellIs" dxfId="10029" priority="10027" stopIfTrue="1" operator="lessThan">
      <formula>0</formula>
    </cfRule>
  </conditionalFormatting>
  <conditionalFormatting sqref="H105:H166">
    <cfRule type="cellIs" dxfId="10028" priority="10024" stopIfTrue="1" operator="lessThan">
      <formula>0</formula>
    </cfRule>
    <cfRule type="cellIs" dxfId="10027" priority="10025" stopIfTrue="1" operator="lessThan">
      <formula>0</formula>
    </cfRule>
  </conditionalFormatting>
  <conditionalFormatting sqref="H105:H166">
    <cfRule type="cellIs" dxfId="10026" priority="10022" stopIfTrue="1" operator="lessThan">
      <formula>0.05</formula>
    </cfRule>
    <cfRule type="cellIs" dxfId="10025" priority="10023" stopIfTrue="1" operator="lessThan">
      <formula>0</formula>
    </cfRule>
  </conditionalFormatting>
  <conditionalFormatting sqref="H105:H166">
    <cfRule type="cellIs" dxfId="10024" priority="10020" stopIfTrue="1" operator="lessThan">
      <formula>0</formula>
    </cfRule>
    <cfRule type="cellIs" dxfId="10023" priority="10021" stopIfTrue="1" operator="lessThan">
      <formula>0</formula>
    </cfRule>
  </conditionalFormatting>
  <conditionalFormatting sqref="H105:H166">
    <cfRule type="cellIs" dxfId="10022" priority="10018" stopIfTrue="1" operator="lessThan">
      <formula>0</formula>
    </cfRule>
    <cfRule type="cellIs" dxfId="10021" priority="10019" stopIfTrue="1" operator="lessThan">
      <formula>0</formula>
    </cfRule>
  </conditionalFormatting>
  <conditionalFormatting sqref="H105:H166">
    <cfRule type="cellIs" dxfId="10020" priority="10016" stopIfTrue="1" operator="lessThan">
      <formula>0.05</formula>
    </cfRule>
    <cfRule type="cellIs" dxfId="10019" priority="10017" stopIfTrue="1" operator="lessThan">
      <formula>0</formula>
    </cfRule>
  </conditionalFormatting>
  <conditionalFormatting sqref="H105:H166">
    <cfRule type="cellIs" dxfId="10018" priority="10014" stopIfTrue="1" operator="lessThan">
      <formula>0</formula>
    </cfRule>
    <cfRule type="cellIs" dxfId="10017" priority="10015" stopIfTrue="1" operator="lessThan">
      <formula>0</formula>
    </cfRule>
  </conditionalFormatting>
  <conditionalFormatting sqref="H105:H166">
    <cfRule type="cellIs" dxfId="10016" priority="10012" stopIfTrue="1" operator="lessThan">
      <formula>0</formula>
    </cfRule>
    <cfRule type="cellIs" dxfId="10015" priority="10013" stopIfTrue="1" operator="lessThan">
      <formula>0</formula>
    </cfRule>
  </conditionalFormatting>
  <conditionalFormatting sqref="H105:H166">
    <cfRule type="cellIs" dxfId="10014" priority="10010" stopIfTrue="1" operator="lessThan">
      <formula>0.05</formula>
    </cfRule>
    <cfRule type="cellIs" dxfId="10013" priority="10011" stopIfTrue="1" operator="lessThan">
      <formula>0</formula>
    </cfRule>
  </conditionalFormatting>
  <conditionalFormatting sqref="H105:H166">
    <cfRule type="cellIs" dxfId="10012" priority="10008" stopIfTrue="1" operator="lessThan">
      <formula>0</formula>
    </cfRule>
    <cfRule type="cellIs" dxfId="10011" priority="10009" stopIfTrue="1" operator="lessThan">
      <formula>0</formula>
    </cfRule>
  </conditionalFormatting>
  <conditionalFormatting sqref="H105:H166">
    <cfRule type="cellIs" dxfId="10010" priority="10006" stopIfTrue="1" operator="lessThan">
      <formula>0</formula>
    </cfRule>
    <cfRule type="cellIs" dxfId="10009" priority="10007" stopIfTrue="1" operator="lessThan">
      <formula>0</formula>
    </cfRule>
  </conditionalFormatting>
  <conditionalFormatting sqref="H105:H166">
    <cfRule type="cellIs" dxfId="10008" priority="10004" stopIfTrue="1" operator="lessThan">
      <formula>0.05</formula>
    </cfRule>
    <cfRule type="cellIs" dxfId="10007" priority="10005" stopIfTrue="1" operator="lessThan">
      <formula>0</formula>
    </cfRule>
  </conditionalFormatting>
  <conditionalFormatting sqref="H105:H166">
    <cfRule type="cellIs" dxfId="10006" priority="10002" stopIfTrue="1" operator="lessThan">
      <formula>0</formula>
    </cfRule>
    <cfRule type="cellIs" dxfId="10005" priority="10003" stopIfTrue="1" operator="lessThan">
      <formula>0</formula>
    </cfRule>
  </conditionalFormatting>
  <conditionalFormatting sqref="H105:H166">
    <cfRule type="cellIs" dxfId="10004" priority="10000" stopIfTrue="1" operator="lessThan">
      <formula>0</formula>
    </cfRule>
    <cfRule type="cellIs" dxfId="10003" priority="10001" stopIfTrue="1" operator="lessThan">
      <formula>0</formula>
    </cfRule>
  </conditionalFormatting>
  <conditionalFormatting sqref="H105:H166">
    <cfRule type="cellIs" dxfId="10002" priority="9998" stopIfTrue="1" operator="lessThan">
      <formula>0.05</formula>
    </cfRule>
    <cfRule type="cellIs" dxfId="10001" priority="9999" stopIfTrue="1" operator="lessThan">
      <formula>0</formula>
    </cfRule>
  </conditionalFormatting>
  <conditionalFormatting sqref="H105:H166">
    <cfRule type="cellIs" dxfId="10000" priority="9996" stopIfTrue="1" operator="lessThan">
      <formula>0</formula>
    </cfRule>
    <cfRule type="cellIs" dxfId="9999" priority="9997" stopIfTrue="1" operator="lessThan">
      <formula>0</formula>
    </cfRule>
  </conditionalFormatting>
  <conditionalFormatting sqref="H105:H166">
    <cfRule type="cellIs" dxfId="9998" priority="9994" stopIfTrue="1" operator="lessThan">
      <formula>0.05</formula>
    </cfRule>
    <cfRule type="cellIs" dxfId="9997" priority="9995" stopIfTrue="1" operator="lessThan">
      <formula>0</formula>
    </cfRule>
  </conditionalFormatting>
  <conditionalFormatting sqref="H105:H166">
    <cfRule type="cellIs" dxfId="9996" priority="9992" stopIfTrue="1" operator="lessThan">
      <formula>0</formula>
    </cfRule>
    <cfRule type="cellIs" dxfId="9995" priority="9993" stopIfTrue="1" operator="lessThan">
      <formula>0</formula>
    </cfRule>
  </conditionalFormatting>
  <conditionalFormatting sqref="H105:H166">
    <cfRule type="cellIs" dxfId="9994" priority="9990" stopIfTrue="1" operator="lessThan">
      <formula>0.05</formula>
    </cfRule>
    <cfRule type="cellIs" dxfId="9993" priority="9991" stopIfTrue="1" operator="lessThan">
      <formula>0</formula>
    </cfRule>
  </conditionalFormatting>
  <conditionalFormatting sqref="H105:H166">
    <cfRule type="cellIs" dxfId="9992" priority="9988" stopIfTrue="1" operator="lessThan">
      <formula>0</formula>
    </cfRule>
    <cfRule type="cellIs" dxfId="9991" priority="9989" stopIfTrue="1" operator="lessThan">
      <formula>0</formula>
    </cfRule>
  </conditionalFormatting>
  <conditionalFormatting sqref="H105:H166">
    <cfRule type="cellIs" dxfId="9990" priority="9986" stopIfTrue="1" operator="lessThan">
      <formula>0</formula>
    </cfRule>
    <cfRule type="cellIs" dxfId="9989" priority="9987" stopIfTrue="1" operator="lessThan">
      <formula>0</formula>
    </cfRule>
  </conditionalFormatting>
  <conditionalFormatting sqref="H105:H166">
    <cfRule type="cellIs" dxfId="9988" priority="9984" stopIfTrue="1" operator="lessThan">
      <formula>0</formula>
    </cfRule>
    <cfRule type="cellIs" dxfId="9987" priority="9985" stopIfTrue="1" operator="lessThan">
      <formula>0</formula>
    </cfRule>
  </conditionalFormatting>
  <conditionalFormatting sqref="H105:H166">
    <cfRule type="cellIs" dxfId="9986" priority="9982" stopIfTrue="1" operator="lessThan">
      <formula>0.05</formula>
    </cfRule>
    <cfRule type="cellIs" dxfId="9985" priority="9983" stopIfTrue="1" operator="lessThan">
      <formula>0</formula>
    </cfRule>
  </conditionalFormatting>
  <conditionalFormatting sqref="H105:H166">
    <cfRule type="cellIs" dxfId="9984" priority="9980" stopIfTrue="1" operator="lessThan">
      <formula>0</formula>
    </cfRule>
    <cfRule type="cellIs" dxfId="9983" priority="9981" stopIfTrue="1" operator="lessThan">
      <formula>0</formula>
    </cfRule>
  </conditionalFormatting>
  <conditionalFormatting sqref="H105:H166">
    <cfRule type="cellIs" dxfId="9982" priority="9978" stopIfTrue="1" operator="lessThan">
      <formula>0.05</formula>
    </cfRule>
    <cfRule type="cellIs" dxfId="9981" priority="9979" stopIfTrue="1" operator="lessThan">
      <formula>0</formula>
    </cfRule>
  </conditionalFormatting>
  <conditionalFormatting sqref="H105:H166">
    <cfRule type="cellIs" dxfId="9980" priority="9976" stopIfTrue="1" operator="lessThan">
      <formula>0</formula>
    </cfRule>
    <cfRule type="cellIs" dxfId="9979" priority="9977" stopIfTrue="1" operator="lessThan">
      <formula>0</formula>
    </cfRule>
  </conditionalFormatting>
  <conditionalFormatting sqref="H105:H166">
    <cfRule type="cellIs" dxfId="9978" priority="9974" stopIfTrue="1" operator="lessThan">
      <formula>0.05</formula>
    </cfRule>
    <cfRule type="cellIs" dxfId="9977" priority="9975" stopIfTrue="1" operator="lessThan">
      <formula>0</formula>
    </cfRule>
  </conditionalFormatting>
  <conditionalFormatting sqref="H105:H166">
    <cfRule type="cellIs" dxfId="9976" priority="9972" stopIfTrue="1" operator="lessThan">
      <formula>0</formula>
    </cfRule>
    <cfRule type="cellIs" dxfId="9975" priority="9973" stopIfTrue="1" operator="lessThan">
      <formula>0</formula>
    </cfRule>
  </conditionalFormatting>
  <conditionalFormatting sqref="H105:H166">
    <cfRule type="cellIs" dxfId="9974" priority="9970" stopIfTrue="1" operator="lessThan">
      <formula>0</formula>
    </cfRule>
    <cfRule type="cellIs" dxfId="9973" priority="9971" stopIfTrue="1" operator="lessThan">
      <formula>0</formula>
    </cfRule>
  </conditionalFormatting>
  <conditionalFormatting sqref="H105:H166">
    <cfRule type="cellIs" dxfId="9972" priority="9968" stopIfTrue="1" operator="lessThan">
      <formula>0.05</formula>
    </cfRule>
    <cfRule type="cellIs" dxfId="9971" priority="9969" stopIfTrue="1" operator="lessThan">
      <formula>0</formula>
    </cfRule>
  </conditionalFormatting>
  <conditionalFormatting sqref="H105:H166">
    <cfRule type="cellIs" dxfId="9970" priority="9966" stopIfTrue="1" operator="lessThan">
      <formula>0</formula>
    </cfRule>
    <cfRule type="cellIs" dxfId="9969" priority="9967" stopIfTrue="1" operator="lessThan">
      <formula>0</formula>
    </cfRule>
  </conditionalFormatting>
  <conditionalFormatting sqref="H105:H166">
    <cfRule type="cellIs" dxfId="9968" priority="9964" stopIfTrue="1" operator="lessThan">
      <formula>0</formula>
    </cfRule>
    <cfRule type="cellIs" dxfId="9967" priority="9965" stopIfTrue="1" operator="lessThan">
      <formula>0</formula>
    </cfRule>
  </conditionalFormatting>
  <conditionalFormatting sqref="H105:H166">
    <cfRule type="cellIs" dxfId="9966" priority="9962" stopIfTrue="1" operator="lessThan">
      <formula>0.05</formula>
    </cfRule>
    <cfRule type="cellIs" dxfId="9965" priority="9963" stopIfTrue="1" operator="lessThan">
      <formula>0</formula>
    </cfRule>
  </conditionalFormatting>
  <conditionalFormatting sqref="H105:H166">
    <cfRule type="cellIs" dxfId="9964" priority="9960" stopIfTrue="1" operator="lessThan">
      <formula>0</formula>
    </cfRule>
    <cfRule type="cellIs" dxfId="9963" priority="9961" stopIfTrue="1" operator="lessThan">
      <formula>0</formula>
    </cfRule>
  </conditionalFormatting>
  <conditionalFormatting sqref="H105:H166">
    <cfRule type="cellIs" dxfId="9962" priority="9958" stopIfTrue="1" operator="lessThan">
      <formula>0</formula>
    </cfRule>
    <cfRule type="cellIs" dxfId="9961" priority="9959" stopIfTrue="1" operator="lessThan">
      <formula>0</formula>
    </cfRule>
  </conditionalFormatting>
  <conditionalFormatting sqref="H105:H166">
    <cfRule type="cellIs" dxfId="9960" priority="9956" stopIfTrue="1" operator="lessThan">
      <formula>0.05</formula>
    </cfRule>
    <cfRule type="cellIs" dxfId="9959" priority="9957" stopIfTrue="1" operator="lessThan">
      <formula>0</formula>
    </cfRule>
  </conditionalFormatting>
  <conditionalFormatting sqref="H105:H166">
    <cfRule type="cellIs" dxfId="9958" priority="9954" stopIfTrue="1" operator="lessThan">
      <formula>0</formula>
    </cfRule>
    <cfRule type="cellIs" dxfId="9957" priority="9955" stopIfTrue="1" operator="lessThan">
      <formula>0</formula>
    </cfRule>
  </conditionalFormatting>
  <conditionalFormatting sqref="H105:H166">
    <cfRule type="cellIs" dxfId="9956" priority="9952" stopIfTrue="1" operator="lessThan">
      <formula>0</formula>
    </cfRule>
    <cfRule type="cellIs" dxfId="9955" priority="9953" stopIfTrue="1" operator="lessThan">
      <formula>0</formula>
    </cfRule>
  </conditionalFormatting>
  <conditionalFormatting sqref="H105:H166">
    <cfRule type="cellIs" dxfId="9954" priority="9950" stopIfTrue="1" operator="lessThan">
      <formula>0.05</formula>
    </cfRule>
    <cfRule type="cellIs" dxfId="9953" priority="9951" stopIfTrue="1" operator="lessThan">
      <formula>0</formula>
    </cfRule>
  </conditionalFormatting>
  <conditionalFormatting sqref="H105:H166">
    <cfRule type="cellIs" dxfId="9952" priority="9948" stopIfTrue="1" operator="lessThan">
      <formula>0</formula>
    </cfRule>
    <cfRule type="cellIs" dxfId="9951" priority="9949" stopIfTrue="1" operator="lessThan">
      <formula>0</formula>
    </cfRule>
  </conditionalFormatting>
  <conditionalFormatting sqref="H105:H166">
    <cfRule type="cellIs" dxfId="9950" priority="9946" stopIfTrue="1" operator="lessThan">
      <formula>0</formula>
    </cfRule>
    <cfRule type="cellIs" dxfId="9949" priority="9947" stopIfTrue="1" operator="lessThan">
      <formula>0</formula>
    </cfRule>
  </conditionalFormatting>
  <conditionalFormatting sqref="H105:H166">
    <cfRule type="cellIs" dxfId="9948" priority="9944" stopIfTrue="1" operator="lessThan">
      <formula>0.05</formula>
    </cfRule>
    <cfRule type="cellIs" dxfId="9947" priority="9945" stopIfTrue="1" operator="lessThan">
      <formula>0</formula>
    </cfRule>
  </conditionalFormatting>
  <conditionalFormatting sqref="H105:H166">
    <cfRule type="cellIs" dxfId="9946" priority="9942" stopIfTrue="1" operator="lessThan">
      <formula>0</formula>
    </cfRule>
    <cfRule type="cellIs" dxfId="9945" priority="9943" stopIfTrue="1" operator="lessThan">
      <formula>0</formula>
    </cfRule>
  </conditionalFormatting>
  <conditionalFormatting sqref="H105:H166">
    <cfRule type="cellIs" dxfId="9944" priority="9940" stopIfTrue="1" operator="lessThan">
      <formula>0</formula>
    </cfRule>
    <cfRule type="cellIs" dxfId="9943" priority="9941" stopIfTrue="1" operator="lessThan">
      <formula>0</formula>
    </cfRule>
  </conditionalFormatting>
  <conditionalFormatting sqref="H105:H166">
    <cfRule type="cellIs" dxfId="9942" priority="9938" stopIfTrue="1" operator="lessThan">
      <formula>0.05</formula>
    </cfRule>
    <cfRule type="cellIs" dxfId="9941" priority="9939" stopIfTrue="1" operator="lessThan">
      <formula>0</formula>
    </cfRule>
  </conditionalFormatting>
  <conditionalFormatting sqref="H105:H166">
    <cfRule type="cellIs" dxfId="9940" priority="9936" stopIfTrue="1" operator="lessThan">
      <formula>0</formula>
    </cfRule>
    <cfRule type="cellIs" dxfId="9939" priority="9937" stopIfTrue="1" operator="lessThan">
      <formula>0</formula>
    </cfRule>
  </conditionalFormatting>
  <conditionalFormatting sqref="H105:H166">
    <cfRule type="cellIs" dxfId="9938" priority="9934" stopIfTrue="1" operator="lessThan">
      <formula>0</formula>
    </cfRule>
    <cfRule type="cellIs" dxfId="9937" priority="9935" stopIfTrue="1" operator="lessThan">
      <formula>0</formula>
    </cfRule>
  </conditionalFormatting>
  <conditionalFormatting sqref="H105:H166">
    <cfRule type="cellIs" dxfId="9936" priority="9932" stopIfTrue="1" operator="lessThan">
      <formula>0.05</formula>
    </cfRule>
    <cfRule type="cellIs" dxfId="9935" priority="9933" stopIfTrue="1" operator="lessThan">
      <formula>0</formula>
    </cfRule>
  </conditionalFormatting>
  <conditionalFormatting sqref="H105:H166">
    <cfRule type="cellIs" dxfId="9934" priority="9930" stopIfTrue="1" operator="lessThan">
      <formula>0</formula>
    </cfRule>
    <cfRule type="cellIs" dxfId="9933" priority="9931" stopIfTrue="1" operator="lessThan">
      <formula>0</formula>
    </cfRule>
  </conditionalFormatting>
  <conditionalFormatting sqref="H105:H166">
    <cfRule type="cellIs" dxfId="9932" priority="9928" stopIfTrue="1" operator="lessThan">
      <formula>0</formula>
    </cfRule>
    <cfRule type="cellIs" dxfId="9931" priority="9929" stopIfTrue="1" operator="lessThan">
      <formula>0</formula>
    </cfRule>
  </conditionalFormatting>
  <conditionalFormatting sqref="H105:H166">
    <cfRule type="cellIs" dxfId="9930" priority="9926" stopIfTrue="1" operator="lessThan">
      <formula>0.05</formula>
    </cfRule>
    <cfRule type="cellIs" dxfId="9929" priority="9927" stopIfTrue="1" operator="lessThan">
      <formula>0</formula>
    </cfRule>
  </conditionalFormatting>
  <conditionalFormatting sqref="H105:H166">
    <cfRule type="cellIs" dxfId="9928" priority="9924" stopIfTrue="1" operator="lessThan">
      <formula>0</formula>
    </cfRule>
    <cfRule type="cellIs" dxfId="9927" priority="9925" stopIfTrue="1" operator="lessThan">
      <formula>0</formula>
    </cfRule>
  </conditionalFormatting>
  <conditionalFormatting sqref="H105:H166">
    <cfRule type="cellIs" dxfId="9926" priority="9922" stopIfTrue="1" operator="lessThan">
      <formula>0</formula>
    </cfRule>
    <cfRule type="cellIs" dxfId="9925" priority="9923" stopIfTrue="1" operator="lessThan">
      <formula>0</formula>
    </cfRule>
  </conditionalFormatting>
  <conditionalFormatting sqref="H105:H166">
    <cfRule type="cellIs" dxfId="9924" priority="9920" stopIfTrue="1" operator="lessThan">
      <formula>0.05</formula>
    </cfRule>
    <cfRule type="cellIs" dxfId="9923" priority="9921" stopIfTrue="1" operator="lessThan">
      <formula>0</formula>
    </cfRule>
  </conditionalFormatting>
  <conditionalFormatting sqref="H105:H166">
    <cfRule type="cellIs" dxfId="9922" priority="9918" stopIfTrue="1" operator="lessThan">
      <formula>0</formula>
    </cfRule>
    <cfRule type="cellIs" dxfId="9921" priority="9919" stopIfTrue="1" operator="lessThan">
      <formula>0</formula>
    </cfRule>
  </conditionalFormatting>
  <conditionalFormatting sqref="H105:H166">
    <cfRule type="cellIs" dxfId="9920" priority="9916" stopIfTrue="1" operator="lessThan">
      <formula>0</formula>
    </cfRule>
    <cfRule type="cellIs" dxfId="9919" priority="9917" stopIfTrue="1" operator="lessThan">
      <formula>0</formula>
    </cfRule>
  </conditionalFormatting>
  <conditionalFormatting sqref="H105:H166">
    <cfRule type="cellIs" dxfId="9918" priority="9914" stopIfTrue="1" operator="lessThan">
      <formula>0.05</formula>
    </cfRule>
    <cfRule type="cellIs" dxfId="9917" priority="9915" stopIfTrue="1" operator="lessThan">
      <formula>0</formula>
    </cfRule>
  </conditionalFormatting>
  <conditionalFormatting sqref="H105:H166">
    <cfRule type="cellIs" dxfId="9916" priority="9912" stopIfTrue="1" operator="lessThan">
      <formula>0</formula>
    </cfRule>
    <cfRule type="cellIs" dxfId="9915" priority="9913" stopIfTrue="1" operator="lessThan">
      <formula>0</formula>
    </cfRule>
  </conditionalFormatting>
  <conditionalFormatting sqref="H105:H166">
    <cfRule type="cellIs" dxfId="9914" priority="9910" stopIfTrue="1" operator="lessThan">
      <formula>0</formula>
    </cfRule>
    <cfRule type="cellIs" dxfId="9913" priority="9911" stopIfTrue="1" operator="lessThan">
      <formula>0</formula>
    </cfRule>
  </conditionalFormatting>
  <conditionalFormatting sqref="H105:H166">
    <cfRule type="cellIs" dxfId="9912" priority="9908" stopIfTrue="1" operator="lessThan">
      <formula>0.05</formula>
    </cfRule>
    <cfRule type="cellIs" dxfId="9911" priority="9909" stopIfTrue="1" operator="lessThan">
      <formula>0</formula>
    </cfRule>
  </conditionalFormatting>
  <conditionalFormatting sqref="H105:H166">
    <cfRule type="cellIs" dxfId="9910" priority="9906" stopIfTrue="1" operator="lessThan">
      <formula>0</formula>
    </cfRule>
    <cfRule type="cellIs" dxfId="9909" priority="9907" stopIfTrue="1" operator="lessThan">
      <formula>0</formula>
    </cfRule>
  </conditionalFormatting>
  <conditionalFormatting sqref="H105:H166">
    <cfRule type="cellIs" dxfId="9908" priority="9904" stopIfTrue="1" operator="lessThan">
      <formula>0</formula>
    </cfRule>
    <cfRule type="cellIs" dxfId="9907" priority="9905" stopIfTrue="1" operator="lessThan">
      <formula>0</formula>
    </cfRule>
  </conditionalFormatting>
  <conditionalFormatting sqref="H105:H166">
    <cfRule type="cellIs" dxfId="9906" priority="9902" stopIfTrue="1" operator="lessThan">
      <formula>0.05</formula>
    </cfRule>
    <cfRule type="cellIs" dxfId="9905" priority="9903" stopIfTrue="1" operator="lessThan">
      <formula>0</formula>
    </cfRule>
  </conditionalFormatting>
  <conditionalFormatting sqref="H105:H166">
    <cfRule type="cellIs" dxfId="9904" priority="9900" stopIfTrue="1" operator="lessThan">
      <formula>0</formula>
    </cfRule>
    <cfRule type="cellIs" dxfId="9903" priority="9901" stopIfTrue="1" operator="lessThan">
      <formula>0</formula>
    </cfRule>
  </conditionalFormatting>
  <conditionalFormatting sqref="H105:H166">
    <cfRule type="cellIs" dxfId="9902" priority="9898" stopIfTrue="1" operator="lessThan">
      <formula>0.05</formula>
    </cfRule>
    <cfRule type="cellIs" dxfId="9901" priority="9899" stopIfTrue="1" operator="lessThan">
      <formula>0</formula>
    </cfRule>
  </conditionalFormatting>
  <conditionalFormatting sqref="H105:H166">
    <cfRule type="cellIs" dxfId="9900" priority="9896" stopIfTrue="1" operator="lessThan">
      <formula>0</formula>
    </cfRule>
    <cfRule type="cellIs" dxfId="9899" priority="9897" stopIfTrue="1" operator="lessThan">
      <formula>0</formula>
    </cfRule>
  </conditionalFormatting>
  <conditionalFormatting sqref="H105:H166">
    <cfRule type="cellIs" dxfId="9898" priority="9894" stopIfTrue="1" operator="lessThan">
      <formula>0.05</formula>
    </cfRule>
    <cfRule type="cellIs" dxfId="9897" priority="9895" stopIfTrue="1" operator="lessThan">
      <formula>0</formula>
    </cfRule>
  </conditionalFormatting>
  <conditionalFormatting sqref="H105:H166">
    <cfRule type="cellIs" dxfId="9896" priority="9892" stopIfTrue="1" operator="lessThan">
      <formula>0</formula>
    </cfRule>
    <cfRule type="cellIs" dxfId="9895" priority="9893" stopIfTrue="1" operator="lessThan">
      <formula>0</formula>
    </cfRule>
  </conditionalFormatting>
  <conditionalFormatting sqref="H105:H166">
    <cfRule type="cellIs" dxfId="9894" priority="9890" stopIfTrue="1" operator="lessThan">
      <formula>0</formula>
    </cfRule>
    <cfRule type="cellIs" dxfId="9893" priority="9891" stopIfTrue="1" operator="lessThan">
      <formula>0</formula>
    </cfRule>
  </conditionalFormatting>
  <conditionalFormatting sqref="H105:H166">
    <cfRule type="cellIs" dxfId="9892" priority="9888" stopIfTrue="1" operator="lessThan">
      <formula>0</formula>
    </cfRule>
    <cfRule type="cellIs" dxfId="9891" priority="9889" stopIfTrue="1" operator="lessThan">
      <formula>0</formula>
    </cfRule>
  </conditionalFormatting>
  <conditionalFormatting sqref="H105:H166">
    <cfRule type="cellIs" dxfId="9890" priority="9886" stopIfTrue="1" operator="lessThan">
      <formula>0.05</formula>
    </cfRule>
    <cfRule type="cellIs" dxfId="9889" priority="9887" stopIfTrue="1" operator="lessThan">
      <formula>0</formula>
    </cfRule>
  </conditionalFormatting>
  <conditionalFormatting sqref="H105:H166">
    <cfRule type="cellIs" dxfId="9888" priority="9884" stopIfTrue="1" operator="lessThan">
      <formula>0</formula>
    </cfRule>
    <cfRule type="cellIs" dxfId="9887" priority="9885" stopIfTrue="1" operator="lessThan">
      <formula>0</formula>
    </cfRule>
  </conditionalFormatting>
  <conditionalFormatting sqref="H105:H166">
    <cfRule type="cellIs" dxfId="9886" priority="9882" stopIfTrue="1" operator="lessThan">
      <formula>0.05</formula>
    </cfRule>
    <cfRule type="cellIs" dxfId="9885" priority="9883" stopIfTrue="1" operator="lessThan">
      <formula>0</formula>
    </cfRule>
  </conditionalFormatting>
  <conditionalFormatting sqref="H105:H166">
    <cfRule type="cellIs" dxfId="9884" priority="9880" stopIfTrue="1" operator="lessThan">
      <formula>0</formula>
    </cfRule>
    <cfRule type="cellIs" dxfId="9883" priority="9881" stopIfTrue="1" operator="lessThan">
      <formula>0</formula>
    </cfRule>
  </conditionalFormatting>
  <conditionalFormatting sqref="H105:H166">
    <cfRule type="cellIs" dxfId="9882" priority="9878" stopIfTrue="1" operator="lessThan">
      <formula>0.05</formula>
    </cfRule>
    <cfRule type="cellIs" dxfId="9881" priority="9879" stopIfTrue="1" operator="lessThan">
      <formula>0</formula>
    </cfRule>
  </conditionalFormatting>
  <conditionalFormatting sqref="H105:H166">
    <cfRule type="cellIs" dxfId="9880" priority="9876" stopIfTrue="1" operator="lessThan">
      <formula>0</formula>
    </cfRule>
    <cfRule type="cellIs" dxfId="9879" priority="9877" stopIfTrue="1" operator="lessThan">
      <formula>0</formula>
    </cfRule>
  </conditionalFormatting>
  <conditionalFormatting sqref="H105:H166">
    <cfRule type="cellIs" dxfId="9878" priority="9874" stopIfTrue="1" operator="lessThan">
      <formula>0</formula>
    </cfRule>
    <cfRule type="cellIs" dxfId="9877" priority="9875" stopIfTrue="1" operator="lessThan">
      <formula>0</formula>
    </cfRule>
  </conditionalFormatting>
  <conditionalFormatting sqref="H105:H166">
    <cfRule type="cellIs" dxfId="9876" priority="9872" stopIfTrue="1" operator="lessThan">
      <formula>0.05</formula>
    </cfRule>
    <cfRule type="cellIs" dxfId="9875" priority="9873" stopIfTrue="1" operator="lessThan">
      <formula>0</formula>
    </cfRule>
  </conditionalFormatting>
  <conditionalFormatting sqref="H105:H166">
    <cfRule type="cellIs" dxfId="9874" priority="9870" stopIfTrue="1" operator="lessThan">
      <formula>0</formula>
    </cfRule>
    <cfRule type="cellIs" dxfId="9873" priority="9871" stopIfTrue="1" operator="lessThan">
      <formula>0</formula>
    </cfRule>
  </conditionalFormatting>
  <conditionalFormatting sqref="H105:H166">
    <cfRule type="cellIs" dxfId="9872" priority="9868" stopIfTrue="1" operator="lessThan">
      <formula>0</formula>
    </cfRule>
    <cfRule type="cellIs" dxfId="9871" priority="9869" stopIfTrue="1" operator="lessThan">
      <formula>0</formula>
    </cfRule>
  </conditionalFormatting>
  <conditionalFormatting sqref="H105:H166">
    <cfRule type="cellIs" dxfId="9870" priority="9866" stopIfTrue="1" operator="lessThan">
      <formula>0.05</formula>
    </cfRule>
    <cfRule type="cellIs" dxfId="9869" priority="9867" stopIfTrue="1" operator="lessThan">
      <formula>0</formula>
    </cfRule>
  </conditionalFormatting>
  <conditionalFormatting sqref="H105:H166">
    <cfRule type="cellIs" dxfId="9868" priority="9864" stopIfTrue="1" operator="lessThan">
      <formula>0</formula>
    </cfRule>
    <cfRule type="cellIs" dxfId="9867" priority="9865" stopIfTrue="1" operator="lessThan">
      <formula>0</formula>
    </cfRule>
  </conditionalFormatting>
  <conditionalFormatting sqref="H105:H166">
    <cfRule type="cellIs" dxfId="9866" priority="9862" stopIfTrue="1" operator="lessThan">
      <formula>0</formula>
    </cfRule>
    <cfRule type="cellIs" dxfId="9865" priority="9863" stopIfTrue="1" operator="lessThan">
      <formula>0</formula>
    </cfRule>
  </conditionalFormatting>
  <conditionalFormatting sqref="H105:H166">
    <cfRule type="cellIs" dxfId="9864" priority="9860" stopIfTrue="1" operator="lessThan">
      <formula>0.05</formula>
    </cfRule>
    <cfRule type="cellIs" dxfId="9863" priority="9861" stopIfTrue="1" operator="lessThan">
      <formula>0</formula>
    </cfRule>
  </conditionalFormatting>
  <conditionalFormatting sqref="H105:H166">
    <cfRule type="cellIs" dxfId="9862" priority="9858" stopIfTrue="1" operator="lessThan">
      <formula>0</formula>
    </cfRule>
    <cfRule type="cellIs" dxfId="9861" priority="9859" stopIfTrue="1" operator="lessThan">
      <formula>0</formula>
    </cfRule>
  </conditionalFormatting>
  <conditionalFormatting sqref="H105:H166">
    <cfRule type="cellIs" dxfId="9860" priority="9856" stopIfTrue="1" operator="lessThan">
      <formula>0</formula>
    </cfRule>
    <cfRule type="cellIs" dxfId="9859" priority="9857" stopIfTrue="1" operator="lessThan">
      <formula>0</formula>
    </cfRule>
  </conditionalFormatting>
  <conditionalFormatting sqref="H105:H166">
    <cfRule type="cellIs" dxfId="9858" priority="9854" stopIfTrue="1" operator="lessThan">
      <formula>0.05</formula>
    </cfRule>
    <cfRule type="cellIs" dxfId="9857" priority="9855" stopIfTrue="1" operator="lessThan">
      <formula>0</formula>
    </cfRule>
  </conditionalFormatting>
  <conditionalFormatting sqref="H105:H166">
    <cfRule type="cellIs" dxfId="9856" priority="9852" stopIfTrue="1" operator="lessThan">
      <formula>0</formula>
    </cfRule>
    <cfRule type="cellIs" dxfId="9855" priority="9853" stopIfTrue="1" operator="lessThan">
      <formula>0</formula>
    </cfRule>
  </conditionalFormatting>
  <conditionalFormatting sqref="H105:H166">
    <cfRule type="cellIs" dxfId="9854" priority="9850" stopIfTrue="1" operator="lessThan">
      <formula>0</formula>
    </cfRule>
    <cfRule type="cellIs" dxfId="9853" priority="9851" stopIfTrue="1" operator="lessThan">
      <formula>0</formula>
    </cfRule>
  </conditionalFormatting>
  <conditionalFormatting sqref="H105:H166">
    <cfRule type="cellIs" dxfId="9852" priority="9848" stopIfTrue="1" operator="lessThan">
      <formula>0.05</formula>
    </cfRule>
    <cfRule type="cellIs" dxfId="9851" priority="9849" stopIfTrue="1" operator="lessThan">
      <formula>0</formula>
    </cfRule>
  </conditionalFormatting>
  <conditionalFormatting sqref="H105:H166">
    <cfRule type="cellIs" dxfId="9850" priority="9846" stopIfTrue="1" operator="lessThan">
      <formula>0</formula>
    </cfRule>
    <cfRule type="cellIs" dxfId="9849" priority="9847" stopIfTrue="1" operator="lessThan">
      <formula>0</formula>
    </cfRule>
  </conditionalFormatting>
  <conditionalFormatting sqref="H105:H166">
    <cfRule type="cellIs" dxfId="9848" priority="9844" stopIfTrue="1" operator="lessThan">
      <formula>0</formula>
    </cfRule>
    <cfRule type="cellIs" dxfId="9847" priority="9845" stopIfTrue="1" operator="lessThan">
      <formula>0</formula>
    </cfRule>
  </conditionalFormatting>
  <conditionalFormatting sqref="H105:H166">
    <cfRule type="cellIs" dxfId="9846" priority="9842" stopIfTrue="1" operator="lessThan">
      <formula>0.05</formula>
    </cfRule>
    <cfRule type="cellIs" dxfId="9845" priority="9843" stopIfTrue="1" operator="lessThan">
      <formula>0</formula>
    </cfRule>
  </conditionalFormatting>
  <conditionalFormatting sqref="H105:H166">
    <cfRule type="cellIs" dxfId="9844" priority="9840" stopIfTrue="1" operator="lessThan">
      <formula>0</formula>
    </cfRule>
    <cfRule type="cellIs" dxfId="9843" priority="9841" stopIfTrue="1" operator="lessThan">
      <formula>0</formula>
    </cfRule>
  </conditionalFormatting>
  <conditionalFormatting sqref="H105:H166">
    <cfRule type="cellIs" dxfId="9842" priority="9838" stopIfTrue="1" operator="lessThan">
      <formula>0</formula>
    </cfRule>
    <cfRule type="cellIs" dxfId="9841" priority="9839" stopIfTrue="1" operator="lessThan">
      <formula>0</formula>
    </cfRule>
  </conditionalFormatting>
  <conditionalFormatting sqref="H105:H166">
    <cfRule type="cellIs" dxfId="9840" priority="9836" stopIfTrue="1" operator="lessThan">
      <formula>0.05</formula>
    </cfRule>
    <cfRule type="cellIs" dxfId="9839" priority="9837" stopIfTrue="1" operator="lessThan">
      <formula>0</formula>
    </cfRule>
  </conditionalFormatting>
  <conditionalFormatting sqref="H105:H166">
    <cfRule type="cellIs" dxfId="9838" priority="9834" stopIfTrue="1" operator="lessThan">
      <formula>0</formula>
    </cfRule>
    <cfRule type="cellIs" dxfId="9837" priority="9835" stopIfTrue="1" operator="lessThan">
      <formula>0</formula>
    </cfRule>
  </conditionalFormatting>
  <conditionalFormatting sqref="H105:H166">
    <cfRule type="cellIs" dxfId="9836" priority="9832" stopIfTrue="1" operator="lessThan">
      <formula>0</formula>
    </cfRule>
    <cfRule type="cellIs" dxfId="9835" priority="9833" stopIfTrue="1" operator="lessThan">
      <formula>0</formula>
    </cfRule>
  </conditionalFormatting>
  <conditionalFormatting sqref="H105:H166">
    <cfRule type="cellIs" dxfId="9834" priority="9830" stopIfTrue="1" operator="lessThan">
      <formula>0.05</formula>
    </cfRule>
    <cfRule type="cellIs" dxfId="9833" priority="9831" stopIfTrue="1" operator="lessThan">
      <formula>0</formula>
    </cfRule>
  </conditionalFormatting>
  <conditionalFormatting sqref="H105:H166">
    <cfRule type="cellIs" dxfId="9832" priority="9828" stopIfTrue="1" operator="lessThan">
      <formula>0</formula>
    </cfRule>
    <cfRule type="cellIs" dxfId="9831" priority="9829" stopIfTrue="1" operator="lessThan">
      <formula>0</formula>
    </cfRule>
  </conditionalFormatting>
  <conditionalFormatting sqref="H105:H166">
    <cfRule type="cellIs" dxfId="9830" priority="9826" stopIfTrue="1" operator="lessThan">
      <formula>0</formula>
    </cfRule>
    <cfRule type="cellIs" dxfId="9829" priority="9827" stopIfTrue="1" operator="lessThan">
      <formula>0</formula>
    </cfRule>
  </conditionalFormatting>
  <conditionalFormatting sqref="H105:H166">
    <cfRule type="cellIs" dxfId="9828" priority="9824" stopIfTrue="1" operator="lessThan">
      <formula>0.05</formula>
    </cfRule>
    <cfRule type="cellIs" dxfId="9827" priority="9825" stopIfTrue="1" operator="lessThan">
      <formula>0</formula>
    </cfRule>
  </conditionalFormatting>
  <conditionalFormatting sqref="H105:H166">
    <cfRule type="cellIs" dxfId="9826" priority="9822" stopIfTrue="1" operator="lessThan">
      <formula>0</formula>
    </cfRule>
    <cfRule type="cellIs" dxfId="9825" priority="9823" stopIfTrue="1" operator="lessThan">
      <formula>0</formula>
    </cfRule>
  </conditionalFormatting>
  <conditionalFormatting sqref="H105:H166">
    <cfRule type="cellIs" dxfId="9824" priority="9820" stopIfTrue="1" operator="lessThan">
      <formula>0</formula>
    </cfRule>
    <cfRule type="cellIs" dxfId="9823" priority="9821" stopIfTrue="1" operator="lessThan">
      <formula>0</formula>
    </cfRule>
  </conditionalFormatting>
  <conditionalFormatting sqref="H105:H166">
    <cfRule type="cellIs" dxfId="9822" priority="9818" stopIfTrue="1" operator="lessThan">
      <formula>0.05</formula>
    </cfRule>
    <cfRule type="cellIs" dxfId="9821" priority="9819" stopIfTrue="1" operator="lessThan">
      <formula>0</formula>
    </cfRule>
  </conditionalFormatting>
  <conditionalFormatting sqref="H105:H166">
    <cfRule type="cellIs" dxfId="9820" priority="9816" stopIfTrue="1" operator="lessThan">
      <formula>0</formula>
    </cfRule>
    <cfRule type="cellIs" dxfId="9819" priority="9817" stopIfTrue="1" operator="lessThan">
      <formula>0</formula>
    </cfRule>
  </conditionalFormatting>
  <conditionalFormatting sqref="H105:H166">
    <cfRule type="cellIs" dxfId="9818" priority="9814" stopIfTrue="1" operator="lessThan">
      <formula>0</formula>
    </cfRule>
    <cfRule type="cellIs" dxfId="9817" priority="9815" stopIfTrue="1" operator="lessThan">
      <formula>0</formula>
    </cfRule>
  </conditionalFormatting>
  <conditionalFormatting sqref="H105:H166">
    <cfRule type="cellIs" dxfId="9816" priority="9812" stopIfTrue="1" operator="lessThan">
      <formula>0.05</formula>
    </cfRule>
    <cfRule type="cellIs" dxfId="9815" priority="9813" stopIfTrue="1" operator="lessThan">
      <formula>0</formula>
    </cfRule>
  </conditionalFormatting>
  <conditionalFormatting sqref="H105:H166">
    <cfRule type="cellIs" dxfId="9814" priority="9810" stopIfTrue="1" operator="lessThan">
      <formula>0</formula>
    </cfRule>
    <cfRule type="cellIs" dxfId="9813" priority="9811" stopIfTrue="1" operator="lessThan">
      <formula>0</formula>
    </cfRule>
  </conditionalFormatting>
  <conditionalFormatting sqref="H105:H166">
    <cfRule type="cellIs" dxfId="9812" priority="9808" stopIfTrue="1" operator="lessThan">
      <formula>0</formula>
    </cfRule>
    <cfRule type="cellIs" dxfId="9811" priority="9809" stopIfTrue="1" operator="lessThan">
      <formula>0</formula>
    </cfRule>
  </conditionalFormatting>
  <conditionalFormatting sqref="H105:H166">
    <cfRule type="cellIs" dxfId="9810" priority="9806" stopIfTrue="1" operator="lessThan">
      <formula>0.05</formula>
    </cfRule>
    <cfRule type="cellIs" dxfId="9809" priority="9807" stopIfTrue="1" operator="lessThan">
      <formula>0</formula>
    </cfRule>
  </conditionalFormatting>
  <conditionalFormatting sqref="H105:H166">
    <cfRule type="cellIs" dxfId="9808" priority="9804" stopIfTrue="1" operator="lessThan">
      <formula>0</formula>
    </cfRule>
    <cfRule type="cellIs" dxfId="9807" priority="9805" stopIfTrue="1" operator="lessThan">
      <formula>0</formula>
    </cfRule>
  </conditionalFormatting>
  <conditionalFormatting sqref="H105:H166">
    <cfRule type="cellIs" dxfId="9806" priority="9802" stopIfTrue="1" operator="lessThan">
      <formula>0</formula>
    </cfRule>
    <cfRule type="cellIs" dxfId="9805" priority="9803" stopIfTrue="1" operator="lessThan">
      <formula>0</formula>
    </cfRule>
  </conditionalFormatting>
  <conditionalFormatting sqref="H105:H166">
    <cfRule type="cellIs" dxfId="9804" priority="9800" stopIfTrue="1" operator="lessThan">
      <formula>0.05</formula>
    </cfRule>
    <cfRule type="cellIs" dxfId="9803" priority="9801" stopIfTrue="1" operator="lessThan">
      <formula>0</formula>
    </cfRule>
  </conditionalFormatting>
  <conditionalFormatting sqref="H105:H166">
    <cfRule type="cellIs" dxfId="9802" priority="9798" stopIfTrue="1" operator="lessThan">
      <formula>0</formula>
    </cfRule>
    <cfRule type="cellIs" dxfId="9801" priority="9799" stopIfTrue="1" operator="lessThan">
      <formula>0</formula>
    </cfRule>
  </conditionalFormatting>
  <conditionalFormatting sqref="H105:H166">
    <cfRule type="cellIs" dxfId="9800" priority="9796" stopIfTrue="1" operator="lessThan">
      <formula>0</formula>
    </cfRule>
    <cfRule type="cellIs" dxfId="9799" priority="9797" stopIfTrue="1" operator="lessThan">
      <formula>0</formula>
    </cfRule>
  </conditionalFormatting>
  <conditionalFormatting sqref="H105:H166">
    <cfRule type="cellIs" dxfId="9798" priority="9794" stopIfTrue="1" operator="lessThan">
      <formula>0.05</formula>
    </cfRule>
    <cfRule type="cellIs" dxfId="9797" priority="9795" stopIfTrue="1" operator="lessThan">
      <formula>0</formula>
    </cfRule>
  </conditionalFormatting>
  <conditionalFormatting sqref="H105:H166">
    <cfRule type="cellIs" dxfId="9796" priority="9792" stopIfTrue="1" operator="lessThan">
      <formula>0</formula>
    </cfRule>
    <cfRule type="cellIs" dxfId="9795" priority="9793" stopIfTrue="1" operator="lessThan">
      <formula>0</formula>
    </cfRule>
  </conditionalFormatting>
  <conditionalFormatting sqref="H105:H166">
    <cfRule type="cellIs" dxfId="9794" priority="9790" stopIfTrue="1" operator="lessThan">
      <formula>0.05</formula>
    </cfRule>
    <cfRule type="cellIs" dxfId="9793" priority="9791" stopIfTrue="1" operator="lessThan">
      <formula>0</formula>
    </cfRule>
  </conditionalFormatting>
  <conditionalFormatting sqref="H105:H166">
    <cfRule type="cellIs" dxfId="9792" priority="9788" stopIfTrue="1" operator="lessThan">
      <formula>0</formula>
    </cfRule>
    <cfRule type="cellIs" dxfId="9791" priority="9789" stopIfTrue="1" operator="lessThan">
      <formula>0</formula>
    </cfRule>
  </conditionalFormatting>
  <conditionalFormatting sqref="H105:H166">
    <cfRule type="cellIs" dxfId="9790" priority="9786" stopIfTrue="1" operator="lessThan">
      <formula>0.05</formula>
    </cfRule>
    <cfRule type="cellIs" dxfId="9789" priority="9787" stopIfTrue="1" operator="lessThan">
      <formula>0</formula>
    </cfRule>
  </conditionalFormatting>
  <conditionalFormatting sqref="H105:H166">
    <cfRule type="cellIs" dxfId="9788" priority="9784" stopIfTrue="1" operator="lessThan">
      <formula>0</formula>
    </cfRule>
    <cfRule type="cellIs" dxfId="9787" priority="9785" stopIfTrue="1" operator="lessThan">
      <formula>0</formula>
    </cfRule>
  </conditionalFormatting>
  <conditionalFormatting sqref="H105:H166">
    <cfRule type="cellIs" dxfId="9786" priority="9782" stopIfTrue="1" operator="lessThan">
      <formula>0</formula>
    </cfRule>
    <cfRule type="cellIs" dxfId="9785" priority="9783" stopIfTrue="1" operator="lessThan">
      <formula>0</formula>
    </cfRule>
  </conditionalFormatting>
  <conditionalFormatting sqref="H105:H166">
    <cfRule type="cellIs" dxfId="9784" priority="9780" stopIfTrue="1" operator="lessThan">
      <formula>0</formula>
    </cfRule>
    <cfRule type="cellIs" dxfId="9783" priority="9781" stopIfTrue="1" operator="lessThan">
      <formula>0</formula>
    </cfRule>
  </conditionalFormatting>
  <conditionalFormatting sqref="H105:H166">
    <cfRule type="cellIs" dxfId="9782" priority="9778" stopIfTrue="1" operator="lessThan">
      <formula>0.05</formula>
    </cfRule>
    <cfRule type="cellIs" dxfId="9781" priority="9779" stopIfTrue="1" operator="lessThan">
      <formula>0</formula>
    </cfRule>
  </conditionalFormatting>
  <conditionalFormatting sqref="H105:H166">
    <cfRule type="cellIs" dxfId="9780" priority="9776" stopIfTrue="1" operator="lessThan">
      <formula>0</formula>
    </cfRule>
    <cfRule type="cellIs" dxfId="9779" priority="9777" stopIfTrue="1" operator="lessThan">
      <formula>0</formula>
    </cfRule>
  </conditionalFormatting>
  <conditionalFormatting sqref="H105:H166">
    <cfRule type="cellIs" dxfId="9778" priority="9774" stopIfTrue="1" operator="lessThan">
      <formula>0.05</formula>
    </cfRule>
    <cfRule type="cellIs" dxfId="9777" priority="9775" stopIfTrue="1" operator="lessThan">
      <formula>0</formula>
    </cfRule>
  </conditionalFormatting>
  <conditionalFormatting sqref="H105:H166">
    <cfRule type="cellIs" dxfId="9776" priority="9772" stopIfTrue="1" operator="lessThan">
      <formula>0</formula>
    </cfRule>
    <cfRule type="cellIs" dxfId="9775" priority="9773" stopIfTrue="1" operator="lessThan">
      <formula>0</formula>
    </cfRule>
  </conditionalFormatting>
  <conditionalFormatting sqref="H105:H166">
    <cfRule type="cellIs" dxfId="9774" priority="9770" stopIfTrue="1" operator="lessThan">
      <formula>0.05</formula>
    </cfRule>
    <cfRule type="cellIs" dxfId="9773" priority="9771" stopIfTrue="1" operator="lessThan">
      <formula>0</formula>
    </cfRule>
  </conditionalFormatting>
  <conditionalFormatting sqref="H105:H166">
    <cfRule type="cellIs" dxfId="9772" priority="9768" stopIfTrue="1" operator="lessThan">
      <formula>0</formula>
    </cfRule>
    <cfRule type="cellIs" dxfId="9771" priority="9769" stopIfTrue="1" operator="lessThan">
      <formula>0</formula>
    </cfRule>
  </conditionalFormatting>
  <conditionalFormatting sqref="H105:H166">
    <cfRule type="cellIs" dxfId="9770" priority="9767" stopIfTrue="1" operator="lessThan">
      <formula>0.05</formula>
    </cfRule>
  </conditionalFormatting>
  <conditionalFormatting sqref="H171:H187">
    <cfRule type="cellIs" dxfId="9769" priority="9765" stopIfTrue="1" operator="lessThan">
      <formula>0</formula>
    </cfRule>
    <cfRule type="cellIs" dxfId="9768" priority="9766" stopIfTrue="1" operator="lessThan">
      <formula>0</formula>
    </cfRule>
  </conditionalFormatting>
  <conditionalFormatting sqref="H171:H187">
    <cfRule type="cellIs" dxfId="9767" priority="9763" stopIfTrue="1" operator="lessThan">
      <formula>0</formula>
    </cfRule>
    <cfRule type="cellIs" dxfId="9766" priority="9764" stopIfTrue="1" operator="lessThan">
      <formula>0</formula>
    </cfRule>
  </conditionalFormatting>
  <conditionalFormatting sqref="H171:H187">
    <cfRule type="cellIs" dxfId="9765" priority="9761" stopIfTrue="1" operator="lessThan">
      <formula>0.05</formula>
    </cfRule>
    <cfRule type="cellIs" dxfId="9764" priority="9762" stopIfTrue="1" operator="lessThan">
      <formula>0</formula>
    </cfRule>
  </conditionalFormatting>
  <conditionalFormatting sqref="H171:H187">
    <cfRule type="cellIs" dxfId="9763" priority="9759" stopIfTrue="1" operator="lessThan">
      <formula>0</formula>
    </cfRule>
    <cfRule type="cellIs" dxfId="9762" priority="9760" stopIfTrue="1" operator="lessThan">
      <formula>0</formula>
    </cfRule>
  </conditionalFormatting>
  <conditionalFormatting sqref="H171:H187">
    <cfRule type="cellIs" dxfId="9761" priority="9757" stopIfTrue="1" operator="lessThan">
      <formula>0.05</formula>
    </cfRule>
    <cfRule type="cellIs" dxfId="9760" priority="9758" stopIfTrue="1" operator="lessThan">
      <formula>0</formula>
    </cfRule>
  </conditionalFormatting>
  <conditionalFormatting sqref="H171:H187">
    <cfRule type="cellIs" dxfId="9759" priority="9755" stopIfTrue="1" operator="lessThan">
      <formula>0</formula>
    </cfRule>
    <cfRule type="cellIs" dxfId="9758" priority="9756" stopIfTrue="1" operator="lessThan">
      <formula>0</formula>
    </cfRule>
  </conditionalFormatting>
  <conditionalFormatting sqref="H171:H187">
    <cfRule type="cellIs" dxfId="9757" priority="9753" stopIfTrue="1" operator="lessThan">
      <formula>0.05</formula>
    </cfRule>
    <cfRule type="cellIs" dxfId="9756" priority="9754" stopIfTrue="1" operator="lessThan">
      <formula>0</formula>
    </cfRule>
  </conditionalFormatting>
  <conditionalFormatting sqref="H171:H187">
    <cfRule type="cellIs" dxfId="9755" priority="9751" stopIfTrue="1" operator="lessThan">
      <formula>0</formula>
    </cfRule>
    <cfRule type="cellIs" dxfId="9754" priority="9752" stopIfTrue="1" operator="lessThan">
      <formula>0</formula>
    </cfRule>
  </conditionalFormatting>
  <conditionalFormatting sqref="H171:H187">
    <cfRule type="cellIs" dxfId="9753" priority="9749" stopIfTrue="1" operator="lessThan">
      <formula>0</formula>
    </cfRule>
    <cfRule type="cellIs" dxfId="9752" priority="9750" stopIfTrue="1" operator="lessThan">
      <formula>0</formula>
    </cfRule>
  </conditionalFormatting>
  <conditionalFormatting sqref="H171:H187">
    <cfRule type="cellIs" dxfId="9751" priority="9747" stopIfTrue="1" operator="lessThan">
      <formula>0</formula>
    </cfRule>
    <cfRule type="cellIs" dxfId="9750" priority="9748" stopIfTrue="1" operator="lessThan">
      <formula>0</formula>
    </cfRule>
  </conditionalFormatting>
  <conditionalFormatting sqref="H171:H187">
    <cfRule type="cellIs" dxfId="9749" priority="9745" stopIfTrue="1" operator="lessThan">
      <formula>0.05</formula>
    </cfRule>
    <cfRule type="cellIs" dxfId="9748" priority="9746" stopIfTrue="1" operator="lessThan">
      <formula>0</formula>
    </cfRule>
  </conditionalFormatting>
  <conditionalFormatting sqref="H171:H187">
    <cfRule type="cellIs" dxfId="9747" priority="9743" stopIfTrue="1" operator="lessThan">
      <formula>0</formula>
    </cfRule>
    <cfRule type="cellIs" dxfId="9746" priority="9744" stopIfTrue="1" operator="lessThan">
      <formula>0</formula>
    </cfRule>
  </conditionalFormatting>
  <conditionalFormatting sqref="H171:H187">
    <cfRule type="cellIs" dxfId="9745" priority="9741" stopIfTrue="1" operator="lessThan">
      <formula>0.05</formula>
    </cfRule>
    <cfRule type="cellIs" dxfId="9744" priority="9742" stopIfTrue="1" operator="lessThan">
      <formula>0</formula>
    </cfRule>
  </conditionalFormatting>
  <conditionalFormatting sqref="H171:H187">
    <cfRule type="cellIs" dxfId="9743" priority="9739" stopIfTrue="1" operator="lessThan">
      <formula>0</formula>
    </cfRule>
    <cfRule type="cellIs" dxfId="9742" priority="9740" stopIfTrue="1" operator="lessThan">
      <formula>0</formula>
    </cfRule>
  </conditionalFormatting>
  <conditionalFormatting sqref="H171:H187">
    <cfRule type="cellIs" dxfId="9741" priority="9737" stopIfTrue="1" operator="lessThan">
      <formula>0.05</formula>
    </cfRule>
    <cfRule type="cellIs" dxfId="9740" priority="9738" stopIfTrue="1" operator="lessThan">
      <formula>0</formula>
    </cfRule>
  </conditionalFormatting>
  <conditionalFormatting sqref="H171:H187">
    <cfRule type="cellIs" dxfId="9739" priority="9735" stopIfTrue="1" operator="lessThan">
      <formula>0</formula>
    </cfRule>
    <cfRule type="cellIs" dxfId="9738" priority="9736" stopIfTrue="1" operator="lessThan">
      <formula>0</formula>
    </cfRule>
  </conditionalFormatting>
  <conditionalFormatting sqref="H171:H187">
    <cfRule type="cellIs" dxfId="9737" priority="9733" stopIfTrue="1" operator="lessThan">
      <formula>0</formula>
    </cfRule>
    <cfRule type="cellIs" dxfId="9736" priority="9734" stopIfTrue="1" operator="lessThan">
      <formula>0</formula>
    </cfRule>
  </conditionalFormatting>
  <conditionalFormatting sqref="H171:H187">
    <cfRule type="cellIs" dxfId="9735" priority="9731" stopIfTrue="1" operator="lessThan">
      <formula>0</formula>
    </cfRule>
    <cfRule type="cellIs" dxfId="9734" priority="9732" stopIfTrue="1" operator="lessThan">
      <formula>0</formula>
    </cfRule>
  </conditionalFormatting>
  <conditionalFormatting sqref="H171:H187">
    <cfRule type="cellIs" dxfId="9733" priority="9729" stopIfTrue="1" operator="lessThan">
      <formula>0.05</formula>
    </cfRule>
    <cfRule type="cellIs" dxfId="9732" priority="9730" stopIfTrue="1" operator="lessThan">
      <formula>0</formula>
    </cfRule>
  </conditionalFormatting>
  <conditionalFormatting sqref="H171:H187">
    <cfRule type="cellIs" dxfId="9731" priority="9727" stopIfTrue="1" operator="lessThan">
      <formula>0</formula>
    </cfRule>
    <cfRule type="cellIs" dxfId="9730" priority="9728" stopIfTrue="1" operator="lessThan">
      <formula>0</formula>
    </cfRule>
  </conditionalFormatting>
  <conditionalFormatting sqref="H171:H187">
    <cfRule type="cellIs" dxfId="9729" priority="9725" stopIfTrue="1" operator="lessThan">
      <formula>0.05</formula>
    </cfRule>
    <cfRule type="cellIs" dxfId="9728" priority="9726" stopIfTrue="1" operator="lessThan">
      <formula>0</formula>
    </cfRule>
  </conditionalFormatting>
  <conditionalFormatting sqref="H171:H187">
    <cfRule type="cellIs" dxfId="9727" priority="9723" stopIfTrue="1" operator="lessThan">
      <formula>0</formula>
    </cfRule>
    <cfRule type="cellIs" dxfId="9726" priority="9724" stopIfTrue="1" operator="lessThan">
      <formula>0</formula>
    </cfRule>
  </conditionalFormatting>
  <conditionalFormatting sqref="H171:H187">
    <cfRule type="cellIs" dxfId="9725" priority="9721" stopIfTrue="1" operator="lessThan">
      <formula>0.05</formula>
    </cfRule>
    <cfRule type="cellIs" dxfId="9724" priority="9722" stopIfTrue="1" operator="lessThan">
      <formula>0</formula>
    </cfRule>
  </conditionalFormatting>
  <conditionalFormatting sqref="H171:H187">
    <cfRule type="cellIs" dxfId="9723" priority="9719" stopIfTrue="1" operator="lessThan">
      <formula>0</formula>
    </cfRule>
    <cfRule type="cellIs" dxfId="9722" priority="9720" stopIfTrue="1" operator="lessThan">
      <formula>0</formula>
    </cfRule>
  </conditionalFormatting>
  <conditionalFormatting sqref="H171:H187">
    <cfRule type="cellIs" dxfId="9721" priority="9717" stopIfTrue="1" operator="lessThan">
      <formula>0</formula>
    </cfRule>
    <cfRule type="cellIs" dxfId="9720" priority="9718" stopIfTrue="1" operator="lessThan">
      <formula>0</formula>
    </cfRule>
  </conditionalFormatting>
  <conditionalFormatting sqref="H171:H187">
    <cfRule type="cellIs" dxfId="9719" priority="9715" stopIfTrue="1" operator="lessThan">
      <formula>0</formula>
    </cfRule>
    <cfRule type="cellIs" dxfId="9718" priority="9716" stopIfTrue="1" operator="lessThan">
      <formula>0</formula>
    </cfRule>
  </conditionalFormatting>
  <conditionalFormatting sqref="H171:H187">
    <cfRule type="cellIs" dxfId="9717" priority="9713" stopIfTrue="1" operator="lessThan">
      <formula>0.05</formula>
    </cfRule>
    <cfRule type="cellIs" dxfId="9716" priority="9714" stopIfTrue="1" operator="lessThan">
      <formula>0</formula>
    </cfRule>
  </conditionalFormatting>
  <conditionalFormatting sqref="H171:H187">
    <cfRule type="cellIs" dxfId="9715" priority="9711" stopIfTrue="1" operator="lessThan">
      <formula>0</formula>
    </cfRule>
    <cfRule type="cellIs" dxfId="9714" priority="9712" stopIfTrue="1" operator="lessThan">
      <formula>0</formula>
    </cfRule>
  </conditionalFormatting>
  <conditionalFormatting sqref="H171:H187">
    <cfRule type="cellIs" dxfId="9713" priority="9709" stopIfTrue="1" operator="lessThan">
      <formula>0.05</formula>
    </cfRule>
    <cfRule type="cellIs" dxfId="9712" priority="9710" stopIfTrue="1" operator="lessThan">
      <formula>0</formula>
    </cfRule>
  </conditionalFormatting>
  <conditionalFormatting sqref="H171:H187">
    <cfRule type="cellIs" dxfId="9711" priority="9707" stopIfTrue="1" operator="lessThan">
      <formula>0</formula>
    </cfRule>
    <cfRule type="cellIs" dxfId="9710" priority="9708" stopIfTrue="1" operator="lessThan">
      <formula>0</formula>
    </cfRule>
  </conditionalFormatting>
  <conditionalFormatting sqref="H171:H187">
    <cfRule type="cellIs" dxfId="9709" priority="9705" stopIfTrue="1" operator="lessThan">
      <formula>0.05</formula>
    </cfRule>
    <cfRule type="cellIs" dxfId="9708" priority="9706" stopIfTrue="1" operator="lessThan">
      <formula>0</formula>
    </cfRule>
  </conditionalFormatting>
  <conditionalFormatting sqref="H171:H187">
    <cfRule type="cellIs" dxfId="9707" priority="9703" stopIfTrue="1" operator="lessThan">
      <formula>0</formula>
    </cfRule>
    <cfRule type="cellIs" dxfId="9706" priority="9704" stopIfTrue="1" operator="lessThan">
      <formula>0</formula>
    </cfRule>
  </conditionalFormatting>
  <conditionalFormatting sqref="H171:H187">
    <cfRule type="cellIs" dxfId="9705" priority="9701" stopIfTrue="1" operator="lessThan">
      <formula>0</formula>
    </cfRule>
    <cfRule type="cellIs" dxfId="9704" priority="9702" stopIfTrue="1" operator="lessThan">
      <formula>0</formula>
    </cfRule>
  </conditionalFormatting>
  <conditionalFormatting sqref="H171:H187">
    <cfRule type="cellIs" dxfId="9703" priority="9699" stopIfTrue="1" operator="lessThan">
      <formula>0.05</formula>
    </cfRule>
    <cfRule type="cellIs" dxfId="9702" priority="9700" stopIfTrue="1" operator="lessThan">
      <formula>0</formula>
    </cfRule>
  </conditionalFormatting>
  <conditionalFormatting sqref="H171:H187">
    <cfRule type="cellIs" dxfId="9701" priority="9697" stopIfTrue="1" operator="lessThan">
      <formula>0</formula>
    </cfRule>
    <cfRule type="cellIs" dxfId="9700" priority="9698" stopIfTrue="1" operator="lessThan">
      <formula>0</formula>
    </cfRule>
  </conditionalFormatting>
  <conditionalFormatting sqref="H171:H187">
    <cfRule type="cellIs" dxfId="9699" priority="9695" stopIfTrue="1" operator="lessThan">
      <formula>0</formula>
    </cfRule>
    <cfRule type="cellIs" dxfId="9698" priority="9696" stopIfTrue="1" operator="lessThan">
      <formula>0</formula>
    </cfRule>
  </conditionalFormatting>
  <conditionalFormatting sqref="H171:H187">
    <cfRule type="cellIs" dxfId="9697" priority="9693" stopIfTrue="1" operator="lessThan">
      <formula>0.05</formula>
    </cfRule>
    <cfRule type="cellIs" dxfId="9696" priority="9694" stopIfTrue="1" operator="lessThan">
      <formula>0</formula>
    </cfRule>
  </conditionalFormatting>
  <conditionalFormatting sqref="H171:H187">
    <cfRule type="cellIs" dxfId="9695" priority="9691" stopIfTrue="1" operator="lessThan">
      <formula>0</formula>
    </cfRule>
    <cfRule type="cellIs" dxfId="9694" priority="9692" stopIfTrue="1" operator="lessThan">
      <formula>0</formula>
    </cfRule>
  </conditionalFormatting>
  <conditionalFormatting sqref="H171:H187">
    <cfRule type="cellIs" dxfId="9693" priority="9689" stopIfTrue="1" operator="lessThan">
      <formula>0</formula>
    </cfRule>
    <cfRule type="cellIs" dxfId="9692" priority="9690" stopIfTrue="1" operator="lessThan">
      <formula>0</formula>
    </cfRule>
  </conditionalFormatting>
  <conditionalFormatting sqref="H171:H187">
    <cfRule type="cellIs" dxfId="9691" priority="9687" stopIfTrue="1" operator="lessThan">
      <formula>0.05</formula>
    </cfRule>
    <cfRule type="cellIs" dxfId="9690" priority="9688" stopIfTrue="1" operator="lessThan">
      <formula>0</formula>
    </cfRule>
  </conditionalFormatting>
  <conditionalFormatting sqref="H171:H187">
    <cfRule type="cellIs" dxfId="9689" priority="9685" stopIfTrue="1" operator="lessThan">
      <formula>0</formula>
    </cfRule>
    <cfRule type="cellIs" dxfId="9688" priority="9686" stopIfTrue="1" operator="lessThan">
      <formula>0</formula>
    </cfRule>
  </conditionalFormatting>
  <conditionalFormatting sqref="H171:H187">
    <cfRule type="cellIs" dxfId="9687" priority="9683" stopIfTrue="1" operator="lessThan">
      <formula>0</formula>
    </cfRule>
    <cfRule type="cellIs" dxfId="9686" priority="9684" stopIfTrue="1" operator="lessThan">
      <formula>0</formula>
    </cfRule>
  </conditionalFormatting>
  <conditionalFormatting sqref="H171:H187">
    <cfRule type="cellIs" dxfId="9685" priority="9681" stopIfTrue="1" operator="lessThan">
      <formula>0.05</formula>
    </cfRule>
    <cfRule type="cellIs" dxfId="9684" priority="9682" stopIfTrue="1" operator="lessThan">
      <formula>0</formula>
    </cfRule>
  </conditionalFormatting>
  <conditionalFormatting sqref="H171:H187">
    <cfRule type="cellIs" dxfId="9683" priority="9679" stopIfTrue="1" operator="lessThan">
      <formula>0</formula>
    </cfRule>
    <cfRule type="cellIs" dxfId="9682" priority="9680" stopIfTrue="1" operator="lessThan">
      <formula>0</formula>
    </cfRule>
  </conditionalFormatting>
  <conditionalFormatting sqref="H171:H187">
    <cfRule type="cellIs" dxfId="9681" priority="9677" stopIfTrue="1" operator="lessThan">
      <formula>0</formula>
    </cfRule>
    <cfRule type="cellIs" dxfId="9680" priority="9678" stopIfTrue="1" operator="lessThan">
      <formula>0</formula>
    </cfRule>
  </conditionalFormatting>
  <conditionalFormatting sqref="H171:H187">
    <cfRule type="cellIs" dxfId="9679" priority="9675" stopIfTrue="1" operator="lessThan">
      <formula>0.05</formula>
    </cfRule>
    <cfRule type="cellIs" dxfId="9678" priority="9676" stopIfTrue="1" operator="lessThan">
      <formula>0</formula>
    </cfRule>
  </conditionalFormatting>
  <conditionalFormatting sqref="H171:H187">
    <cfRule type="cellIs" dxfId="9677" priority="9673" stopIfTrue="1" operator="lessThan">
      <formula>0</formula>
    </cfRule>
    <cfRule type="cellIs" dxfId="9676" priority="9674" stopIfTrue="1" operator="lessThan">
      <formula>0</formula>
    </cfRule>
  </conditionalFormatting>
  <conditionalFormatting sqref="H171:H187">
    <cfRule type="cellIs" dxfId="9675" priority="9671" stopIfTrue="1" operator="lessThan">
      <formula>0</formula>
    </cfRule>
    <cfRule type="cellIs" dxfId="9674" priority="9672" stopIfTrue="1" operator="lessThan">
      <formula>0</formula>
    </cfRule>
  </conditionalFormatting>
  <conditionalFormatting sqref="H171:H187">
    <cfRule type="cellIs" dxfId="9673" priority="9669" stopIfTrue="1" operator="lessThan">
      <formula>0.05</formula>
    </cfRule>
    <cfRule type="cellIs" dxfId="9672" priority="9670" stopIfTrue="1" operator="lessThan">
      <formula>0</formula>
    </cfRule>
  </conditionalFormatting>
  <conditionalFormatting sqref="H171:H187">
    <cfRule type="cellIs" dxfId="9671" priority="9667" stopIfTrue="1" operator="lessThan">
      <formula>0</formula>
    </cfRule>
    <cfRule type="cellIs" dxfId="9670" priority="9668" stopIfTrue="1" operator="lessThan">
      <formula>0</formula>
    </cfRule>
  </conditionalFormatting>
  <conditionalFormatting sqref="H171:H187">
    <cfRule type="cellIs" dxfId="9669" priority="9665" stopIfTrue="1" operator="lessThan">
      <formula>0</formula>
    </cfRule>
    <cfRule type="cellIs" dxfId="9668" priority="9666" stopIfTrue="1" operator="lessThan">
      <formula>0</formula>
    </cfRule>
  </conditionalFormatting>
  <conditionalFormatting sqref="H171:H187">
    <cfRule type="cellIs" dxfId="9667" priority="9663" stopIfTrue="1" operator="lessThan">
      <formula>0.05</formula>
    </cfRule>
    <cfRule type="cellIs" dxfId="9666" priority="9664" stopIfTrue="1" operator="lessThan">
      <formula>0</formula>
    </cfRule>
  </conditionalFormatting>
  <conditionalFormatting sqref="H171:H187">
    <cfRule type="cellIs" dxfId="9665" priority="9661" stopIfTrue="1" operator="lessThan">
      <formula>0</formula>
    </cfRule>
    <cfRule type="cellIs" dxfId="9664" priority="9662" stopIfTrue="1" operator="lessThan">
      <formula>0</formula>
    </cfRule>
  </conditionalFormatting>
  <conditionalFormatting sqref="H171:H187">
    <cfRule type="cellIs" dxfId="9663" priority="9659" stopIfTrue="1" operator="lessThan">
      <formula>0</formula>
    </cfRule>
    <cfRule type="cellIs" dxfId="9662" priority="9660" stopIfTrue="1" operator="lessThan">
      <formula>0</formula>
    </cfRule>
  </conditionalFormatting>
  <conditionalFormatting sqref="H171:H187">
    <cfRule type="cellIs" dxfId="9661" priority="9657" stopIfTrue="1" operator="lessThan">
      <formula>0.05</formula>
    </cfRule>
    <cfRule type="cellIs" dxfId="9660" priority="9658" stopIfTrue="1" operator="lessThan">
      <formula>0</formula>
    </cfRule>
  </conditionalFormatting>
  <conditionalFormatting sqref="H171:H187">
    <cfRule type="cellIs" dxfId="9659" priority="9655" stopIfTrue="1" operator="lessThan">
      <formula>0</formula>
    </cfRule>
    <cfRule type="cellIs" dxfId="9658" priority="9656" stopIfTrue="1" operator="lessThan">
      <formula>0</formula>
    </cfRule>
  </conditionalFormatting>
  <conditionalFormatting sqref="H171:H187">
    <cfRule type="cellIs" dxfId="9657" priority="9653" stopIfTrue="1" operator="lessThan">
      <formula>0</formula>
    </cfRule>
    <cfRule type="cellIs" dxfId="9656" priority="9654" stopIfTrue="1" operator="lessThan">
      <formula>0</formula>
    </cfRule>
  </conditionalFormatting>
  <conditionalFormatting sqref="H171:H187">
    <cfRule type="cellIs" dxfId="9655" priority="9651" stopIfTrue="1" operator="lessThan">
      <formula>0.05</formula>
    </cfRule>
    <cfRule type="cellIs" dxfId="9654" priority="9652" stopIfTrue="1" operator="lessThan">
      <formula>0</formula>
    </cfRule>
  </conditionalFormatting>
  <conditionalFormatting sqref="H171:H187">
    <cfRule type="cellIs" dxfId="9653" priority="9649" stopIfTrue="1" operator="lessThan">
      <formula>0</formula>
    </cfRule>
    <cfRule type="cellIs" dxfId="9652" priority="9650" stopIfTrue="1" operator="lessThan">
      <formula>0</formula>
    </cfRule>
  </conditionalFormatting>
  <conditionalFormatting sqref="H171:H187">
    <cfRule type="cellIs" dxfId="9651" priority="9647" stopIfTrue="1" operator="lessThan">
      <formula>0</formula>
    </cfRule>
    <cfRule type="cellIs" dxfId="9650" priority="9648" stopIfTrue="1" operator="lessThan">
      <formula>0</formula>
    </cfRule>
  </conditionalFormatting>
  <conditionalFormatting sqref="H171:H187">
    <cfRule type="cellIs" dxfId="9649" priority="9645" stopIfTrue="1" operator="lessThan">
      <formula>0.05</formula>
    </cfRule>
    <cfRule type="cellIs" dxfId="9648" priority="9646" stopIfTrue="1" operator="lessThan">
      <formula>0</formula>
    </cfRule>
  </conditionalFormatting>
  <conditionalFormatting sqref="H171:H187">
    <cfRule type="cellIs" dxfId="9647" priority="9643" stopIfTrue="1" operator="lessThan">
      <formula>0</formula>
    </cfRule>
    <cfRule type="cellIs" dxfId="9646" priority="9644" stopIfTrue="1" operator="lessThan">
      <formula>0</formula>
    </cfRule>
  </conditionalFormatting>
  <conditionalFormatting sqref="H171:H187">
    <cfRule type="cellIs" dxfId="9645" priority="9641" stopIfTrue="1" operator="lessThan">
      <formula>0</formula>
    </cfRule>
    <cfRule type="cellIs" dxfId="9644" priority="9642" stopIfTrue="1" operator="lessThan">
      <formula>0</formula>
    </cfRule>
  </conditionalFormatting>
  <conditionalFormatting sqref="H171:H187">
    <cfRule type="cellIs" dxfId="9643" priority="9639" stopIfTrue="1" operator="lessThan">
      <formula>0.05</formula>
    </cfRule>
    <cfRule type="cellIs" dxfId="9642" priority="9640" stopIfTrue="1" operator="lessThan">
      <formula>0</formula>
    </cfRule>
  </conditionalFormatting>
  <conditionalFormatting sqref="H171:H187">
    <cfRule type="cellIs" dxfId="9641" priority="9637" stopIfTrue="1" operator="lessThan">
      <formula>0</formula>
    </cfRule>
    <cfRule type="cellIs" dxfId="9640" priority="9638" stopIfTrue="1" operator="lessThan">
      <formula>0</formula>
    </cfRule>
  </conditionalFormatting>
  <conditionalFormatting sqref="H171:H187">
    <cfRule type="cellIs" dxfId="9639" priority="9635" stopIfTrue="1" operator="lessThan">
      <formula>0</formula>
    </cfRule>
    <cfRule type="cellIs" dxfId="9638" priority="9636" stopIfTrue="1" operator="lessThan">
      <formula>0</formula>
    </cfRule>
  </conditionalFormatting>
  <conditionalFormatting sqref="H171:H187">
    <cfRule type="cellIs" dxfId="9637" priority="9633" stopIfTrue="1" operator="lessThan">
      <formula>0.05</formula>
    </cfRule>
    <cfRule type="cellIs" dxfId="9636" priority="9634" stopIfTrue="1" operator="lessThan">
      <formula>0</formula>
    </cfRule>
  </conditionalFormatting>
  <conditionalFormatting sqref="H171:H187">
    <cfRule type="cellIs" dxfId="9635" priority="9631" stopIfTrue="1" operator="lessThan">
      <formula>0</formula>
    </cfRule>
    <cfRule type="cellIs" dxfId="9634" priority="9632" stopIfTrue="1" operator="lessThan">
      <formula>0</formula>
    </cfRule>
  </conditionalFormatting>
  <conditionalFormatting sqref="H171:H187">
    <cfRule type="cellIs" dxfId="9633" priority="9629" stopIfTrue="1" operator="lessThan">
      <formula>0</formula>
    </cfRule>
    <cfRule type="cellIs" dxfId="9632" priority="9630" stopIfTrue="1" operator="lessThan">
      <formula>0</formula>
    </cfRule>
  </conditionalFormatting>
  <conditionalFormatting sqref="H171:H187">
    <cfRule type="cellIs" dxfId="9631" priority="9627" stopIfTrue="1" operator="lessThan">
      <formula>0.05</formula>
    </cfRule>
    <cfRule type="cellIs" dxfId="9630" priority="9628" stopIfTrue="1" operator="lessThan">
      <formula>0</formula>
    </cfRule>
  </conditionalFormatting>
  <conditionalFormatting sqref="H171:H187">
    <cfRule type="cellIs" dxfId="9629" priority="9625" stopIfTrue="1" operator="lessThan">
      <formula>0</formula>
    </cfRule>
    <cfRule type="cellIs" dxfId="9628" priority="9626" stopIfTrue="1" operator="lessThan">
      <formula>0</formula>
    </cfRule>
  </conditionalFormatting>
  <conditionalFormatting sqref="H171:H187">
    <cfRule type="cellIs" dxfId="9627" priority="9623" stopIfTrue="1" operator="lessThan">
      <formula>0</formula>
    </cfRule>
    <cfRule type="cellIs" dxfId="9626" priority="9624" stopIfTrue="1" operator="lessThan">
      <formula>0</formula>
    </cfRule>
  </conditionalFormatting>
  <conditionalFormatting sqref="H171:H187">
    <cfRule type="cellIs" dxfId="9625" priority="9621" stopIfTrue="1" operator="lessThan">
      <formula>0.05</formula>
    </cfRule>
    <cfRule type="cellIs" dxfId="9624" priority="9622" stopIfTrue="1" operator="lessThan">
      <formula>0</formula>
    </cfRule>
  </conditionalFormatting>
  <conditionalFormatting sqref="H171:H187">
    <cfRule type="cellIs" dxfId="9623" priority="9619" stopIfTrue="1" operator="lessThan">
      <formula>0</formula>
    </cfRule>
    <cfRule type="cellIs" dxfId="9622" priority="9620" stopIfTrue="1" operator="lessThan">
      <formula>0</formula>
    </cfRule>
  </conditionalFormatting>
  <conditionalFormatting sqref="H171:H187">
    <cfRule type="cellIs" dxfId="9621" priority="9617" stopIfTrue="1" operator="lessThan">
      <formula>0</formula>
    </cfRule>
    <cfRule type="cellIs" dxfId="9620" priority="9618" stopIfTrue="1" operator="lessThan">
      <formula>0</formula>
    </cfRule>
  </conditionalFormatting>
  <conditionalFormatting sqref="H171:H187">
    <cfRule type="cellIs" dxfId="9619" priority="9615" stopIfTrue="1" operator="lessThan">
      <formula>0.05</formula>
    </cfRule>
    <cfRule type="cellIs" dxfId="9618" priority="9616" stopIfTrue="1" operator="lessThan">
      <formula>0</formula>
    </cfRule>
  </conditionalFormatting>
  <conditionalFormatting sqref="H171:H187">
    <cfRule type="cellIs" dxfId="9617" priority="9613" stopIfTrue="1" operator="lessThan">
      <formula>0</formula>
    </cfRule>
    <cfRule type="cellIs" dxfId="9616" priority="9614" stopIfTrue="1" operator="lessThan">
      <formula>0</formula>
    </cfRule>
  </conditionalFormatting>
  <conditionalFormatting sqref="H171:H187">
    <cfRule type="cellIs" dxfId="9615" priority="9611" stopIfTrue="1" operator="lessThan">
      <formula>0</formula>
    </cfRule>
    <cfRule type="cellIs" dxfId="9614" priority="9612" stopIfTrue="1" operator="lessThan">
      <formula>0</formula>
    </cfRule>
  </conditionalFormatting>
  <conditionalFormatting sqref="H171:H187">
    <cfRule type="cellIs" dxfId="9613" priority="9609" stopIfTrue="1" operator="lessThan">
      <formula>0.05</formula>
    </cfRule>
    <cfRule type="cellIs" dxfId="9612" priority="9610" stopIfTrue="1" operator="lessThan">
      <formula>0</formula>
    </cfRule>
  </conditionalFormatting>
  <conditionalFormatting sqref="H171:H187">
    <cfRule type="cellIs" dxfId="9611" priority="9607" stopIfTrue="1" operator="lessThan">
      <formula>0</formula>
    </cfRule>
    <cfRule type="cellIs" dxfId="9610" priority="9608" stopIfTrue="1" operator="lessThan">
      <formula>0</formula>
    </cfRule>
  </conditionalFormatting>
  <conditionalFormatting sqref="H171:H187">
    <cfRule type="cellIs" dxfId="9609" priority="9605" stopIfTrue="1" operator="lessThan">
      <formula>0.05</formula>
    </cfRule>
    <cfRule type="cellIs" dxfId="9608" priority="9606" stopIfTrue="1" operator="lessThan">
      <formula>0</formula>
    </cfRule>
  </conditionalFormatting>
  <conditionalFormatting sqref="H171:H187">
    <cfRule type="cellIs" dxfId="9607" priority="9603" stopIfTrue="1" operator="lessThan">
      <formula>0</formula>
    </cfRule>
    <cfRule type="cellIs" dxfId="9606" priority="9604" stopIfTrue="1" operator="lessThan">
      <formula>0</formula>
    </cfRule>
  </conditionalFormatting>
  <conditionalFormatting sqref="H171:H187">
    <cfRule type="cellIs" dxfId="9605" priority="9601" stopIfTrue="1" operator="lessThan">
      <formula>0.05</formula>
    </cfRule>
    <cfRule type="cellIs" dxfId="9604" priority="9602" stopIfTrue="1" operator="lessThan">
      <formula>0</formula>
    </cfRule>
  </conditionalFormatting>
  <conditionalFormatting sqref="H171:H187">
    <cfRule type="cellIs" dxfId="9603" priority="9599" stopIfTrue="1" operator="lessThan">
      <formula>0</formula>
    </cfRule>
    <cfRule type="cellIs" dxfId="9602" priority="9600" stopIfTrue="1" operator="lessThan">
      <formula>0</formula>
    </cfRule>
  </conditionalFormatting>
  <conditionalFormatting sqref="H171:H187">
    <cfRule type="cellIs" dxfId="9601" priority="9597" stopIfTrue="1" operator="lessThan">
      <formula>0</formula>
    </cfRule>
    <cfRule type="cellIs" dxfId="9600" priority="9598" stopIfTrue="1" operator="lessThan">
      <formula>0</formula>
    </cfRule>
  </conditionalFormatting>
  <conditionalFormatting sqref="H171:H187">
    <cfRule type="cellIs" dxfId="9599" priority="9595" stopIfTrue="1" operator="lessThan">
      <formula>0</formula>
    </cfRule>
    <cfRule type="cellIs" dxfId="9598" priority="9596" stopIfTrue="1" operator="lessThan">
      <formula>0</formula>
    </cfRule>
  </conditionalFormatting>
  <conditionalFormatting sqref="H171:H187">
    <cfRule type="cellIs" dxfId="9597" priority="9593" stopIfTrue="1" operator="lessThan">
      <formula>0.05</formula>
    </cfRule>
    <cfRule type="cellIs" dxfId="9596" priority="9594" stopIfTrue="1" operator="lessThan">
      <formula>0</formula>
    </cfRule>
  </conditionalFormatting>
  <conditionalFormatting sqref="H171:H187">
    <cfRule type="cellIs" dxfId="9595" priority="9591" stopIfTrue="1" operator="lessThan">
      <formula>0</formula>
    </cfRule>
    <cfRule type="cellIs" dxfId="9594" priority="9592" stopIfTrue="1" operator="lessThan">
      <formula>0</formula>
    </cfRule>
  </conditionalFormatting>
  <conditionalFormatting sqref="H171:H187">
    <cfRule type="cellIs" dxfId="9593" priority="9589" stopIfTrue="1" operator="lessThan">
      <formula>0.05</formula>
    </cfRule>
    <cfRule type="cellIs" dxfId="9592" priority="9590" stopIfTrue="1" operator="lessThan">
      <formula>0</formula>
    </cfRule>
  </conditionalFormatting>
  <conditionalFormatting sqref="H171:H187">
    <cfRule type="cellIs" dxfId="9591" priority="9587" stopIfTrue="1" operator="lessThan">
      <formula>0</formula>
    </cfRule>
    <cfRule type="cellIs" dxfId="9590" priority="9588" stopIfTrue="1" operator="lessThan">
      <formula>0</formula>
    </cfRule>
  </conditionalFormatting>
  <conditionalFormatting sqref="H171:H187">
    <cfRule type="cellIs" dxfId="9589" priority="9585" stopIfTrue="1" operator="lessThan">
      <formula>0.05</formula>
    </cfRule>
    <cfRule type="cellIs" dxfId="9588" priority="9586" stopIfTrue="1" operator="lessThan">
      <formula>0</formula>
    </cfRule>
  </conditionalFormatting>
  <conditionalFormatting sqref="H171:H187">
    <cfRule type="cellIs" dxfId="9587" priority="9583" stopIfTrue="1" operator="lessThan">
      <formula>0</formula>
    </cfRule>
    <cfRule type="cellIs" dxfId="9586" priority="9584" stopIfTrue="1" operator="lessThan">
      <formula>0</formula>
    </cfRule>
  </conditionalFormatting>
  <conditionalFormatting sqref="H171:H187">
    <cfRule type="cellIs" dxfId="9585" priority="9581" stopIfTrue="1" operator="lessThan">
      <formula>0</formula>
    </cfRule>
    <cfRule type="cellIs" dxfId="9584" priority="9582" stopIfTrue="1" operator="lessThan">
      <formula>0</formula>
    </cfRule>
  </conditionalFormatting>
  <conditionalFormatting sqref="H171:H187">
    <cfRule type="cellIs" dxfId="9583" priority="9579" stopIfTrue="1" operator="lessThan">
      <formula>0.05</formula>
    </cfRule>
    <cfRule type="cellIs" dxfId="9582" priority="9580" stopIfTrue="1" operator="lessThan">
      <formula>0</formula>
    </cfRule>
  </conditionalFormatting>
  <conditionalFormatting sqref="H171:H187">
    <cfRule type="cellIs" dxfId="9581" priority="9577" stopIfTrue="1" operator="lessThan">
      <formula>0</formula>
    </cfRule>
    <cfRule type="cellIs" dxfId="9580" priority="9578" stopIfTrue="1" operator="lessThan">
      <formula>0</formula>
    </cfRule>
  </conditionalFormatting>
  <conditionalFormatting sqref="H171:H187">
    <cfRule type="cellIs" dxfId="9579" priority="9575" stopIfTrue="1" operator="lessThan">
      <formula>0</formula>
    </cfRule>
    <cfRule type="cellIs" dxfId="9578" priority="9576" stopIfTrue="1" operator="lessThan">
      <formula>0</formula>
    </cfRule>
  </conditionalFormatting>
  <conditionalFormatting sqref="H171:H187">
    <cfRule type="cellIs" dxfId="9577" priority="9573" stopIfTrue="1" operator="lessThan">
      <formula>0.05</formula>
    </cfRule>
    <cfRule type="cellIs" dxfId="9576" priority="9574" stopIfTrue="1" operator="lessThan">
      <formula>0</formula>
    </cfRule>
  </conditionalFormatting>
  <conditionalFormatting sqref="H171:H187">
    <cfRule type="cellIs" dxfId="9575" priority="9571" stopIfTrue="1" operator="lessThan">
      <formula>0</formula>
    </cfRule>
    <cfRule type="cellIs" dxfId="9574" priority="9572" stopIfTrue="1" operator="lessThan">
      <formula>0</formula>
    </cfRule>
  </conditionalFormatting>
  <conditionalFormatting sqref="H171:H187">
    <cfRule type="cellIs" dxfId="9573" priority="9569" stopIfTrue="1" operator="lessThan">
      <formula>0</formula>
    </cfRule>
    <cfRule type="cellIs" dxfId="9572" priority="9570" stopIfTrue="1" operator="lessThan">
      <formula>0</formula>
    </cfRule>
  </conditionalFormatting>
  <conditionalFormatting sqref="H171:H187">
    <cfRule type="cellIs" dxfId="9571" priority="9567" stopIfTrue="1" operator="lessThan">
      <formula>0.05</formula>
    </cfRule>
    <cfRule type="cellIs" dxfId="9570" priority="9568" stopIfTrue="1" operator="lessThan">
      <formula>0</formula>
    </cfRule>
  </conditionalFormatting>
  <conditionalFormatting sqref="H171:H187">
    <cfRule type="cellIs" dxfId="9569" priority="9565" stopIfTrue="1" operator="lessThan">
      <formula>0</formula>
    </cfRule>
    <cfRule type="cellIs" dxfId="9568" priority="9566" stopIfTrue="1" operator="lessThan">
      <formula>0</formula>
    </cfRule>
  </conditionalFormatting>
  <conditionalFormatting sqref="H171:H187">
    <cfRule type="cellIs" dxfId="9567" priority="9563" stopIfTrue="1" operator="lessThan">
      <formula>0</formula>
    </cfRule>
    <cfRule type="cellIs" dxfId="9566" priority="9564" stopIfTrue="1" operator="lessThan">
      <formula>0</formula>
    </cfRule>
  </conditionalFormatting>
  <conditionalFormatting sqref="H171:H187">
    <cfRule type="cellIs" dxfId="9565" priority="9561" stopIfTrue="1" operator="lessThan">
      <formula>0.05</formula>
    </cfRule>
    <cfRule type="cellIs" dxfId="9564" priority="9562" stopIfTrue="1" operator="lessThan">
      <formula>0</formula>
    </cfRule>
  </conditionalFormatting>
  <conditionalFormatting sqref="H171:H187">
    <cfRule type="cellIs" dxfId="9563" priority="9559" stopIfTrue="1" operator="lessThan">
      <formula>0</formula>
    </cfRule>
    <cfRule type="cellIs" dxfId="9562" priority="9560" stopIfTrue="1" operator="lessThan">
      <formula>0</formula>
    </cfRule>
  </conditionalFormatting>
  <conditionalFormatting sqref="H171:H187">
    <cfRule type="cellIs" dxfId="9561" priority="9557" stopIfTrue="1" operator="lessThan">
      <formula>0</formula>
    </cfRule>
    <cfRule type="cellIs" dxfId="9560" priority="9558" stopIfTrue="1" operator="lessThan">
      <formula>0</formula>
    </cfRule>
  </conditionalFormatting>
  <conditionalFormatting sqref="H171:H187">
    <cfRule type="cellIs" dxfId="9559" priority="9555" stopIfTrue="1" operator="lessThan">
      <formula>0.05</formula>
    </cfRule>
    <cfRule type="cellIs" dxfId="9558" priority="9556" stopIfTrue="1" operator="lessThan">
      <formula>0</formula>
    </cfRule>
  </conditionalFormatting>
  <conditionalFormatting sqref="H171:H187">
    <cfRule type="cellIs" dxfId="9557" priority="9553" stopIfTrue="1" operator="lessThan">
      <formula>0</formula>
    </cfRule>
    <cfRule type="cellIs" dxfId="9556" priority="9554" stopIfTrue="1" operator="lessThan">
      <formula>0</formula>
    </cfRule>
  </conditionalFormatting>
  <conditionalFormatting sqref="H171:H187">
    <cfRule type="cellIs" dxfId="9555" priority="9551" stopIfTrue="1" operator="lessThan">
      <formula>0</formula>
    </cfRule>
    <cfRule type="cellIs" dxfId="9554" priority="9552" stopIfTrue="1" operator="lessThan">
      <formula>0</formula>
    </cfRule>
  </conditionalFormatting>
  <conditionalFormatting sqref="H171:H187">
    <cfRule type="cellIs" dxfId="9553" priority="9549" stopIfTrue="1" operator="lessThan">
      <formula>0.05</formula>
    </cfRule>
    <cfRule type="cellIs" dxfId="9552" priority="9550" stopIfTrue="1" operator="lessThan">
      <formula>0</formula>
    </cfRule>
  </conditionalFormatting>
  <conditionalFormatting sqref="H171:H187">
    <cfRule type="cellIs" dxfId="9551" priority="9547" stopIfTrue="1" operator="lessThan">
      <formula>0</formula>
    </cfRule>
    <cfRule type="cellIs" dxfId="9550" priority="9548" stopIfTrue="1" operator="lessThan">
      <formula>0</formula>
    </cfRule>
  </conditionalFormatting>
  <conditionalFormatting sqref="H171:H187">
    <cfRule type="cellIs" dxfId="9549" priority="9545" stopIfTrue="1" operator="lessThan">
      <formula>0</formula>
    </cfRule>
    <cfRule type="cellIs" dxfId="9548" priority="9546" stopIfTrue="1" operator="lessThan">
      <formula>0</formula>
    </cfRule>
  </conditionalFormatting>
  <conditionalFormatting sqref="H171:H187">
    <cfRule type="cellIs" dxfId="9547" priority="9543" stopIfTrue="1" operator="lessThan">
      <formula>0.05</formula>
    </cfRule>
    <cfRule type="cellIs" dxfId="9546" priority="9544" stopIfTrue="1" operator="lessThan">
      <formula>0</formula>
    </cfRule>
  </conditionalFormatting>
  <conditionalFormatting sqref="H171:H187">
    <cfRule type="cellIs" dxfId="9545" priority="9541" stopIfTrue="1" operator="lessThan">
      <formula>0</formula>
    </cfRule>
    <cfRule type="cellIs" dxfId="9544" priority="9542" stopIfTrue="1" operator="lessThan">
      <formula>0</formula>
    </cfRule>
  </conditionalFormatting>
  <conditionalFormatting sqref="H171:H187">
    <cfRule type="cellIs" dxfId="9543" priority="9539" stopIfTrue="1" operator="lessThan">
      <formula>0</formula>
    </cfRule>
    <cfRule type="cellIs" dxfId="9542" priority="9540" stopIfTrue="1" operator="lessThan">
      <formula>0</formula>
    </cfRule>
  </conditionalFormatting>
  <conditionalFormatting sqref="H171:H187">
    <cfRule type="cellIs" dxfId="9541" priority="9537" stopIfTrue="1" operator="lessThan">
      <formula>0.05</formula>
    </cfRule>
    <cfRule type="cellIs" dxfId="9540" priority="9538" stopIfTrue="1" operator="lessThan">
      <formula>0</formula>
    </cfRule>
  </conditionalFormatting>
  <conditionalFormatting sqref="H171:H187">
    <cfRule type="cellIs" dxfId="9539" priority="9535" stopIfTrue="1" operator="lessThan">
      <formula>0</formula>
    </cfRule>
    <cfRule type="cellIs" dxfId="9538" priority="9536" stopIfTrue="1" operator="lessThan">
      <formula>0</formula>
    </cfRule>
  </conditionalFormatting>
  <conditionalFormatting sqref="H171:H187">
    <cfRule type="cellIs" dxfId="9537" priority="9533" stopIfTrue="1" operator="lessThan">
      <formula>0</formula>
    </cfRule>
    <cfRule type="cellIs" dxfId="9536" priority="9534" stopIfTrue="1" operator="lessThan">
      <formula>0</formula>
    </cfRule>
  </conditionalFormatting>
  <conditionalFormatting sqref="H171:H187">
    <cfRule type="cellIs" dxfId="9535" priority="9531" stopIfTrue="1" operator="lessThan">
      <formula>0.05</formula>
    </cfRule>
    <cfRule type="cellIs" dxfId="9534" priority="9532" stopIfTrue="1" operator="lessThan">
      <formula>0</formula>
    </cfRule>
  </conditionalFormatting>
  <conditionalFormatting sqref="H171:H187">
    <cfRule type="cellIs" dxfId="9533" priority="9529" stopIfTrue="1" operator="lessThan">
      <formula>0</formula>
    </cfRule>
    <cfRule type="cellIs" dxfId="9532" priority="9530" stopIfTrue="1" operator="lessThan">
      <formula>0</formula>
    </cfRule>
  </conditionalFormatting>
  <conditionalFormatting sqref="H171:H187">
    <cfRule type="cellIs" dxfId="9531" priority="9527" stopIfTrue="1" operator="lessThan">
      <formula>0</formula>
    </cfRule>
    <cfRule type="cellIs" dxfId="9530" priority="9528" stopIfTrue="1" operator="lessThan">
      <formula>0</formula>
    </cfRule>
  </conditionalFormatting>
  <conditionalFormatting sqref="H171:H187">
    <cfRule type="cellIs" dxfId="9529" priority="9525" stopIfTrue="1" operator="lessThan">
      <formula>0.05</formula>
    </cfRule>
    <cfRule type="cellIs" dxfId="9528" priority="9526" stopIfTrue="1" operator="lessThan">
      <formula>0</formula>
    </cfRule>
  </conditionalFormatting>
  <conditionalFormatting sqref="H171:H187">
    <cfRule type="cellIs" dxfId="9527" priority="9523" stopIfTrue="1" operator="lessThan">
      <formula>0</formula>
    </cfRule>
    <cfRule type="cellIs" dxfId="9526" priority="9524" stopIfTrue="1" operator="lessThan">
      <formula>0</formula>
    </cfRule>
  </conditionalFormatting>
  <conditionalFormatting sqref="H171:H187">
    <cfRule type="cellIs" dxfId="9525" priority="9521" stopIfTrue="1" operator="lessThan">
      <formula>0</formula>
    </cfRule>
    <cfRule type="cellIs" dxfId="9524" priority="9522" stopIfTrue="1" operator="lessThan">
      <formula>0</formula>
    </cfRule>
  </conditionalFormatting>
  <conditionalFormatting sqref="H171:H187">
    <cfRule type="cellIs" dxfId="9523" priority="9519" stopIfTrue="1" operator="lessThan">
      <formula>0.05</formula>
    </cfRule>
    <cfRule type="cellIs" dxfId="9522" priority="9520" stopIfTrue="1" operator="lessThan">
      <formula>0</formula>
    </cfRule>
  </conditionalFormatting>
  <conditionalFormatting sqref="H171:H187">
    <cfRule type="cellIs" dxfId="9521" priority="9517" stopIfTrue="1" operator="lessThan">
      <formula>0</formula>
    </cfRule>
    <cfRule type="cellIs" dxfId="9520" priority="9518" stopIfTrue="1" operator="lessThan">
      <formula>0</formula>
    </cfRule>
  </conditionalFormatting>
  <conditionalFormatting sqref="H171:H187">
    <cfRule type="cellIs" dxfId="9519" priority="9515" stopIfTrue="1" operator="lessThan">
      <formula>0</formula>
    </cfRule>
    <cfRule type="cellIs" dxfId="9518" priority="9516" stopIfTrue="1" operator="lessThan">
      <formula>0</formula>
    </cfRule>
  </conditionalFormatting>
  <conditionalFormatting sqref="H171:H187">
    <cfRule type="cellIs" dxfId="9517" priority="9513" stopIfTrue="1" operator="lessThan">
      <formula>0.05</formula>
    </cfRule>
    <cfRule type="cellIs" dxfId="9516" priority="9514" stopIfTrue="1" operator="lessThan">
      <formula>0</formula>
    </cfRule>
  </conditionalFormatting>
  <conditionalFormatting sqref="H171:H187">
    <cfRule type="cellIs" dxfId="9515" priority="9511" stopIfTrue="1" operator="lessThan">
      <formula>0</formula>
    </cfRule>
    <cfRule type="cellIs" dxfId="9514" priority="9512" stopIfTrue="1" operator="lessThan">
      <formula>0</formula>
    </cfRule>
  </conditionalFormatting>
  <conditionalFormatting sqref="H171:H187">
    <cfRule type="cellIs" dxfId="9513" priority="9509" stopIfTrue="1" operator="lessThan">
      <formula>0.05</formula>
    </cfRule>
    <cfRule type="cellIs" dxfId="9512" priority="9510" stopIfTrue="1" operator="lessThan">
      <formula>0</formula>
    </cfRule>
  </conditionalFormatting>
  <conditionalFormatting sqref="H171:H187">
    <cfRule type="cellIs" dxfId="9511" priority="9507" stopIfTrue="1" operator="lessThan">
      <formula>0</formula>
    </cfRule>
    <cfRule type="cellIs" dxfId="9510" priority="9508" stopIfTrue="1" operator="lessThan">
      <formula>0</formula>
    </cfRule>
  </conditionalFormatting>
  <conditionalFormatting sqref="H171:H187">
    <cfRule type="cellIs" dxfId="9509" priority="9505" stopIfTrue="1" operator="lessThan">
      <formula>0.05</formula>
    </cfRule>
    <cfRule type="cellIs" dxfId="9508" priority="9506" stopIfTrue="1" operator="lessThan">
      <formula>0</formula>
    </cfRule>
  </conditionalFormatting>
  <conditionalFormatting sqref="H171:H187">
    <cfRule type="cellIs" dxfId="9507" priority="9503" stopIfTrue="1" operator="lessThan">
      <formula>0</formula>
    </cfRule>
    <cfRule type="cellIs" dxfId="9506" priority="9504" stopIfTrue="1" operator="lessThan">
      <formula>0</formula>
    </cfRule>
  </conditionalFormatting>
  <conditionalFormatting sqref="H171:H187">
    <cfRule type="cellIs" dxfId="9505" priority="9501" stopIfTrue="1" operator="lessThan">
      <formula>0</formula>
    </cfRule>
    <cfRule type="cellIs" dxfId="9504" priority="9502" stopIfTrue="1" operator="lessThan">
      <formula>0</formula>
    </cfRule>
  </conditionalFormatting>
  <conditionalFormatting sqref="H171:H187">
    <cfRule type="cellIs" dxfId="9503" priority="9499" stopIfTrue="1" operator="lessThan">
      <formula>0</formula>
    </cfRule>
    <cfRule type="cellIs" dxfId="9502" priority="9500" stopIfTrue="1" operator="lessThan">
      <formula>0</formula>
    </cfRule>
  </conditionalFormatting>
  <conditionalFormatting sqref="H171:H187">
    <cfRule type="cellIs" dxfId="9501" priority="9497" stopIfTrue="1" operator="lessThan">
      <formula>0.05</formula>
    </cfRule>
    <cfRule type="cellIs" dxfId="9500" priority="9498" stopIfTrue="1" operator="lessThan">
      <formula>0</formula>
    </cfRule>
  </conditionalFormatting>
  <conditionalFormatting sqref="H171:H187">
    <cfRule type="cellIs" dxfId="9499" priority="9495" stopIfTrue="1" operator="lessThan">
      <formula>0</formula>
    </cfRule>
    <cfRule type="cellIs" dxfId="9498" priority="9496" stopIfTrue="1" operator="lessThan">
      <formula>0</formula>
    </cfRule>
  </conditionalFormatting>
  <conditionalFormatting sqref="H171:H187">
    <cfRule type="cellIs" dxfId="9497" priority="9493" stopIfTrue="1" operator="lessThan">
      <formula>0.05</formula>
    </cfRule>
    <cfRule type="cellIs" dxfId="9496" priority="9494" stopIfTrue="1" operator="lessThan">
      <formula>0</formula>
    </cfRule>
  </conditionalFormatting>
  <conditionalFormatting sqref="H171:H187">
    <cfRule type="cellIs" dxfId="9495" priority="9491" stopIfTrue="1" operator="lessThan">
      <formula>0</formula>
    </cfRule>
    <cfRule type="cellIs" dxfId="9494" priority="9492" stopIfTrue="1" operator="lessThan">
      <formula>0</formula>
    </cfRule>
  </conditionalFormatting>
  <conditionalFormatting sqref="H171:H187">
    <cfRule type="cellIs" dxfId="9493" priority="9489" stopIfTrue="1" operator="lessThan">
      <formula>0.05</formula>
    </cfRule>
    <cfRule type="cellIs" dxfId="9492" priority="9490" stopIfTrue="1" operator="lessThan">
      <formula>0</formula>
    </cfRule>
  </conditionalFormatting>
  <conditionalFormatting sqref="H171:H187">
    <cfRule type="cellIs" dxfId="9491" priority="9487" stopIfTrue="1" operator="lessThan">
      <formula>0</formula>
    </cfRule>
    <cfRule type="cellIs" dxfId="9490" priority="9488" stopIfTrue="1" operator="lessThan">
      <formula>0</formula>
    </cfRule>
  </conditionalFormatting>
  <conditionalFormatting sqref="H171:H187">
    <cfRule type="cellIs" dxfId="9489" priority="9485" stopIfTrue="1" operator="lessThan">
      <formula>0</formula>
    </cfRule>
    <cfRule type="cellIs" dxfId="9488" priority="9486" stopIfTrue="1" operator="lessThan">
      <formula>0</formula>
    </cfRule>
  </conditionalFormatting>
  <conditionalFormatting sqref="H171:H187">
    <cfRule type="cellIs" dxfId="9487" priority="9483" stopIfTrue="1" operator="lessThan">
      <formula>0.05</formula>
    </cfRule>
    <cfRule type="cellIs" dxfId="9486" priority="9484" stopIfTrue="1" operator="lessThan">
      <formula>0</formula>
    </cfRule>
  </conditionalFormatting>
  <conditionalFormatting sqref="H171:H187">
    <cfRule type="cellIs" dxfId="9485" priority="9481" stopIfTrue="1" operator="lessThan">
      <formula>0</formula>
    </cfRule>
    <cfRule type="cellIs" dxfId="9484" priority="9482" stopIfTrue="1" operator="lessThan">
      <formula>0</formula>
    </cfRule>
  </conditionalFormatting>
  <conditionalFormatting sqref="H171:H187">
    <cfRule type="cellIs" dxfId="9483" priority="9479" stopIfTrue="1" operator="lessThan">
      <formula>0</formula>
    </cfRule>
    <cfRule type="cellIs" dxfId="9482" priority="9480" stopIfTrue="1" operator="lessThan">
      <formula>0</formula>
    </cfRule>
  </conditionalFormatting>
  <conditionalFormatting sqref="H171:H187">
    <cfRule type="cellIs" dxfId="9481" priority="9477" stopIfTrue="1" operator="lessThan">
      <formula>0.05</formula>
    </cfRule>
    <cfRule type="cellIs" dxfId="9480" priority="9478" stopIfTrue="1" operator="lessThan">
      <formula>0</formula>
    </cfRule>
  </conditionalFormatting>
  <conditionalFormatting sqref="H171:H187">
    <cfRule type="cellIs" dxfId="9479" priority="9475" stopIfTrue="1" operator="lessThan">
      <formula>0</formula>
    </cfRule>
    <cfRule type="cellIs" dxfId="9478" priority="9476" stopIfTrue="1" operator="lessThan">
      <formula>0</formula>
    </cfRule>
  </conditionalFormatting>
  <conditionalFormatting sqref="H171:H187">
    <cfRule type="cellIs" dxfId="9477" priority="9473" stopIfTrue="1" operator="lessThan">
      <formula>0</formula>
    </cfRule>
    <cfRule type="cellIs" dxfId="9476" priority="9474" stopIfTrue="1" operator="lessThan">
      <formula>0</formula>
    </cfRule>
  </conditionalFormatting>
  <conditionalFormatting sqref="H171:H187">
    <cfRule type="cellIs" dxfId="9475" priority="9471" stopIfTrue="1" operator="lessThan">
      <formula>0.05</formula>
    </cfRule>
    <cfRule type="cellIs" dxfId="9474" priority="9472" stopIfTrue="1" operator="lessThan">
      <formula>0</formula>
    </cfRule>
  </conditionalFormatting>
  <conditionalFormatting sqref="H171:H187">
    <cfRule type="cellIs" dxfId="9473" priority="9469" stopIfTrue="1" operator="lessThan">
      <formula>0</formula>
    </cfRule>
    <cfRule type="cellIs" dxfId="9472" priority="9470" stopIfTrue="1" operator="lessThan">
      <formula>0</formula>
    </cfRule>
  </conditionalFormatting>
  <conditionalFormatting sqref="H171:H187">
    <cfRule type="cellIs" dxfId="9471" priority="9467" stopIfTrue="1" operator="lessThan">
      <formula>0</formula>
    </cfRule>
    <cfRule type="cellIs" dxfId="9470" priority="9468" stopIfTrue="1" operator="lessThan">
      <formula>0</formula>
    </cfRule>
  </conditionalFormatting>
  <conditionalFormatting sqref="H171:H187">
    <cfRule type="cellIs" dxfId="9469" priority="9465" stopIfTrue="1" operator="lessThan">
      <formula>0.05</formula>
    </cfRule>
    <cfRule type="cellIs" dxfId="9468" priority="9466" stopIfTrue="1" operator="lessThan">
      <formula>0</formula>
    </cfRule>
  </conditionalFormatting>
  <conditionalFormatting sqref="H171:H187">
    <cfRule type="cellIs" dxfId="9467" priority="9463" stopIfTrue="1" operator="lessThan">
      <formula>0</formula>
    </cfRule>
    <cfRule type="cellIs" dxfId="9466" priority="9464" stopIfTrue="1" operator="lessThan">
      <formula>0</formula>
    </cfRule>
  </conditionalFormatting>
  <conditionalFormatting sqref="H171:H187">
    <cfRule type="cellIs" dxfId="9465" priority="9461" stopIfTrue="1" operator="lessThan">
      <formula>0</formula>
    </cfRule>
    <cfRule type="cellIs" dxfId="9464" priority="9462" stopIfTrue="1" operator="lessThan">
      <formula>0</formula>
    </cfRule>
  </conditionalFormatting>
  <conditionalFormatting sqref="H171:H187">
    <cfRule type="cellIs" dxfId="9463" priority="9459" stopIfTrue="1" operator="lessThan">
      <formula>0.05</formula>
    </cfRule>
    <cfRule type="cellIs" dxfId="9462" priority="9460" stopIfTrue="1" operator="lessThan">
      <formula>0</formula>
    </cfRule>
  </conditionalFormatting>
  <conditionalFormatting sqref="H171:H187">
    <cfRule type="cellIs" dxfId="9461" priority="9457" stopIfTrue="1" operator="lessThan">
      <formula>0</formula>
    </cfRule>
    <cfRule type="cellIs" dxfId="9460" priority="9458" stopIfTrue="1" operator="lessThan">
      <formula>0</formula>
    </cfRule>
  </conditionalFormatting>
  <conditionalFormatting sqref="H171:H187">
    <cfRule type="cellIs" dxfId="9459" priority="9455" stopIfTrue="1" operator="lessThan">
      <formula>0</formula>
    </cfRule>
    <cfRule type="cellIs" dxfId="9458" priority="9456" stopIfTrue="1" operator="lessThan">
      <formula>0</formula>
    </cfRule>
  </conditionalFormatting>
  <conditionalFormatting sqref="H171:H187">
    <cfRule type="cellIs" dxfId="9457" priority="9453" stopIfTrue="1" operator="lessThan">
      <formula>0.05</formula>
    </cfRule>
    <cfRule type="cellIs" dxfId="9456" priority="9454" stopIfTrue="1" operator="lessThan">
      <formula>0</formula>
    </cfRule>
  </conditionalFormatting>
  <conditionalFormatting sqref="H171:H187">
    <cfRule type="cellIs" dxfId="9455" priority="9451" stopIfTrue="1" operator="lessThan">
      <formula>0</formula>
    </cfRule>
    <cfRule type="cellIs" dxfId="9454" priority="9452" stopIfTrue="1" operator="lessThan">
      <formula>0</formula>
    </cfRule>
  </conditionalFormatting>
  <conditionalFormatting sqref="H171:H187">
    <cfRule type="cellIs" dxfId="9453" priority="9449" stopIfTrue="1" operator="lessThan">
      <formula>0</formula>
    </cfRule>
    <cfRule type="cellIs" dxfId="9452" priority="9450" stopIfTrue="1" operator="lessThan">
      <formula>0</formula>
    </cfRule>
  </conditionalFormatting>
  <conditionalFormatting sqref="H171:H187">
    <cfRule type="cellIs" dxfId="9451" priority="9447" stopIfTrue="1" operator="lessThan">
      <formula>0.05</formula>
    </cfRule>
    <cfRule type="cellIs" dxfId="9450" priority="9448" stopIfTrue="1" operator="lessThan">
      <formula>0</formula>
    </cfRule>
  </conditionalFormatting>
  <conditionalFormatting sqref="H171:H187">
    <cfRule type="cellIs" dxfId="9449" priority="9445" stopIfTrue="1" operator="lessThan">
      <formula>0</formula>
    </cfRule>
    <cfRule type="cellIs" dxfId="9448" priority="9446" stopIfTrue="1" operator="lessThan">
      <formula>0</formula>
    </cfRule>
  </conditionalFormatting>
  <conditionalFormatting sqref="H171:H187">
    <cfRule type="cellIs" dxfId="9447" priority="9443" stopIfTrue="1" operator="lessThan">
      <formula>0</formula>
    </cfRule>
    <cfRule type="cellIs" dxfId="9446" priority="9444" stopIfTrue="1" operator="lessThan">
      <formula>0</formula>
    </cfRule>
  </conditionalFormatting>
  <conditionalFormatting sqref="H171:H187">
    <cfRule type="cellIs" dxfId="9445" priority="9441" stopIfTrue="1" operator="lessThan">
      <formula>0.05</formula>
    </cfRule>
    <cfRule type="cellIs" dxfId="9444" priority="9442" stopIfTrue="1" operator="lessThan">
      <formula>0</formula>
    </cfRule>
  </conditionalFormatting>
  <conditionalFormatting sqref="H171:H187">
    <cfRule type="cellIs" dxfId="9443" priority="9439" stopIfTrue="1" operator="lessThan">
      <formula>0</formula>
    </cfRule>
    <cfRule type="cellIs" dxfId="9442" priority="9440" stopIfTrue="1" operator="lessThan">
      <formula>0</formula>
    </cfRule>
  </conditionalFormatting>
  <conditionalFormatting sqref="H171:H187">
    <cfRule type="cellIs" dxfId="9441" priority="9437" stopIfTrue="1" operator="lessThan">
      <formula>0</formula>
    </cfRule>
    <cfRule type="cellIs" dxfId="9440" priority="9438" stopIfTrue="1" operator="lessThan">
      <formula>0</formula>
    </cfRule>
  </conditionalFormatting>
  <conditionalFormatting sqref="H171:H187">
    <cfRule type="cellIs" dxfId="9439" priority="9435" stopIfTrue="1" operator="lessThan">
      <formula>0.05</formula>
    </cfRule>
    <cfRule type="cellIs" dxfId="9438" priority="9436" stopIfTrue="1" operator="lessThan">
      <formula>0</formula>
    </cfRule>
  </conditionalFormatting>
  <conditionalFormatting sqref="H171:H187">
    <cfRule type="cellIs" dxfId="9437" priority="9433" stopIfTrue="1" operator="lessThan">
      <formula>0</formula>
    </cfRule>
    <cfRule type="cellIs" dxfId="9436" priority="9434" stopIfTrue="1" operator="lessThan">
      <formula>0</formula>
    </cfRule>
  </conditionalFormatting>
  <conditionalFormatting sqref="H171:H187">
    <cfRule type="cellIs" dxfId="9435" priority="9431" stopIfTrue="1" operator="lessThan">
      <formula>0</formula>
    </cfRule>
    <cfRule type="cellIs" dxfId="9434" priority="9432" stopIfTrue="1" operator="lessThan">
      <formula>0</formula>
    </cfRule>
  </conditionalFormatting>
  <conditionalFormatting sqref="H171:H187">
    <cfRule type="cellIs" dxfId="9433" priority="9429" stopIfTrue="1" operator="lessThan">
      <formula>0.05</formula>
    </cfRule>
    <cfRule type="cellIs" dxfId="9432" priority="9430" stopIfTrue="1" operator="lessThan">
      <formula>0</formula>
    </cfRule>
  </conditionalFormatting>
  <conditionalFormatting sqref="H171:H187">
    <cfRule type="cellIs" dxfId="9431" priority="9427" stopIfTrue="1" operator="lessThan">
      <formula>0</formula>
    </cfRule>
    <cfRule type="cellIs" dxfId="9430" priority="9428" stopIfTrue="1" operator="lessThan">
      <formula>0</formula>
    </cfRule>
  </conditionalFormatting>
  <conditionalFormatting sqref="H171:H187">
    <cfRule type="cellIs" dxfId="9429" priority="9425" stopIfTrue="1" operator="lessThan">
      <formula>0</formula>
    </cfRule>
    <cfRule type="cellIs" dxfId="9428" priority="9426" stopIfTrue="1" operator="lessThan">
      <formula>0</formula>
    </cfRule>
  </conditionalFormatting>
  <conditionalFormatting sqref="H171:H187">
    <cfRule type="cellIs" dxfId="9427" priority="9423" stopIfTrue="1" operator="lessThan">
      <formula>0.05</formula>
    </cfRule>
    <cfRule type="cellIs" dxfId="9426" priority="9424" stopIfTrue="1" operator="lessThan">
      <formula>0</formula>
    </cfRule>
  </conditionalFormatting>
  <conditionalFormatting sqref="H171:H187">
    <cfRule type="cellIs" dxfId="9425" priority="9421" stopIfTrue="1" operator="lessThan">
      <formula>0</formula>
    </cfRule>
    <cfRule type="cellIs" dxfId="9424" priority="9422" stopIfTrue="1" operator="lessThan">
      <formula>0</formula>
    </cfRule>
  </conditionalFormatting>
  <conditionalFormatting sqref="H171:H187">
    <cfRule type="cellIs" dxfId="9423" priority="9419" stopIfTrue="1" operator="lessThan">
      <formula>0</formula>
    </cfRule>
    <cfRule type="cellIs" dxfId="9422" priority="9420" stopIfTrue="1" operator="lessThan">
      <formula>0</formula>
    </cfRule>
  </conditionalFormatting>
  <conditionalFormatting sqref="H171:H187">
    <cfRule type="cellIs" dxfId="9421" priority="9417" stopIfTrue="1" operator="lessThan">
      <formula>0.05</formula>
    </cfRule>
    <cfRule type="cellIs" dxfId="9420" priority="9418" stopIfTrue="1" operator="lessThan">
      <formula>0</formula>
    </cfRule>
  </conditionalFormatting>
  <conditionalFormatting sqref="H171:H187">
    <cfRule type="cellIs" dxfId="9419" priority="9415" stopIfTrue="1" operator="lessThan">
      <formula>0</formula>
    </cfRule>
    <cfRule type="cellIs" dxfId="9418" priority="9416" stopIfTrue="1" operator="lessThan">
      <formula>0</formula>
    </cfRule>
  </conditionalFormatting>
  <conditionalFormatting sqref="H171:H187">
    <cfRule type="cellIs" dxfId="9417" priority="9413" stopIfTrue="1" operator="lessThan">
      <formula>0</formula>
    </cfRule>
    <cfRule type="cellIs" dxfId="9416" priority="9414" stopIfTrue="1" operator="lessThan">
      <formula>0</formula>
    </cfRule>
  </conditionalFormatting>
  <conditionalFormatting sqref="H171:H187">
    <cfRule type="cellIs" dxfId="9415" priority="9411" stopIfTrue="1" operator="lessThan">
      <formula>0.05</formula>
    </cfRule>
    <cfRule type="cellIs" dxfId="9414" priority="9412" stopIfTrue="1" operator="lessThan">
      <formula>0</formula>
    </cfRule>
  </conditionalFormatting>
  <conditionalFormatting sqref="H171:H187">
    <cfRule type="cellIs" dxfId="9413" priority="9409" stopIfTrue="1" operator="lessThan">
      <formula>0</formula>
    </cfRule>
    <cfRule type="cellIs" dxfId="9412" priority="9410" stopIfTrue="1" operator="lessThan">
      <formula>0</formula>
    </cfRule>
  </conditionalFormatting>
  <conditionalFormatting sqref="H171:H187">
    <cfRule type="cellIs" dxfId="9411" priority="9407" stopIfTrue="1" operator="lessThan">
      <formula>0</formula>
    </cfRule>
    <cfRule type="cellIs" dxfId="9410" priority="9408" stopIfTrue="1" operator="lessThan">
      <formula>0</formula>
    </cfRule>
  </conditionalFormatting>
  <conditionalFormatting sqref="H171:H187">
    <cfRule type="cellIs" dxfId="9409" priority="9405" stopIfTrue="1" operator="lessThan">
      <formula>0.05</formula>
    </cfRule>
    <cfRule type="cellIs" dxfId="9408" priority="9406" stopIfTrue="1" operator="lessThan">
      <formula>0</formula>
    </cfRule>
  </conditionalFormatting>
  <conditionalFormatting sqref="H171:H187">
    <cfRule type="cellIs" dxfId="9407" priority="9403" stopIfTrue="1" operator="lessThan">
      <formula>0</formula>
    </cfRule>
    <cfRule type="cellIs" dxfId="9406" priority="9404" stopIfTrue="1" operator="lessThan">
      <formula>0</formula>
    </cfRule>
  </conditionalFormatting>
  <conditionalFormatting sqref="H171:H187">
    <cfRule type="cellIs" dxfId="9405" priority="9401" stopIfTrue="1" operator="lessThan">
      <formula>0.05</formula>
    </cfRule>
    <cfRule type="cellIs" dxfId="9404" priority="9402" stopIfTrue="1" operator="lessThan">
      <formula>0</formula>
    </cfRule>
  </conditionalFormatting>
  <conditionalFormatting sqref="H171:H187">
    <cfRule type="cellIs" dxfId="9403" priority="9399" stopIfTrue="1" operator="lessThan">
      <formula>0</formula>
    </cfRule>
    <cfRule type="cellIs" dxfId="9402" priority="9400" stopIfTrue="1" operator="lessThan">
      <formula>0</formula>
    </cfRule>
  </conditionalFormatting>
  <conditionalFormatting sqref="H171:H187">
    <cfRule type="cellIs" dxfId="9401" priority="9397" stopIfTrue="1" operator="lessThan">
      <formula>0.05</formula>
    </cfRule>
    <cfRule type="cellIs" dxfId="9400" priority="9398" stopIfTrue="1" operator="lessThan">
      <formula>0</formula>
    </cfRule>
  </conditionalFormatting>
  <conditionalFormatting sqref="H171:H187">
    <cfRule type="cellIs" dxfId="9399" priority="9395" stopIfTrue="1" operator="lessThan">
      <formula>0</formula>
    </cfRule>
    <cfRule type="cellIs" dxfId="9398" priority="9396" stopIfTrue="1" operator="lessThan">
      <formula>0</formula>
    </cfRule>
  </conditionalFormatting>
  <conditionalFormatting sqref="H171:H187">
    <cfRule type="cellIs" dxfId="9397" priority="9393" stopIfTrue="1" operator="lessThan">
      <formula>0</formula>
    </cfRule>
    <cfRule type="cellIs" dxfId="9396" priority="9394" stopIfTrue="1" operator="lessThan">
      <formula>0</formula>
    </cfRule>
  </conditionalFormatting>
  <conditionalFormatting sqref="H171:H187">
    <cfRule type="cellIs" dxfId="9395" priority="9391" stopIfTrue="1" operator="lessThan">
      <formula>0</formula>
    </cfRule>
    <cfRule type="cellIs" dxfId="9394" priority="9392" stopIfTrue="1" operator="lessThan">
      <formula>0</formula>
    </cfRule>
  </conditionalFormatting>
  <conditionalFormatting sqref="H171:H187">
    <cfRule type="cellIs" dxfId="9393" priority="9389" stopIfTrue="1" operator="lessThan">
      <formula>0.05</formula>
    </cfRule>
    <cfRule type="cellIs" dxfId="9392" priority="9390" stopIfTrue="1" operator="lessThan">
      <formula>0</formula>
    </cfRule>
  </conditionalFormatting>
  <conditionalFormatting sqref="H171:H187">
    <cfRule type="cellIs" dxfId="9391" priority="9387" stopIfTrue="1" operator="lessThan">
      <formula>0</formula>
    </cfRule>
    <cfRule type="cellIs" dxfId="9390" priority="9388" stopIfTrue="1" operator="lessThan">
      <formula>0</formula>
    </cfRule>
  </conditionalFormatting>
  <conditionalFormatting sqref="H171:H187">
    <cfRule type="cellIs" dxfId="9389" priority="9385" stopIfTrue="1" operator="lessThan">
      <formula>0.05</formula>
    </cfRule>
    <cfRule type="cellIs" dxfId="9388" priority="9386" stopIfTrue="1" operator="lessThan">
      <formula>0</formula>
    </cfRule>
  </conditionalFormatting>
  <conditionalFormatting sqref="H171:H187">
    <cfRule type="cellIs" dxfId="9387" priority="9383" stopIfTrue="1" operator="lessThan">
      <formula>0</formula>
    </cfRule>
    <cfRule type="cellIs" dxfId="9386" priority="9384" stopIfTrue="1" operator="lessThan">
      <formula>0</formula>
    </cfRule>
  </conditionalFormatting>
  <conditionalFormatting sqref="H171:H187">
    <cfRule type="cellIs" dxfId="9385" priority="9381" stopIfTrue="1" operator="lessThan">
      <formula>0.05</formula>
    </cfRule>
    <cfRule type="cellIs" dxfId="9384" priority="9382" stopIfTrue="1" operator="lessThan">
      <formula>0</formula>
    </cfRule>
  </conditionalFormatting>
  <conditionalFormatting sqref="H171:H187">
    <cfRule type="cellIs" dxfId="9383" priority="9379" stopIfTrue="1" operator="lessThan">
      <formula>0</formula>
    </cfRule>
    <cfRule type="cellIs" dxfId="9382" priority="9380" stopIfTrue="1" operator="lessThan">
      <formula>0</formula>
    </cfRule>
  </conditionalFormatting>
  <conditionalFormatting sqref="H171:H187">
    <cfRule type="cellIs" dxfId="9381" priority="9378" stopIfTrue="1" operator="lessThan">
      <formula>0.05</formula>
    </cfRule>
  </conditionalFormatting>
  <conditionalFormatting sqref="H191:H207">
    <cfRule type="cellIs" dxfId="9380" priority="9376" stopIfTrue="1" operator="lessThan">
      <formula>0</formula>
    </cfRule>
    <cfRule type="cellIs" dxfId="9379" priority="9377" stopIfTrue="1" operator="lessThan">
      <formula>0</formula>
    </cfRule>
  </conditionalFormatting>
  <conditionalFormatting sqref="H191:H207">
    <cfRule type="cellIs" dxfId="9378" priority="9374" stopIfTrue="1" operator="lessThan">
      <formula>0</formula>
    </cfRule>
    <cfRule type="cellIs" dxfId="9377" priority="9375" stopIfTrue="1" operator="lessThan">
      <formula>0</formula>
    </cfRule>
  </conditionalFormatting>
  <conditionalFormatting sqref="H191:H207">
    <cfRule type="cellIs" dxfId="9376" priority="9372" stopIfTrue="1" operator="lessThan">
      <formula>0.05</formula>
    </cfRule>
    <cfRule type="cellIs" dxfId="9375" priority="9373" stopIfTrue="1" operator="lessThan">
      <formula>0</formula>
    </cfRule>
  </conditionalFormatting>
  <conditionalFormatting sqref="H191:H207">
    <cfRule type="cellIs" dxfId="9374" priority="9370" stopIfTrue="1" operator="lessThan">
      <formula>0</formula>
    </cfRule>
    <cfRule type="cellIs" dxfId="9373" priority="9371" stopIfTrue="1" operator="lessThan">
      <formula>0</formula>
    </cfRule>
  </conditionalFormatting>
  <conditionalFormatting sqref="H191:H207">
    <cfRule type="cellIs" dxfId="9372" priority="9368" stopIfTrue="1" operator="lessThan">
      <formula>0.05</formula>
    </cfRule>
    <cfRule type="cellIs" dxfId="9371" priority="9369" stopIfTrue="1" operator="lessThan">
      <formula>0</formula>
    </cfRule>
  </conditionalFormatting>
  <conditionalFormatting sqref="H191:H207">
    <cfRule type="cellIs" dxfId="9370" priority="9366" stopIfTrue="1" operator="lessThan">
      <formula>0</formula>
    </cfRule>
    <cfRule type="cellIs" dxfId="9369" priority="9367" stopIfTrue="1" operator="lessThan">
      <formula>0</formula>
    </cfRule>
  </conditionalFormatting>
  <conditionalFormatting sqref="H191:H207">
    <cfRule type="cellIs" dxfId="9368" priority="9364" stopIfTrue="1" operator="lessThan">
      <formula>0.05</formula>
    </cfRule>
    <cfRule type="cellIs" dxfId="9367" priority="9365" stopIfTrue="1" operator="lessThan">
      <formula>0</formula>
    </cfRule>
  </conditionalFormatting>
  <conditionalFormatting sqref="H191:H207">
    <cfRule type="cellIs" dxfId="9366" priority="9362" stopIfTrue="1" operator="lessThan">
      <formula>0</formula>
    </cfRule>
    <cfRule type="cellIs" dxfId="9365" priority="9363" stopIfTrue="1" operator="lessThan">
      <formula>0</formula>
    </cfRule>
  </conditionalFormatting>
  <conditionalFormatting sqref="H191:H207">
    <cfRule type="cellIs" dxfId="9364" priority="9360" stopIfTrue="1" operator="lessThan">
      <formula>0</formula>
    </cfRule>
    <cfRule type="cellIs" dxfId="9363" priority="9361" stopIfTrue="1" operator="lessThan">
      <formula>0</formula>
    </cfRule>
  </conditionalFormatting>
  <conditionalFormatting sqref="H191:H207">
    <cfRule type="cellIs" dxfId="9362" priority="9358" stopIfTrue="1" operator="lessThan">
      <formula>0</formula>
    </cfRule>
    <cfRule type="cellIs" dxfId="9361" priority="9359" stopIfTrue="1" operator="lessThan">
      <formula>0</formula>
    </cfRule>
  </conditionalFormatting>
  <conditionalFormatting sqref="H191:H207">
    <cfRule type="cellIs" dxfId="9360" priority="9356" stopIfTrue="1" operator="lessThan">
      <formula>0.05</formula>
    </cfRule>
    <cfRule type="cellIs" dxfId="9359" priority="9357" stopIfTrue="1" operator="lessThan">
      <formula>0</formula>
    </cfRule>
  </conditionalFormatting>
  <conditionalFormatting sqref="H191:H207">
    <cfRule type="cellIs" dxfId="9358" priority="9354" stopIfTrue="1" operator="lessThan">
      <formula>0</formula>
    </cfRule>
    <cfRule type="cellIs" dxfId="9357" priority="9355" stopIfTrue="1" operator="lessThan">
      <formula>0</formula>
    </cfRule>
  </conditionalFormatting>
  <conditionalFormatting sqref="H191:H207">
    <cfRule type="cellIs" dxfId="9356" priority="9352" stopIfTrue="1" operator="lessThan">
      <formula>0.05</formula>
    </cfRule>
    <cfRule type="cellIs" dxfId="9355" priority="9353" stopIfTrue="1" operator="lessThan">
      <formula>0</formula>
    </cfRule>
  </conditionalFormatting>
  <conditionalFormatting sqref="H191:H207">
    <cfRule type="cellIs" dxfId="9354" priority="9350" stopIfTrue="1" operator="lessThan">
      <formula>0</formula>
    </cfRule>
    <cfRule type="cellIs" dxfId="9353" priority="9351" stopIfTrue="1" operator="lessThan">
      <formula>0</formula>
    </cfRule>
  </conditionalFormatting>
  <conditionalFormatting sqref="H191:H207">
    <cfRule type="cellIs" dxfId="9352" priority="9348" stopIfTrue="1" operator="lessThan">
      <formula>0.05</formula>
    </cfRule>
    <cfRule type="cellIs" dxfId="9351" priority="9349" stopIfTrue="1" operator="lessThan">
      <formula>0</formula>
    </cfRule>
  </conditionalFormatting>
  <conditionalFormatting sqref="H191:H207">
    <cfRule type="cellIs" dxfId="9350" priority="9346" stopIfTrue="1" operator="lessThan">
      <formula>0</formula>
    </cfRule>
    <cfRule type="cellIs" dxfId="9349" priority="9347" stopIfTrue="1" operator="lessThan">
      <formula>0</formula>
    </cfRule>
  </conditionalFormatting>
  <conditionalFormatting sqref="H191:H207">
    <cfRule type="cellIs" dxfId="9348" priority="9344" stopIfTrue="1" operator="lessThan">
      <formula>0</formula>
    </cfRule>
    <cfRule type="cellIs" dxfId="9347" priority="9345" stopIfTrue="1" operator="lessThan">
      <formula>0</formula>
    </cfRule>
  </conditionalFormatting>
  <conditionalFormatting sqref="H191:H207">
    <cfRule type="cellIs" dxfId="9346" priority="9342" stopIfTrue="1" operator="lessThan">
      <formula>0</formula>
    </cfRule>
    <cfRule type="cellIs" dxfId="9345" priority="9343" stopIfTrue="1" operator="lessThan">
      <formula>0</formula>
    </cfRule>
  </conditionalFormatting>
  <conditionalFormatting sqref="H191:H207">
    <cfRule type="cellIs" dxfId="9344" priority="9340" stopIfTrue="1" operator="lessThan">
      <formula>0.05</formula>
    </cfRule>
    <cfRule type="cellIs" dxfId="9343" priority="9341" stopIfTrue="1" operator="lessThan">
      <formula>0</formula>
    </cfRule>
  </conditionalFormatting>
  <conditionalFormatting sqref="H191:H207">
    <cfRule type="cellIs" dxfId="9342" priority="9338" stopIfTrue="1" operator="lessThan">
      <formula>0</formula>
    </cfRule>
    <cfRule type="cellIs" dxfId="9341" priority="9339" stopIfTrue="1" operator="lessThan">
      <formula>0</formula>
    </cfRule>
  </conditionalFormatting>
  <conditionalFormatting sqref="H191:H207">
    <cfRule type="cellIs" dxfId="9340" priority="9336" stopIfTrue="1" operator="lessThan">
      <formula>0.05</formula>
    </cfRule>
    <cfRule type="cellIs" dxfId="9339" priority="9337" stopIfTrue="1" operator="lessThan">
      <formula>0</formula>
    </cfRule>
  </conditionalFormatting>
  <conditionalFormatting sqref="H191:H207">
    <cfRule type="cellIs" dxfId="9338" priority="9334" stopIfTrue="1" operator="lessThan">
      <formula>0</formula>
    </cfRule>
    <cfRule type="cellIs" dxfId="9337" priority="9335" stopIfTrue="1" operator="lessThan">
      <formula>0</formula>
    </cfRule>
  </conditionalFormatting>
  <conditionalFormatting sqref="H191:H207">
    <cfRule type="cellIs" dxfId="9336" priority="9332" stopIfTrue="1" operator="lessThan">
      <formula>0.05</formula>
    </cfRule>
    <cfRule type="cellIs" dxfId="9335" priority="9333" stopIfTrue="1" operator="lessThan">
      <formula>0</formula>
    </cfRule>
  </conditionalFormatting>
  <conditionalFormatting sqref="H191:H207">
    <cfRule type="cellIs" dxfId="9334" priority="9330" stopIfTrue="1" operator="lessThan">
      <formula>0</formula>
    </cfRule>
    <cfRule type="cellIs" dxfId="9333" priority="9331" stopIfTrue="1" operator="lessThan">
      <formula>0</formula>
    </cfRule>
  </conditionalFormatting>
  <conditionalFormatting sqref="H191:H207">
    <cfRule type="cellIs" dxfId="9332" priority="9328" stopIfTrue="1" operator="lessThan">
      <formula>0</formula>
    </cfRule>
    <cfRule type="cellIs" dxfId="9331" priority="9329" stopIfTrue="1" operator="lessThan">
      <formula>0</formula>
    </cfRule>
  </conditionalFormatting>
  <conditionalFormatting sqref="H191:H207">
    <cfRule type="cellIs" dxfId="9330" priority="9326" stopIfTrue="1" operator="lessThan">
      <formula>0</formula>
    </cfRule>
    <cfRule type="cellIs" dxfId="9329" priority="9327" stopIfTrue="1" operator="lessThan">
      <formula>0</formula>
    </cfRule>
  </conditionalFormatting>
  <conditionalFormatting sqref="H191:H207">
    <cfRule type="cellIs" dxfId="9328" priority="9324" stopIfTrue="1" operator="lessThan">
      <formula>0.05</formula>
    </cfRule>
    <cfRule type="cellIs" dxfId="9327" priority="9325" stopIfTrue="1" operator="lessThan">
      <formula>0</formula>
    </cfRule>
  </conditionalFormatting>
  <conditionalFormatting sqref="H191:H207">
    <cfRule type="cellIs" dxfId="9326" priority="9322" stopIfTrue="1" operator="lessThan">
      <formula>0</formula>
    </cfRule>
    <cfRule type="cellIs" dxfId="9325" priority="9323" stopIfTrue="1" operator="lessThan">
      <formula>0</formula>
    </cfRule>
  </conditionalFormatting>
  <conditionalFormatting sqref="H191:H207">
    <cfRule type="cellIs" dxfId="9324" priority="9320" stopIfTrue="1" operator="lessThan">
      <formula>0.05</formula>
    </cfRule>
    <cfRule type="cellIs" dxfId="9323" priority="9321" stopIfTrue="1" operator="lessThan">
      <formula>0</formula>
    </cfRule>
  </conditionalFormatting>
  <conditionalFormatting sqref="H191:H207">
    <cfRule type="cellIs" dxfId="9322" priority="9318" stopIfTrue="1" operator="lessThan">
      <formula>0</formula>
    </cfRule>
    <cfRule type="cellIs" dxfId="9321" priority="9319" stopIfTrue="1" operator="lessThan">
      <formula>0</formula>
    </cfRule>
  </conditionalFormatting>
  <conditionalFormatting sqref="H191:H207">
    <cfRule type="cellIs" dxfId="9320" priority="9316" stopIfTrue="1" operator="lessThan">
      <formula>0.05</formula>
    </cfRule>
    <cfRule type="cellIs" dxfId="9319" priority="9317" stopIfTrue="1" operator="lessThan">
      <formula>0</formula>
    </cfRule>
  </conditionalFormatting>
  <conditionalFormatting sqref="H191:H207">
    <cfRule type="cellIs" dxfId="9318" priority="9314" stopIfTrue="1" operator="lessThan">
      <formula>0</formula>
    </cfRule>
    <cfRule type="cellIs" dxfId="9317" priority="9315" stopIfTrue="1" operator="lessThan">
      <formula>0</formula>
    </cfRule>
  </conditionalFormatting>
  <conditionalFormatting sqref="H191:H207">
    <cfRule type="cellIs" dxfId="9316" priority="9312" stopIfTrue="1" operator="lessThan">
      <formula>0</formula>
    </cfRule>
    <cfRule type="cellIs" dxfId="9315" priority="9313" stopIfTrue="1" operator="lessThan">
      <formula>0</formula>
    </cfRule>
  </conditionalFormatting>
  <conditionalFormatting sqref="H191:H207">
    <cfRule type="cellIs" dxfId="9314" priority="9310" stopIfTrue="1" operator="lessThan">
      <formula>0.05</formula>
    </cfRule>
    <cfRule type="cellIs" dxfId="9313" priority="9311" stopIfTrue="1" operator="lessThan">
      <formula>0</formula>
    </cfRule>
  </conditionalFormatting>
  <conditionalFormatting sqref="H191:H207">
    <cfRule type="cellIs" dxfId="9312" priority="9308" stopIfTrue="1" operator="lessThan">
      <formula>0</formula>
    </cfRule>
    <cfRule type="cellIs" dxfId="9311" priority="9309" stopIfTrue="1" operator="lessThan">
      <formula>0</formula>
    </cfRule>
  </conditionalFormatting>
  <conditionalFormatting sqref="H191:H207">
    <cfRule type="cellIs" dxfId="9310" priority="9306" stopIfTrue="1" operator="lessThan">
      <formula>0</formula>
    </cfRule>
    <cfRule type="cellIs" dxfId="9309" priority="9307" stopIfTrue="1" operator="lessThan">
      <formula>0</formula>
    </cfRule>
  </conditionalFormatting>
  <conditionalFormatting sqref="H191:H207">
    <cfRule type="cellIs" dxfId="9308" priority="9304" stopIfTrue="1" operator="lessThan">
      <formula>0.05</formula>
    </cfRule>
    <cfRule type="cellIs" dxfId="9307" priority="9305" stopIfTrue="1" operator="lessThan">
      <formula>0</formula>
    </cfRule>
  </conditionalFormatting>
  <conditionalFormatting sqref="H191:H207">
    <cfRule type="cellIs" dxfId="9306" priority="9302" stopIfTrue="1" operator="lessThan">
      <formula>0</formula>
    </cfRule>
    <cfRule type="cellIs" dxfId="9305" priority="9303" stopIfTrue="1" operator="lessThan">
      <formula>0</formula>
    </cfRule>
  </conditionalFormatting>
  <conditionalFormatting sqref="H191:H207">
    <cfRule type="cellIs" dxfId="9304" priority="9300" stopIfTrue="1" operator="lessThan">
      <formula>0</formula>
    </cfRule>
    <cfRule type="cellIs" dxfId="9303" priority="9301" stopIfTrue="1" operator="lessThan">
      <formula>0</formula>
    </cfRule>
  </conditionalFormatting>
  <conditionalFormatting sqref="H191:H207">
    <cfRule type="cellIs" dxfId="9302" priority="9298" stopIfTrue="1" operator="lessThan">
      <formula>0.05</formula>
    </cfRule>
    <cfRule type="cellIs" dxfId="9301" priority="9299" stopIfTrue="1" operator="lessThan">
      <formula>0</formula>
    </cfRule>
  </conditionalFormatting>
  <conditionalFormatting sqref="H191:H207">
    <cfRule type="cellIs" dxfId="9300" priority="9296" stopIfTrue="1" operator="lessThan">
      <formula>0</formula>
    </cfRule>
    <cfRule type="cellIs" dxfId="9299" priority="9297" stopIfTrue="1" operator="lessThan">
      <formula>0</formula>
    </cfRule>
  </conditionalFormatting>
  <conditionalFormatting sqref="H191:H207">
    <cfRule type="cellIs" dxfId="9298" priority="9294" stopIfTrue="1" operator="lessThan">
      <formula>0</formula>
    </cfRule>
    <cfRule type="cellIs" dxfId="9297" priority="9295" stopIfTrue="1" operator="lessThan">
      <formula>0</formula>
    </cfRule>
  </conditionalFormatting>
  <conditionalFormatting sqref="H191:H207">
    <cfRule type="cellIs" dxfId="9296" priority="9292" stopIfTrue="1" operator="lessThan">
      <formula>0.05</formula>
    </cfRule>
    <cfRule type="cellIs" dxfId="9295" priority="9293" stopIfTrue="1" operator="lessThan">
      <formula>0</formula>
    </cfRule>
  </conditionalFormatting>
  <conditionalFormatting sqref="H191:H207">
    <cfRule type="cellIs" dxfId="9294" priority="9290" stopIfTrue="1" operator="lessThan">
      <formula>0</formula>
    </cfRule>
    <cfRule type="cellIs" dxfId="9293" priority="9291" stopIfTrue="1" operator="lessThan">
      <formula>0</formula>
    </cfRule>
  </conditionalFormatting>
  <conditionalFormatting sqref="H191:H207">
    <cfRule type="cellIs" dxfId="9292" priority="9288" stopIfTrue="1" operator="lessThan">
      <formula>0</formula>
    </cfRule>
    <cfRule type="cellIs" dxfId="9291" priority="9289" stopIfTrue="1" operator="lessThan">
      <formula>0</formula>
    </cfRule>
  </conditionalFormatting>
  <conditionalFormatting sqref="H191:H207">
    <cfRule type="cellIs" dxfId="9290" priority="9286" stopIfTrue="1" operator="lessThan">
      <formula>0.05</formula>
    </cfRule>
    <cfRule type="cellIs" dxfId="9289" priority="9287" stopIfTrue="1" operator="lessThan">
      <formula>0</formula>
    </cfRule>
  </conditionalFormatting>
  <conditionalFormatting sqref="H191:H207">
    <cfRule type="cellIs" dxfId="9288" priority="9284" stopIfTrue="1" operator="lessThan">
      <formula>0</formula>
    </cfRule>
    <cfRule type="cellIs" dxfId="9287" priority="9285" stopIfTrue="1" operator="lessThan">
      <formula>0</formula>
    </cfRule>
  </conditionalFormatting>
  <conditionalFormatting sqref="H191:H207">
    <cfRule type="cellIs" dxfId="9286" priority="9282" stopIfTrue="1" operator="lessThan">
      <formula>0</formula>
    </cfRule>
    <cfRule type="cellIs" dxfId="9285" priority="9283" stopIfTrue="1" operator="lessThan">
      <formula>0</formula>
    </cfRule>
  </conditionalFormatting>
  <conditionalFormatting sqref="H191:H207">
    <cfRule type="cellIs" dxfId="9284" priority="9280" stopIfTrue="1" operator="lessThan">
      <formula>0.05</formula>
    </cfRule>
    <cfRule type="cellIs" dxfId="9283" priority="9281" stopIfTrue="1" operator="lessThan">
      <formula>0</formula>
    </cfRule>
  </conditionalFormatting>
  <conditionalFormatting sqref="H191:H207">
    <cfRule type="cellIs" dxfId="9282" priority="9278" stopIfTrue="1" operator="lessThan">
      <formula>0</formula>
    </cfRule>
    <cfRule type="cellIs" dxfId="9281" priority="9279" stopIfTrue="1" operator="lessThan">
      <formula>0</formula>
    </cfRule>
  </conditionalFormatting>
  <conditionalFormatting sqref="H191:H207">
    <cfRule type="cellIs" dxfId="9280" priority="9276" stopIfTrue="1" operator="lessThan">
      <formula>0</formula>
    </cfRule>
    <cfRule type="cellIs" dxfId="9279" priority="9277" stopIfTrue="1" operator="lessThan">
      <formula>0</formula>
    </cfRule>
  </conditionalFormatting>
  <conditionalFormatting sqref="H191:H207">
    <cfRule type="cellIs" dxfId="9278" priority="9274" stopIfTrue="1" operator="lessThan">
      <formula>0.05</formula>
    </cfRule>
    <cfRule type="cellIs" dxfId="9277" priority="9275" stopIfTrue="1" operator="lessThan">
      <formula>0</formula>
    </cfRule>
  </conditionalFormatting>
  <conditionalFormatting sqref="H191:H207">
    <cfRule type="cellIs" dxfId="9276" priority="9272" stopIfTrue="1" operator="lessThan">
      <formula>0</formula>
    </cfRule>
    <cfRule type="cellIs" dxfId="9275" priority="9273" stopIfTrue="1" operator="lessThan">
      <formula>0</formula>
    </cfRule>
  </conditionalFormatting>
  <conditionalFormatting sqref="H191:H207">
    <cfRule type="cellIs" dxfId="9274" priority="9270" stopIfTrue="1" operator="lessThan">
      <formula>0</formula>
    </cfRule>
    <cfRule type="cellIs" dxfId="9273" priority="9271" stopIfTrue="1" operator="lessThan">
      <formula>0</formula>
    </cfRule>
  </conditionalFormatting>
  <conditionalFormatting sqref="H191:H207">
    <cfRule type="cellIs" dxfId="9272" priority="9268" stopIfTrue="1" operator="lessThan">
      <formula>0.05</formula>
    </cfRule>
    <cfRule type="cellIs" dxfId="9271" priority="9269" stopIfTrue="1" operator="lessThan">
      <formula>0</formula>
    </cfRule>
  </conditionalFormatting>
  <conditionalFormatting sqref="H191:H207">
    <cfRule type="cellIs" dxfId="9270" priority="9266" stopIfTrue="1" operator="lessThan">
      <formula>0</formula>
    </cfRule>
    <cfRule type="cellIs" dxfId="9269" priority="9267" stopIfTrue="1" operator="lessThan">
      <formula>0</formula>
    </cfRule>
  </conditionalFormatting>
  <conditionalFormatting sqref="H191:H207">
    <cfRule type="cellIs" dxfId="9268" priority="9264" stopIfTrue="1" operator="lessThan">
      <formula>0</formula>
    </cfRule>
    <cfRule type="cellIs" dxfId="9267" priority="9265" stopIfTrue="1" operator="lessThan">
      <formula>0</formula>
    </cfRule>
  </conditionalFormatting>
  <conditionalFormatting sqref="H191:H207">
    <cfRule type="cellIs" dxfId="9266" priority="9262" stopIfTrue="1" operator="lessThan">
      <formula>0.05</formula>
    </cfRule>
    <cfRule type="cellIs" dxfId="9265" priority="9263" stopIfTrue="1" operator="lessThan">
      <formula>0</formula>
    </cfRule>
  </conditionalFormatting>
  <conditionalFormatting sqref="H191:H207">
    <cfRule type="cellIs" dxfId="9264" priority="9260" stopIfTrue="1" operator="lessThan">
      <formula>0</formula>
    </cfRule>
    <cfRule type="cellIs" dxfId="9263" priority="9261" stopIfTrue="1" operator="lessThan">
      <formula>0</formula>
    </cfRule>
  </conditionalFormatting>
  <conditionalFormatting sqref="H191:H207">
    <cfRule type="cellIs" dxfId="9262" priority="9258" stopIfTrue="1" operator="lessThan">
      <formula>0</formula>
    </cfRule>
    <cfRule type="cellIs" dxfId="9261" priority="9259" stopIfTrue="1" operator="lessThan">
      <formula>0</formula>
    </cfRule>
  </conditionalFormatting>
  <conditionalFormatting sqref="H191:H207">
    <cfRule type="cellIs" dxfId="9260" priority="9256" stopIfTrue="1" operator="lessThan">
      <formula>0.05</formula>
    </cfRule>
    <cfRule type="cellIs" dxfId="9259" priority="9257" stopIfTrue="1" operator="lessThan">
      <formula>0</formula>
    </cfRule>
  </conditionalFormatting>
  <conditionalFormatting sqref="H191:H207">
    <cfRule type="cellIs" dxfId="9258" priority="9254" stopIfTrue="1" operator="lessThan">
      <formula>0</formula>
    </cfRule>
    <cfRule type="cellIs" dxfId="9257" priority="9255" stopIfTrue="1" operator="lessThan">
      <formula>0</formula>
    </cfRule>
  </conditionalFormatting>
  <conditionalFormatting sqref="H191:H207">
    <cfRule type="cellIs" dxfId="9256" priority="9252" stopIfTrue="1" operator="lessThan">
      <formula>0</formula>
    </cfRule>
    <cfRule type="cellIs" dxfId="9255" priority="9253" stopIfTrue="1" operator="lessThan">
      <formula>0</formula>
    </cfRule>
  </conditionalFormatting>
  <conditionalFormatting sqref="H191:H207">
    <cfRule type="cellIs" dxfId="9254" priority="9250" stopIfTrue="1" operator="lessThan">
      <formula>0.05</formula>
    </cfRule>
    <cfRule type="cellIs" dxfId="9253" priority="9251" stopIfTrue="1" operator="lessThan">
      <formula>0</formula>
    </cfRule>
  </conditionalFormatting>
  <conditionalFormatting sqref="H191:H207">
    <cfRule type="cellIs" dxfId="9252" priority="9248" stopIfTrue="1" operator="lessThan">
      <formula>0</formula>
    </cfRule>
    <cfRule type="cellIs" dxfId="9251" priority="9249" stopIfTrue="1" operator="lessThan">
      <formula>0</formula>
    </cfRule>
  </conditionalFormatting>
  <conditionalFormatting sqref="H191:H207">
    <cfRule type="cellIs" dxfId="9250" priority="9246" stopIfTrue="1" operator="lessThan">
      <formula>0</formula>
    </cfRule>
    <cfRule type="cellIs" dxfId="9249" priority="9247" stopIfTrue="1" operator="lessThan">
      <formula>0</formula>
    </cfRule>
  </conditionalFormatting>
  <conditionalFormatting sqref="H191:H207">
    <cfRule type="cellIs" dxfId="9248" priority="9244" stopIfTrue="1" operator="lessThan">
      <formula>0.05</formula>
    </cfRule>
    <cfRule type="cellIs" dxfId="9247" priority="9245" stopIfTrue="1" operator="lessThan">
      <formula>0</formula>
    </cfRule>
  </conditionalFormatting>
  <conditionalFormatting sqref="H191:H207">
    <cfRule type="cellIs" dxfId="9246" priority="9242" stopIfTrue="1" operator="lessThan">
      <formula>0</formula>
    </cfRule>
    <cfRule type="cellIs" dxfId="9245" priority="9243" stopIfTrue="1" operator="lessThan">
      <formula>0</formula>
    </cfRule>
  </conditionalFormatting>
  <conditionalFormatting sqref="H191:H207">
    <cfRule type="cellIs" dxfId="9244" priority="9240" stopIfTrue="1" operator="lessThan">
      <formula>0</formula>
    </cfRule>
    <cfRule type="cellIs" dxfId="9243" priority="9241" stopIfTrue="1" operator="lessThan">
      <formula>0</formula>
    </cfRule>
  </conditionalFormatting>
  <conditionalFormatting sqref="H191:H207">
    <cfRule type="cellIs" dxfId="9242" priority="9238" stopIfTrue="1" operator="lessThan">
      <formula>0.05</formula>
    </cfRule>
    <cfRule type="cellIs" dxfId="9241" priority="9239" stopIfTrue="1" operator="lessThan">
      <formula>0</formula>
    </cfRule>
  </conditionalFormatting>
  <conditionalFormatting sqref="H191:H207">
    <cfRule type="cellIs" dxfId="9240" priority="9236" stopIfTrue="1" operator="lessThan">
      <formula>0</formula>
    </cfRule>
    <cfRule type="cellIs" dxfId="9239" priority="9237" stopIfTrue="1" operator="lessThan">
      <formula>0</formula>
    </cfRule>
  </conditionalFormatting>
  <conditionalFormatting sqref="H191:H207">
    <cfRule type="cellIs" dxfId="9238" priority="9234" stopIfTrue="1" operator="lessThan">
      <formula>0</formula>
    </cfRule>
    <cfRule type="cellIs" dxfId="9237" priority="9235" stopIfTrue="1" operator="lessThan">
      <formula>0</formula>
    </cfRule>
  </conditionalFormatting>
  <conditionalFormatting sqref="H191:H207">
    <cfRule type="cellIs" dxfId="9236" priority="9232" stopIfTrue="1" operator="lessThan">
      <formula>0.05</formula>
    </cfRule>
    <cfRule type="cellIs" dxfId="9235" priority="9233" stopIfTrue="1" operator="lessThan">
      <formula>0</formula>
    </cfRule>
  </conditionalFormatting>
  <conditionalFormatting sqref="H191:H207">
    <cfRule type="cellIs" dxfId="9234" priority="9230" stopIfTrue="1" operator="lessThan">
      <formula>0</formula>
    </cfRule>
    <cfRule type="cellIs" dxfId="9233" priority="9231" stopIfTrue="1" operator="lessThan">
      <formula>0</formula>
    </cfRule>
  </conditionalFormatting>
  <conditionalFormatting sqref="H191:H207">
    <cfRule type="cellIs" dxfId="9232" priority="9228" stopIfTrue="1" operator="lessThan">
      <formula>0</formula>
    </cfRule>
    <cfRule type="cellIs" dxfId="9231" priority="9229" stopIfTrue="1" operator="lessThan">
      <formula>0</formula>
    </cfRule>
  </conditionalFormatting>
  <conditionalFormatting sqref="H191:H207">
    <cfRule type="cellIs" dxfId="9230" priority="9226" stopIfTrue="1" operator="lessThan">
      <formula>0.05</formula>
    </cfRule>
    <cfRule type="cellIs" dxfId="9229" priority="9227" stopIfTrue="1" operator="lessThan">
      <formula>0</formula>
    </cfRule>
  </conditionalFormatting>
  <conditionalFormatting sqref="H191:H207">
    <cfRule type="cellIs" dxfId="9228" priority="9224" stopIfTrue="1" operator="lessThan">
      <formula>0</formula>
    </cfRule>
    <cfRule type="cellIs" dxfId="9227" priority="9225" stopIfTrue="1" operator="lessThan">
      <formula>0</formula>
    </cfRule>
  </conditionalFormatting>
  <conditionalFormatting sqref="H191:H207">
    <cfRule type="cellIs" dxfId="9226" priority="9222" stopIfTrue="1" operator="lessThan">
      <formula>0</formula>
    </cfRule>
    <cfRule type="cellIs" dxfId="9225" priority="9223" stopIfTrue="1" operator="lessThan">
      <formula>0</formula>
    </cfRule>
  </conditionalFormatting>
  <conditionalFormatting sqref="H191:H207">
    <cfRule type="cellIs" dxfId="9224" priority="9220" stopIfTrue="1" operator="lessThan">
      <formula>0.05</formula>
    </cfRule>
    <cfRule type="cellIs" dxfId="9223" priority="9221" stopIfTrue="1" operator="lessThan">
      <formula>0</formula>
    </cfRule>
  </conditionalFormatting>
  <conditionalFormatting sqref="H191:H207">
    <cfRule type="cellIs" dxfId="9222" priority="9218" stopIfTrue="1" operator="lessThan">
      <formula>0</formula>
    </cfRule>
    <cfRule type="cellIs" dxfId="9221" priority="9219" stopIfTrue="1" operator="lessThan">
      <formula>0</formula>
    </cfRule>
  </conditionalFormatting>
  <conditionalFormatting sqref="H191:H207">
    <cfRule type="cellIs" dxfId="9220" priority="9216" stopIfTrue="1" operator="lessThan">
      <formula>0.05</formula>
    </cfRule>
    <cfRule type="cellIs" dxfId="9219" priority="9217" stopIfTrue="1" operator="lessThan">
      <formula>0</formula>
    </cfRule>
  </conditionalFormatting>
  <conditionalFormatting sqref="H191:H207">
    <cfRule type="cellIs" dxfId="9218" priority="9214" stopIfTrue="1" operator="lessThan">
      <formula>0</formula>
    </cfRule>
    <cfRule type="cellIs" dxfId="9217" priority="9215" stopIfTrue="1" operator="lessThan">
      <formula>0</formula>
    </cfRule>
  </conditionalFormatting>
  <conditionalFormatting sqref="H191:H207">
    <cfRule type="cellIs" dxfId="9216" priority="9212" stopIfTrue="1" operator="lessThan">
      <formula>0.05</formula>
    </cfRule>
    <cfRule type="cellIs" dxfId="9215" priority="9213" stopIfTrue="1" operator="lessThan">
      <formula>0</formula>
    </cfRule>
  </conditionalFormatting>
  <conditionalFormatting sqref="H191:H207">
    <cfRule type="cellIs" dxfId="9214" priority="9210" stopIfTrue="1" operator="lessThan">
      <formula>0</formula>
    </cfRule>
    <cfRule type="cellIs" dxfId="9213" priority="9211" stopIfTrue="1" operator="lessThan">
      <formula>0</formula>
    </cfRule>
  </conditionalFormatting>
  <conditionalFormatting sqref="H191:H207">
    <cfRule type="cellIs" dxfId="9212" priority="9208" stopIfTrue="1" operator="lessThan">
      <formula>0</formula>
    </cfRule>
    <cfRule type="cellIs" dxfId="9211" priority="9209" stopIfTrue="1" operator="lessThan">
      <formula>0</formula>
    </cfRule>
  </conditionalFormatting>
  <conditionalFormatting sqref="H191:H207">
    <cfRule type="cellIs" dxfId="9210" priority="9206" stopIfTrue="1" operator="lessThan">
      <formula>0</formula>
    </cfRule>
    <cfRule type="cellIs" dxfId="9209" priority="9207" stopIfTrue="1" operator="lessThan">
      <formula>0</formula>
    </cfRule>
  </conditionalFormatting>
  <conditionalFormatting sqref="H191:H207">
    <cfRule type="cellIs" dxfId="9208" priority="9204" stopIfTrue="1" operator="lessThan">
      <formula>0.05</formula>
    </cfRule>
    <cfRule type="cellIs" dxfId="9207" priority="9205" stopIfTrue="1" operator="lessThan">
      <formula>0</formula>
    </cfRule>
  </conditionalFormatting>
  <conditionalFormatting sqref="H191:H207">
    <cfRule type="cellIs" dxfId="9206" priority="9202" stopIfTrue="1" operator="lessThan">
      <formula>0</formula>
    </cfRule>
    <cfRule type="cellIs" dxfId="9205" priority="9203" stopIfTrue="1" operator="lessThan">
      <formula>0</formula>
    </cfRule>
  </conditionalFormatting>
  <conditionalFormatting sqref="H191:H207">
    <cfRule type="cellIs" dxfId="9204" priority="9200" stopIfTrue="1" operator="lessThan">
      <formula>0.05</formula>
    </cfRule>
    <cfRule type="cellIs" dxfId="9203" priority="9201" stopIfTrue="1" operator="lessThan">
      <formula>0</formula>
    </cfRule>
  </conditionalFormatting>
  <conditionalFormatting sqref="H191:H207">
    <cfRule type="cellIs" dxfId="9202" priority="9198" stopIfTrue="1" operator="lessThan">
      <formula>0</formula>
    </cfRule>
    <cfRule type="cellIs" dxfId="9201" priority="9199" stopIfTrue="1" operator="lessThan">
      <formula>0</formula>
    </cfRule>
  </conditionalFormatting>
  <conditionalFormatting sqref="H191:H207">
    <cfRule type="cellIs" dxfId="9200" priority="9196" stopIfTrue="1" operator="lessThan">
      <formula>0.05</formula>
    </cfRule>
    <cfRule type="cellIs" dxfId="9199" priority="9197" stopIfTrue="1" operator="lessThan">
      <formula>0</formula>
    </cfRule>
  </conditionalFormatting>
  <conditionalFormatting sqref="H191:H207">
    <cfRule type="cellIs" dxfId="9198" priority="9194" stopIfTrue="1" operator="lessThan">
      <formula>0</formula>
    </cfRule>
    <cfRule type="cellIs" dxfId="9197" priority="9195" stopIfTrue="1" operator="lessThan">
      <formula>0</formula>
    </cfRule>
  </conditionalFormatting>
  <conditionalFormatting sqref="H191:H207">
    <cfRule type="cellIs" dxfId="9196" priority="9192" stopIfTrue="1" operator="lessThan">
      <formula>0</formula>
    </cfRule>
    <cfRule type="cellIs" dxfId="9195" priority="9193" stopIfTrue="1" operator="lessThan">
      <formula>0</formula>
    </cfRule>
  </conditionalFormatting>
  <conditionalFormatting sqref="H191:H207">
    <cfRule type="cellIs" dxfId="9194" priority="9190" stopIfTrue="1" operator="lessThan">
      <formula>0.05</formula>
    </cfRule>
    <cfRule type="cellIs" dxfId="9193" priority="9191" stopIfTrue="1" operator="lessThan">
      <formula>0</formula>
    </cfRule>
  </conditionalFormatting>
  <conditionalFormatting sqref="H191:H207">
    <cfRule type="cellIs" dxfId="9192" priority="9188" stopIfTrue="1" operator="lessThan">
      <formula>0</formula>
    </cfRule>
    <cfRule type="cellIs" dxfId="9191" priority="9189" stopIfTrue="1" operator="lessThan">
      <formula>0</formula>
    </cfRule>
  </conditionalFormatting>
  <conditionalFormatting sqref="H191:H207">
    <cfRule type="cellIs" dxfId="9190" priority="9186" stopIfTrue="1" operator="lessThan">
      <formula>0</formula>
    </cfRule>
    <cfRule type="cellIs" dxfId="9189" priority="9187" stopIfTrue="1" operator="lessThan">
      <formula>0</formula>
    </cfRule>
  </conditionalFormatting>
  <conditionalFormatting sqref="H191:H207">
    <cfRule type="cellIs" dxfId="9188" priority="9184" stopIfTrue="1" operator="lessThan">
      <formula>0.05</formula>
    </cfRule>
    <cfRule type="cellIs" dxfId="9187" priority="9185" stopIfTrue="1" operator="lessThan">
      <formula>0</formula>
    </cfRule>
  </conditionalFormatting>
  <conditionalFormatting sqref="H191:H207">
    <cfRule type="cellIs" dxfId="9186" priority="9182" stopIfTrue="1" operator="lessThan">
      <formula>0</formula>
    </cfRule>
    <cfRule type="cellIs" dxfId="9185" priority="9183" stopIfTrue="1" operator="lessThan">
      <formula>0</formula>
    </cfRule>
  </conditionalFormatting>
  <conditionalFormatting sqref="H191:H207">
    <cfRule type="cellIs" dxfId="9184" priority="9180" stopIfTrue="1" operator="lessThan">
      <formula>0</formula>
    </cfRule>
    <cfRule type="cellIs" dxfId="9183" priority="9181" stopIfTrue="1" operator="lessThan">
      <formula>0</formula>
    </cfRule>
  </conditionalFormatting>
  <conditionalFormatting sqref="H191:H207">
    <cfRule type="cellIs" dxfId="9182" priority="9178" stopIfTrue="1" operator="lessThan">
      <formula>0.05</formula>
    </cfRule>
    <cfRule type="cellIs" dxfId="9181" priority="9179" stopIfTrue="1" operator="lessThan">
      <formula>0</formula>
    </cfRule>
  </conditionalFormatting>
  <conditionalFormatting sqref="H191:H207">
    <cfRule type="cellIs" dxfId="9180" priority="9176" stopIfTrue="1" operator="lessThan">
      <formula>0</formula>
    </cfRule>
    <cfRule type="cellIs" dxfId="9179" priority="9177" stopIfTrue="1" operator="lessThan">
      <formula>0</formula>
    </cfRule>
  </conditionalFormatting>
  <conditionalFormatting sqref="H191:H207">
    <cfRule type="cellIs" dxfId="9178" priority="9174" stopIfTrue="1" operator="lessThan">
      <formula>0</formula>
    </cfRule>
    <cfRule type="cellIs" dxfId="9177" priority="9175" stopIfTrue="1" operator="lessThan">
      <formula>0</formula>
    </cfRule>
  </conditionalFormatting>
  <conditionalFormatting sqref="H191:H207">
    <cfRule type="cellIs" dxfId="9176" priority="9172" stopIfTrue="1" operator="lessThan">
      <formula>0.05</formula>
    </cfRule>
    <cfRule type="cellIs" dxfId="9175" priority="9173" stopIfTrue="1" operator="lessThan">
      <formula>0</formula>
    </cfRule>
  </conditionalFormatting>
  <conditionalFormatting sqref="H191:H207">
    <cfRule type="cellIs" dxfId="9174" priority="9170" stopIfTrue="1" operator="lessThan">
      <formula>0</formula>
    </cfRule>
    <cfRule type="cellIs" dxfId="9173" priority="9171" stopIfTrue="1" operator="lessThan">
      <formula>0</formula>
    </cfRule>
  </conditionalFormatting>
  <conditionalFormatting sqref="H191:H207">
    <cfRule type="cellIs" dxfId="9172" priority="9168" stopIfTrue="1" operator="lessThan">
      <formula>0</formula>
    </cfRule>
    <cfRule type="cellIs" dxfId="9171" priority="9169" stopIfTrue="1" operator="lessThan">
      <formula>0</formula>
    </cfRule>
  </conditionalFormatting>
  <conditionalFormatting sqref="H191:H207">
    <cfRule type="cellIs" dxfId="9170" priority="9166" stopIfTrue="1" operator="lessThan">
      <formula>0.05</formula>
    </cfRule>
    <cfRule type="cellIs" dxfId="9169" priority="9167" stopIfTrue="1" operator="lessThan">
      <formula>0</formula>
    </cfRule>
  </conditionalFormatting>
  <conditionalFormatting sqref="H191:H207">
    <cfRule type="cellIs" dxfId="9168" priority="9164" stopIfTrue="1" operator="lessThan">
      <formula>0</formula>
    </cfRule>
    <cfRule type="cellIs" dxfId="9167" priority="9165" stopIfTrue="1" operator="lessThan">
      <formula>0</formula>
    </cfRule>
  </conditionalFormatting>
  <conditionalFormatting sqref="H191:H207">
    <cfRule type="cellIs" dxfId="9166" priority="9162" stopIfTrue="1" operator="lessThan">
      <formula>0</formula>
    </cfRule>
    <cfRule type="cellIs" dxfId="9165" priority="9163" stopIfTrue="1" operator="lessThan">
      <formula>0</formula>
    </cfRule>
  </conditionalFormatting>
  <conditionalFormatting sqref="H191:H207">
    <cfRule type="cellIs" dxfId="9164" priority="9160" stopIfTrue="1" operator="lessThan">
      <formula>0.05</formula>
    </cfRule>
    <cfRule type="cellIs" dxfId="9163" priority="9161" stopIfTrue="1" operator="lessThan">
      <formula>0</formula>
    </cfRule>
  </conditionalFormatting>
  <conditionalFormatting sqref="H191:H207">
    <cfRule type="cellIs" dxfId="9162" priority="9158" stopIfTrue="1" operator="lessThan">
      <formula>0</formula>
    </cfRule>
    <cfRule type="cellIs" dxfId="9161" priority="9159" stopIfTrue="1" operator="lessThan">
      <formula>0</formula>
    </cfRule>
  </conditionalFormatting>
  <conditionalFormatting sqref="H191:H207">
    <cfRule type="cellIs" dxfId="9160" priority="9156" stopIfTrue="1" operator="lessThan">
      <formula>0</formula>
    </cfRule>
    <cfRule type="cellIs" dxfId="9159" priority="9157" stopIfTrue="1" operator="lessThan">
      <formula>0</formula>
    </cfRule>
  </conditionalFormatting>
  <conditionalFormatting sqref="H191:H207">
    <cfRule type="cellIs" dxfId="9158" priority="9154" stopIfTrue="1" operator="lessThan">
      <formula>0.05</formula>
    </cfRule>
    <cfRule type="cellIs" dxfId="9157" priority="9155" stopIfTrue="1" operator="lessThan">
      <formula>0</formula>
    </cfRule>
  </conditionalFormatting>
  <conditionalFormatting sqref="H191:H207">
    <cfRule type="cellIs" dxfId="9156" priority="9152" stopIfTrue="1" operator="lessThan">
      <formula>0</formula>
    </cfRule>
    <cfRule type="cellIs" dxfId="9155" priority="9153" stopIfTrue="1" operator="lessThan">
      <formula>0</formula>
    </cfRule>
  </conditionalFormatting>
  <conditionalFormatting sqref="H191:H207">
    <cfRule type="cellIs" dxfId="9154" priority="9150" stopIfTrue="1" operator="lessThan">
      <formula>0</formula>
    </cfRule>
    <cfRule type="cellIs" dxfId="9153" priority="9151" stopIfTrue="1" operator="lessThan">
      <formula>0</formula>
    </cfRule>
  </conditionalFormatting>
  <conditionalFormatting sqref="H191:H207">
    <cfRule type="cellIs" dxfId="9152" priority="9148" stopIfTrue="1" operator="lessThan">
      <formula>0.05</formula>
    </cfRule>
    <cfRule type="cellIs" dxfId="9151" priority="9149" stopIfTrue="1" operator="lessThan">
      <formula>0</formula>
    </cfRule>
  </conditionalFormatting>
  <conditionalFormatting sqref="H191:H207">
    <cfRule type="cellIs" dxfId="9150" priority="9146" stopIfTrue="1" operator="lessThan">
      <formula>0</formula>
    </cfRule>
    <cfRule type="cellIs" dxfId="9149" priority="9147" stopIfTrue="1" operator="lessThan">
      <formula>0</formula>
    </cfRule>
  </conditionalFormatting>
  <conditionalFormatting sqref="H191:H207">
    <cfRule type="cellIs" dxfId="9148" priority="9144" stopIfTrue="1" operator="lessThan">
      <formula>0</formula>
    </cfRule>
    <cfRule type="cellIs" dxfId="9147" priority="9145" stopIfTrue="1" operator="lessThan">
      <formula>0</formula>
    </cfRule>
  </conditionalFormatting>
  <conditionalFormatting sqref="H191:H207">
    <cfRule type="cellIs" dxfId="9146" priority="9142" stopIfTrue="1" operator="lessThan">
      <formula>0.05</formula>
    </cfRule>
    <cfRule type="cellIs" dxfId="9145" priority="9143" stopIfTrue="1" operator="lessThan">
      <formula>0</formula>
    </cfRule>
  </conditionalFormatting>
  <conditionalFormatting sqref="H191:H207">
    <cfRule type="cellIs" dxfId="9144" priority="9140" stopIfTrue="1" operator="lessThan">
      <formula>0</formula>
    </cfRule>
    <cfRule type="cellIs" dxfId="9143" priority="9141" stopIfTrue="1" operator="lessThan">
      <formula>0</formula>
    </cfRule>
  </conditionalFormatting>
  <conditionalFormatting sqref="H191:H207">
    <cfRule type="cellIs" dxfId="9142" priority="9138" stopIfTrue="1" operator="lessThan">
      <formula>0</formula>
    </cfRule>
    <cfRule type="cellIs" dxfId="9141" priority="9139" stopIfTrue="1" operator="lessThan">
      <formula>0</formula>
    </cfRule>
  </conditionalFormatting>
  <conditionalFormatting sqref="H191:H207">
    <cfRule type="cellIs" dxfId="9140" priority="9136" stopIfTrue="1" operator="lessThan">
      <formula>0.05</formula>
    </cfRule>
    <cfRule type="cellIs" dxfId="9139" priority="9137" stopIfTrue="1" operator="lessThan">
      <formula>0</formula>
    </cfRule>
  </conditionalFormatting>
  <conditionalFormatting sqref="H191:H207">
    <cfRule type="cellIs" dxfId="9138" priority="9134" stopIfTrue="1" operator="lessThan">
      <formula>0</formula>
    </cfRule>
    <cfRule type="cellIs" dxfId="9137" priority="9135" stopIfTrue="1" operator="lessThan">
      <formula>0</formula>
    </cfRule>
  </conditionalFormatting>
  <conditionalFormatting sqref="H191:H207">
    <cfRule type="cellIs" dxfId="9136" priority="9132" stopIfTrue="1" operator="lessThan">
      <formula>0</formula>
    </cfRule>
    <cfRule type="cellIs" dxfId="9135" priority="9133" stopIfTrue="1" operator="lessThan">
      <formula>0</formula>
    </cfRule>
  </conditionalFormatting>
  <conditionalFormatting sqref="H191:H207">
    <cfRule type="cellIs" dxfId="9134" priority="9130" stopIfTrue="1" operator="lessThan">
      <formula>0.05</formula>
    </cfRule>
    <cfRule type="cellIs" dxfId="9133" priority="9131" stopIfTrue="1" operator="lessThan">
      <formula>0</formula>
    </cfRule>
  </conditionalFormatting>
  <conditionalFormatting sqref="H191:H207">
    <cfRule type="cellIs" dxfId="9132" priority="9128" stopIfTrue="1" operator="lessThan">
      <formula>0</formula>
    </cfRule>
    <cfRule type="cellIs" dxfId="9131" priority="9129" stopIfTrue="1" operator="lessThan">
      <formula>0</formula>
    </cfRule>
  </conditionalFormatting>
  <conditionalFormatting sqref="H191:H207">
    <cfRule type="cellIs" dxfId="9130" priority="9126" stopIfTrue="1" operator="lessThan">
      <formula>0</formula>
    </cfRule>
    <cfRule type="cellIs" dxfId="9129" priority="9127" stopIfTrue="1" operator="lessThan">
      <formula>0</formula>
    </cfRule>
  </conditionalFormatting>
  <conditionalFormatting sqref="H191:H207">
    <cfRule type="cellIs" dxfId="9128" priority="9124" stopIfTrue="1" operator="lessThan">
      <formula>0.05</formula>
    </cfRule>
    <cfRule type="cellIs" dxfId="9127" priority="9125" stopIfTrue="1" operator="lessThan">
      <formula>0</formula>
    </cfRule>
  </conditionalFormatting>
  <conditionalFormatting sqref="H191:H207">
    <cfRule type="cellIs" dxfId="9126" priority="9122" stopIfTrue="1" operator="lessThan">
      <formula>0</formula>
    </cfRule>
    <cfRule type="cellIs" dxfId="9125" priority="9123" stopIfTrue="1" operator="lessThan">
      <formula>0</formula>
    </cfRule>
  </conditionalFormatting>
  <conditionalFormatting sqref="H191:H207">
    <cfRule type="cellIs" dxfId="9124" priority="9120" stopIfTrue="1" operator="lessThan">
      <formula>0.05</formula>
    </cfRule>
    <cfRule type="cellIs" dxfId="9123" priority="9121" stopIfTrue="1" operator="lessThan">
      <formula>0</formula>
    </cfRule>
  </conditionalFormatting>
  <conditionalFormatting sqref="H191:H207">
    <cfRule type="cellIs" dxfId="9122" priority="9118" stopIfTrue="1" operator="lessThan">
      <formula>0</formula>
    </cfRule>
    <cfRule type="cellIs" dxfId="9121" priority="9119" stopIfTrue="1" operator="lessThan">
      <formula>0</formula>
    </cfRule>
  </conditionalFormatting>
  <conditionalFormatting sqref="H191:H207">
    <cfRule type="cellIs" dxfId="9120" priority="9116" stopIfTrue="1" operator="lessThan">
      <formula>0.05</formula>
    </cfRule>
    <cfRule type="cellIs" dxfId="9119" priority="9117" stopIfTrue="1" operator="lessThan">
      <formula>0</formula>
    </cfRule>
  </conditionalFormatting>
  <conditionalFormatting sqref="H191:H207">
    <cfRule type="cellIs" dxfId="9118" priority="9114" stopIfTrue="1" operator="lessThan">
      <formula>0</formula>
    </cfRule>
    <cfRule type="cellIs" dxfId="9117" priority="9115" stopIfTrue="1" operator="lessThan">
      <formula>0</formula>
    </cfRule>
  </conditionalFormatting>
  <conditionalFormatting sqref="H191:H207">
    <cfRule type="cellIs" dxfId="9116" priority="9112" stopIfTrue="1" operator="lessThan">
      <formula>0</formula>
    </cfRule>
    <cfRule type="cellIs" dxfId="9115" priority="9113" stopIfTrue="1" operator="lessThan">
      <formula>0</formula>
    </cfRule>
  </conditionalFormatting>
  <conditionalFormatting sqref="H191:H207">
    <cfRule type="cellIs" dxfId="9114" priority="9110" stopIfTrue="1" operator="lessThan">
      <formula>0</formula>
    </cfRule>
    <cfRule type="cellIs" dxfId="9113" priority="9111" stopIfTrue="1" operator="lessThan">
      <formula>0</formula>
    </cfRule>
  </conditionalFormatting>
  <conditionalFormatting sqref="H191:H207">
    <cfRule type="cellIs" dxfId="9112" priority="9108" stopIfTrue="1" operator="lessThan">
      <formula>0.05</formula>
    </cfRule>
    <cfRule type="cellIs" dxfId="9111" priority="9109" stopIfTrue="1" operator="lessThan">
      <formula>0</formula>
    </cfRule>
  </conditionalFormatting>
  <conditionalFormatting sqref="H191:H207">
    <cfRule type="cellIs" dxfId="9110" priority="9106" stopIfTrue="1" operator="lessThan">
      <formula>0</formula>
    </cfRule>
    <cfRule type="cellIs" dxfId="9109" priority="9107" stopIfTrue="1" operator="lessThan">
      <formula>0</formula>
    </cfRule>
  </conditionalFormatting>
  <conditionalFormatting sqref="H191:H207">
    <cfRule type="cellIs" dxfId="9108" priority="9104" stopIfTrue="1" operator="lessThan">
      <formula>0.05</formula>
    </cfRule>
    <cfRule type="cellIs" dxfId="9107" priority="9105" stopIfTrue="1" operator="lessThan">
      <formula>0</formula>
    </cfRule>
  </conditionalFormatting>
  <conditionalFormatting sqref="H191:H207">
    <cfRule type="cellIs" dxfId="9106" priority="9102" stopIfTrue="1" operator="lessThan">
      <formula>0</formula>
    </cfRule>
    <cfRule type="cellIs" dxfId="9105" priority="9103" stopIfTrue="1" operator="lessThan">
      <formula>0</formula>
    </cfRule>
  </conditionalFormatting>
  <conditionalFormatting sqref="H191:H207">
    <cfRule type="cellIs" dxfId="9104" priority="9100" stopIfTrue="1" operator="lessThan">
      <formula>0.05</formula>
    </cfRule>
    <cfRule type="cellIs" dxfId="9103" priority="9101" stopIfTrue="1" operator="lessThan">
      <formula>0</formula>
    </cfRule>
  </conditionalFormatting>
  <conditionalFormatting sqref="H191:H207">
    <cfRule type="cellIs" dxfId="9102" priority="9098" stopIfTrue="1" operator="lessThan">
      <formula>0</formula>
    </cfRule>
    <cfRule type="cellIs" dxfId="9101" priority="9099" stopIfTrue="1" operator="lessThan">
      <formula>0</formula>
    </cfRule>
  </conditionalFormatting>
  <conditionalFormatting sqref="H191:H207">
    <cfRule type="cellIs" dxfId="9100" priority="9096" stopIfTrue="1" operator="lessThan">
      <formula>0</formula>
    </cfRule>
    <cfRule type="cellIs" dxfId="9099" priority="9097" stopIfTrue="1" operator="lessThan">
      <formula>0</formula>
    </cfRule>
  </conditionalFormatting>
  <conditionalFormatting sqref="H191:H207">
    <cfRule type="cellIs" dxfId="9098" priority="9094" stopIfTrue="1" operator="lessThan">
      <formula>0.05</formula>
    </cfRule>
    <cfRule type="cellIs" dxfId="9097" priority="9095" stopIfTrue="1" operator="lessThan">
      <formula>0</formula>
    </cfRule>
  </conditionalFormatting>
  <conditionalFormatting sqref="H191:H207">
    <cfRule type="cellIs" dxfId="9096" priority="9092" stopIfTrue="1" operator="lessThan">
      <formula>0</formula>
    </cfRule>
    <cfRule type="cellIs" dxfId="9095" priority="9093" stopIfTrue="1" operator="lessThan">
      <formula>0</formula>
    </cfRule>
  </conditionalFormatting>
  <conditionalFormatting sqref="H191:H207">
    <cfRule type="cellIs" dxfId="9094" priority="9090" stopIfTrue="1" operator="lessThan">
      <formula>0</formula>
    </cfRule>
    <cfRule type="cellIs" dxfId="9093" priority="9091" stopIfTrue="1" operator="lessThan">
      <formula>0</formula>
    </cfRule>
  </conditionalFormatting>
  <conditionalFormatting sqref="H191:H207">
    <cfRule type="cellIs" dxfId="9092" priority="9088" stopIfTrue="1" operator="lessThan">
      <formula>0.05</formula>
    </cfRule>
    <cfRule type="cellIs" dxfId="9091" priority="9089" stopIfTrue="1" operator="lessThan">
      <formula>0</formula>
    </cfRule>
  </conditionalFormatting>
  <conditionalFormatting sqref="H191:H207">
    <cfRule type="cellIs" dxfId="9090" priority="9086" stopIfTrue="1" operator="lessThan">
      <formula>0</formula>
    </cfRule>
    <cfRule type="cellIs" dxfId="9089" priority="9087" stopIfTrue="1" operator="lessThan">
      <formula>0</formula>
    </cfRule>
  </conditionalFormatting>
  <conditionalFormatting sqref="H191:H207">
    <cfRule type="cellIs" dxfId="9088" priority="9084" stopIfTrue="1" operator="lessThan">
      <formula>0</formula>
    </cfRule>
    <cfRule type="cellIs" dxfId="9087" priority="9085" stopIfTrue="1" operator="lessThan">
      <formula>0</formula>
    </cfRule>
  </conditionalFormatting>
  <conditionalFormatting sqref="H191:H207">
    <cfRule type="cellIs" dxfId="9086" priority="9082" stopIfTrue="1" operator="lessThan">
      <formula>0.05</formula>
    </cfRule>
    <cfRule type="cellIs" dxfId="9085" priority="9083" stopIfTrue="1" operator="lessThan">
      <formula>0</formula>
    </cfRule>
  </conditionalFormatting>
  <conditionalFormatting sqref="H191:H207">
    <cfRule type="cellIs" dxfId="9084" priority="9080" stopIfTrue="1" operator="lessThan">
      <formula>0</formula>
    </cfRule>
    <cfRule type="cellIs" dxfId="9083" priority="9081" stopIfTrue="1" operator="lessThan">
      <formula>0</formula>
    </cfRule>
  </conditionalFormatting>
  <conditionalFormatting sqref="H191:H207">
    <cfRule type="cellIs" dxfId="9082" priority="9078" stopIfTrue="1" operator="lessThan">
      <formula>0</formula>
    </cfRule>
    <cfRule type="cellIs" dxfId="9081" priority="9079" stopIfTrue="1" operator="lessThan">
      <formula>0</formula>
    </cfRule>
  </conditionalFormatting>
  <conditionalFormatting sqref="H191:H207">
    <cfRule type="cellIs" dxfId="9080" priority="9076" stopIfTrue="1" operator="lessThan">
      <formula>0.05</formula>
    </cfRule>
    <cfRule type="cellIs" dxfId="9079" priority="9077" stopIfTrue="1" operator="lessThan">
      <formula>0</formula>
    </cfRule>
  </conditionalFormatting>
  <conditionalFormatting sqref="H191:H207">
    <cfRule type="cellIs" dxfId="9078" priority="9074" stopIfTrue="1" operator="lessThan">
      <formula>0</formula>
    </cfRule>
    <cfRule type="cellIs" dxfId="9077" priority="9075" stopIfTrue="1" operator="lessThan">
      <formula>0</formula>
    </cfRule>
  </conditionalFormatting>
  <conditionalFormatting sqref="H191:H207">
    <cfRule type="cellIs" dxfId="9076" priority="9072" stopIfTrue="1" operator="lessThan">
      <formula>0</formula>
    </cfRule>
    <cfRule type="cellIs" dxfId="9075" priority="9073" stopIfTrue="1" operator="lessThan">
      <formula>0</formula>
    </cfRule>
  </conditionalFormatting>
  <conditionalFormatting sqref="H191:H207">
    <cfRule type="cellIs" dxfId="9074" priority="9070" stopIfTrue="1" operator="lessThan">
      <formula>0.05</formula>
    </cfRule>
    <cfRule type="cellIs" dxfId="9073" priority="9071" stopIfTrue="1" operator="lessThan">
      <formula>0</formula>
    </cfRule>
  </conditionalFormatting>
  <conditionalFormatting sqref="H191:H207">
    <cfRule type="cellIs" dxfId="9072" priority="9068" stopIfTrue="1" operator="lessThan">
      <formula>0</formula>
    </cfRule>
    <cfRule type="cellIs" dxfId="9071" priority="9069" stopIfTrue="1" operator="lessThan">
      <formula>0</formula>
    </cfRule>
  </conditionalFormatting>
  <conditionalFormatting sqref="H191:H207">
    <cfRule type="cellIs" dxfId="9070" priority="9066" stopIfTrue="1" operator="lessThan">
      <formula>0</formula>
    </cfRule>
    <cfRule type="cellIs" dxfId="9069" priority="9067" stopIfTrue="1" operator="lessThan">
      <formula>0</formula>
    </cfRule>
  </conditionalFormatting>
  <conditionalFormatting sqref="H191:H207">
    <cfRule type="cellIs" dxfId="9068" priority="9064" stopIfTrue="1" operator="lessThan">
      <formula>0.05</formula>
    </cfRule>
    <cfRule type="cellIs" dxfId="9067" priority="9065" stopIfTrue="1" operator="lessThan">
      <formula>0</formula>
    </cfRule>
  </conditionalFormatting>
  <conditionalFormatting sqref="H191:H207">
    <cfRule type="cellIs" dxfId="9066" priority="9062" stopIfTrue="1" operator="lessThan">
      <formula>0</formula>
    </cfRule>
    <cfRule type="cellIs" dxfId="9065" priority="9063" stopIfTrue="1" operator="lessThan">
      <formula>0</formula>
    </cfRule>
  </conditionalFormatting>
  <conditionalFormatting sqref="H191:H207">
    <cfRule type="cellIs" dxfId="9064" priority="9060" stopIfTrue="1" operator="lessThan">
      <formula>0</formula>
    </cfRule>
    <cfRule type="cellIs" dxfId="9063" priority="9061" stopIfTrue="1" operator="lessThan">
      <formula>0</formula>
    </cfRule>
  </conditionalFormatting>
  <conditionalFormatting sqref="H191:H207">
    <cfRule type="cellIs" dxfId="9062" priority="9058" stopIfTrue="1" operator="lessThan">
      <formula>0.05</formula>
    </cfRule>
    <cfRule type="cellIs" dxfId="9061" priority="9059" stopIfTrue="1" operator="lessThan">
      <formula>0</formula>
    </cfRule>
  </conditionalFormatting>
  <conditionalFormatting sqref="H191:H207">
    <cfRule type="cellIs" dxfId="9060" priority="9056" stopIfTrue="1" operator="lessThan">
      <formula>0</formula>
    </cfRule>
    <cfRule type="cellIs" dxfId="9059" priority="9057" stopIfTrue="1" operator="lessThan">
      <formula>0</formula>
    </cfRule>
  </conditionalFormatting>
  <conditionalFormatting sqref="H191:H207">
    <cfRule type="cellIs" dxfId="9058" priority="9054" stopIfTrue="1" operator="lessThan">
      <formula>0</formula>
    </cfRule>
    <cfRule type="cellIs" dxfId="9057" priority="9055" stopIfTrue="1" operator="lessThan">
      <formula>0</formula>
    </cfRule>
  </conditionalFormatting>
  <conditionalFormatting sqref="H191:H207">
    <cfRule type="cellIs" dxfId="9056" priority="9052" stopIfTrue="1" operator="lessThan">
      <formula>0.05</formula>
    </cfRule>
    <cfRule type="cellIs" dxfId="9055" priority="9053" stopIfTrue="1" operator="lessThan">
      <formula>0</formula>
    </cfRule>
  </conditionalFormatting>
  <conditionalFormatting sqref="H191:H207">
    <cfRule type="cellIs" dxfId="9054" priority="9050" stopIfTrue="1" operator="lessThan">
      <formula>0</formula>
    </cfRule>
    <cfRule type="cellIs" dxfId="9053" priority="9051" stopIfTrue="1" operator="lessThan">
      <formula>0</formula>
    </cfRule>
  </conditionalFormatting>
  <conditionalFormatting sqref="H191:H207">
    <cfRule type="cellIs" dxfId="9052" priority="9048" stopIfTrue="1" operator="lessThan">
      <formula>0</formula>
    </cfRule>
    <cfRule type="cellIs" dxfId="9051" priority="9049" stopIfTrue="1" operator="lessThan">
      <formula>0</formula>
    </cfRule>
  </conditionalFormatting>
  <conditionalFormatting sqref="H191:H207">
    <cfRule type="cellIs" dxfId="9050" priority="9046" stopIfTrue="1" operator="lessThan">
      <formula>0.05</formula>
    </cfRule>
    <cfRule type="cellIs" dxfId="9049" priority="9047" stopIfTrue="1" operator="lessThan">
      <formula>0</formula>
    </cfRule>
  </conditionalFormatting>
  <conditionalFormatting sqref="H191:H207">
    <cfRule type="cellIs" dxfId="9048" priority="9044" stopIfTrue="1" operator="lessThan">
      <formula>0</formula>
    </cfRule>
    <cfRule type="cellIs" dxfId="9047" priority="9045" stopIfTrue="1" operator="lessThan">
      <formula>0</formula>
    </cfRule>
  </conditionalFormatting>
  <conditionalFormatting sqref="H191:H207">
    <cfRule type="cellIs" dxfId="9046" priority="9042" stopIfTrue="1" operator="lessThan">
      <formula>0</formula>
    </cfRule>
    <cfRule type="cellIs" dxfId="9045" priority="9043" stopIfTrue="1" operator="lessThan">
      <formula>0</formula>
    </cfRule>
  </conditionalFormatting>
  <conditionalFormatting sqref="H191:H207">
    <cfRule type="cellIs" dxfId="9044" priority="9040" stopIfTrue="1" operator="lessThan">
      <formula>0.05</formula>
    </cfRule>
    <cfRule type="cellIs" dxfId="9043" priority="9041" stopIfTrue="1" operator="lessThan">
      <formula>0</formula>
    </cfRule>
  </conditionalFormatting>
  <conditionalFormatting sqref="H191:H207">
    <cfRule type="cellIs" dxfId="9042" priority="9038" stopIfTrue="1" operator="lessThan">
      <formula>0</formula>
    </cfRule>
    <cfRule type="cellIs" dxfId="9041" priority="9039" stopIfTrue="1" operator="lessThan">
      <formula>0</formula>
    </cfRule>
  </conditionalFormatting>
  <conditionalFormatting sqref="H191:H207">
    <cfRule type="cellIs" dxfId="9040" priority="9036" stopIfTrue="1" operator="lessThan">
      <formula>0</formula>
    </cfRule>
    <cfRule type="cellIs" dxfId="9039" priority="9037" stopIfTrue="1" operator="lessThan">
      <formula>0</formula>
    </cfRule>
  </conditionalFormatting>
  <conditionalFormatting sqref="H191:H207">
    <cfRule type="cellIs" dxfId="9038" priority="9034" stopIfTrue="1" operator="lessThan">
      <formula>0.05</formula>
    </cfRule>
    <cfRule type="cellIs" dxfId="9037" priority="9035" stopIfTrue="1" operator="lessThan">
      <formula>0</formula>
    </cfRule>
  </conditionalFormatting>
  <conditionalFormatting sqref="H191:H207">
    <cfRule type="cellIs" dxfId="9036" priority="9032" stopIfTrue="1" operator="lessThan">
      <formula>0</formula>
    </cfRule>
    <cfRule type="cellIs" dxfId="9035" priority="9033" stopIfTrue="1" operator="lessThan">
      <formula>0</formula>
    </cfRule>
  </conditionalFormatting>
  <conditionalFormatting sqref="H191:H207">
    <cfRule type="cellIs" dxfId="9034" priority="9030" stopIfTrue="1" operator="lessThan">
      <formula>0</formula>
    </cfRule>
    <cfRule type="cellIs" dxfId="9033" priority="9031" stopIfTrue="1" operator="lessThan">
      <formula>0</formula>
    </cfRule>
  </conditionalFormatting>
  <conditionalFormatting sqref="H191:H207">
    <cfRule type="cellIs" dxfId="9032" priority="9028" stopIfTrue="1" operator="lessThan">
      <formula>0.05</formula>
    </cfRule>
    <cfRule type="cellIs" dxfId="9031" priority="9029" stopIfTrue="1" operator="lessThan">
      <formula>0</formula>
    </cfRule>
  </conditionalFormatting>
  <conditionalFormatting sqref="H191:H207">
    <cfRule type="cellIs" dxfId="9030" priority="9026" stopIfTrue="1" operator="lessThan">
      <formula>0</formula>
    </cfRule>
    <cfRule type="cellIs" dxfId="9029" priority="9027" stopIfTrue="1" operator="lessThan">
      <formula>0</formula>
    </cfRule>
  </conditionalFormatting>
  <conditionalFormatting sqref="H191:H207">
    <cfRule type="cellIs" dxfId="9028" priority="9024" stopIfTrue="1" operator="lessThan">
      <formula>0</formula>
    </cfRule>
    <cfRule type="cellIs" dxfId="9027" priority="9025" stopIfTrue="1" operator="lessThan">
      <formula>0</formula>
    </cfRule>
  </conditionalFormatting>
  <conditionalFormatting sqref="H191:H207">
    <cfRule type="cellIs" dxfId="9026" priority="9022" stopIfTrue="1" operator="lessThan">
      <formula>0.05</formula>
    </cfRule>
    <cfRule type="cellIs" dxfId="9025" priority="9023" stopIfTrue="1" operator="lessThan">
      <formula>0</formula>
    </cfRule>
  </conditionalFormatting>
  <conditionalFormatting sqref="H191:H207">
    <cfRule type="cellIs" dxfId="9024" priority="9020" stopIfTrue="1" operator="lessThan">
      <formula>0</formula>
    </cfRule>
    <cfRule type="cellIs" dxfId="9023" priority="9021" stopIfTrue="1" operator="lessThan">
      <formula>0</formula>
    </cfRule>
  </conditionalFormatting>
  <conditionalFormatting sqref="H191:H207">
    <cfRule type="cellIs" dxfId="9022" priority="9018" stopIfTrue="1" operator="lessThan">
      <formula>0</formula>
    </cfRule>
    <cfRule type="cellIs" dxfId="9021" priority="9019" stopIfTrue="1" operator="lessThan">
      <formula>0</formula>
    </cfRule>
  </conditionalFormatting>
  <conditionalFormatting sqref="H191:H207">
    <cfRule type="cellIs" dxfId="9020" priority="9016" stopIfTrue="1" operator="lessThan">
      <formula>0.05</formula>
    </cfRule>
    <cfRule type="cellIs" dxfId="9019" priority="9017" stopIfTrue="1" operator="lessThan">
      <formula>0</formula>
    </cfRule>
  </conditionalFormatting>
  <conditionalFormatting sqref="H191:H207">
    <cfRule type="cellIs" dxfId="9018" priority="9014" stopIfTrue="1" operator="lessThan">
      <formula>0</formula>
    </cfRule>
    <cfRule type="cellIs" dxfId="9017" priority="9015" stopIfTrue="1" operator="lessThan">
      <formula>0</formula>
    </cfRule>
  </conditionalFormatting>
  <conditionalFormatting sqref="H191:H207">
    <cfRule type="cellIs" dxfId="9016" priority="9012" stopIfTrue="1" operator="lessThan">
      <formula>0.05</formula>
    </cfRule>
    <cfRule type="cellIs" dxfId="9015" priority="9013" stopIfTrue="1" operator="lessThan">
      <formula>0</formula>
    </cfRule>
  </conditionalFormatting>
  <conditionalFormatting sqref="H191:H207">
    <cfRule type="cellIs" dxfId="9014" priority="9010" stopIfTrue="1" operator="lessThan">
      <formula>0</formula>
    </cfRule>
    <cfRule type="cellIs" dxfId="9013" priority="9011" stopIfTrue="1" operator="lessThan">
      <formula>0</formula>
    </cfRule>
  </conditionalFormatting>
  <conditionalFormatting sqref="H191:H207">
    <cfRule type="cellIs" dxfId="9012" priority="9008" stopIfTrue="1" operator="lessThan">
      <formula>0.05</formula>
    </cfRule>
    <cfRule type="cellIs" dxfId="9011" priority="9009" stopIfTrue="1" operator="lessThan">
      <formula>0</formula>
    </cfRule>
  </conditionalFormatting>
  <conditionalFormatting sqref="H191:H207">
    <cfRule type="cellIs" dxfId="9010" priority="9006" stopIfTrue="1" operator="lessThan">
      <formula>0</formula>
    </cfRule>
    <cfRule type="cellIs" dxfId="9009" priority="9007" stopIfTrue="1" operator="lessThan">
      <formula>0</formula>
    </cfRule>
  </conditionalFormatting>
  <conditionalFormatting sqref="H191:H207">
    <cfRule type="cellIs" dxfId="9008" priority="9004" stopIfTrue="1" operator="lessThan">
      <formula>0</formula>
    </cfRule>
    <cfRule type="cellIs" dxfId="9007" priority="9005" stopIfTrue="1" operator="lessThan">
      <formula>0</formula>
    </cfRule>
  </conditionalFormatting>
  <conditionalFormatting sqref="H191:H207">
    <cfRule type="cellIs" dxfId="9006" priority="9002" stopIfTrue="1" operator="lessThan">
      <formula>0</formula>
    </cfRule>
    <cfRule type="cellIs" dxfId="9005" priority="9003" stopIfTrue="1" operator="lessThan">
      <formula>0</formula>
    </cfRule>
  </conditionalFormatting>
  <conditionalFormatting sqref="H191:H207">
    <cfRule type="cellIs" dxfId="9004" priority="9000" stopIfTrue="1" operator="lessThan">
      <formula>0.05</formula>
    </cfRule>
    <cfRule type="cellIs" dxfId="9003" priority="9001" stopIfTrue="1" operator="lessThan">
      <formula>0</formula>
    </cfRule>
  </conditionalFormatting>
  <conditionalFormatting sqref="H191:H207">
    <cfRule type="cellIs" dxfId="9002" priority="8998" stopIfTrue="1" operator="lessThan">
      <formula>0</formula>
    </cfRule>
    <cfRule type="cellIs" dxfId="9001" priority="8999" stopIfTrue="1" operator="lessThan">
      <formula>0</formula>
    </cfRule>
  </conditionalFormatting>
  <conditionalFormatting sqref="H191:H207">
    <cfRule type="cellIs" dxfId="9000" priority="8996" stopIfTrue="1" operator="lessThan">
      <formula>0.05</formula>
    </cfRule>
    <cfRule type="cellIs" dxfId="8999" priority="8997" stopIfTrue="1" operator="lessThan">
      <formula>0</formula>
    </cfRule>
  </conditionalFormatting>
  <conditionalFormatting sqref="H191:H207">
    <cfRule type="cellIs" dxfId="8998" priority="8994" stopIfTrue="1" operator="lessThan">
      <formula>0</formula>
    </cfRule>
    <cfRule type="cellIs" dxfId="8997" priority="8995" stopIfTrue="1" operator="lessThan">
      <formula>0</formula>
    </cfRule>
  </conditionalFormatting>
  <conditionalFormatting sqref="H191:H207">
    <cfRule type="cellIs" dxfId="8996" priority="8992" stopIfTrue="1" operator="lessThan">
      <formula>0.05</formula>
    </cfRule>
    <cfRule type="cellIs" dxfId="8995" priority="8993" stopIfTrue="1" operator="lessThan">
      <formula>0</formula>
    </cfRule>
  </conditionalFormatting>
  <conditionalFormatting sqref="H191:H207">
    <cfRule type="cellIs" dxfId="8994" priority="8990" stopIfTrue="1" operator="lessThan">
      <formula>0</formula>
    </cfRule>
    <cfRule type="cellIs" dxfId="8993" priority="8991" stopIfTrue="1" operator="lessThan">
      <formula>0</formula>
    </cfRule>
  </conditionalFormatting>
  <conditionalFormatting sqref="H191:H207">
    <cfRule type="cellIs" dxfId="8992" priority="8989" stopIfTrue="1" operator="lessThan">
      <formula>0.05</formula>
    </cfRule>
  </conditionalFormatting>
  <conditionalFormatting sqref="H211:H227">
    <cfRule type="cellIs" dxfId="8991" priority="8987" stopIfTrue="1" operator="lessThan">
      <formula>0</formula>
    </cfRule>
    <cfRule type="cellIs" dxfId="8990" priority="8988" stopIfTrue="1" operator="lessThan">
      <formula>0</formula>
    </cfRule>
  </conditionalFormatting>
  <conditionalFormatting sqref="H211:H227">
    <cfRule type="cellIs" dxfId="8989" priority="8985" stopIfTrue="1" operator="lessThan">
      <formula>0</formula>
    </cfRule>
    <cfRule type="cellIs" dxfId="8988" priority="8986" stopIfTrue="1" operator="lessThan">
      <formula>0</formula>
    </cfRule>
  </conditionalFormatting>
  <conditionalFormatting sqref="H211:H227">
    <cfRule type="cellIs" dxfId="8987" priority="8983" stopIfTrue="1" operator="lessThan">
      <formula>0.05</formula>
    </cfRule>
    <cfRule type="cellIs" dxfId="8986" priority="8984" stopIfTrue="1" operator="lessThan">
      <formula>0</formula>
    </cfRule>
  </conditionalFormatting>
  <conditionalFormatting sqref="H211:H227">
    <cfRule type="cellIs" dxfId="8985" priority="8981" stopIfTrue="1" operator="lessThan">
      <formula>0</formula>
    </cfRule>
    <cfRule type="cellIs" dxfId="8984" priority="8982" stopIfTrue="1" operator="lessThan">
      <formula>0</formula>
    </cfRule>
  </conditionalFormatting>
  <conditionalFormatting sqref="H211:H227">
    <cfRule type="cellIs" dxfId="8983" priority="8979" stopIfTrue="1" operator="lessThan">
      <formula>0.05</formula>
    </cfRule>
    <cfRule type="cellIs" dxfId="8982" priority="8980" stopIfTrue="1" operator="lessThan">
      <formula>0</formula>
    </cfRule>
  </conditionalFormatting>
  <conditionalFormatting sqref="H211:H227">
    <cfRule type="cellIs" dxfId="8981" priority="8977" stopIfTrue="1" operator="lessThan">
      <formula>0</formula>
    </cfRule>
    <cfRule type="cellIs" dxfId="8980" priority="8978" stopIfTrue="1" operator="lessThan">
      <formula>0</formula>
    </cfRule>
  </conditionalFormatting>
  <conditionalFormatting sqref="H211:H227">
    <cfRule type="cellIs" dxfId="8979" priority="8975" stopIfTrue="1" operator="lessThan">
      <formula>0.05</formula>
    </cfRule>
    <cfRule type="cellIs" dxfId="8978" priority="8976" stopIfTrue="1" operator="lessThan">
      <formula>0</formula>
    </cfRule>
  </conditionalFormatting>
  <conditionalFormatting sqref="H211:H227">
    <cfRule type="cellIs" dxfId="8977" priority="8973" stopIfTrue="1" operator="lessThan">
      <formula>0</formula>
    </cfRule>
    <cfRule type="cellIs" dxfId="8976" priority="8974" stopIfTrue="1" operator="lessThan">
      <formula>0</formula>
    </cfRule>
  </conditionalFormatting>
  <conditionalFormatting sqref="H211:H227">
    <cfRule type="cellIs" dxfId="8975" priority="8971" stopIfTrue="1" operator="lessThan">
      <formula>0</formula>
    </cfRule>
    <cfRule type="cellIs" dxfId="8974" priority="8972" stopIfTrue="1" operator="lessThan">
      <formula>0</formula>
    </cfRule>
  </conditionalFormatting>
  <conditionalFormatting sqref="H211:H227">
    <cfRule type="cellIs" dxfId="8973" priority="8969" stopIfTrue="1" operator="lessThan">
      <formula>0</formula>
    </cfRule>
    <cfRule type="cellIs" dxfId="8972" priority="8970" stopIfTrue="1" operator="lessThan">
      <formula>0</formula>
    </cfRule>
  </conditionalFormatting>
  <conditionalFormatting sqref="H211:H227">
    <cfRule type="cellIs" dxfId="8971" priority="8967" stopIfTrue="1" operator="lessThan">
      <formula>0.05</formula>
    </cfRule>
    <cfRule type="cellIs" dxfId="8970" priority="8968" stopIfTrue="1" operator="lessThan">
      <formula>0</formula>
    </cfRule>
  </conditionalFormatting>
  <conditionalFormatting sqref="H211:H227">
    <cfRule type="cellIs" dxfId="8969" priority="8965" stopIfTrue="1" operator="lessThan">
      <formula>0</formula>
    </cfRule>
    <cfRule type="cellIs" dxfId="8968" priority="8966" stopIfTrue="1" operator="lessThan">
      <formula>0</formula>
    </cfRule>
  </conditionalFormatting>
  <conditionalFormatting sqref="H211:H227">
    <cfRule type="cellIs" dxfId="8967" priority="8963" stopIfTrue="1" operator="lessThan">
      <formula>0.05</formula>
    </cfRule>
    <cfRule type="cellIs" dxfId="8966" priority="8964" stopIfTrue="1" operator="lessThan">
      <formula>0</formula>
    </cfRule>
  </conditionalFormatting>
  <conditionalFormatting sqref="H211:H227">
    <cfRule type="cellIs" dxfId="8965" priority="8961" stopIfTrue="1" operator="lessThan">
      <formula>0</formula>
    </cfRule>
    <cfRule type="cellIs" dxfId="8964" priority="8962" stopIfTrue="1" operator="lessThan">
      <formula>0</formula>
    </cfRule>
  </conditionalFormatting>
  <conditionalFormatting sqref="H211:H227">
    <cfRule type="cellIs" dxfId="8963" priority="8959" stopIfTrue="1" operator="lessThan">
      <formula>0.05</formula>
    </cfRule>
    <cfRule type="cellIs" dxfId="8962" priority="8960" stopIfTrue="1" operator="lessThan">
      <formula>0</formula>
    </cfRule>
  </conditionalFormatting>
  <conditionalFormatting sqref="H211:H227">
    <cfRule type="cellIs" dxfId="8961" priority="8957" stopIfTrue="1" operator="lessThan">
      <formula>0</formula>
    </cfRule>
    <cfRule type="cellIs" dxfId="8960" priority="8958" stopIfTrue="1" operator="lessThan">
      <formula>0</formula>
    </cfRule>
  </conditionalFormatting>
  <conditionalFormatting sqref="H211:H227">
    <cfRule type="cellIs" dxfId="8959" priority="8955" stopIfTrue="1" operator="lessThan">
      <formula>0</formula>
    </cfRule>
    <cfRule type="cellIs" dxfId="8958" priority="8956" stopIfTrue="1" operator="lessThan">
      <formula>0</formula>
    </cfRule>
  </conditionalFormatting>
  <conditionalFormatting sqref="H211:H227">
    <cfRule type="cellIs" dxfId="8957" priority="8953" stopIfTrue="1" operator="lessThan">
      <formula>0</formula>
    </cfRule>
    <cfRule type="cellIs" dxfId="8956" priority="8954" stopIfTrue="1" operator="lessThan">
      <formula>0</formula>
    </cfRule>
  </conditionalFormatting>
  <conditionalFormatting sqref="H211:H227">
    <cfRule type="cellIs" dxfId="8955" priority="8951" stopIfTrue="1" operator="lessThan">
      <formula>0.05</formula>
    </cfRule>
    <cfRule type="cellIs" dxfId="8954" priority="8952" stopIfTrue="1" operator="lessThan">
      <formula>0</formula>
    </cfRule>
  </conditionalFormatting>
  <conditionalFormatting sqref="H211:H227">
    <cfRule type="cellIs" dxfId="8953" priority="8949" stopIfTrue="1" operator="lessThan">
      <formula>0</formula>
    </cfRule>
    <cfRule type="cellIs" dxfId="8952" priority="8950" stopIfTrue="1" operator="lessThan">
      <formula>0</formula>
    </cfRule>
  </conditionalFormatting>
  <conditionalFormatting sqref="H211:H227">
    <cfRule type="cellIs" dxfId="8951" priority="8947" stopIfTrue="1" operator="lessThan">
      <formula>0.05</formula>
    </cfRule>
    <cfRule type="cellIs" dxfId="8950" priority="8948" stopIfTrue="1" operator="lessThan">
      <formula>0</formula>
    </cfRule>
  </conditionalFormatting>
  <conditionalFormatting sqref="H211:H227">
    <cfRule type="cellIs" dxfId="8949" priority="8945" stopIfTrue="1" operator="lessThan">
      <formula>0</formula>
    </cfRule>
    <cfRule type="cellIs" dxfId="8948" priority="8946" stopIfTrue="1" operator="lessThan">
      <formula>0</formula>
    </cfRule>
  </conditionalFormatting>
  <conditionalFormatting sqref="H211:H227">
    <cfRule type="cellIs" dxfId="8947" priority="8943" stopIfTrue="1" operator="lessThan">
      <formula>0.05</formula>
    </cfRule>
    <cfRule type="cellIs" dxfId="8946" priority="8944" stopIfTrue="1" operator="lessThan">
      <formula>0</formula>
    </cfRule>
  </conditionalFormatting>
  <conditionalFormatting sqref="H211:H227">
    <cfRule type="cellIs" dxfId="8945" priority="8941" stopIfTrue="1" operator="lessThan">
      <formula>0</formula>
    </cfRule>
    <cfRule type="cellIs" dxfId="8944" priority="8942" stopIfTrue="1" operator="lessThan">
      <formula>0</formula>
    </cfRule>
  </conditionalFormatting>
  <conditionalFormatting sqref="H211:H227">
    <cfRule type="cellIs" dxfId="8943" priority="8939" stopIfTrue="1" operator="lessThan">
      <formula>0</formula>
    </cfRule>
    <cfRule type="cellIs" dxfId="8942" priority="8940" stopIfTrue="1" operator="lessThan">
      <formula>0</formula>
    </cfRule>
  </conditionalFormatting>
  <conditionalFormatting sqref="H211:H227">
    <cfRule type="cellIs" dxfId="8941" priority="8937" stopIfTrue="1" operator="lessThan">
      <formula>0</formula>
    </cfRule>
    <cfRule type="cellIs" dxfId="8940" priority="8938" stopIfTrue="1" operator="lessThan">
      <formula>0</formula>
    </cfRule>
  </conditionalFormatting>
  <conditionalFormatting sqref="H211:H227">
    <cfRule type="cellIs" dxfId="8939" priority="8935" stopIfTrue="1" operator="lessThan">
      <formula>0.05</formula>
    </cfRule>
    <cfRule type="cellIs" dxfId="8938" priority="8936" stopIfTrue="1" operator="lessThan">
      <formula>0</formula>
    </cfRule>
  </conditionalFormatting>
  <conditionalFormatting sqref="H211:H227">
    <cfRule type="cellIs" dxfId="8937" priority="8933" stopIfTrue="1" operator="lessThan">
      <formula>0</formula>
    </cfRule>
    <cfRule type="cellIs" dxfId="8936" priority="8934" stopIfTrue="1" operator="lessThan">
      <formula>0</formula>
    </cfRule>
  </conditionalFormatting>
  <conditionalFormatting sqref="H211:H227">
    <cfRule type="cellIs" dxfId="8935" priority="8931" stopIfTrue="1" operator="lessThan">
      <formula>0.05</formula>
    </cfRule>
    <cfRule type="cellIs" dxfId="8934" priority="8932" stopIfTrue="1" operator="lessThan">
      <formula>0</formula>
    </cfRule>
  </conditionalFormatting>
  <conditionalFormatting sqref="H211:H227">
    <cfRule type="cellIs" dxfId="8933" priority="8929" stopIfTrue="1" operator="lessThan">
      <formula>0</formula>
    </cfRule>
    <cfRule type="cellIs" dxfId="8932" priority="8930" stopIfTrue="1" operator="lessThan">
      <formula>0</formula>
    </cfRule>
  </conditionalFormatting>
  <conditionalFormatting sqref="H211:H227">
    <cfRule type="cellIs" dxfId="8931" priority="8927" stopIfTrue="1" operator="lessThan">
      <formula>0.05</formula>
    </cfRule>
    <cfRule type="cellIs" dxfId="8930" priority="8928" stopIfTrue="1" operator="lessThan">
      <formula>0</formula>
    </cfRule>
  </conditionalFormatting>
  <conditionalFormatting sqref="H211:H227">
    <cfRule type="cellIs" dxfId="8929" priority="8925" stopIfTrue="1" operator="lessThan">
      <formula>0</formula>
    </cfRule>
    <cfRule type="cellIs" dxfId="8928" priority="8926" stopIfTrue="1" operator="lessThan">
      <formula>0</formula>
    </cfRule>
  </conditionalFormatting>
  <conditionalFormatting sqref="H211:H227">
    <cfRule type="cellIs" dxfId="8927" priority="8923" stopIfTrue="1" operator="lessThan">
      <formula>0</formula>
    </cfRule>
    <cfRule type="cellIs" dxfId="8926" priority="8924" stopIfTrue="1" operator="lessThan">
      <formula>0</formula>
    </cfRule>
  </conditionalFormatting>
  <conditionalFormatting sqref="H211:H227">
    <cfRule type="cellIs" dxfId="8925" priority="8921" stopIfTrue="1" operator="lessThan">
      <formula>0.05</formula>
    </cfRule>
    <cfRule type="cellIs" dxfId="8924" priority="8922" stopIfTrue="1" operator="lessThan">
      <formula>0</formula>
    </cfRule>
  </conditionalFormatting>
  <conditionalFormatting sqref="H211:H227">
    <cfRule type="cellIs" dxfId="8923" priority="8919" stopIfTrue="1" operator="lessThan">
      <formula>0</formula>
    </cfRule>
    <cfRule type="cellIs" dxfId="8922" priority="8920" stopIfTrue="1" operator="lessThan">
      <formula>0</formula>
    </cfRule>
  </conditionalFormatting>
  <conditionalFormatting sqref="H211:H227">
    <cfRule type="cellIs" dxfId="8921" priority="8917" stopIfTrue="1" operator="lessThan">
      <formula>0</formula>
    </cfRule>
    <cfRule type="cellIs" dxfId="8920" priority="8918" stopIfTrue="1" operator="lessThan">
      <formula>0</formula>
    </cfRule>
  </conditionalFormatting>
  <conditionalFormatting sqref="H211:H227">
    <cfRule type="cellIs" dxfId="8919" priority="8915" stopIfTrue="1" operator="lessThan">
      <formula>0.05</formula>
    </cfRule>
    <cfRule type="cellIs" dxfId="8918" priority="8916" stopIfTrue="1" operator="lessThan">
      <formula>0</formula>
    </cfRule>
  </conditionalFormatting>
  <conditionalFormatting sqref="H211:H227">
    <cfRule type="cellIs" dxfId="8917" priority="8913" stopIfTrue="1" operator="lessThan">
      <formula>0</formula>
    </cfRule>
    <cfRule type="cellIs" dxfId="8916" priority="8914" stopIfTrue="1" operator="lessThan">
      <formula>0</formula>
    </cfRule>
  </conditionalFormatting>
  <conditionalFormatting sqref="H211:H227">
    <cfRule type="cellIs" dxfId="8915" priority="8911" stopIfTrue="1" operator="lessThan">
      <formula>0</formula>
    </cfRule>
    <cfRule type="cellIs" dxfId="8914" priority="8912" stopIfTrue="1" operator="lessThan">
      <formula>0</formula>
    </cfRule>
  </conditionalFormatting>
  <conditionalFormatting sqref="H211:H227">
    <cfRule type="cellIs" dxfId="8913" priority="8909" stopIfTrue="1" operator="lessThan">
      <formula>0.05</formula>
    </cfRule>
    <cfRule type="cellIs" dxfId="8912" priority="8910" stopIfTrue="1" operator="lessThan">
      <formula>0</formula>
    </cfRule>
  </conditionalFormatting>
  <conditionalFormatting sqref="H211:H227">
    <cfRule type="cellIs" dxfId="8911" priority="8907" stopIfTrue="1" operator="lessThan">
      <formula>0</formula>
    </cfRule>
    <cfRule type="cellIs" dxfId="8910" priority="8908" stopIfTrue="1" operator="lessThan">
      <formula>0</formula>
    </cfRule>
  </conditionalFormatting>
  <conditionalFormatting sqref="H211:H227">
    <cfRule type="cellIs" dxfId="8909" priority="8905" stopIfTrue="1" operator="lessThan">
      <formula>0</formula>
    </cfRule>
    <cfRule type="cellIs" dxfId="8908" priority="8906" stopIfTrue="1" operator="lessThan">
      <formula>0</formula>
    </cfRule>
  </conditionalFormatting>
  <conditionalFormatting sqref="H211:H227">
    <cfRule type="cellIs" dxfId="8907" priority="8903" stopIfTrue="1" operator="lessThan">
      <formula>0.05</formula>
    </cfRule>
    <cfRule type="cellIs" dxfId="8906" priority="8904" stopIfTrue="1" operator="lessThan">
      <formula>0</formula>
    </cfRule>
  </conditionalFormatting>
  <conditionalFormatting sqref="H211:H227">
    <cfRule type="cellIs" dxfId="8905" priority="8901" stopIfTrue="1" operator="lessThan">
      <formula>0</formula>
    </cfRule>
    <cfRule type="cellIs" dxfId="8904" priority="8902" stopIfTrue="1" operator="lessThan">
      <formula>0</formula>
    </cfRule>
  </conditionalFormatting>
  <conditionalFormatting sqref="H211:H227">
    <cfRule type="cellIs" dxfId="8903" priority="8899" stopIfTrue="1" operator="lessThan">
      <formula>0</formula>
    </cfRule>
    <cfRule type="cellIs" dxfId="8902" priority="8900" stopIfTrue="1" operator="lessThan">
      <formula>0</formula>
    </cfRule>
  </conditionalFormatting>
  <conditionalFormatting sqref="H211:H227">
    <cfRule type="cellIs" dxfId="8901" priority="8897" stopIfTrue="1" operator="lessThan">
      <formula>0.05</formula>
    </cfRule>
    <cfRule type="cellIs" dxfId="8900" priority="8898" stopIfTrue="1" operator="lessThan">
      <formula>0</formula>
    </cfRule>
  </conditionalFormatting>
  <conditionalFormatting sqref="H211:H227">
    <cfRule type="cellIs" dxfId="8899" priority="8895" stopIfTrue="1" operator="lessThan">
      <formula>0</formula>
    </cfRule>
    <cfRule type="cellIs" dxfId="8898" priority="8896" stopIfTrue="1" operator="lessThan">
      <formula>0</formula>
    </cfRule>
  </conditionalFormatting>
  <conditionalFormatting sqref="H211:H227">
    <cfRule type="cellIs" dxfId="8897" priority="8893" stopIfTrue="1" operator="lessThan">
      <formula>0</formula>
    </cfRule>
    <cfRule type="cellIs" dxfId="8896" priority="8894" stopIfTrue="1" operator="lessThan">
      <formula>0</formula>
    </cfRule>
  </conditionalFormatting>
  <conditionalFormatting sqref="H211:H227">
    <cfRule type="cellIs" dxfId="8895" priority="8891" stopIfTrue="1" operator="lessThan">
      <formula>0.05</formula>
    </cfRule>
    <cfRule type="cellIs" dxfId="8894" priority="8892" stopIfTrue="1" operator="lessThan">
      <formula>0</formula>
    </cfRule>
  </conditionalFormatting>
  <conditionalFormatting sqref="H211:H227">
    <cfRule type="cellIs" dxfId="8893" priority="8889" stopIfTrue="1" operator="lessThan">
      <formula>0</formula>
    </cfRule>
    <cfRule type="cellIs" dxfId="8892" priority="8890" stopIfTrue="1" operator="lessThan">
      <formula>0</formula>
    </cfRule>
  </conditionalFormatting>
  <conditionalFormatting sqref="H211:H227">
    <cfRule type="cellIs" dxfId="8891" priority="8887" stopIfTrue="1" operator="lessThan">
      <formula>0</formula>
    </cfRule>
    <cfRule type="cellIs" dxfId="8890" priority="8888" stopIfTrue="1" operator="lessThan">
      <formula>0</formula>
    </cfRule>
  </conditionalFormatting>
  <conditionalFormatting sqref="H211:H227">
    <cfRule type="cellIs" dxfId="8889" priority="8885" stopIfTrue="1" operator="lessThan">
      <formula>0.05</formula>
    </cfRule>
    <cfRule type="cellIs" dxfId="8888" priority="8886" stopIfTrue="1" operator="lessThan">
      <formula>0</formula>
    </cfRule>
  </conditionalFormatting>
  <conditionalFormatting sqref="H211:H227">
    <cfRule type="cellIs" dxfId="8887" priority="8883" stopIfTrue="1" operator="lessThan">
      <formula>0</formula>
    </cfRule>
    <cfRule type="cellIs" dxfId="8886" priority="8884" stopIfTrue="1" operator="lessThan">
      <formula>0</formula>
    </cfRule>
  </conditionalFormatting>
  <conditionalFormatting sqref="H211:H227">
    <cfRule type="cellIs" dxfId="8885" priority="8881" stopIfTrue="1" operator="lessThan">
      <formula>0</formula>
    </cfRule>
    <cfRule type="cellIs" dxfId="8884" priority="8882" stopIfTrue="1" operator="lessThan">
      <formula>0</formula>
    </cfRule>
  </conditionalFormatting>
  <conditionalFormatting sqref="H211:H227">
    <cfRule type="cellIs" dxfId="8883" priority="8879" stopIfTrue="1" operator="lessThan">
      <formula>0.05</formula>
    </cfRule>
    <cfRule type="cellIs" dxfId="8882" priority="8880" stopIfTrue="1" operator="lessThan">
      <formula>0</formula>
    </cfRule>
  </conditionalFormatting>
  <conditionalFormatting sqref="H211:H227">
    <cfRule type="cellIs" dxfId="8881" priority="8877" stopIfTrue="1" operator="lessThan">
      <formula>0</formula>
    </cfRule>
    <cfRule type="cellIs" dxfId="8880" priority="8878" stopIfTrue="1" operator="lessThan">
      <formula>0</formula>
    </cfRule>
  </conditionalFormatting>
  <conditionalFormatting sqref="H211:H227">
    <cfRule type="cellIs" dxfId="8879" priority="8875" stopIfTrue="1" operator="lessThan">
      <formula>0</formula>
    </cfRule>
    <cfRule type="cellIs" dxfId="8878" priority="8876" stopIfTrue="1" operator="lessThan">
      <formula>0</formula>
    </cfRule>
  </conditionalFormatting>
  <conditionalFormatting sqref="H211:H227">
    <cfRule type="cellIs" dxfId="8877" priority="8873" stopIfTrue="1" operator="lessThan">
      <formula>0.05</formula>
    </cfRule>
    <cfRule type="cellIs" dxfId="8876" priority="8874" stopIfTrue="1" operator="lessThan">
      <formula>0</formula>
    </cfRule>
  </conditionalFormatting>
  <conditionalFormatting sqref="H211:H227">
    <cfRule type="cellIs" dxfId="8875" priority="8871" stopIfTrue="1" operator="lessThan">
      <formula>0</formula>
    </cfRule>
    <cfRule type="cellIs" dxfId="8874" priority="8872" stopIfTrue="1" operator="lessThan">
      <formula>0</formula>
    </cfRule>
  </conditionalFormatting>
  <conditionalFormatting sqref="H211:H227">
    <cfRule type="cellIs" dxfId="8873" priority="8869" stopIfTrue="1" operator="lessThan">
      <formula>0</formula>
    </cfRule>
    <cfRule type="cellIs" dxfId="8872" priority="8870" stopIfTrue="1" operator="lessThan">
      <formula>0</formula>
    </cfRule>
  </conditionalFormatting>
  <conditionalFormatting sqref="H211:H227">
    <cfRule type="cellIs" dxfId="8871" priority="8867" stopIfTrue="1" operator="lessThan">
      <formula>0.05</formula>
    </cfRule>
    <cfRule type="cellIs" dxfId="8870" priority="8868" stopIfTrue="1" operator="lessThan">
      <formula>0</formula>
    </cfRule>
  </conditionalFormatting>
  <conditionalFormatting sqref="H211:H227">
    <cfRule type="cellIs" dxfId="8869" priority="8865" stopIfTrue="1" operator="lessThan">
      <formula>0</formula>
    </cfRule>
    <cfRule type="cellIs" dxfId="8868" priority="8866" stopIfTrue="1" operator="lessThan">
      <formula>0</formula>
    </cfRule>
  </conditionalFormatting>
  <conditionalFormatting sqref="H211:H227">
    <cfRule type="cellIs" dxfId="8867" priority="8863" stopIfTrue="1" operator="lessThan">
      <formula>0</formula>
    </cfRule>
    <cfRule type="cellIs" dxfId="8866" priority="8864" stopIfTrue="1" operator="lessThan">
      <formula>0</formula>
    </cfRule>
  </conditionalFormatting>
  <conditionalFormatting sqref="H211:H227">
    <cfRule type="cellIs" dxfId="8865" priority="8861" stopIfTrue="1" operator="lessThan">
      <formula>0.05</formula>
    </cfRule>
    <cfRule type="cellIs" dxfId="8864" priority="8862" stopIfTrue="1" operator="lessThan">
      <formula>0</formula>
    </cfRule>
  </conditionalFormatting>
  <conditionalFormatting sqref="H211:H227">
    <cfRule type="cellIs" dxfId="8863" priority="8859" stopIfTrue="1" operator="lessThan">
      <formula>0</formula>
    </cfRule>
    <cfRule type="cellIs" dxfId="8862" priority="8860" stopIfTrue="1" operator="lessThan">
      <formula>0</formula>
    </cfRule>
  </conditionalFormatting>
  <conditionalFormatting sqref="H211:H227">
    <cfRule type="cellIs" dxfId="8861" priority="8857" stopIfTrue="1" operator="lessThan">
      <formula>0</formula>
    </cfRule>
    <cfRule type="cellIs" dxfId="8860" priority="8858" stopIfTrue="1" operator="lessThan">
      <formula>0</formula>
    </cfRule>
  </conditionalFormatting>
  <conditionalFormatting sqref="H211:H227">
    <cfRule type="cellIs" dxfId="8859" priority="8855" stopIfTrue="1" operator="lessThan">
      <formula>0.05</formula>
    </cfRule>
    <cfRule type="cellIs" dxfId="8858" priority="8856" stopIfTrue="1" operator="lessThan">
      <formula>0</formula>
    </cfRule>
  </conditionalFormatting>
  <conditionalFormatting sqref="H211:H227">
    <cfRule type="cellIs" dxfId="8857" priority="8853" stopIfTrue="1" operator="lessThan">
      <formula>0</formula>
    </cfRule>
    <cfRule type="cellIs" dxfId="8856" priority="8854" stopIfTrue="1" operator="lessThan">
      <formula>0</formula>
    </cfRule>
  </conditionalFormatting>
  <conditionalFormatting sqref="H211:H227">
    <cfRule type="cellIs" dxfId="8855" priority="8851" stopIfTrue="1" operator="lessThan">
      <formula>0</formula>
    </cfRule>
    <cfRule type="cellIs" dxfId="8854" priority="8852" stopIfTrue="1" operator="lessThan">
      <formula>0</formula>
    </cfRule>
  </conditionalFormatting>
  <conditionalFormatting sqref="H211:H227">
    <cfRule type="cellIs" dxfId="8853" priority="8849" stopIfTrue="1" operator="lessThan">
      <formula>0.05</formula>
    </cfRule>
    <cfRule type="cellIs" dxfId="8852" priority="8850" stopIfTrue="1" operator="lessThan">
      <formula>0</formula>
    </cfRule>
  </conditionalFormatting>
  <conditionalFormatting sqref="H211:H227">
    <cfRule type="cellIs" dxfId="8851" priority="8847" stopIfTrue="1" operator="lessThan">
      <formula>0</formula>
    </cfRule>
    <cfRule type="cellIs" dxfId="8850" priority="8848" stopIfTrue="1" operator="lessThan">
      <formula>0</formula>
    </cfRule>
  </conditionalFormatting>
  <conditionalFormatting sqref="H211:H227">
    <cfRule type="cellIs" dxfId="8849" priority="8845" stopIfTrue="1" operator="lessThan">
      <formula>0</formula>
    </cfRule>
    <cfRule type="cellIs" dxfId="8848" priority="8846" stopIfTrue="1" operator="lessThan">
      <formula>0</formula>
    </cfRule>
  </conditionalFormatting>
  <conditionalFormatting sqref="H211:H227">
    <cfRule type="cellIs" dxfId="8847" priority="8843" stopIfTrue="1" operator="lessThan">
      <formula>0.05</formula>
    </cfRule>
    <cfRule type="cellIs" dxfId="8846" priority="8844" stopIfTrue="1" operator="lessThan">
      <formula>0</formula>
    </cfRule>
  </conditionalFormatting>
  <conditionalFormatting sqref="H211:H227">
    <cfRule type="cellIs" dxfId="8845" priority="8841" stopIfTrue="1" operator="lessThan">
      <formula>0</formula>
    </cfRule>
    <cfRule type="cellIs" dxfId="8844" priority="8842" stopIfTrue="1" operator="lessThan">
      <formula>0</formula>
    </cfRule>
  </conditionalFormatting>
  <conditionalFormatting sqref="H211:H227">
    <cfRule type="cellIs" dxfId="8843" priority="8839" stopIfTrue="1" operator="lessThan">
      <formula>0</formula>
    </cfRule>
    <cfRule type="cellIs" dxfId="8842" priority="8840" stopIfTrue="1" operator="lessThan">
      <formula>0</formula>
    </cfRule>
  </conditionalFormatting>
  <conditionalFormatting sqref="H211:H227">
    <cfRule type="cellIs" dxfId="8841" priority="8837" stopIfTrue="1" operator="lessThan">
      <formula>0.05</formula>
    </cfRule>
    <cfRule type="cellIs" dxfId="8840" priority="8838" stopIfTrue="1" operator="lessThan">
      <formula>0</formula>
    </cfRule>
  </conditionalFormatting>
  <conditionalFormatting sqref="H211:H227">
    <cfRule type="cellIs" dxfId="8839" priority="8835" stopIfTrue="1" operator="lessThan">
      <formula>0</formula>
    </cfRule>
    <cfRule type="cellIs" dxfId="8838" priority="8836" stopIfTrue="1" operator="lessThan">
      <formula>0</formula>
    </cfRule>
  </conditionalFormatting>
  <conditionalFormatting sqref="H211:H227">
    <cfRule type="cellIs" dxfId="8837" priority="8833" stopIfTrue="1" operator="lessThan">
      <formula>0</formula>
    </cfRule>
    <cfRule type="cellIs" dxfId="8836" priority="8834" stopIfTrue="1" operator="lessThan">
      <formula>0</formula>
    </cfRule>
  </conditionalFormatting>
  <conditionalFormatting sqref="H211:H227">
    <cfRule type="cellIs" dxfId="8835" priority="8831" stopIfTrue="1" operator="lessThan">
      <formula>0.05</formula>
    </cfRule>
    <cfRule type="cellIs" dxfId="8834" priority="8832" stopIfTrue="1" operator="lessThan">
      <formula>0</formula>
    </cfRule>
  </conditionalFormatting>
  <conditionalFormatting sqref="H211:H227">
    <cfRule type="cellIs" dxfId="8833" priority="8829" stopIfTrue="1" operator="lessThan">
      <formula>0</formula>
    </cfRule>
    <cfRule type="cellIs" dxfId="8832" priority="8830" stopIfTrue="1" operator="lessThan">
      <formula>0</formula>
    </cfRule>
  </conditionalFormatting>
  <conditionalFormatting sqref="H211:H227">
    <cfRule type="cellIs" dxfId="8831" priority="8827" stopIfTrue="1" operator="lessThan">
      <formula>0.05</formula>
    </cfRule>
    <cfRule type="cellIs" dxfId="8830" priority="8828" stopIfTrue="1" operator="lessThan">
      <formula>0</formula>
    </cfRule>
  </conditionalFormatting>
  <conditionalFormatting sqref="H211:H227">
    <cfRule type="cellIs" dxfId="8829" priority="8825" stopIfTrue="1" operator="lessThan">
      <formula>0</formula>
    </cfRule>
    <cfRule type="cellIs" dxfId="8828" priority="8826" stopIfTrue="1" operator="lessThan">
      <formula>0</formula>
    </cfRule>
  </conditionalFormatting>
  <conditionalFormatting sqref="H211:H227">
    <cfRule type="cellIs" dxfId="8827" priority="8823" stopIfTrue="1" operator="lessThan">
      <formula>0.05</formula>
    </cfRule>
    <cfRule type="cellIs" dxfId="8826" priority="8824" stopIfTrue="1" operator="lessThan">
      <formula>0</formula>
    </cfRule>
  </conditionalFormatting>
  <conditionalFormatting sqref="H211:H227">
    <cfRule type="cellIs" dxfId="8825" priority="8821" stopIfTrue="1" operator="lessThan">
      <formula>0</formula>
    </cfRule>
    <cfRule type="cellIs" dxfId="8824" priority="8822" stopIfTrue="1" operator="lessThan">
      <formula>0</formula>
    </cfRule>
  </conditionalFormatting>
  <conditionalFormatting sqref="H211:H227">
    <cfRule type="cellIs" dxfId="8823" priority="8819" stopIfTrue="1" operator="lessThan">
      <formula>0</formula>
    </cfRule>
    <cfRule type="cellIs" dxfId="8822" priority="8820" stopIfTrue="1" operator="lessThan">
      <formula>0</formula>
    </cfRule>
  </conditionalFormatting>
  <conditionalFormatting sqref="H211:H227">
    <cfRule type="cellIs" dxfId="8821" priority="8817" stopIfTrue="1" operator="lessThan">
      <formula>0</formula>
    </cfRule>
    <cfRule type="cellIs" dxfId="8820" priority="8818" stopIfTrue="1" operator="lessThan">
      <formula>0</formula>
    </cfRule>
  </conditionalFormatting>
  <conditionalFormatting sqref="H211:H227">
    <cfRule type="cellIs" dxfId="8819" priority="8815" stopIfTrue="1" operator="lessThan">
      <formula>0.05</formula>
    </cfRule>
    <cfRule type="cellIs" dxfId="8818" priority="8816" stopIfTrue="1" operator="lessThan">
      <formula>0</formula>
    </cfRule>
  </conditionalFormatting>
  <conditionalFormatting sqref="H211:H227">
    <cfRule type="cellIs" dxfId="8817" priority="8813" stopIfTrue="1" operator="lessThan">
      <formula>0</formula>
    </cfRule>
    <cfRule type="cellIs" dxfId="8816" priority="8814" stopIfTrue="1" operator="lessThan">
      <formula>0</formula>
    </cfRule>
  </conditionalFormatting>
  <conditionalFormatting sqref="H211:H227">
    <cfRule type="cellIs" dxfId="8815" priority="8811" stopIfTrue="1" operator="lessThan">
      <formula>0.05</formula>
    </cfRule>
    <cfRule type="cellIs" dxfId="8814" priority="8812" stopIfTrue="1" operator="lessThan">
      <formula>0</formula>
    </cfRule>
  </conditionalFormatting>
  <conditionalFormatting sqref="H211:H227">
    <cfRule type="cellIs" dxfId="8813" priority="8809" stopIfTrue="1" operator="lessThan">
      <formula>0</formula>
    </cfRule>
    <cfRule type="cellIs" dxfId="8812" priority="8810" stopIfTrue="1" operator="lessThan">
      <formula>0</formula>
    </cfRule>
  </conditionalFormatting>
  <conditionalFormatting sqref="H211:H227">
    <cfRule type="cellIs" dxfId="8811" priority="8807" stopIfTrue="1" operator="lessThan">
      <formula>0.05</formula>
    </cfRule>
    <cfRule type="cellIs" dxfId="8810" priority="8808" stopIfTrue="1" operator="lessThan">
      <formula>0</formula>
    </cfRule>
  </conditionalFormatting>
  <conditionalFormatting sqref="H211:H227">
    <cfRule type="cellIs" dxfId="8809" priority="8805" stopIfTrue="1" operator="lessThan">
      <formula>0</formula>
    </cfRule>
    <cfRule type="cellIs" dxfId="8808" priority="8806" stopIfTrue="1" operator="lessThan">
      <formula>0</formula>
    </cfRule>
  </conditionalFormatting>
  <conditionalFormatting sqref="H211:H227">
    <cfRule type="cellIs" dxfId="8807" priority="8803" stopIfTrue="1" operator="lessThan">
      <formula>0</formula>
    </cfRule>
    <cfRule type="cellIs" dxfId="8806" priority="8804" stopIfTrue="1" operator="lessThan">
      <formula>0</formula>
    </cfRule>
  </conditionalFormatting>
  <conditionalFormatting sqref="H211:H227">
    <cfRule type="cellIs" dxfId="8805" priority="8801" stopIfTrue="1" operator="lessThan">
      <formula>0.05</formula>
    </cfRule>
    <cfRule type="cellIs" dxfId="8804" priority="8802" stopIfTrue="1" operator="lessThan">
      <formula>0</formula>
    </cfRule>
  </conditionalFormatting>
  <conditionalFormatting sqref="H211:H227">
    <cfRule type="cellIs" dxfId="8803" priority="8799" stopIfTrue="1" operator="lessThan">
      <formula>0</formula>
    </cfRule>
    <cfRule type="cellIs" dxfId="8802" priority="8800" stopIfTrue="1" operator="lessThan">
      <formula>0</formula>
    </cfRule>
  </conditionalFormatting>
  <conditionalFormatting sqref="H211:H227">
    <cfRule type="cellIs" dxfId="8801" priority="8797" stopIfTrue="1" operator="lessThan">
      <formula>0</formula>
    </cfRule>
    <cfRule type="cellIs" dxfId="8800" priority="8798" stopIfTrue="1" operator="lessThan">
      <formula>0</formula>
    </cfRule>
  </conditionalFormatting>
  <conditionalFormatting sqref="H211:H227">
    <cfRule type="cellIs" dxfId="8799" priority="8795" stopIfTrue="1" operator="lessThan">
      <formula>0.05</formula>
    </cfRule>
    <cfRule type="cellIs" dxfId="8798" priority="8796" stopIfTrue="1" operator="lessThan">
      <formula>0</formula>
    </cfRule>
  </conditionalFormatting>
  <conditionalFormatting sqref="H211:H227">
    <cfRule type="cellIs" dxfId="8797" priority="8793" stopIfTrue="1" operator="lessThan">
      <formula>0</formula>
    </cfRule>
    <cfRule type="cellIs" dxfId="8796" priority="8794" stopIfTrue="1" operator="lessThan">
      <formula>0</formula>
    </cfRule>
  </conditionalFormatting>
  <conditionalFormatting sqref="H211:H227">
    <cfRule type="cellIs" dxfId="8795" priority="8791" stopIfTrue="1" operator="lessThan">
      <formula>0</formula>
    </cfRule>
    <cfRule type="cellIs" dxfId="8794" priority="8792" stopIfTrue="1" operator="lessThan">
      <formula>0</formula>
    </cfRule>
  </conditionalFormatting>
  <conditionalFormatting sqref="H211:H227">
    <cfRule type="cellIs" dxfId="8793" priority="8789" stopIfTrue="1" operator="lessThan">
      <formula>0.05</formula>
    </cfRule>
    <cfRule type="cellIs" dxfId="8792" priority="8790" stopIfTrue="1" operator="lessThan">
      <formula>0</formula>
    </cfRule>
  </conditionalFormatting>
  <conditionalFormatting sqref="H211:H227">
    <cfRule type="cellIs" dxfId="8791" priority="8787" stopIfTrue="1" operator="lessThan">
      <formula>0</formula>
    </cfRule>
    <cfRule type="cellIs" dxfId="8790" priority="8788" stopIfTrue="1" operator="lessThan">
      <formula>0</formula>
    </cfRule>
  </conditionalFormatting>
  <conditionalFormatting sqref="H211:H227">
    <cfRule type="cellIs" dxfId="8789" priority="8785" stopIfTrue="1" operator="lessThan">
      <formula>0</formula>
    </cfRule>
    <cfRule type="cellIs" dxfId="8788" priority="8786" stopIfTrue="1" operator="lessThan">
      <formula>0</formula>
    </cfRule>
  </conditionalFormatting>
  <conditionalFormatting sqref="H211:H227">
    <cfRule type="cellIs" dxfId="8787" priority="8783" stopIfTrue="1" operator="lessThan">
      <formula>0.05</formula>
    </cfRule>
    <cfRule type="cellIs" dxfId="8786" priority="8784" stopIfTrue="1" operator="lessThan">
      <formula>0</formula>
    </cfRule>
  </conditionalFormatting>
  <conditionalFormatting sqref="H211:H227">
    <cfRule type="cellIs" dxfId="8785" priority="8781" stopIfTrue="1" operator="lessThan">
      <formula>0</formula>
    </cfRule>
    <cfRule type="cellIs" dxfId="8784" priority="8782" stopIfTrue="1" operator="lessThan">
      <formula>0</formula>
    </cfRule>
  </conditionalFormatting>
  <conditionalFormatting sqref="H211:H227">
    <cfRule type="cellIs" dxfId="8783" priority="8779" stopIfTrue="1" operator="lessThan">
      <formula>0</formula>
    </cfRule>
    <cfRule type="cellIs" dxfId="8782" priority="8780" stopIfTrue="1" operator="lessThan">
      <formula>0</formula>
    </cfRule>
  </conditionalFormatting>
  <conditionalFormatting sqref="H211:H227">
    <cfRule type="cellIs" dxfId="8781" priority="8777" stopIfTrue="1" operator="lessThan">
      <formula>0.05</formula>
    </cfRule>
    <cfRule type="cellIs" dxfId="8780" priority="8778" stopIfTrue="1" operator="lessThan">
      <formula>0</formula>
    </cfRule>
  </conditionalFormatting>
  <conditionalFormatting sqref="H211:H227">
    <cfRule type="cellIs" dxfId="8779" priority="8775" stopIfTrue="1" operator="lessThan">
      <formula>0</formula>
    </cfRule>
    <cfRule type="cellIs" dxfId="8778" priority="8776" stopIfTrue="1" operator="lessThan">
      <formula>0</formula>
    </cfRule>
  </conditionalFormatting>
  <conditionalFormatting sqref="H211:H227">
    <cfRule type="cellIs" dxfId="8777" priority="8773" stopIfTrue="1" operator="lessThan">
      <formula>0</formula>
    </cfRule>
    <cfRule type="cellIs" dxfId="8776" priority="8774" stopIfTrue="1" operator="lessThan">
      <formula>0</formula>
    </cfRule>
  </conditionalFormatting>
  <conditionalFormatting sqref="H211:H227">
    <cfRule type="cellIs" dxfId="8775" priority="8771" stopIfTrue="1" operator="lessThan">
      <formula>0.05</formula>
    </cfRule>
    <cfRule type="cellIs" dxfId="8774" priority="8772" stopIfTrue="1" operator="lessThan">
      <formula>0</formula>
    </cfRule>
  </conditionalFormatting>
  <conditionalFormatting sqref="H211:H227">
    <cfRule type="cellIs" dxfId="8773" priority="8769" stopIfTrue="1" operator="lessThan">
      <formula>0</formula>
    </cfRule>
    <cfRule type="cellIs" dxfId="8772" priority="8770" stopIfTrue="1" operator="lessThan">
      <formula>0</formula>
    </cfRule>
  </conditionalFormatting>
  <conditionalFormatting sqref="H211:H227">
    <cfRule type="cellIs" dxfId="8771" priority="8767" stopIfTrue="1" operator="lessThan">
      <formula>0</formula>
    </cfRule>
    <cfRule type="cellIs" dxfId="8770" priority="8768" stopIfTrue="1" operator="lessThan">
      <formula>0</formula>
    </cfRule>
  </conditionalFormatting>
  <conditionalFormatting sqref="H211:H227">
    <cfRule type="cellIs" dxfId="8769" priority="8765" stopIfTrue="1" operator="lessThan">
      <formula>0.05</formula>
    </cfRule>
    <cfRule type="cellIs" dxfId="8768" priority="8766" stopIfTrue="1" operator="lessThan">
      <formula>0</formula>
    </cfRule>
  </conditionalFormatting>
  <conditionalFormatting sqref="H211:H227">
    <cfRule type="cellIs" dxfId="8767" priority="8763" stopIfTrue="1" operator="lessThan">
      <formula>0</formula>
    </cfRule>
    <cfRule type="cellIs" dxfId="8766" priority="8764" stopIfTrue="1" operator="lessThan">
      <formula>0</formula>
    </cfRule>
  </conditionalFormatting>
  <conditionalFormatting sqref="H211:H227">
    <cfRule type="cellIs" dxfId="8765" priority="8761" stopIfTrue="1" operator="lessThan">
      <formula>0</formula>
    </cfRule>
    <cfRule type="cellIs" dxfId="8764" priority="8762" stopIfTrue="1" operator="lessThan">
      <formula>0</formula>
    </cfRule>
  </conditionalFormatting>
  <conditionalFormatting sqref="H211:H227">
    <cfRule type="cellIs" dxfId="8763" priority="8759" stopIfTrue="1" operator="lessThan">
      <formula>0.05</formula>
    </cfRule>
    <cfRule type="cellIs" dxfId="8762" priority="8760" stopIfTrue="1" operator="lessThan">
      <formula>0</formula>
    </cfRule>
  </conditionalFormatting>
  <conditionalFormatting sqref="H211:H227">
    <cfRule type="cellIs" dxfId="8761" priority="8757" stopIfTrue="1" operator="lessThan">
      <formula>0</formula>
    </cfRule>
    <cfRule type="cellIs" dxfId="8760" priority="8758" stopIfTrue="1" operator="lessThan">
      <formula>0</formula>
    </cfRule>
  </conditionalFormatting>
  <conditionalFormatting sqref="H211:H227">
    <cfRule type="cellIs" dxfId="8759" priority="8755" stopIfTrue="1" operator="lessThan">
      <formula>0</formula>
    </cfRule>
    <cfRule type="cellIs" dxfId="8758" priority="8756" stopIfTrue="1" operator="lessThan">
      <formula>0</formula>
    </cfRule>
  </conditionalFormatting>
  <conditionalFormatting sqref="H211:H227">
    <cfRule type="cellIs" dxfId="8757" priority="8753" stopIfTrue="1" operator="lessThan">
      <formula>0.05</formula>
    </cfRule>
    <cfRule type="cellIs" dxfId="8756" priority="8754" stopIfTrue="1" operator="lessThan">
      <formula>0</formula>
    </cfRule>
  </conditionalFormatting>
  <conditionalFormatting sqref="H211:H227">
    <cfRule type="cellIs" dxfId="8755" priority="8751" stopIfTrue="1" operator="lessThan">
      <formula>0</formula>
    </cfRule>
    <cfRule type="cellIs" dxfId="8754" priority="8752" stopIfTrue="1" operator="lessThan">
      <formula>0</formula>
    </cfRule>
  </conditionalFormatting>
  <conditionalFormatting sqref="H211:H227">
    <cfRule type="cellIs" dxfId="8753" priority="8749" stopIfTrue="1" operator="lessThan">
      <formula>0</formula>
    </cfRule>
    <cfRule type="cellIs" dxfId="8752" priority="8750" stopIfTrue="1" operator="lessThan">
      <formula>0</formula>
    </cfRule>
  </conditionalFormatting>
  <conditionalFormatting sqref="H211:H227">
    <cfRule type="cellIs" dxfId="8751" priority="8747" stopIfTrue="1" operator="lessThan">
      <formula>0.05</formula>
    </cfRule>
    <cfRule type="cellIs" dxfId="8750" priority="8748" stopIfTrue="1" operator="lessThan">
      <formula>0</formula>
    </cfRule>
  </conditionalFormatting>
  <conditionalFormatting sqref="H211:H227">
    <cfRule type="cellIs" dxfId="8749" priority="8745" stopIfTrue="1" operator="lessThan">
      <formula>0</formula>
    </cfRule>
    <cfRule type="cellIs" dxfId="8748" priority="8746" stopIfTrue="1" operator="lessThan">
      <formula>0</formula>
    </cfRule>
  </conditionalFormatting>
  <conditionalFormatting sqref="H211:H227">
    <cfRule type="cellIs" dxfId="8747" priority="8743" stopIfTrue="1" operator="lessThan">
      <formula>0</formula>
    </cfRule>
    <cfRule type="cellIs" dxfId="8746" priority="8744" stopIfTrue="1" operator="lessThan">
      <formula>0</formula>
    </cfRule>
  </conditionalFormatting>
  <conditionalFormatting sqref="H211:H227">
    <cfRule type="cellIs" dxfId="8745" priority="8741" stopIfTrue="1" operator="lessThan">
      <formula>0.05</formula>
    </cfRule>
    <cfRule type="cellIs" dxfId="8744" priority="8742" stopIfTrue="1" operator="lessThan">
      <formula>0</formula>
    </cfRule>
  </conditionalFormatting>
  <conditionalFormatting sqref="H211:H227">
    <cfRule type="cellIs" dxfId="8743" priority="8739" stopIfTrue="1" operator="lessThan">
      <formula>0</formula>
    </cfRule>
    <cfRule type="cellIs" dxfId="8742" priority="8740" stopIfTrue="1" operator="lessThan">
      <formula>0</formula>
    </cfRule>
  </conditionalFormatting>
  <conditionalFormatting sqref="H211:H227">
    <cfRule type="cellIs" dxfId="8741" priority="8737" stopIfTrue="1" operator="lessThan">
      <formula>0</formula>
    </cfRule>
    <cfRule type="cellIs" dxfId="8740" priority="8738" stopIfTrue="1" operator="lessThan">
      <formula>0</formula>
    </cfRule>
  </conditionalFormatting>
  <conditionalFormatting sqref="H211:H227">
    <cfRule type="cellIs" dxfId="8739" priority="8735" stopIfTrue="1" operator="lessThan">
      <formula>0.05</formula>
    </cfRule>
    <cfRule type="cellIs" dxfId="8738" priority="8736" stopIfTrue="1" operator="lessThan">
      <formula>0</formula>
    </cfRule>
  </conditionalFormatting>
  <conditionalFormatting sqref="H211:H227">
    <cfRule type="cellIs" dxfId="8737" priority="8733" stopIfTrue="1" operator="lessThan">
      <formula>0</formula>
    </cfRule>
    <cfRule type="cellIs" dxfId="8736" priority="8734" stopIfTrue="1" operator="lessThan">
      <formula>0</formula>
    </cfRule>
  </conditionalFormatting>
  <conditionalFormatting sqref="H211:H227">
    <cfRule type="cellIs" dxfId="8735" priority="8731" stopIfTrue="1" operator="lessThan">
      <formula>0.05</formula>
    </cfRule>
    <cfRule type="cellIs" dxfId="8734" priority="8732" stopIfTrue="1" operator="lessThan">
      <formula>0</formula>
    </cfRule>
  </conditionalFormatting>
  <conditionalFormatting sqref="H211:H227">
    <cfRule type="cellIs" dxfId="8733" priority="8729" stopIfTrue="1" operator="lessThan">
      <formula>0</formula>
    </cfRule>
    <cfRule type="cellIs" dxfId="8732" priority="8730" stopIfTrue="1" operator="lessThan">
      <formula>0</formula>
    </cfRule>
  </conditionalFormatting>
  <conditionalFormatting sqref="H211:H227">
    <cfRule type="cellIs" dxfId="8731" priority="8727" stopIfTrue="1" operator="lessThan">
      <formula>0.05</formula>
    </cfRule>
    <cfRule type="cellIs" dxfId="8730" priority="8728" stopIfTrue="1" operator="lessThan">
      <formula>0</formula>
    </cfRule>
  </conditionalFormatting>
  <conditionalFormatting sqref="H211:H227">
    <cfRule type="cellIs" dxfId="8729" priority="8725" stopIfTrue="1" operator="lessThan">
      <formula>0</formula>
    </cfRule>
    <cfRule type="cellIs" dxfId="8728" priority="8726" stopIfTrue="1" operator="lessThan">
      <formula>0</formula>
    </cfRule>
  </conditionalFormatting>
  <conditionalFormatting sqref="H211:H227">
    <cfRule type="cellIs" dxfId="8727" priority="8723" stopIfTrue="1" operator="lessThan">
      <formula>0</formula>
    </cfRule>
    <cfRule type="cellIs" dxfId="8726" priority="8724" stopIfTrue="1" operator="lessThan">
      <formula>0</formula>
    </cfRule>
  </conditionalFormatting>
  <conditionalFormatting sqref="H211:H227">
    <cfRule type="cellIs" dxfId="8725" priority="8721" stopIfTrue="1" operator="lessThan">
      <formula>0</formula>
    </cfRule>
    <cfRule type="cellIs" dxfId="8724" priority="8722" stopIfTrue="1" operator="lessThan">
      <formula>0</formula>
    </cfRule>
  </conditionalFormatting>
  <conditionalFormatting sqref="H211:H227">
    <cfRule type="cellIs" dxfId="8723" priority="8719" stopIfTrue="1" operator="lessThan">
      <formula>0.05</formula>
    </cfRule>
    <cfRule type="cellIs" dxfId="8722" priority="8720" stopIfTrue="1" operator="lessThan">
      <formula>0</formula>
    </cfRule>
  </conditionalFormatting>
  <conditionalFormatting sqref="H211:H227">
    <cfRule type="cellIs" dxfId="8721" priority="8717" stopIfTrue="1" operator="lessThan">
      <formula>0</formula>
    </cfRule>
    <cfRule type="cellIs" dxfId="8720" priority="8718" stopIfTrue="1" operator="lessThan">
      <formula>0</formula>
    </cfRule>
  </conditionalFormatting>
  <conditionalFormatting sqref="H211:H227">
    <cfRule type="cellIs" dxfId="8719" priority="8715" stopIfTrue="1" operator="lessThan">
      <formula>0.05</formula>
    </cfRule>
    <cfRule type="cellIs" dxfId="8718" priority="8716" stopIfTrue="1" operator="lessThan">
      <formula>0</formula>
    </cfRule>
  </conditionalFormatting>
  <conditionalFormatting sqref="H211:H227">
    <cfRule type="cellIs" dxfId="8717" priority="8713" stopIfTrue="1" operator="lessThan">
      <formula>0</formula>
    </cfRule>
    <cfRule type="cellIs" dxfId="8716" priority="8714" stopIfTrue="1" operator="lessThan">
      <formula>0</formula>
    </cfRule>
  </conditionalFormatting>
  <conditionalFormatting sqref="H211:H227">
    <cfRule type="cellIs" dxfId="8715" priority="8711" stopIfTrue="1" operator="lessThan">
      <formula>0.05</formula>
    </cfRule>
    <cfRule type="cellIs" dxfId="8714" priority="8712" stopIfTrue="1" operator="lessThan">
      <formula>0</formula>
    </cfRule>
  </conditionalFormatting>
  <conditionalFormatting sqref="H211:H227">
    <cfRule type="cellIs" dxfId="8713" priority="8709" stopIfTrue="1" operator="lessThan">
      <formula>0</formula>
    </cfRule>
    <cfRule type="cellIs" dxfId="8712" priority="8710" stopIfTrue="1" operator="lessThan">
      <formula>0</formula>
    </cfRule>
  </conditionalFormatting>
  <conditionalFormatting sqref="H211:H227">
    <cfRule type="cellIs" dxfId="8711" priority="8707" stopIfTrue="1" operator="lessThan">
      <formula>0</formula>
    </cfRule>
    <cfRule type="cellIs" dxfId="8710" priority="8708" stopIfTrue="1" operator="lessThan">
      <formula>0</formula>
    </cfRule>
  </conditionalFormatting>
  <conditionalFormatting sqref="H211:H227">
    <cfRule type="cellIs" dxfId="8709" priority="8705" stopIfTrue="1" operator="lessThan">
      <formula>0.05</formula>
    </cfRule>
    <cfRule type="cellIs" dxfId="8708" priority="8706" stopIfTrue="1" operator="lessThan">
      <formula>0</formula>
    </cfRule>
  </conditionalFormatting>
  <conditionalFormatting sqref="H211:H227">
    <cfRule type="cellIs" dxfId="8707" priority="8703" stopIfTrue="1" operator="lessThan">
      <formula>0</formula>
    </cfRule>
    <cfRule type="cellIs" dxfId="8706" priority="8704" stopIfTrue="1" operator="lessThan">
      <formula>0</formula>
    </cfRule>
  </conditionalFormatting>
  <conditionalFormatting sqref="H211:H227">
    <cfRule type="cellIs" dxfId="8705" priority="8701" stopIfTrue="1" operator="lessThan">
      <formula>0</formula>
    </cfRule>
    <cfRule type="cellIs" dxfId="8704" priority="8702" stopIfTrue="1" operator="lessThan">
      <formula>0</formula>
    </cfRule>
  </conditionalFormatting>
  <conditionalFormatting sqref="H211:H227">
    <cfRule type="cellIs" dxfId="8703" priority="8699" stopIfTrue="1" operator="lessThan">
      <formula>0.05</formula>
    </cfRule>
    <cfRule type="cellIs" dxfId="8702" priority="8700" stopIfTrue="1" operator="lessThan">
      <formula>0</formula>
    </cfRule>
  </conditionalFormatting>
  <conditionalFormatting sqref="H211:H227">
    <cfRule type="cellIs" dxfId="8701" priority="8697" stopIfTrue="1" operator="lessThan">
      <formula>0</formula>
    </cfRule>
    <cfRule type="cellIs" dxfId="8700" priority="8698" stopIfTrue="1" operator="lessThan">
      <formula>0</formula>
    </cfRule>
  </conditionalFormatting>
  <conditionalFormatting sqref="H211:H227">
    <cfRule type="cellIs" dxfId="8699" priority="8695" stopIfTrue="1" operator="lessThan">
      <formula>0</formula>
    </cfRule>
    <cfRule type="cellIs" dxfId="8698" priority="8696" stopIfTrue="1" operator="lessThan">
      <formula>0</formula>
    </cfRule>
  </conditionalFormatting>
  <conditionalFormatting sqref="H211:H227">
    <cfRule type="cellIs" dxfId="8697" priority="8693" stopIfTrue="1" operator="lessThan">
      <formula>0.05</formula>
    </cfRule>
    <cfRule type="cellIs" dxfId="8696" priority="8694" stopIfTrue="1" operator="lessThan">
      <formula>0</formula>
    </cfRule>
  </conditionalFormatting>
  <conditionalFormatting sqref="H211:H227">
    <cfRule type="cellIs" dxfId="8695" priority="8691" stopIfTrue="1" operator="lessThan">
      <formula>0</formula>
    </cfRule>
    <cfRule type="cellIs" dxfId="8694" priority="8692" stopIfTrue="1" operator="lessThan">
      <formula>0</formula>
    </cfRule>
  </conditionalFormatting>
  <conditionalFormatting sqref="H211:H227">
    <cfRule type="cellIs" dxfId="8693" priority="8689" stopIfTrue="1" operator="lessThan">
      <formula>0</formula>
    </cfRule>
    <cfRule type="cellIs" dxfId="8692" priority="8690" stopIfTrue="1" operator="lessThan">
      <formula>0</formula>
    </cfRule>
  </conditionalFormatting>
  <conditionalFormatting sqref="H211:H227">
    <cfRule type="cellIs" dxfId="8691" priority="8687" stopIfTrue="1" operator="lessThan">
      <formula>0.05</formula>
    </cfRule>
    <cfRule type="cellIs" dxfId="8690" priority="8688" stopIfTrue="1" operator="lessThan">
      <formula>0</formula>
    </cfRule>
  </conditionalFormatting>
  <conditionalFormatting sqref="H211:H227">
    <cfRule type="cellIs" dxfId="8689" priority="8685" stopIfTrue="1" operator="lessThan">
      <formula>0</formula>
    </cfRule>
    <cfRule type="cellIs" dxfId="8688" priority="8686" stopIfTrue="1" operator="lessThan">
      <formula>0</formula>
    </cfRule>
  </conditionalFormatting>
  <conditionalFormatting sqref="H211:H227">
    <cfRule type="cellIs" dxfId="8687" priority="8683" stopIfTrue="1" operator="lessThan">
      <formula>0</formula>
    </cfRule>
    <cfRule type="cellIs" dxfId="8686" priority="8684" stopIfTrue="1" operator="lessThan">
      <formula>0</formula>
    </cfRule>
  </conditionalFormatting>
  <conditionalFormatting sqref="H211:H227">
    <cfRule type="cellIs" dxfId="8685" priority="8681" stopIfTrue="1" operator="lessThan">
      <formula>0.05</formula>
    </cfRule>
    <cfRule type="cellIs" dxfId="8684" priority="8682" stopIfTrue="1" operator="lessThan">
      <formula>0</formula>
    </cfRule>
  </conditionalFormatting>
  <conditionalFormatting sqref="H211:H227">
    <cfRule type="cellIs" dxfId="8683" priority="8679" stopIfTrue="1" operator="lessThan">
      <formula>0</formula>
    </cfRule>
    <cfRule type="cellIs" dxfId="8682" priority="8680" stopIfTrue="1" operator="lessThan">
      <formula>0</formula>
    </cfRule>
  </conditionalFormatting>
  <conditionalFormatting sqref="H211:H227">
    <cfRule type="cellIs" dxfId="8681" priority="8677" stopIfTrue="1" operator="lessThan">
      <formula>0</formula>
    </cfRule>
    <cfRule type="cellIs" dxfId="8680" priority="8678" stopIfTrue="1" operator="lessThan">
      <formula>0</formula>
    </cfRule>
  </conditionalFormatting>
  <conditionalFormatting sqref="H211:H227">
    <cfRule type="cellIs" dxfId="8679" priority="8675" stopIfTrue="1" operator="lessThan">
      <formula>0.05</formula>
    </cfRule>
    <cfRule type="cellIs" dxfId="8678" priority="8676" stopIfTrue="1" operator="lessThan">
      <formula>0</formula>
    </cfRule>
  </conditionalFormatting>
  <conditionalFormatting sqref="H211:H227">
    <cfRule type="cellIs" dxfId="8677" priority="8673" stopIfTrue="1" operator="lessThan">
      <formula>0</formula>
    </cfRule>
    <cfRule type="cellIs" dxfId="8676" priority="8674" stopIfTrue="1" operator="lessThan">
      <formula>0</formula>
    </cfRule>
  </conditionalFormatting>
  <conditionalFormatting sqref="H211:H227">
    <cfRule type="cellIs" dxfId="8675" priority="8671" stopIfTrue="1" operator="lessThan">
      <formula>0</formula>
    </cfRule>
    <cfRule type="cellIs" dxfId="8674" priority="8672" stopIfTrue="1" operator="lessThan">
      <formula>0</formula>
    </cfRule>
  </conditionalFormatting>
  <conditionalFormatting sqref="H211:H227">
    <cfRule type="cellIs" dxfId="8673" priority="8669" stopIfTrue="1" operator="lessThan">
      <formula>0.05</formula>
    </cfRule>
    <cfRule type="cellIs" dxfId="8672" priority="8670" stopIfTrue="1" operator="lessThan">
      <formula>0</formula>
    </cfRule>
  </conditionalFormatting>
  <conditionalFormatting sqref="H211:H227">
    <cfRule type="cellIs" dxfId="8671" priority="8667" stopIfTrue="1" operator="lessThan">
      <formula>0</formula>
    </cfRule>
    <cfRule type="cellIs" dxfId="8670" priority="8668" stopIfTrue="1" operator="lessThan">
      <formula>0</formula>
    </cfRule>
  </conditionalFormatting>
  <conditionalFormatting sqref="H211:H227">
    <cfRule type="cellIs" dxfId="8669" priority="8665" stopIfTrue="1" operator="lessThan">
      <formula>0</formula>
    </cfRule>
    <cfRule type="cellIs" dxfId="8668" priority="8666" stopIfTrue="1" operator="lessThan">
      <formula>0</formula>
    </cfRule>
  </conditionalFormatting>
  <conditionalFormatting sqref="H211:H227">
    <cfRule type="cellIs" dxfId="8667" priority="8663" stopIfTrue="1" operator="lessThan">
      <formula>0.05</formula>
    </cfRule>
    <cfRule type="cellIs" dxfId="8666" priority="8664" stopIfTrue="1" operator="lessThan">
      <formula>0</formula>
    </cfRule>
  </conditionalFormatting>
  <conditionalFormatting sqref="H211:H227">
    <cfRule type="cellIs" dxfId="8665" priority="8661" stopIfTrue="1" operator="lessThan">
      <formula>0</formula>
    </cfRule>
    <cfRule type="cellIs" dxfId="8664" priority="8662" stopIfTrue="1" operator="lessThan">
      <formula>0</formula>
    </cfRule>
  </conditionalFormatting>
  <conditionalFormatting sqref="H211:H227">
    <cfRule type="cellIs" dxfId="8663" priority="8659" stopIfTrue="1" operator="lessThan">
      <formula>0</formula>
    </cfRule>
    <cfRule type="cellIs" dxfId="8662" priority="8660" stopIfTrue="1" operator="lessThan">
      <formula>0</formula>
    </cfRule>
  </conditionalFormatting>
  <conditionalFormatting sqref="H211:H227">
    <cfRule type="cellIs" dxfId="8661" priority="8657" stopIfTrue="1" operator="lessThan">
      <formula>0.05</formula>
    </cfRule>
    <cfRule type="cellIs" dxfId="8660" priority="8658" stopIfTrue="1" operator="lessThan">
      <formula>0</formula>
    </cfRule>
  </conditionalFormatting>
  <conditionalFormatting sqref="H211:H227">
    <cfRule type="cellIs" dxfId="8659" priority="8655" stopIfTrue="1" operator="lessThan">
      <formula>0</formula>
    </cfRule>
    <cfRule type="cellIs" dxfId="8658" priority="8656" stopIfTrue="1" operator="lessThan">
      <formula>0</formula>
    </cfRule>
  </conditionalFormatting>
  <conditionalFormatting sqref="H211:H227">
    <cfRule type="cellIs" dxfId="8657" priority="8653" stopIfTrue="1" operator="lessThan">
      <formula>0</formula>
    </cfRule>
    <cfRule type="cellIs" dxfId="8656" priority="8654" stopIfTrue="1" operator="lessThan">
      <formula>0</formula>
    </cfRule>
  </conditionalFormatting>
  <conditionalFormatting sqref="H211:H227">
    <cfRule type="cellIs" dxfId="8655" priority="8651" stopIfTrue="1" operator="lessThan">
      <formula>0.05</formula>
    </cfRule>
    <cfRule type="cellIs" dxfId="8654" priority="8652" stopIfTrue="1" operator="lessThan">
      <formula>0</formula>
    </cfRule>
  </conditionalFormatting>
  <conditionalFormatting sqref="H211:H227">
    <cfRule type="cellIs" dxfId="8653" priority="8649" stopIfTrue="1" operator="lessThan">
      <formula>0</formula>
    </cfRule>
    <cfRule type="cellIs" dxfId="8652" priority="8650" stopIfTrue="1" operator="lessThan">
      <formula>0</formula>
    </cfRule>
  </conditionalFormatting>
  <conditionalFormatting sqref="H211:H227">
    <cfRule type="cellIs" dxfId="8651" priority="8647" stopIfTrue="1" operator="lessThan">
      <formula>0</formula>
    </cfRule>
    <cfRule type="cellIs" dxfId="8650" priority="8648" stopIfTrue="1" operator="lessThan">
      <formula>0</formula>
    </cfRule>
  </conditionalFormatting>
  <conditionalFormatting sqref="H211:H227">
    <cfRule type="cellIs" dxfId="8649" priority="8645" stopIfTrue="1" operator="lessThan">
      <formula>0.05</formula>
    </cfRule>
    <cfRule type="cellIs" dxfId="8648" priority="8646" stopIfTrue="1" operator="lessThan">
      <formula>0</formula>
    </cfRule>
  </conditionalFormatting>
  <conditionalFormatting sqref="H211:H227">
    <cfRule type="cellIs" dxfId="8647" priority="8643" stopIfTrue="1" operator="lessThan">
      <formula>0</formula>
    </cfRule>
    <cfRule type="cellIs" dxfId="8646" priority="8644" stopIfTrue="1" operator="lessThan">
      <formula>0</formula>
    </cfRule>
  </conditionalFormatting>
  <conditionalFormatting sqref="H211:H227">
    <cfRule type="cellIs" dxfId="8645" priority="8641" stopIfTrue="1" operator="lessThan">
      <formula>0</formula>
    </cfRule>
    <cfRule type="cellIs" dxfId="8644" priority="8642" stopIfTrue="1" operator="lessThan">
      <formula>0</formula>
    </cfRule>
  </conditionalFormatting>
  <conditionalFormatting sqref="H211:H227">
    <cfRule type="cellIs" dxfId="8643" priority="8639" stopIfTrue="1" operator="lessThan">
      <formula>0.05</formula>
    </cfRule>
    <cfRule type="cellIs" dxfId="8642" priority="8640" stopIfTrue="1" operator="lessThan">
      <formula>0</formula>
    </cfRule>
  </conditionalFormatting>
  <conditionalFormatting sqref="H211:H227">
    <cfRule type="cellIs" dxfId="8641" priority="8637" stopIfTrue="1" operator="lessThan">
      <formula>0</formula>
    </cfRule>
    <cfRule type="cellIs" dxfId="8640" priority="8638" stopIfTrue="1" operator="lessThan">
      <formula>0</formula>
    </cfRule>
  </conditionalFormatting>
  <conditionalFormatting sqref="H211:H227">
    <cfRule type="cellIs" dxfId="8639" priority="8635" stopIfTrue="1" operator="lessThan">
      <formula>0</formula>
    </cfRule>
    <cfRule type="cellIs" dxfId="8638" priority="8636" stopIfTrue="1" operator="lessThan">
      <formula>0</formula>
    </cfRule>
  </conditionalFormatting>
  <conditionalFormatting sqref="H211:H227">
    <cfRule type="cellIs" dxfId="8637" priority="8633" stopIfTrue="1" operator="lessThan">
      <formula>0.05</formula>
    </cfRule>
    <cfRule type="cellIs" dxfId="8636" priority="8634" stopIfTrue="1" operator="lessThan">
      <formula>0</formula>
    </cfRule>
  </conditionalFormatting>
  <conditionalFormatting sqref="H211:H227">
    <cfRule type="cellIs" dxfId="8635" priority="8631" stopIfTrue="1" operator="lessThan">
      <formula>0</formula>
    </cfRule>
    <cfRule type="cellIs" dxfId="8634" priority="8632" stopIfTrue="1" operator="lessThan">
      <formula>0</formula>
    </cfRule>
  </conditionalFormatting>
  <conditionalFormatting sqref="H211:H227">
    <cfRule type="cellIs" dxfId="8633" priority="8629" stopIfTrue="1" operator="lessThan">
      <formula>0</formula>
    </cfRule>
    <cfRule type="cellIs" dxfId="8632" priority="8630" stopIfTrue="1" operator="lessThan">
      <formula>0</formula>
    </cfRule>
  </conditionalFormatting>
  <conditionalFormatting sqref="H211:H227">
    <cfRule type="cellIs" dxfId="8631" priority="8627" stopIfTrue="1" operator="lessThan">
      <formula>0.05</formula>
    </cfRule>
    <cfRule type="cellIs" dxfId="8630" priority="8628" stopIfTrue="1" operator="lessThan">
      <formula>0</formula>
    </cfRule>
  </conditionalFormatting>
  <conditionalFormatting sqref="H211:H227">
    <cfRule type="cellIs" dxfId="8629" priority="8625" stopIfTrue="1" operator="lessThan">
      <formula>0</formula>
    </cfRule>
    <cfRule type="cellIs" dxfId="8628" priority="8626" stopIfTrue="1" operator="lessThan">
      <formula>0</formula>
    </cfRule>
  </conditionalFormatting>
  <conditionalFormatting sqref="H211:H227">
    <cfRule type="cellIs" dxfId="8627" priority="8623" stopIfTrue="1" operator="lessThan">
      <formula>0.05</formula>
    </cfRule>
    <cfRule type="cellIs" dxfId="8626" priority="8624" stopIfTrue="1" operator="lessThan">
      <formula>0</formula>
    </cfRule>
  </conditionalFormatting>
  <conditionalFormatting sqref="H211:H227">
    <cfRule type="cellIs" dxfId="8625" priority="8621" stopIfTrue="1" operator="lessThan">
      <formula>0</formula>
    </cfRule>
    <cfRule type="cellIs" dxfId="8624" priority="8622" stopIfTrue="1" operator="lessThan">
      <formula>0</formula>
    </cfRule>
  </conditionalFormatting>
  <conditionalFormatting sqref="H211:H227">
    <cfRule type="cellIs" dxfId="8623" priority="8619" stopIfTrue="1" operator="lessThan">
      <formula>0.05</formula>
    </cfRule>
    <cfRule type="cellIs" dxfId="8622" priority="8620" stopIfTrue="1" operator="lessThan">
      <formula>0</formula>
    </cfRule>
  </conditionalFormatting>
  <conditionalFormatting sqref="H211:H227">
    <cfRule type="cellIs" dxfId="8621" priority="8617" stopIfTrue="1" operator="lessThan">
      <formula>0</formula>
    </cfRule>
    <cfRule type="cellIs" dxfId="8620" priority="8618" stopIfTrue="1" operator="lessThan">
      <formula>0</formula>
    </cfRule>
  </conditionalFormatting>
  <conditionalFormatting sqref="H211:H227">
    <cfRule type="cellIs" dxfId="8619" priority="8615" stopIfTrue="1" operator="lessThan">
      <formula>0</formula>
    </cfRule>
    <cfRule type="cellIs" dxfId="8618" priority="8616" stopIfTrue="1" operator="lessThan">
      <formula>0</formula>
    </cfRule>
  </conditionalFormatting>
  <conditionalFormatting sqref="H211:H227">
    <cfRule type="cellIs" dxfId="8617" priority="8613" stopIfTrue="1" operator="lessThan">
      <formula>0</formula>
    </cfRule>
    <cfRule type="cellIs" dxfId="8616" priority="8614" stopIfTrue="1" operator="lessThan">
      <formula>0</formula>
    </cfRule>
  </conditionalFormatting>
  <conditionalFormatting sqref="H211:H227">
    <cfRule type="cellIs" dxfId="8615" priority="8611" stopIfTrue="1" operator="lessThan">
      <formula>0.05</formula>
    </cfRule>
    <cfRule type="cellIs" dxfId="8614" priority="8612" stopIfTrue="1" operator="lessThan">
      <formula>0</formula>
    </cfRule>
  </conditionalFormatting>
  <conditionalFormatting sqref="H211:H227">
    <cfRule type="cellIs" dxfId="8613" priority="8609" stopIfTrue="1" operator="lessThan">
      <formula>0</formula>
    </cfRule>
    <cfRule type="cellIs" dxfId="8612" priority="8610" stopIfTrue="1" operator="lessThan">
      <formula>0</formula>
    </cfRule>
  </conditionalFormatting>
  <conditionalFormatting sqref="H211:H227">
    <cfRule type="cellIs" dxfId="8611" priority="8607" stopIfTrue="1" operator="lessThan">
      <formula>0.05</formula>
    </cfRule>
    <cfRule type="cellIs" dxfId="8610" priority="8608" stopIfTrue="1" operator="lessThan">
      <formula>0</formula>
    </cfRule>
  </conditionalFormatting>
  <conditionalFormatting sqref="H211:H227">
    <cfRule type="cellIs" dxfId="8609" priority="8605" stopIfTrue="1" operator="lessThan">
      <formula>0</formula>
    </cfRule>
    <cfRule type="cellIs" dxfId="8608" priority="8606" stopIfTrue="1" operator="lessThan">
      <formula>0</formula>
    </cfRule>
  </conditionalFormatting>
  <conditionalFormatting sqref="H211:H227">
    <cfRule type="cellIs" dxfId="8607" priority="8603" stopIfTrue="1" operator="lessThan">
      <formula>0.05</formula>
    </cfRule>
    <cfRule type="cellIs" dxfId="8606" priority="8604" stopIfTrue="1" operator="lessThan">
      <formula>0</formula>
    </cfRule>
  </conditionalFormatting>
  <conditionalFormatting sqref="H211:H227">
    <cfRule type="cellIs" dxfId="8605" priority="8601" stopIfTrue="1" operator="lessThan">
      <formula>0</formula>
    </cfRule>
    <cfRule type="cellIs" dxfId="8604" priority="8602" stopIfTrue="1" operator="lessThan">
      <formula>0</formula>
    </cfRule>
  </conditionalFormatting>
  <conditionalFormatting sqref="H211:H227">
    <cfRule type="cellIs" dxfId="8603" priority="8600" stopIfTrue="1" operator="lessThan">
      <formula>0.05</formula>
    </cfRule>
  </conditionalFormatting>
  <conditionalFormatting sqref="H233:H242">
    <cfRule type="cellIs" dxfId="8602" priority="8598" stopIfTrue="1" operator="lessThan">
      <formula>0</formula>
    </cfRule>
    <cfRule type="cellIs" dxfId="8601" priority="8599" stopIfTrue="1" operator="lessThan">
      <formula>0</formula>
    </cfRule>
  </conditionalFormatting>
  <conditionalFormatting sqref="H233:H242">
    <cfRule type="cellIs" dxfId="8600" priority="8596" stopIfTrue="1" operator="lessThan">
      <formula>0</formula>
    </cfRule>
    <cfRule type="cellIs" dxfId="8599" priority="8597" stopIfTrue="1" operator="lessThan">
      <formula>0</formula>
    </cfRule>
  </conditionalFormatting>
  <conditionalFormatting sqref="H233:H242">
    <cfRule type="cellIs" dxfId="8598" priority="8594" stopIfTrue="1" operator="lessThan">
      <formula>0.05</formula>
    </cfRule>
    <cfRule type="cellIs" dxfId="8597" priority="8595" stopIfTrue="1" operator="lessThan">
      <formula>0</formula>
    </cfRule>
  </conditionalFormatting>
  <conditionalFormatting sqref="H233:H242">
    <cfRule type="cellIs" dxfId="8596" priority="8592" stopIfTrue="1" operator="lessThan">
      <formula>0</formula>
    </cfRule>
    <cfRule type="cellIs" dxfId="8595" priority="8593" stopIfTrue="1" operator="lessThan">
      <formula>0</formula>
    </cfRule>
  </conditionalFormatting>
  <conditionalFormatting sqref="H233:H242">
    <cfRule type="cellIs" dxfId="8594" priority="8590" stopIfTrue="1" operator="lessThan">
      <formula>0.05</formula>
    </cfRule>
    <cfRule type="cellIs" dxfId="8593" priority="8591" stopIfTrue="1" operator="lessThan">
      <formula>0</formula>
    </cfRule>
  </conditionalFormatting>
  <conditionalFormatting sqref="H233:H242">
    <cfRule type="cellIs" dxfId="8592" priority="8588" stopIfTrue="1" operator="lessThan">
      <formula>0</formula>
    </cfRule>
    <cfRule type="cellIs" dxfId="8591" priority="8589" stopIfTrue="1" operator="lessThan">
      <formula>0</formula>
    </cfRule>
  </conditionalFormatting>
  <conditionalFormatting sqref="H233:H242">
    <cfRule type="cellIs" dxfId="8590" priority="8586" stopIfTrue="1" operator="lessThan">
      <formula>0.05</formula>
    </cfRule>
    <cfRule type="cellIs" dxfId="8589" priority="8587" stopIfTrue="1" operator="lessThan">
      <formula>0</formula>
    </cfRule>
  </conditionalFormatting>
  <conditionalFormatting sqref="H233:H242">
    <cfRule type="cellIs" dxfId="8588" priority="8584" stopIfTrue="1" operator="lessThan">
      <formula>0</formula>
    </cfRule>
    <cfRule type="cellIs" dxfId="8587" priority="8585" stopIfTrue="1" operator="lessThan">
      <formula>0</formula>
    </cfRule>
  </conditionalFormatting>
  <conditionalFormatting sqref="H233:H242">
    <cfRule type="cellIs" dxfId="8586" priority="8582" stopIfTrue="1" operator="lessThan">
      <formula>0</formula>
    </cfRule>
    <cfRule type="cellIs" dxfId="8585" priority="8583" stopIfTrue="1" operator="lessThan">
      <formula>0</formula>
    </cfRule>
  </conditionalFormatting>
  <conditionalFormatting sqref="H233:H242">
    <cfRule type="cellIs" dxfId="8584" priority="8580" stopIfTrue="1" operator="lessThan">
      <formula>0</formula>
    </cfRule>
    <cfRule type="cellIs" dxfId="8583" priority="8581" stopIfTrue="1" operator="lessThan">
      <formula>0</formula>
    </cfRule>
  </conditionalFormatting>
  <conditionalFormatting sqref="H233:H242">
    <cfRule type="cellIs" dxfId="8582" priority="8578" stopIfTrue="1" operator="lessThan">
      <formula>0.05</formula>
    </cfRule>
    <cfRule type="cellIs" dxfId="8581" priority="8579" stopIfTrue="1" operator="lessThan">
      <formula>0</formula>
    </cfRule>
  </conditionalFormatting>
  <conditionalFormatting sqref="H233:H242">
    <cfRule type="cellIs" dxfId="8580" priority="8576" stopIfTrue="1" operator="lessThan">
      <formula>0</formula>
    </cfRule>
    <cfRule type="cellIs" dxfId="8579" priority="8577" stopIfTrue="1" operator="lessThan">
      <formula>0</formula>
    </cfRule>
  </conditionalFormatting>
  <conditionalFormatting sqref="H233:H242">
    <cfRule type="cellIs" dxfId="8578" priority="8574" stopIfTrue="1" operator="lessThan">
      <formula>0.05</formula>
    </cfRule>
    <cfRule type="cellIs" dxfId="8577" priority="8575" stopIfTrue="1" operator="lessThan">
      <formula>0</formula>
    </cfRule>
  </conditionalFormatting>
  <conditionalFormatting sqref="H233:H242">
    <cfRule type="cellIs" dxfId="8576" priority="8572" stopIfTrue="1" operator="lessThan">
      <formula>0</formula>
    </cfRule>
    <cfRule type="cellIs" dxfId="8575" priority="8573" stopIfTrue="1" operator="lessThan">
      <formula>0</formula>
    </cfRule>
  </conditionalFormatting>
  <conditionalFormatting sqref="H233:H242">
    <cfRule type="cellIs" dxfId="8574" priority="8570" stopIfTrue="1" operator="lessThan">
      <formula>0.05</formula>
    </cfRule>
    <cfRule type="cellIs" dxfId="8573" priority="8571" stopIfTrue="1" operator="lessThan">
      <formula>0</formula>
    </cfRule>
  </conditionalFormatting>
  <conditionalFormatting sqref="H233:H242">
    <cfRule type="cellIs" dxfId="8572" priority="8568" stopIfTrue="1" operator="lessThan">
      <formula>0</formula>
    </cfRule>
    <cfRule type="cellIs" dxfId="8571" priority="8569" stopIfTrue="1" operator="lessThan">
      <formula>0</formula>
    </cfRule>
  </conditionalFormatting>
  <conditionalFormatting sqref="H233:H242">
    <cfRule type="cellIs" dxfId="8570" priority="8566" stopIfTrue="1" operator="lessThan">
      <formula>0</formula>
    </cfRule>
    <cfRule type="cellIs" dxfId="8569" priority="8567" stopIfTrue="1" operator="lessThan">
      <formula>0</formula>
    </cfRule>
  </conditionalFormatting>
  <conditionalFormatting sqref="H233:H242">
    <cfRule type="cellIs" dxfId="8568" priority="8564" stopIfTrue="1" operator="lessThan">
      <formula>0</formula>
    </cfRule>
    <cfRule type="cellIs" dxfId="8567" priority="8565" stopIfTrue="1" operator="lessThan">
      <formula>0</formula>
    </cfRule>
  </conditionalFormatting>
  <conditionalFormatting sqref="H233:H242">
    <cfRule type="cellIs" dxfId="8566" priority="8562" stopIfTrue="1" operator="lessThan">
      <formula>0.05</formula>
    </cfRule>
    <cfRule type="cellIs" dxfId="8565" priority="8563" stopIfTrue="1" operator="lessThan">
      <formula>0</formula>
    </cfRule>
  </conditionalFormatting>
  <conditionalFormatting sqref="H233:H242">
    <cfRule type="cellIs" dxfId="8564" priority="8560" stopIfTrue="1" operator="lessThan">
      <formula>0</formula>
    </cfRule>
    <cfRule type="cellIs" dxfId="8563" priority="8561" stopIfTrue="1" operator="lessThan">
      <formula>0</formula>
    </cfRule>
  </conditionalFormatting>
  <conditionalFormatting sqref="H233:H242">
    <cfRule type="cellIs" dxfId="8562" priority="8558" stopIfTrue="1" operator="lessThan">
      <formula>0.05</formula>
    </cfRule>
    <cfRule type="cellIs" dxfId="8561" priority="8559" stopIfTrue="1" operator="lessThan">
      <formula>0</formula>
    </cfRule>
  </conditionalFormatting>
  <conditionalFormatting sqref="H233:H242">
    <cfRule type="cellIs" dxfId="8560" priority="8556" stopIfTrue="1" operator="lessThan">
      <formula>0</formula>
    </cfRule>
    <cfRule type="cellIs" dxfId="8559" priority="8557" stopIfTrue="1" operator="lessThan">
      <formula>0</formula>
    </cfRule>
  </conditionalFormatting>
  <conditionalFormatting sqref="H233:H242">
    <cfRule type="cellIs" dxfId="8558" priority="8554" stopIfTrue="1" operator="lessThan">
      <formula>0.05</formula>
    </cfRule>
    <cfRule type="cellIs" dxfId="8557" priority="8555" stopIfTrue="1" operator="lessThan">
      <formula>0</formula>
    </cfRule>
  </conditionalFormatting>
  <conditionalFormatting sqref="H233:H242">
    <cfRule type="cellIs" dxfId="8556" priority="8552" stopIfTrue="1" operator="lessThan">
      <formula>0</formula>
    </cfRule>
    <cfRule type="cellIs" dxfId="8555" priority="8553" stopIfTrue="1" operator="lessThan">
      <formula>0</formula>
    </cfRule>
  </conditionalFormatting>
  <conditionalFormatting sqref="H233:H242">
    <cfRule type="cellIs" dxfId="8554" priority="8550" stopIfTrue="1" operator="lessThan">
      <formula>0</formula>
    </cfRule>
    <cfRule type="cellIs" dxfId="8553" priority="8551" stopIfTrue="1" operator="lessThan">
      <formula>0</formula>
    </cfRule>
  </conditionalFormatting>
  <conditionalFormatting sqref="H233:H242">
    <cfRule type="cellIs" dxfId="8552" priority="8548" stopIfTrue="1" operator="lessThan">
      <formula>0</formula>
    </cfRule>
    <cfRule type="cellIs" dxfId="8551" priority="8549" stopIfTrue="1" operator="lessThan">
      <formula>0</formula>
    </cfRule>
  </conditionalFormatting>
  <conditionalFormatting sqref="H233:H242">
    <cfRule type="cellIs" dxfId="8550" priority="8546" stopIfTrue="1" operator="lessThan">
      <formula>0.05</formula>
    </cfRule>
    <cfRule type="cellIs" dxfId="8549" priority="8547" stopIfTrue="1" operator="lessThan">
      <formula>0</formula>
    </cfRule>
  </conditionalFormatting>
  <conditionalFormatting sqref="H233:H242">
    <cfRule type="cellIs" dxfId="8548" priority="8544" stopIfTrue="1" operator="lessThan">
      <formula>0</formula>
    </cfRule>
    <cfRule type="cellIs" dxfId="8547" priority="8545" stopIfTrue="1" operator="lessThan">
      <formula>0</formula>
    </cfRule>
  </conditionalFormatting>
  <conditionalFormatting sqref="H233:H242">
    <cfRule type="cellIs" dxfId="8546" priority="8542" stopIfTrue="1" operator="lessThan">
      <formula>0.05</formula>
    </cfRule>
    <cfRule type="cellIs" dxfId="8545" priority="8543" stopIfTrue="1" operator="lessThan">
      <formula>0</formula>
    </cfRule>
  </conditionalFormatting>
  <conditionalFormatting sqref="H233:H242">
    <cfRule type="cellIs" dxfId="8544" priority="8540" stopIfTrue="1" operator="lessThan">
      <formula>0</formula>
    </cfRule>
    <cfRule type="cellIs" dxfId="8543" priority="8541" stopIfTrue="1" operator="lessThan">
      <formula>0</formula>
    </cfRule>
  </conditionalFormatting>
  <conditionalFormatting sqref="H233:H242">
    <cfRule type="cellIs" dxfId="8542" priority="8538" stopIfTrue="1" operator="lessThan">
      <formula>0.05</formula>
    </cfRule>
    <cfRule type="cellIs" dxfId="8541" priority="8539" stopIfTrue="1" operator="lessThan">
      <formula>0</formula>
    </cfRule>
  </conditionalFormatting>
  <conditionalFormatting sqref="H233:H242">
    <cfRule type="cellIs" dxfId="8540" priority="8536" stopIfTrue="1" operator="lessThan">
      <formula>0</formula>
    </cfRule>
    <cfRule type="cellIs" dxfId="8539" priority="8537" stopIfTrue="1" operator="lessThan">
      <formula>0</formula>
    </cfRule>
  </conditionalFormatting>
  <conditionalFormatting sqref="H233:H242">
    <cfRule type="cellIs" dxfId="8538" priority="8534" stopIfTrue="1" operator="lessThan">
      <formula>0</formula>
    </cfRule>
    <cfRule type="cellIs" dxfId="8537" priority="8535" stopIfTrue="1" operator="lessThan">
      <formula>0</formula>
    </cfRule>
  </conditionalFormatting>
  <conditionalFormatting sqref="H233:H242">
    <cfRule type="cellIs" dxfId="8536" priority="8532" stopIfTrue="1" operator="lessThan">
      <formula>0.05</formula>
    </cfRule>
    <cfRule type="cellIs" dxfId="8535" priority="8533" stopIfTrue="1" operator="lessThan">
      <formula>0</formula>
    </cfRule>
  </conditionalFormatting>
  <conditionalFormatting sqref="H233:H242">
    <cfRule type="cellIs" dxfId="8534" priority="8530" stopIfTrue="1" operator="lessThan">
      <formula>0</formula>
    </cfRule>
    <cfRule type="cellIs" dxfId="8533" priority="8531" stopIfTrue="1" operator="lessThan">
      <formula>0</formula>
    </cfRule>
  </conditionalFormatting>
  <conditionalFormatting sqref="H233:H242">
    <cfRule type="cellIs" dxfId="8532" priority="8528" stopIfTrue="1" operator="lessThan">
      <formula>0</formula>
    </cfRule>
    <cfRule type="cellIs" dxfId="8531" priority="8529" stopIfTrue="1" operator="lessThan">
      <formula>0</formula>
    </cfRule>
  </conditionalFormatting>
  <conditionalFormatting sqref="H233:H242">
    <cfRule type="cellIs" dxfId="8530" priority="8526" stopIfTrue="1" operator="lessThan">
      <formula>0.05</formula>
    </cfRule>
    <cfRule type="cellIs" dxfId="8529" priority="8527" stopIfTrue="1" operator="lessThan">
      <formula>0</formula>
    </cfRule>
  </conditionalFormatting>
  <conditionalFormatting sqref="H233:H242">
    <cfRule type="cellIs" dxfId="8528" priority="8524" stopIfTrue="1" operator="lessThan">
      <formula>0</formula>
    </cfRule>
    <cfRule type="cellIs" dxfId="8527" priority="8525" stopIfTrue="1" operator="lessThan">
      <formula>0</formula>
    </cfRule>
  </conditionalFormatting>
  <conditionalFormatting sqref="H233:H242">
    <cfRule type="cellIs" dxfId="8526" priority="8522" stopIfTrue="1" operator="lessThan">
      <formula>0</formula>
    </cfRule>
    <cfRule type="cellIs" dxfId="8525" priority="8523" stopIfTrue="1" operator="lessThan">
      <formula>0</formula>
    </cfRule>
  </conditionalFormatting>
  <conditionalFormatting sqref="H233:H242">
    <cfRule type="cellIs" dxfId="8524" priority="8520" stopIfTrue="1" operator="lessThan">
      <formula>0.05</formula>
    </cfRule>
    <cfRule type="cellIs" dxfId="8523" priority="8521" stopIfTrue="1" operator="lessThan">
      <formula>0</formula>
    </cfRule>
  </conditionalFormatting>
  <conditionalFormatting sqref="H233:H242">
    <cfRule type="cellIs" dxfId="8522" priority="8518" stopIfTrue="1" operator="lessThan">
      <formula>0</formula>
    </cfRule>
    <cfRule type="cellIs" dxfId="8521" priority="8519" stopIfTrue="1" operator="lessThan">
      <formula>0</formula>
    </cfRule>
  </conditionalFormatting>
  <conditionalFormatting sqref="H233:H242">
    <cfRule type="cellIs" dxfId="8520" priority="8516" stopIfTrue="1" operator="lessThan">
      <formula>0</formula>
    </cfRule>
    <cfRule type="cellIs" dxfId="8519" priority="8517" stopIfTrue="1" operator="lessThan">
      <formula>0</formula>
    </cfRule>
  </conditionalFormatting>
  <conditionalFormatting sqref="H233:H242">
    <cfRule type="cellIs" dxfId="8518" priority="8514" stopIfTrue="1" operator="lessThan">
      <formula>0.05</formula>
    </cfRule>
    <cfRule type="cellIs" dxfId="8517" priority="8515" stopIfTrue="1" operator="lessThan">
      <formula>0</formula>
    </cfRule>
  </conditionalFormatting>
  <conditionalFormatting sqref="H233:H242">
    <cfRule type="cellIs" dxfId="8516" priority="8512" stopIfTrue="1" operator="lessThan">
      <formula>0</formula>
    </cfRule>
    <cfRule type="cellIs" dxfId="8515" priority="8513" stopIfTrue="1" operator="lessThan">
      <formula>0</formula>
    </cfRule>
  </conditionalFormatting>
  <conditionalFormatting sqref="H233:H242">
    <cfRule type="cellIs" dxfId="8514" priority="8510" stopIfTrue="1" operator="lessThan">
      <formula>0</formula>
    </cfRule>
    <cfRule type="cellIs" dxfId="8513" priority="8511" stopIfTrue="1" operator="lessThan">
      <formula>0</formula>
    </cfRule>
  </conditionalFormatting>
  <conditionalFormatting sqref="H233:H242">
    <cfRule type="cellIs" dxfId="8512" priority="8508" stopIfTrue="1" operator="lessThan">
      <formula>0.05</formula>
    </cfRule>
    <cfRule type="cellIs" dxfId="8511" priority="8509" stopIfTrue="1" operator="lessThan">
      <formula>0</formula>
    </cfRule>
  </conditionalFormatting>
  <conditionalFormatting sqref="H233:H242">
    <cfRule type="cellIs" dxfId="8510" priority="8506" stopIfTrue="1" operator="lessThan">
      <formula>0</formula>
    </cfRule>
    <cfRule type="cellIs" dxfId="8509" priority="8507" stopIfTrue="1" operator="lessThan">
      <formula>0</formula>
    </cfRule>
  </conditionalFormatting>
  <conditionalFormatting sqref="H233:H242">
    <cfRule type="cellIs" dxfId="8508" priority="8504" stopIfTrue="1" operator="lessThan">
      <formula>0</formula>
    </cfRule>
    <cfRule type="cellIs" dxfId="8507" priority="8505" stopIfTrue="1" operator="lessThan">
      <formula>0</formula>
    </cfRule>
  </conditionalFormatting>
  <conditionalFormatting sqref="H233:H242">
    <cfRule type="cellIs" dxfId="8506" priority="8502" stopIfTrue="1" operator="lessThan">
      <formula>0.05</formula>
    </cfRule>
    <cfRule type="cellIs" dxfId="8505" priority="8503" stopIfTrue="1" operator="lessThan">
      <formula>0</formula>
    </cfRule>
  </conditionalFormatting>
  <conditionalFormatting sqref="H233:H242">
    <cfRule type="cellIs" dxfId="8504" priority="8500" stopIfTrue="1" operator="lessThan">
      <formula>0</formula>
    </cfRule>
    <cfRule type="cellIs" dxfId="8503" priority="8501" stopIfTrue="1" operator="lessThan">
      <formula>0</formula>
    </cfRule>
  </conditionalFormatting>
  <conditionalFormatting sqref="H233:H242">
    <cfRule type="cellIs" dxfId="8502" priority="8498" stopIfTrue="1" operator="lessThan">
      <formula>0</formula>
    </cfRule>
    <cfRule type="cellIs" dxfId="8501" priority="8499" stopIfTrue="1" operator="lessThan">
      <formula>0</formula>
    </cfRule>
  </conditionalFormatting>
  <conditionalFormatting sqref="H233:H242">
    <cfRule type="cellIs" dxfId="8500" priority="8496" stopIfTrue="1" operator="lessThan">
      <formula>0.05</formula>
    </cfRule>
    <cfRule type="cellIs" dxfId="8499" priority="8497" stopIfTrue="1" operator="lessThan">
      <formula>0</formula>
    </cfRule>
  </conditionalFormatting>
  <conditionalFormatting sqref="H233:H242">
    <cfRule type="cellIs" dxfId="8498" priority="8494" stopIfTrue="1" operator="lessThan">
      <formula>0</formula>
    </cfRule>
    <cfRule type="cellIs" dxfId="8497" priority="8495" stopIfTrue="1" operator="lessThan">
      <formula>0</formula>
    </cfRule>
  </conditionalFormatting>
  <conditionalFormatting sqref="H233:H242">
    <cfRule type="cellIs" dxfId="8496" priority="8492" stopIfTrue="1" operator="lessThan">
      <formula>0</formula>
    </cfRule>
    <cfRule type="cellIs" dxfId="8495" priority="8493" stopIfTrue="1" operator="lessThan">
      <formula>0</formula>
    </cfRule>
  </conditionalFormatting>
  <conditionalFormatting sqref="H233:H242">
    <cfRule type="cellIs" dxfId="8494" priority="8490" stopIfTrue="1" operator="lessThan">
      <formula>0.05</formula>
    </cfRule>
    <cfRule type="cellIs" dxfId="8493" priority="8491" stopIfTrue="1" operator="lessThan">
      <formula>0</formula>
    </cfRule>
  </conditionalFormatting>
  <conditionalFormatting sqref="H233:H242">
    <cfRule type="cellIs" dxfId="8492" priority="8488" stopIfTrue="1" operator="lessThan">
      <formula>0</formula>
    </cfRule>
    <cfRule type="cellIs" dxfId="8491" priority="8489" stopIfTrue="1" operator="lessThan">
      <formula>0</formula>
    </cfRule>
  </conditionalFormatting>
  <conditionalFormatting sqref="H233:H242">
    <cfRule type="cellIs" dxfId="8490" priority="8486" stopIfTrue="1" operator="lessThan">
      <formula>0</formula>
    </cfRule>
    <cfRule type="cellIs" dxfId="8489" priority="8487" stopIfTrue="1" operator="lessThan">
      <formula>0</formula>
    </cfRule>
  </conditionalFormatting>
  <conditionalFormatting sqref="H233:H242">
    <cfRule type="cellIs" dxfId="8488" priority="8484" stopIfTrue="1" operator="lessThan">
      <formula>0.05</formula>
    </cfRule>
    <cfRule type="cellIs" dxfId="8487" priority="8485" stopIfTrue="1" operator="lessThan">
      <formula>0</formula>
    </cfRule>
  </conditionalFormatting>
  <conditionalFormatting sqref="H233:H242">
    <cfRule type="cellIs" dxfId="8486" priority="8482" stopIfTrue="1" operator="lessThan">
      <formula>0</formula>
    </cfRule>
    <cfRule type="cellIs" dxfId="8485" priority="8483" stopIfTrue="1" operator="lessThan">
      <formula>0</formula>
    </cfRule>
  </conditionalFormatting>
  <conditionalFormatting sqref="H233:H242">
    <cfRule type="cellIs" dxfId="8484" priority="8480" stopIfTrue="1" operator="lessThan">
      <formula>0</formula>
    </cfRule>
    <cfRule type="cellIs" dxfId="8483" priority="8481" stopIfTrue="1" operator="lessThan">
      <formula>0</formula>
    </cfRule>
  </conditionalFormatting>
  <conditionalFormatting sqref="H233:H242">
    <cfRule type="cellIs" dxfId="8482" priority="8478" stopIfTrue="1" operator="lessThan">
      <formula>0.05</formula>
    </cfRule>
    <cfRule type="cellIs" dxfId="8481" priority="8479" stopIfTrue="1" operator="lessThan">
      <formula>0</formula>
    </cfRule>
  </conditionalFormatting>
  <conditionalFormatting sqref="H233:H242">
    <cfRule type="cellIs" dxfId="8480" priority="8476" stopIfTrue="1" operator="lessThan">
      <formula>0</formula>
    </cfRule>
    <cfRule type="cellIs" dxfId="8479" priority="8477" stopIfTrue="1" operator="lessThan">
      <formula>0</formula>
    </cfRule>
  </conditionalFormatting>
  <conditionalFormatting sqref="H233:H242">
    <cfRule type="cellIs" dxfId="8478" priority="8474" stopIfTrue="1" operator="lessThan">
      <formula>0</formula>
    </cfRule>
    <cfRule type="cellIs" dxfId="8477" priority="8475" stopIfTrue="1" operator="lessThan">
      <formula>0</formula>
    </cfRule>
  </conditionalFormatting>
  <conditionalFormatting sqref="H233:H242">
    <cfRule type="cellIs" dxfId="8476" priority="8472" stopIfTrue="1" operator="lessThan">
      <formula>0.05</formula>
    </cfRule>
    <cfRule type="cellIs" dxfId="8475" priority="8473" stopIfTrue="1" operator="lessThan">
      <formula>0</formula>
    </cfRule>
  </conditionalFormatting>
  <conditionalFormatting sqref="H233:H242">
    <cfRule type="cellIs" dxfId="8474" priority="8470" stopIfTrue="1" operator="lessThan">
      <formula>0</formula>
    </cfRule>
    <cfRule type="cellIs" dxfId="8473" priority="8471" stopIfTrue="1" operator="lessThan">
      <formula>0</formula>
    </cfRule>
  </conditionalFormatting>
  <conditionalFormatting sqref="H233:H242">
    <cfRule type="cellIs" dxfId="8472" priority="8468" stopIfTrue="1" operator="lessThan">
      <formula>0</formula>
    </cfRule>
    <cfRule type="cellIs" dxfId="8471" priority="8469" stopIfTrue="1" operator="lessThan">
      <formula>0</formula>
    </cfRule>
  </conditionalFormatting>
  <conditionalFormatting sqref="H233:H242">
    <cfRule type="cellIs" dxfId="8470" priority="8466" stopIfTrue="1" operator="lessThan">
      <formula>0.05</formula>
    </cfRule>
    <cfRule type="cellIs" dxfId="8469" priority="8467" stopIfTrue="1" operator="lessThan">
      <formula>0</formula>
    </cfRule>
  </conditionalFormatting>
  <conditionalFormatting sqref="H233:H242">
    <cfRule type="cellIs" dxfId="8468" priority="8464" stopIfTrue="1" operator="lessThan">
      <formula>0</formula>
    </cfRule>
    <cfRule type="cellIs" dxfId="8467" priority="8465" stopIfTrue="1" operator="lessThan">
      <formula>0</formula>
    </cfRule>
  </conditionalFormatting>
  <conditionalFormatting sqref="H233:H242">
    <cfRule type="cellIs" dxfId="8466" priority="8462" stopIfTrue="1" operator="lessThan">
      <formula>0</formula>
    </cfRule>
    <cfRule type="cellIs" dxfId="8465" priority="8463" stopIfTrue="1" operator="lessThan">
      <formula>0</formula>
    </cfRule>
  </conditionalFormatting>
  <conditionalFormatting sqref="H233:H242">
    <cfRule type="cellIs" dxfId="8464" priority="8460" stopIfTrue="1" operator="lessThan">
      <formula>0.05</formula>
    </cfRule>
    <cfRule type="cellIs" dxfId="8463" priority="8461" stopIfTrue="1" operator="lessThan">
      <formula>0</formula>
    </cfRule>
  </conditionalFormatting>
  <conditionalFormatting sqref="H233:H242">
    <cfRule type="cellIs" dxfId="8462" priority="8458" stopIfTrue="1" operator="lessThan">
      <formula>0</formula>
    </cfRule>
    <cfRule type="cellIs" dxfId="8461" priority="8459" stopIfTrue="1" operator="lessThan">
      <formula>0</formula>
    </cfRule>
  </conditionalFormatting>
  <conditionalFormatting sqref="H233:H242">
    <cfRule type="cellIs" dxfId="8460" priority="8456" stopIfTrue="1" operator="lessThan">
      <formula>0</formula>
    </cfRule>
    <cfRule type="cellIs" dxfId="8459" priority="8457" stopIfTrue="1" operator="lessThan">
      <formula>0</formula>
    </cfRule>
  </conditionalFormatting>
  <conditionalFormatting sqref="H233:H242">
    <cfRule type="cellIs" dxfId="8458" priority="8454" stopIfTrue="1" operator="lessThan">
      <formula>0.05</formula>
    </cfRule>
    <cfRule type="cellIs" dxfId="8457" priority="8455" stopIfTrue="1" operator="lessThan">
      <formula>0</formula>
    </cfRule>
  </conditionalFormatting>
  <conditionalFormatting sqref="H233:H242">
    <cfRule type="cellIs" dxfId="8456" priority="8452" stopIfTrue="1" operator="lessThan">
      <formula>0</formula>
    </cfRule>
    <cfRule type="cellIs" dxfId="8455" priority="8453" stopIfTrue="1" operator="lessThan">
      <formula>0</formula>
    </cfRule>
  </conditionalFormatting>
  <conditionalFormatting sqref="H233:H242">
    <cfRule type="cellIs" dxfId="8454" priority="8450" stopIfTrue="1" operator="lessThan">
      <formula>0</formula>
    </cfRule>
    <cfRule type="cellIs" dxfId="8453" priority="8451" stopIfTrue="1" operator="lessThan">
      <formula>0</formula>
    </cfRule>
  </conditionalFormatting>
  <conditionalFormatting sqref="H233:H242">
    <cfRule type="cellIs" dxfId="8452" priority="8448" stopIfTrue="1" operator="lessThan">
      <formula>0.05</formula>
    </cfRule>
    <cfRule type="cellIs" dxfId="8451" priority="8449" stopIfTrue="1" operator="lessThan">
      <formula>0</formula>
    </cfRule>
  </conditionalFormatting>
  <conditionalFormatting sqref="H233:H242">
    <cfRule type="cellIs" dxfId="8450" priority="8446" stopIfTrue="1" operator="lessThan">
      <formula>0</formula>
    </cfRule>
    <cfRule type="cellIs" dxfId="8449" priority="8447" stopIfTrue="1" operator="lessThan">
      <formula>0</formula>
    </cfRule>
  </conditionalFormatting>
  <conditionalFormatting sqref="H233:H242">
    <cfRule type="cellIs" dxfId="8448" priority="8444" stopIfTrue="1" operator="lessThan">
      <formula>0</formula>
    </cfRule>
    <cfRule type="cellIs" dxfId="8447" priority="8445" stopIfTrue="1" operator="lessThan">
      <formula>0</formula>
    </cfRule>
  </conditionalFormatting>
  <conditionalFormatting sqref="H233:H242">
    <cfRule type="cellIs" dxfId="8446" priority="8442" stopIfTrue="1" operator="lessThan">
      <formula>0.05</formula>
    </cfRule>
    <cfRule type="cellIs" dxfId="8445" priority="8443" stopIfTrue="1" operator="lessThan">
      <formula>0</formula>
    </cfRule>
  </conditionalFormatting>
  <conditionalFormatting sqref="H233:H242">
    <cfRule type="cellIs" dxfId="8444" priority="8440" stopIfTrue="1" operator="lessThan">
      <formula>0</formula>
    </cfRule>
    <cfRule type="cellIs" dxfId="8443" priority="8441" stopIfTrue="1" operator="lessThan">
      <formula>0</formula>
    </cfRule>
  </conditionalFormatting>
  <conditionalFormatting sqref="H233:H242">
    <cfRule type="cellIs" dxfId="8442" priority="8438" stopIfTrue="1" operator="lessThan">
      <formula>0.05</formula>
    </cfRule>
    <cfRule type="cellIs" dxfId="8441" priority="8439" stopIfTrue="1" operator="lessThan">
      <formula>0</formula>
    </cfRule>
  </conditionalFormatting>
  <conditionalFormatting sqref="H233:H242">
    <cfRule type="cellIs" dxfId="8440" priority="8436" stopIfTrue="1" operator="lessThan">
      <formula>0</formula>
    </cfRule>
    <cfRule type="cellIs" dxfId="8439" priority="8437" stopIfTrue="1" operator="lessThan">
      <formula>0</formula>
    </cfRule>
  </conditionalFormatting>
  <conditionalFormatting sqref="H233:H242">
    <cfRule type="cellIs" dxfId="8438" priority="8434" stopIfTrue="1" operator="lessThan">
      <formula>0.05</formula>
    </cfRule>
    <cfRule type="cellIs" dxfId="8437" priority="8435" stopIfTrue="1" operator="lessThan">
      <formula>0</formula>
    </cfRule>
  </conditionalFormatting>
  <conditionalFormatting sqref="H233:H242">
    <cfRule type="cellIs" dxfId="8436" priority="8432" stopIfTrue="1" operator="lessThan">
      <formula>0</formula>
    </cfRule>
    <cfRule type="cellIs" dxfId="8435" priority="8433" stopIfTrue="1" operator="lessThan">
      <formula>0</formula>
    </cfRule>
  </conditionalFormatting>
  <conditionalFormatting sqref="H233:H242">
    <cfRule type="cellIs" dxfId="8434" priority="8430" stopIfTrue="1" operator="lessThan">
      <formula>0</formula>
    </cfRule>
    <cfRule type="cellIs" dxfId="8433" priority="8431" stopIfTrue="1" operator="lessThan">
      <formula>0</formula>
    </cfRule>
  </conditionalFormatting>
  <conditionalFormatting sqref="H233:H242">
    <cfRule type="cellIs" dxfId="8432" priority="8428" stopIfTrue="1" operator="lessThan">
      <formula>0</formula>
    </cfRule>
    <cfRule type="cellIs" dxfId="8431" priority="8429" stopIfTrue="1" operator="lessThan">
      <formula>0</formula>
    </cfRule>
  </conditionalFormatting>
  <conditionalFormatting sqref="H233:H242">
    <cfRule type="cellIs" dxfId="8430" priority="8426" stopIfTrue="1" operator="lessThan">
      <formula>0.05</formula>
    </cfRule>
    <cfRule type="cellIs" dxfId="8429" priority="8427" stopIfTrue="1" operator="lessThan">
      <formula>0</formula>
    </cfRule>
  </conditionalFormatting>
  <conditionalFormatting sqref="H233:H242">
    <cfRule type="cellIs" dxfId="8428" priority="8424" stopIfTrue="1" operator="lessThan">
      <formula>0</formula>
    </cfRule>
    <cfRule type="cellIs" dxfId="8427" priority="8425" stopIfTrue="1" operator="lessThan">
      <formula>0</formula>
    </cfRule>
  </conditionalFormatting>
  <conditionalFormatting sqref="H233:H242">
    <cfRule type="cellIs" dxfId="8426" priority="8422" stopIfTrue="1" operator="lessThan">
      <formula>0.05</formula>
    </cfRule>
    <cfRule type="cellIs" dxfId="8425" priority="8423" stopIfTrue="1" operator="lessThan">
      <formula>0</formula>
    </cfRule>
  </conditionalFormatting>
  <conditionalFormatting sqref="H233:H242">
    <cfRule type="cellIs" dxfId="8424" priority="8420" stopIfTrue="1" operator="lessThan">
      <formula>0</formula>
    </cfRule>
    <cfRule type="cellIs" dxfId="8423" priority="8421" stopIfTrue="1" operator="lessThan">
      <formula>0</formula>
    </cfRule>
  </conditionalFormatting>
  <conditionalFormatting sqref="H233:H242">
    <cfRule type="cellIs" dxfId="8422" priority="8418" stopIfTrue="1" operator="lessThan">
      <formula>0.05</formula>
    </cfRule>
    <cfRule type="cellIs" dxfId="8421" priority="8419" stopIfTrue="1" operator="lessThan">
      <formula>0</formula>
    </cfRule>
  </conditionalFormatting>
  <conditionalFormatting sqref="H233:H242">
    <cfRule type="cellIs" dxfId="8420" priority="8416" stopIfTrue="1" operator="lessThan">
      <formula>0</formula>
    </cfRule>
    <cfRule type="cellIs" dxfId="8419" priority="8417" stopIfTrue="1" operator="lessThan">
      <formula>0</formula>
    </cfRule>
  </conditionalFormatting>
  <conditionalFormatting sqref="H233:H242">
    <cfRule type="cellIs" dxfId="8418" priority="8414" stopIfTrue="1" operator="lessThan">
      <formula>0</formula>
    </cfRule>
    <cfRule type="cellIs" dxfId="8417" priority="8415" stopIfTrue="1" operator="lessThan">
      <formula>0</formula>
    </cfRule>
  </conditionalFormatting>
  <conditionalFormatting sqref="H233:H242">
    <cfRule type="cellIs" dxfId="8416" priority="8412" stopIfTrue="1" operator="lessThan">
      <formula>0.05</formula>
    </cfRule>
    <cfRule type="cellIs" dxfId="8415" priority="8413" stopIfTrue="1" operator="lessThan">
      <formula>0</formula>
    </cfRule>
  </conditionalFormatting>
  <conditionalFormatting sqref="H233:H242">
    <cfRule type="cellIs" dxfId="8414" priority="8410" stopIfTrue="1" operator="lessThan">
      <formula>0</formula>
    </cfRule>
    <cfRule type="cellIs" dxfId="8413" priority="8411" stopIfTrue="1" operator="lessThan">
      <formula>0</formula>
    </cfRule>
  </conditionalFormatting>
  <conditionalFormatting sqref="H233:H242">
    <cfRule type="cellIs" dxfId="8412" priority="8408" stopIfTrue="1" operator="lessThan">
      <formula>0</formula>
    </cfRule>
    <cfRule type="cellIs" dxfId="8411" priority="8409" stopIfTrue="1" operator="lessThan">
      <formula>0</formula>
    </cfRule>
  </conditionalFormatting>
  <conditionalFormatting sqref="H233:H242">
    <cfRule type="cellIs" dxfId="8410" priority="8406" stopIfTrue="1" operator="lessThan">
      <formula>0.05</formula>
    </cfRule>
    <cfRule type="cellIs" dxfId="8409" priority="8407" stopIfTrue="1" operator="lessThan">
      <formula>0</formula>
    </cfRule>
  </conditionalFormatting>
  <conditionalFormatting sqref="H233:H242">
    <cfRule type="cellIs" dxfId="8408" priority="8404" stopIfTrue="1" operator="lessThan">
      <formula>0</formula>
    </cfRule>
    <cfRule type="cellIs" dxfId="8407" priority="8405" stopIfTrue="1" operator="lessThan">
      <formula>0</formula>
    </cfRule>
  </conditionalFormatting>
  <conditionalFormatting sqref="H233:H242">
    <cfRule type="cellIs" dxfId="8406" priority="8402" stopIfTrue="1" operator="lessThan">
      <formula>0</formula>
    </cfRule>
    <cfRule type="cellIs" dxfId="8405" priority="8403" stopIfTrue="1" operator="lessThan">
      <formula>0</formula>
    </cfRule>
  </conditionalFormatting>
  <conditionalFormatting sqref="H233:H242">
    <cfRule type="cellIs" dxfId="8404" priority="8400" stopIfTrue="1" operator="lessThan">
      <formula>0.05</formula>
    </cfRule>
    <cfRule type="cellIs" dxfId="8403" priority="8401" stopIfTrue="1" operator="lessThan">
      <formula>0</formula>
    </cfRule>
  </conditionalFormatting>
  <conditionalFormatting sqref="H233:H242">
    <cfRule type="cellIs" dxfId="8402" priority="8398" stopIfTrue="1" operator="lessThan">
      <formula>0</formula>
    </cfRule>
    <cfRule type="cellIs" dxfId="8401" priority="8399" stopIfTrue="1" operator="lessThan">
      <formula>0</formula>
    </cfRule>
  </conditionalFormatting>
  <conditionalFormatting sqref="H233:H242">
    <cfRule type="cellIs" dxfId="8400" priority="8396" stopIfTrue="1" operator="lessThan">
      <formula>0</formula>
    </cfRule>
    <cfRule type="cellIs" dxfId="8399" priority="8397" stopIfTrue="1" operator="lessThan">
      <formula>0</formula>
    </cfRule>
  </conditionalFormatting>
  <conditionalFormatting sqref="H233:H242">
    <cfRule type="cellIs" dxfId="8398" priority="8394" stopIfTrue="1" operator="lessThan">
      <formula>0.05</formula>
    </cfRule>
    <cfRule type="cellIs" dxfId="8397" priority="8395" stopIfTrue="1" operator="lessThan">
      <formula>0</formula>
    </cfRule>
  </conditionalFormatting>
  <conditionalFormatting sqref="H233:H242">
    <cfRule type="cellIs" dxfId="8396" priority="8392" stopIfTrue="1" operator="lessThan">
      <formula>0</formula>
    </cfRule>
    <cfRule type="cellIs" dxfId="8395" priority="8393" stopIfTrue="1" operator="lessThan">
      <formula>0</formula>
    </cfRule>
  </conditionalFormatting>
  <conditionalFormatting sqref="H233:H242">
    <cfRule type="cellIs" dxfId="8394" priority="8390" stopIfTrue="1" operator="lessThan">
      <formula>0</formula>
    </cfRule>
    <cfRule type="cellIs" dxfId="8393" priority="8391" stopIfTrue="1" operator="lessThan">
      <formula>0</formula>
    </cfRule>
  </conditionalFormatting>
  <conditionalFormatting sqref="H233:H242">
    <cfRule type="cellIs" dxfId="8392" priority="8388" stopIfTrue="1" operator="lessThan">
      <formula>0.05</formula>
    </cfRule>
    <cfRule type="cellIs" dxfId="8391" priority="8389" stopIfTrue="1" operator="lessThan">
      <formula>0</formula>
    </cfRule>
  </conditionalFormatting>
  <conditionalFormatting sqref="H233:H242">
    <cfRule type="cellIs" dxfId="8390" priority="8386" stopIfTrue="1" operator="lessThan">
      <formula>0</formula>
    </cfRule>
    <cfRule type="cellIs" dxfId="8389" priority="8387" stopIfTrue="1" operator="lessThan">
      <formula>0</formula>
    </cfRule>
  </conditionalFormatting>
  <conditionalFormatting sqref="H233:H242">
    <cfRule type="cellIs" dxfId="8388" priority="8384" stopIfTrue="1" operator="lessThan">
      <formula>0</formula>
    </cfRule>
    <cfRule type="cellIs" dxfId="8387" priority="8385" stopIfTrue="1" operator="lessThan">
      <formula>0</formula>
    </cfRule>
  </conditionalFormatting>
  <conditionalFormatting sqref="H233:H242">
    <cfRule type="cellIs" dxfId="8386" priority="8382" stopIfTrue="1" operator="lessThan">
      <formula>0.05</formula>
    </cfRule>
    <cfRule type="cellIs" dxfId="8385" priority="8383" stopIfTrue="1" operator="lessThan">
      <formula>0</formula>
    </cfRule>
  </conditionalFormatting>
  <conditionalFormatting sqref="H233:H242">
    <cfRule type="cellIs" dxfId="8384" priority="8380" stopIfTrue="1" operator="lessThan">
      <formula>0</formula>
    </cfRule>
    <cfRule type="cellIs" dxfId="8383" priority="8381" stopIfTrue="1" operator="lessThan">
      <formula>0</formula>
    </cfRule>
  </conditionalFormatting>
  <conditionalFormatting sqref="H233:H242">
    <cfRule type="cellIs" dxfId="8382" priority="8378" stopIfTrue="1" operator="lessThan">
      <formula>0</formula>
    </cfRule>
    <cfRule type="cellIs" dxfId="8381" priority="8379" stopIfTrue="1" operator="lessThan">
      <formula>0</formula>
    </cfRule>
  </conditionalFormatting>
  <conditionalFormatting sqref="H233:H242">
    <cfRule type="cellIs" dxfId="8380" priority="8376" stopIfTrue="1" operator="lessThan">
      <formula>0.05</formula>
    </cfRule>
    <cfRule type="cellIs" dxfId="8379" priority="8377" stopIfTrue="1" operator="lessThan">
      <formula>0</formula>
    </cfRule>
  </conditionalFormatting>
  <conditionalFormatting sqref="H233:H242">
    <cfRule type="cellIs" dxfId="8378" priority="8374" stopIfTrue="1" operator="lessThan">
      <formula>0</formula>
    </cfRule>
    <cfRule type="cellIs" dxfId="8377" priority="8375" stopIfTrue="1" operator="lessThan">
      <formula>0</formula>
    </cfRule>
  </conditionalFormatting>
  <conditionalFormatting sqref="H233:H242">
    <cfRule type="cellIs" dxfId="8376" priority="8372" stopIfTrue="1" operator="lessThan">
      <formula>0</formula>
    </cfRule>
    <cfRule type="cellIs" dxfId="8375" priority="8373" stopIfTrue="1" operator="lessThan">
      <formula>0</formula>
    </cfRule>
  </conditionalFormatting>
  <conditionalFormatting sqref="H233:H242">
    <cfRule type="cellIs" dxfId="8374" priority="8370" stopIfTrue="1" operator="lessThan">
      <formula>0.05</formula>
    </cfRule>
    <cfRule type="cellIs" dxfId="8373" priority="8371" stopIfTrue="1" operator="lessThan">
      <formula>0</formula>
    </cfRule>
  </conditionalFormatting>
  <conditionalFormatting sqref="H233:H242">
    <cfRule type="cellIs" dxfId="8372" priority="8368" stopIfTrue="1" operator="lessThan">
      <formula>0</formula>
    </cfRule>
    <cfRule type="cellIs" dxfId="8371" priority="8369" stopIfTrue="1" operator="lessThan">
      <formula>0</formula>
    </cfRule>
  </conditionalFormatting>
  <conditionalFormatting sqref="H233:H242">
    <cfRule type="cellIs" dxfId="8370" priority="8366" stopIfTrue="1" operator="lessThan">
      <formula>0</formula>
    </cfRule>
    <cfRule type="cellIs" dxfId="8369" priority="8367" stopIfTrue="1" operator="lessThan">
      <formula>0</formula>
    </cfRule>
  </conditionalFormatting>
  <conditionalFormatting sqref="H233:H242">
    <cfRule type="cellIs" dxfId="8368" priority="8364" stopIfTrue="1" operator="lessThan">
      <formula>0.05</formula>
    </cfRule>
    <cfRule type="cellIs" dxfId="8367" priority="8365" stopIfTrue="1" operator="lessThan">
      <formula>0</formula>
    </cfRule>
  </conditionalFormatting>
  <conditionalFormatting sqref="H233:H242">
    <cfRule type="cellIs" dxfId="8366" priority="8362" stopIfTrue="1" operator="lessThan">
      <formula>0</formula>
    </cfRule>
    <cfRule type="cellIs" dxfId="8365" priority="8363" stopIfTrue="1" operator="lessThan">
      <formula>0</formula>
    </cfRule>
  </conditionalFormatting>
  <conditionalFormatting sqref="H233:H242">
    <cfRule type="cellIs" dxfId="8364" priority="8360" stopIfTrue="1" operator="lessThan">
      <formula>0</formula>
    </cfRule>
    <cfRule type="cellIs" dxfId="8363" priority="8361" stopIfTrue="1" operator="lessThan">
      <formula>0</formula>
    </cfRule>
  </conditionalFormatting>
  <conditionalFormatting sqref="H233:H242">
    <cfRule type="cellIs" dxfId="8362" priority="8358" stopIfTrue="1" operator="lessThan">
      <formula>0.05</formula>
    </cfRule>
    <cfRule type="cellIs" dxfId="8361" priority="8359" stopIfTrue="1" operator="lessThan">
      <formula>0</formula>
    </cfRule>
  </conditionalFormatting>
  <conditionalFormatting sqref="H233:H242">
    <cfRule type="cellIs" dxfId="8360" priority="8356" stopIfTrue="1" operator="lessThan">
      <formula>0</formula>
    </cfRule>
    <cfRule type="cellIs" dxfId="8359" priority="8357" stopIfTrue="1" operator="lessThan">
      <formula>0</formula>
    </cfRule>
  </conditionalFormatting>
  <conditionalFormatting sqref="H233:H242">
    <cfRule type="cellIs" dxfId="8358" priority="8354" stopIfTrue="1" operator="lessThan">
      <formula>0</formula>
    </cfRule>
    <cfRule type="cellIs" dxfId="8357" priority="8355" stopIfTrue="1" operator="lessThan">
      <formula>0</formula>
    </cfRule>
  </conditionalFormatting>
  <conditionalFormatting sqref="H233:H242">
    <cfRule type="cellIs" dxfId="8356" priority="8352" stopIfTrue="1" operator="lessThan">
      <formula>0.05</formula>
    </cfRule>
    <cfRule type="cellIs" dxfId="8355" priority="8353" stopIfTrue="1" operator="lessThan">
      <formula>0</formula>
    </cfRule>
  </conditionalFormatting>
  <conditionalFormatting sqref="H233:H242">
    <cfRule type="cellIs" dxfId="8354" priority="8350" stopIfTrue="1" operator="lessThan">
      <formula>0</formula>
    </cfRule>
    <cfRule type="cellIs" dxfId="8353" priority="8351" stopIfTrue="1" operator="lessThan">
      <formula>0</formula>
    </cfRule>
  </conditionalFormatting>
  <conditionalFormatting sqref="H233:H242">
    <cfRule type="cellIs" dxfId="8352" priority="8348" stopIfTrue="1" operator="lessThan">
      <formula>0</formula>
    </cfRule>
    <cfRule type="cellIs" dxfId="8351" priority="8349" stopIfTrue="1" operator="lessThan">
      <formula>0</formula>
    </cfRule>
  </conditionalFormatting>
  <conditionalFormatting sqref="H233:H242">
    <cfRule type="cellIs" dxfId="8350" priority="8346" stopIfTrue="1" operator="lessThan">
      <formula>0.05</formula>
    </cfRule>
    <cfRule type="cellIs" dxfId="8349" priority="8347" stopIfTrue="1" operator="lessThan">
      <formula>0</formula>
    </cfRule>
  </conditionalFormatting>
  <conditionalFormatting sqref="H233:H242">
    <cfRule type="cellIs" dxfId="8348" priority="8344" stopIfTrue="1" operator="lessThan">
      <formula>0</formula>
    </cfRule>
    <cfRule type="cellIs" dxfId="8347" priority="8345" stopIfTrue="1" operator="lessThan">
      <formula>0</formula>
    </cfRule>
  </conditionalFormatting>
  <conditionalFormatting sqref="H233:H242">
    <cfRule type="cellIs" dxfId="8346" priority="8342" stopIfTrue="1" operator="lessThan">
      <formula>0.05</formula>
    </cfRule>
    <cfRule type="cellIs" dxfId="8345" priority="8343" stopIfTrue="1" operator="lessThan">
      <formula>0</formula>
    </cfRule>
  </conditionalFormatting>
  <conditionalFormatting sqref="H233:H242">
    <cfRule type="cellIs" dxfId="8344" priority="8340" stopIfTrue="1" operator="lessThan">
      <formula>0</formula>
    </cfRule>
    <cfRule type="cellIs" dxfId="8343" priority="8341" stopIfTrue="1" operator="lessThan">
      <formula>0</formula>
    </cfRule>
  </conditionalFormatting>
  <conditionalFormatting sqref="H233:H242">
    <cfRule type="cellIs" dxfId="8342" priority="8338" stopIfTrue="1" operator="lessThan">
      <formula>0.05</formula>
    </cfRule>
    <cfRule type="cellIs" dxfId="8341" priority="8339" stopIfTrue="1" operator="lessThan">
      <formula>0</formula>
    </cfRule>
  </conditionalFormatting>
  <conditionalFormatting sqref="H233:H242">
    <cfRule type="cellIs" dxfId="8340" priority="8336" stopIfTrue="1" operator="lessThan">
      <formula>0</formula>
    </cfRule>
    <cfRule type="cellIs" dxfId="8339" priority="8337" stopIfTrue="1" operator="lessThan">
      <formula>0</formula>
    </cfRule>
  </conditionalFormatting>
  <conditionalFormatting sqref="H233:H242">
    <cfRule type="cellIs" dxfId="8338" priority="8334" stopIfTrue="1" operator="lessThan">
      <formula>0</formula>
    </cfRule>
    <cfRule type="cellIs" dxfId="8337" priority="8335" stopIfTrue="1" operator="lessThan">
      <formula>0</formula>
    </cfRule>
  </conditionalFormatting>
  <conditionalFormatting sqref="H233:H242">
    <cfRule type="cellIs" dxfId="8336" priority="8332" stopIfTrue="1" operator="lessThan">
      <formula>0</formula>
    </cfRule>
    <cfRule type="cellIs" dxfId="8335" priority="8333" stopIfTrue="1" operator="lessThan">
      <formula>0</formula>
    </cfRule>
  </conditionalFormatting>
  <conditionalFormatting sqref="H233:H242">
    <cfRule type="cellIs" dxfId="8334" priority="8330" stopIfTrue="1" operator="lessThan">
      <formula>0.05</formula>
    </cfRule>
    <cfRule type="cellIs" dxfId="8333" priority="8331" stopIfTrue="1" operator="lessThan">
      <formula>0</formula>
    </cfRule>
  </conditionalFormatting>
  <conditionalFormatting sqref="H233:H242">
    <cfRule type="cellIs" dxfId="8332" priority="8328" stopIfTrue="1" operator="lessThan">
      <formula>0</formula>
    </cfRule>
    <cfRule type="cellIs" dxfId="8331" priority="8329" stopIfTrue="1" operator="lessThan">
      <formula>0</formula>
    </cfRule>
  </conditionalFormatting>
  <conditionalFormatting sqref="H233:H242">
    <cfRule type="cellIs" dxfId="8330" priority="8326" stopIfTrue="1" operator="lessThan">
      <formula>0.05</formula>
    </cfRule>
    <cfRule type="cellIs" dxfId="8329" priority="8327" stopIfTrue="1" operator="lessThan">
      <formula>0</formula>
    </cfRule>
  </conditionalFormatting>
  <conditionalFormatting sqref="H233:H242">
    <cfRule type="cellIs" dxfId="8328" priority="8324" stopIfTrue="1" operator="lessThan">
      <formula>0</formula>
    </cfRule>
    <cfRule type="cellIs" dxfId="8327" priority="8325" stopIfTrue="1" operator="lessThan">
      <formula>0</formula>
    </cfRule>
  </conditionalFormatting>
  <conditionalFormatting sqref="H233:H242">
    <cfRule type="cellIs" dxfId="8326" priority="8322" stopIfTrue="1" operator="lessThan">
      <formula>0.05</formula>
    </cfRule>
    <cfRule type="cellIs" dxfId="8325" priority="8323" stopIfTrue="1" operator="lessThan">
      <formula>0</formula>
    </cfRule>
  </conditionalFormatting>
  <conditionalFormatting sqref="H233:H242">
    <cfRule type="cellIs" dxfId="8324" priority="8320" stopIfTrue="1" operator="lessThan">
      <formula>0</formula>
    </cfRule>
    <cfRule type="cellIs" dxfId="8323" priority="8321" stopIfTrue="1" operator="lessThan">
      <formula>0</formula>
    </cfRule>
  </conditionalFormatting>
  <conditionalFormatting sqref="H233:H242">
    <cfRule type="cellIs" dxfId="8322" priority="8318" stopIfTrue="1" operator="lessThan">
      <formula>0</formula>
    </cfRule>
    <cfRule type="cellIs" dxfId="8321" priority="8319" stopIfTrue="1" operator="lessThan">
      <formula>0</formula>
    </cfRule>
  </conditionalFormatting>
  <conditionalFormatting sqref="H233:H242">
    <cfRule type="cellIs" dxfId="8320" priority="8316" stopIfTrue="1" operator="lessThan">
      <formula>0.05</formula>
    </cfRule>
    <cfRule type="cellIs" dxfId="8319" priority="8317" stopIfTrue="1" operator="lessThan">
      <formula>0</formula>
    </cfRule>
  </conditionalFormatting>
  <conditionalFormatting sqref="H233:H242">
    <cfRule type="cellIs" dxfId="8318" priority="8314" stopIfTrue="1" operator="lessThan">
      <formula>0</formula>
    </cfRule>
    <cfRule type="cellIs" dxfId="8317" priority="8315" stopIfTrue="1" operator="lessThan">
      <formula>0</formula>
    </cfRule>
  </conditionalFormatting>
  <conditionalFormatting sqref="H233:H242">
    <cfRule type="cellIs" dxfId="8316" priority="8312" stopIfTrue="1" operator="lessThan">
      <formula>0</formula>
    </cfRule>
    <cfRule type="cellIs" dxfId="8315" priority="8313" stopIfTrue="1" operator="lessThan">
      <formula>0</formula>
    </cfRule>
  </conditionalFormatting>
  <conditionalFormatting sqref="H233:H242">
    <cfRule type="cellIs" dxfId="8314" priority="8310" stopIfTrue="1" operator="lessThan">
      <formula>0.05</formula>
    </cfRule>
    <cfRule type="cellIs" dxfId="8313" priority="8311" stopIfTrue="1" operator="lessThan">
      <formula>0</formula>
    </cfRule>
  </conditionalFormatting>
  <conditionalFormatting sqref="H233:H242">
    <cfRule type="cellIs" dxfId="8312" priority="8308" stopIfTrue="1" operator="lessThan">
      <formula>0</formula>
    </cfRule>
    <cfRule type="cellIs" dxfId="8311" priority="8309" stopIfTrue="1" operator="lessThan">
      <formula>0</formula>
    </cfRule>
  </conditionalFormatting>
  <conditionalFormatting sqref="H233:H242">
    <cfRule type="cellIs" dxfId="8310" priority="8306" stopIfTrue="1" operator="lessThan">
      <formula>0</formula>
    </cfRule>
    <cfRule type="cellIs" dxfId="8309" priority="8307" stopIfTrue="1" operator="lessThan">
      <formula>0</formula>
    </cfRule>
  </conditionalFormatting>
  <conditionalFormatting sqref="H233:H242">
    <cfRule type="cellIs" dxfId="8308" priority="8304" stopIfTrue="1" operator="lessThan">
      <formula>0.05</formula>
    </cfRule>
    <cfRule type="cellIs" dxfId="8307" priority="8305" stopIfTrue="1" operator="lessThan">
      <formula>0</formula>
    </cfRule>
  </conditionalFormatting>
  <conditionalFormatting sqref="H233:H242">
    <cfRule type="cellIs" dxfId="8306" priority="8302" stopIfTrue="1" operator="lessThan">
      <formula>0</formula>
    </cfRule>
    <cfRule type="cellIs" dxfId="8305" priority="8303" stopIfTrue="1" operator="lessThan">
      <formula>0</formula>
    </cfRule>
  </conditionalFormatting>
  <conditionalFormatting sqref="H233:H242">
    <cfRule type="cellIs" dxfId="8304" priority="8300" stopIfTrue="1" operator="lessThan">
      <formula>0</formula>
    </cfRule>
    <cfRule type="cellIs" dxfId="8303" priority="8301" stopIfTrue="1" operator="lessThan">
      <formula>0</formula>
    </cfRule>
  </conditionalFormatting>
  <conditionalFormatting sqref="H233:H242">
    <cfRule type="cellIs" dxfId="8302" priority="8298" stopIfTrue="1" operator="lessThan">
      <formula>0.05</formula>
    </cfRule>
    <cfRule type="cellIs" dxfId="8301" priority="8299" stopIfTrue="1" operator="lessThan">
      <formula>0</formula>
    </cfRule>
  </conditionalFormatting>
  <conditionalFormatting sqref="H233:H242">
    <cfRule type="cellIs" dxfId="8300" priority="8296" stopIfTrue="1" operator="lessThan">
      <formula>0</formula>
    </cfRule>
    <cfRule type="cellIs" dxfId="8299" priority="8297" stopIfTrue="1" operator="lessThan">
      <formula>0</formula>
    </cfRule>
  </conditionalFormatting>
  <conditionalFormatting sqref="H233:H242">
    <cfRule type="cellIs" dxfId="8298" priority="8294" stopIfTrue="1" operator="lessThan">
      <formula>0</formula>
    </cfRule>
    <cfRule type="cellIs" dxfId="8297" priority="8295" stopIfTrue="1" operator="lessThan">
      <formula>0</formula>
    </cfRule>
  </conditionalFormatting>
  <conditionalFormatting sqref="H233:H242">
    <cfRule type="cellIs" dxfId="8296" priority="8292" stopIfTrue="1" operator="lessThan">
      <formula>0.05</formula>
    </cfRule>
    <cfRule type="cellIs" dxfId="8295" priority="8293" stopIfTrue="1" operator="lessThan">
      <formula>0</formula>
    </cfRule>
  </conditionalFormatting>
  <conditionalFormatting sqref="H233:H242">
    <cfRule type="cellIs" dxfId="8294" priority="8290" stopIfTrue="1" operator="lessThan">
      <formula>0</formula>
    </cfRule>
    <cfRule type="cellIs" dxfId="8293" priority="8291" stopIfTrue="1" operator="lessThan">
      <formula>0</formula>
    </cfRule>
  </conditionalFormatting>
  <conditionalFormatting sqref="H233:H242">
    <cfRule type="cellIs" dxfId="8292" priority="8288" stopIfTrue="1" operator="lessThan">
      <formula>0</formula>
    </cfRule>
    <cfRule type="cellIs" dxfId="8291" priority="8289" stopIfTrue="1" operator="lessThan">
      <formula>0</formula>
    </cfRule>
  </conditionalFormatting>
  <conditionalFormatting sqref="H233:H242">
    <cfRule type="cellIs" dxfId="8290" priority="8286" stopIfTrue="1" operator="lessThan">
      <formula>0.05</formula>
    </cfRule>
    <cfRule type="cellIs" dxfId="8289" priority="8287" stopIfTrue="1" operator="lessThan">
      <formula>0</formula>
    </cfRule>
  </conditionalFormatting>
  <conditionalFormatting sqref="H233:H242">
    <cfRule type="cellIs" dxfId="8288" priority="8284" stopIfTrue="1" operator="lessThan">
      <formula>0</formula>
    </cfRule>
    <cfRule type="cellIs" dxfId="8287" priority="8285" stopIfTrue="1" operator="lessThan">
      <formula>0</formula>
    </cfRule>
  </conditionalFormatting>
  <conditionalFormatting sqref="H233:H242">
    <cfRule type="cellIs" dxfId="8286" priority="8282" stopIfTrue="1" operator="lessThan">
      <formula>0</formula>
    </cfRule>
    <cfRule type="cellIs" dxfId="8285" priority="8283" stopIfTrue="1" operator="lessThan">
      <formula>0</formula>
    </cfRule>
  </conditionalFormatting>
  <conditionalFormatting sqref="H233:H242">
    <cfRule type="cellIs" dxfId="8284" priority="8280" stopIfTrue="1" operator="lessThan">
      <formula>0.05</formula>
    </cfRule>
    <cfRule type="cellIs" dxfId="8283" priority="8281" stopIfTrue="1" operator="lessThan">
      <formula>0</formula>
    </cfRule>
  </conditionalFormatting>
  <conditionalFormatting sqref="H233:H242">
    <cfRule type="cellIs" dxfId="8282" priority="8278" stopIfTrue="1" operator="lessThan">
      <formula>0</formula>
    </cfRule>
    <cfRule type="cellIs" dxfId="8281" priority="8279" stopIfTrue="1" operator="lessThan">
      <formula>0</formula>
    </cfRule>
  </conditionalFormatting>
  <conditionalFormatting sqref="H233:H242">
    <cfRule type="cellIs" dxfId="8280" priority="8276" stopIfTrue="1" operator="lessThan">
      <formula>0</formula>
    </cfRule>
    <cfRule type="cellIs" dxfId="8279" priority="8277" stopIfTrue="1" operator="lessThan">
      <formula>0</formula>
    </cfRule>
  </conditionalFormatting>
  <conditionalFormatting sqref="H233:H242">
    <cfRule type="cellIs" dxfId="8278" priority="8274" stopIfTrue="1" operator="lessThan">
      <formula>0.05</formula>
    </cfRule>
    <cfRule type="cellIs" dxfId="8277" priority="8275" stopIfTrue="1" operator="lessThan">
      <formula>0</formula>
    </cfRule>
  </conditionalFormatting>
  <conditionalFormatting sqref="H233:H242">
    <cfRule type="cellIs" dxfId="8276" priority="8272" stopIfTrue="1" operator="lessThan">
      <formula>0</formula>
    </cfRule>
    <cfRule type="cellIs" dxfId="8275" priority="8273" stopIfTrue="1" operator="lessThan">
      <formula>0</formula>
    </cfRule>
  </conditionalFormatting>
  <conditionalFormatting sqref="H233:H242">
    <cfRule type="cellIs" dxfId="8274" priority="8270" stopIfTrue="1" operator="lessThan">
      <formula>0</formula>
    </cfRule>
    <cfRule type="cellIs" dxfId="8273" priority="8271" stopIfTrue="1" operator="lessThan">
      <formula>0</formula>
    </cfRule>
  </conditionalFormatting>
  <conditionalFormatting sqref="H233:H242">
    <cfRule type="cellIs" dxfId="8272" priority="8268" stopIfTrue="1" operator="lessThan">
      <formula>0.05</formula>
    </cfRule>
    <cfRule type="cellIs" dxfId="8271" priority="8269" stopIfTrue="1" operator="lessThan">
      <formula>0</formula>
    </cfRule>
  </conditionalFormatting>
  <conditionalFormatting sqref="H233:H242">
    <cfRule type="cellIs" dxfId="8270" priority="8266" stopIfTrue="1" operator="lessThan">
      <formula>0</formula>
    </cfRule>
    <cfRule type="cellIs" dxfId="8269" priority="8267" stopIfTrue="1" operator="lessThan">
      <formula>0</formula>
    </cfRule>
  </conditionalFormatting>
  <conditionalFormatting sqref="H233:H242">
    <cfRule type="cellIs" dxfId="8268" priority="8264" stopIfTrue="1" operator="lessThan">
      <formula>0</formula>
    </cfRule>
    <cfRule type="cellIs" dxfId="8267" priority="8265" stopIfTrue="1" operator="lessThan">
      <formula>0</formula>
    </cfRule>
  </conditionalFormatting>
  <conditionalFormatting sqref="H233:H242">
    <cfRule type="cellIs" dxfId="8266" priority="8262" stopIfTrue="1" operator="lessThan">
      <formula>0.05</formula>
    </cfRule>
    <cfRule type="cellIs" dxfId="8265" priority="8263" stopIfTrue="1" operator="lessThan">
      <formula>0</formula>
    </cfRule>
  </conditionalFormatting>
  <conditionalFormatting sqref="H233:H242">
    <cfRule type="cellIs" dxfId="8264" priority="8260" stopIfTrue="1" operator="lessThan">
      <formula>0</formula>
    </cfRule>
    <cfRule type="cellIs" dxfId="8263" priority="8261" stopIfTrue="1" operator="lessThan">
      <formula>0</formula>
    </cfRule>
  </conditionalFormatting>
  <conditionalFormatting sqref="H233:H242">
    <cfRule type="cellIs" dxfId="8262" priority="8258" stopIfTrue="1" operator="lessThan">
      <formula>0</formula>
    </cfRule>
    <cfRule type="cellIs" dxfId="8261" priority="8259" stopIfTrue="1" operator="lessThan">
      <formula>0</formula>
    </cfRule>
  </conditionalFormatting>
  <conditionalFormatting sqref="H233:H242">
    <cfRule type="cellIs" dxfId="8260" priority="8256" stopIfTrue="1" operator="lessThan">
      <formula>0.05</formula>
    </cfRule>
    <cfRule type="cellIs" dxfId="8259" priority="8257" stopIfTrue="1" operator="lessThan">
      <formula>0</formula>
    </cfRule>
  </conditionalFormatting>
  <conditionalFormatting sqref="H233:H242">
    <cfRule type="cellIs" dxfId="8258" priority="8254" stopIfTrue="1" operator="lessThan">
      <formula>0</formula>
    </cfRule>
    <cfRule type="cellIs" dxfId="8257" priority="8255" stopIfTrue="1" operator="lessThan">
      <formula>0</formula>
    </cfRule>
  </conditionalFormatting>
  <conditionalFormatting sqref="H233:H242">
    <cfRule type="cellIs" dxfId="8256" priority="8252" stopIfTrue="1" operator="lessThan">
      <formula>0</formula>
    </cfRule>
    <cfRule type="cellIs" dxfId="8255" priority="8253" stopIfTrue="1" operator="lessThan">
      <formula>0</formula>
    </cfRule>
  </conditionalFormatting>
  <conditionalFormatting sqref="H233:H242">
    <cfRule type="cellIs" dxfId="8254" priority="8250" stopIfTrue="1" operator="lessThan">
      <formula>0.05</formula>
    </cfRule>
    <cfRule type="cellIs" dxfId="8253" priority="8251" stopIfTrue="1" operator="lessThan">
      <formula>0</formula>
    </cfRule>
  </conditionalFormatting>
  <conditionalFormatting sqref="H233:H242">
    <cfRule type="cellIs" dxfId="8252" priority="8248" stopIfTrue="1" operator="lessThan">
      <formula>0</formula>
    </cfRule>
    <cfRule type="cellIs" dxfId="8251" priority="8249" stopIfTrue="1" operator="lessThan">
      <formula>0</formula>
    </cfRule>
  </conditionalFormatting>
  <conditionalFormatting sqref="H233:H242">
    <cfRule type="cellIs" dxfId="8250" priority="8246" stopIfTrue="1" operator="lessThan">
      <formula>0</formula>
    </cfRule>
    <cfRule type="cellIs" dxfId="8249" priority="8247" stopIfTrue="1" operator="lessThan">
      <formula>0</formula>
    </cfRule>
  </conditionalFormatting>
  <conditionalFormatting sqref="H233:H242">
    <cfRule type="cellIs" dxfId="8248" priority="8244" stopIfTrue="1" operator="lessThan">
      <formula>0.05</formula>
    </cfRule>
    <cfRule type="cellIs" dxfId="8247" priority="8245" stopIfTrue="1" operator="lessThan">
      <formula>0</formula>
    </cfRule>
  </conditionalFormatting>
  <conditionalFormatting sqref="H233:H242">
    <cfRule type="cellIs" dxfId="8246" priority="8242" stopIfTrue="1" operator="lessThan">
      <formula>0</formula>
    </cfRule>
    <cfRule type="cellIs" dxfId="8245" priority="8243" stopIfTrue="1" operator="lessThan">
      <formula>0</formula>
    </cfRule>
  </conditionalFormatting>
  <conditionalFormatting sqref="H233:H242">
    <cfRule type="cellIs" dxfId="8244" priority="8240" stopIfTrue="1" operator="lessThan">
      <formula>0</formula>
    </cfRule>
    <cfRule type="cellIs" dxfId="8243" priority="8241" stopIfTrue="1" operator="lessThan">
      <formula>0</formula>
    </cfRule>
  </conditionalFormatting>
  <conditionalFormatting sqref="H233:H242">
    <cfRule type="cellIs" dxfId="8242" priority="8238" stopIfTrue="1" operator="lessThan">
      <formula>0.05</formula>
    </cfRule>
    <cfRule type="cellIs" dxfId="8241" priority="8239" stopIfTrue="1" operator="lessThan">
      <formula>0</formula>
    </cfRule>
  </conditionalFormatting>
  <conditionalFormatting sqref="H233:H242">
    <cfRule type="cellIs" dxfId="8240" priority="8236" stopIfTrue="1" operator="lessThan">
      <formula>0</formula>
    </cfRule>
    <cfRule type="cellIs" dxfId="8239" priority="8237" stopIfTrue="1" operator="lessThan">
      <formula>0</formula>
    </cfRule>
  </conditionalFormatting>
  <conditionalFormatting sqref="H233:H242">
    <cfRule type="cellIs" dxfId="8238" priority="8234" stopIfTrue="1" operator="lessThan">
      <formula>0.05</formula>
    </cfRule>
    <cfRule type="cellIs" dxfId="8237" priority="8235" stopIfTrue="1" operator="lessThan">
      <formula>0</formula>
    </cfRule>
  </conditionalFormatting>
  <conditionalFormatting sqref="H233:H242">
    <cfRule type="cellIs" dxfId="8236" priority="8232" stopIfTrue="1" operator="lessThan">
      <formula>0</formula>
    </cfRule>
    <cfRule type="cellIs" dxfId="8235" priority="8233" stopIfTrue="1" operator="lessThan">
      <formula>0</formula>
    </cfRule>
  </conditionalFormatting>
  <conditionalFormatting sqref="H233:H242">
    <cfRule type="cellIs" dxfId="8234" priority="8230" stopIfTrue="1" operator="lessThan">
      <formula>0.05</formula>
    </cfRule>
    <cfRule type="cellIs" dxfId="8233" priority="8231" stopIfTrue="1" operator="lessThan">
      <formula>0</formula>
    </cfRule>
  </conditionalFormatting>
  <conditionalFormatting sqref="H233:H242">
    <cfRule type="cellIs" dxfId="8232" priority="8228" stopIfTrue="1" operator="lessThan">
      <formula>0</formula>
    </cfRule>
    <cfRule type="cellIs" dxfId="8231" priority="8229" stopIfTrue="1" operator="lessThan">
      <formula>0</formula>
    </cfRule>
  </conditionalFormatting>
  <conditionalFormatting sqref="H233:H242">
    <cfRule type="cellIs" dxfId="8230" priority="8226" stopIfTrue="1" operator="lessThan">
      <formula>0</formula>
    </cfRule>
    <cfRule type="cellIs" dxfId="8229" priority="8227" stopIfTrue="1" operator="lessThan">
      <formula>0</formula>
    </cfRule>
  </conditionalFormatting>
  <conditionalFormatting sqref="H233:H242">
    <cfRule type="cellIs" dxfId="8228" priority="8224" stopIfTrue="1" operator="lessThan">
      <formula>0</formula>
    </cfRule>
    <cfRule type="cellIs" dxfId="8227" priority="8225" stopIfTrue="1" operator="lessThan">
      <formula>0</formula>
    </cfRule>
  </conditionalFormatting>
  <conditionalFormatting sqref="H233:H242">
    <cfRule type="cellIs" dxfId="8226" priority="8222" stopIfTrue="1" operator="lessThan">
      <formula>0.05</formula>
    </cfRule>
    <cfRule type="cellIs" dxfId="8225" priority="8223" stopIfTrue="1" operator="lessThan">
      <formula>0</formula>
    </cfRule>
  </conditionalFormatting>
  <conditionalFormatting sqref="H233:H242">
    <cfRule type="cellIs" dxfId="8224" priority="8220" stopIfTrue="1" operator="lessThan">
      <formula>0</formula>
    </cfRule>
    <cfRule type="cellIs" dxfId="8223" priority="8221" stopIfTrue="1" operator="lessThan">
      <formula>0</formula>
    </cfRule>
  </conditionalFormatting>
  <conditionalFormatting sqref="H233:H242">
    <cfRule type="cellIs" dxfId="8222" priority="8218" stopIfTrue="1" operator="lessThan">
      <formula>0.05</formula>
    </cfRule>
    <cfRule type="cellIs" dxfId="8221" priority="8219" stopIfTrue="1" operator="lessThan">
      <formula>0</formula>
    </cfRule>
  </conditionalFormatting>
  <conditionalFormatting sqref="H233:H242">
    <cfRule type="cellIs" dxfId="8220" priority="8216" stopIfTrue="1" operator="lessThan">
      <formula>0</formula>
    </cfRule>
    <cfRule type="cellIs" dxfId="8219" priority="8217" stopIfTrue="1" operator="lessThan">
      <formula>0</formula>
    </cfRule>
  </conditionalFormatting>
  <conditionalFormatting sqref="H233:H242">
    <cfRule type="cellIs" dxfId="8218" priority="8214" stopIfTrue="1" operator="lessThan">
      <formula>0.05</formula>
    </cfRule>
    <cfRule type="cellIs" dxfId="8217" priority="8215" stopIfTrue="1" operator="lessThan">
      <formula>0</formula>
    </cfRule>
  </conditionalFormatting>
  <conditionalFormatting sqref="H233:H242">
    <cfRule type="cellIs" dxfId="8216" priority="8212" stopIfTrue="1" operator="lessThan">
      <formula>0</formula>
    </cfRule>
    <cfRule type="cellIs" dxfId="8215" priority="8213" stopIfTrue="1" operator="lessThan">
      <formula>0</formula>
    </cfRule>
  </conditionalFormatting>
  <conditionalFormatting sqref="H233:H242">
    <cfRule type="cellIs" dxfId="8214" priority="8211" stopIfTrue="1" operator="lessThan">
      <formula>0.05</formula>
    </cfRule>
  </conditionalFormatting>
  <conditionalFormatting sqref="H191:H207">
    <cfRule type="cellIs" dxfId="8213" priority="8209" stopIfTrue="1" operator="lessThan">
      <formula>0</formula>
    </cfRule>
    <cfRule type="cellIs" dxfId="8212" priority="8210" stopIfTrue="1" operator="lessThan">
      <formula>0</formula>
    </cfRule>
  </conditionalFormatting>
  <conditionalFormatting sqref="H191:H207">
    <cfRule type="cellIs" dxfId="8211" priority="8207" stopIfTrue="1" operator="lessThan">
      <formula>0</formula>
    </cfRule>
    <cfRule type="cellIs" dxfId="8210" priority="8208" stopIfTrue="1" operator="lessThan">
      <formula>0</formula>
    </cfRule>
  </conditionalFormatting>
  <conditionalFormatting sqref="H191:H207">
    <cfRule type="cellIs" dxfId="8209" priority="8205" stopIfTrue="1" operator="lessThan">
      <formula>0.05</formula>
    </cfRule>
    <cfRule type="cellIs" dxfId="8208" priority="8206" stopIfTrue="1" operator="lessThan">
      <formula>0</formula>
    </cfRule>
  </conditionalFormatting>
  <conditionalFormatting sqref="H191:H207">
    <cfRule type="cellIs" dxfId="8207" priority="8203" stopIfTrue="1" operator="lessThan">
      <formula>0</formula>
    </cfRule>
    <cfRule type="cellIs" dxfId="8206" priority="8204" stopIfTrue="1" operator="lessThan">
      <formula>0</formula>
    </cfRule>
  </conditionalFormatting>
  <conditionalFormatting sqref="H191:H207">
    <cfRule type="cellIs" dxfId="8205" priority="8201" stopIfTrue="1" operator="lessThan">
      <formula>0.05</formula>
    </cfRule>
    <cfRule type="cellIs" dxfId="8204" priority="8202" stopIfTrue="1" operator="lessThan">
      <formula>0</formula>
    </cfRule>
  </conditionalFormatting>
  <conditionalFormatting sqref="H191:H207">
    <cfRule type="cellIs" dxfId="8203" priority="8199" stopIfTrue="1" operator="lessThan">
      <formula>0</formula>
    </cfRule>
    <cfRule type="cellIs" dxfId="8202" priority="8200" stopIfTrue="1" operator="lessThan">
      <formula>0</formula>
    </cfRule>
  </conditionalFormatting>
  <conditionalFormatting sqref="H191:H207">
    <cfRule type="cellIs" dxfId="8201" priority="8197" stopIfTrue="1" operator="lessThan">
      <formula>0.05</formula>
    </cfRule>
    <cfRule type="cellIs" dxfId="8200" priority="8198" stopIfTrue="1" operator="lessThan">
      <formula>0</formula>
    </cfRule>
  </conditionalFormatting>
  <conditionalFormatting sqref="H191:H207">
    <cfRule type="cellIs" dxfId="8199" priority="8195" stopIfTrue="1" operator="lessThan">
      <formula>0</formula>
    </cfRule>
    <cfRule type="cellIs" dxfId="8198" priority="8196" stopIfTrue="1" operator="lessThan">
      <formula>0</formula>
    </cfRule>
  </conditionalFormatting>
  <conditionalFormatting sqref="H191:H207">
    <cfRule type="cellIs" dxfId="8197" priority="8193" stopIfTrue="1" operator="lessThan">
      <formula>0</formula>
    </cfRule>
    <cfRule type="cellIs" dxfId="8196" priority="8194" stopIfTrue="1" operator="lessThan">
      <formula>0</formula>
    </cfRule>
  </conditionalFormatting>
  <conditionalFormatting sqref="H191:H207">
    <cfRule type="cellIs" dxfId="8195" priority="8191" stopIfTrue="1" operator="lessThan">
      <formula>0</formula>
    </cfRule>
    <cfRule type="cellIs" dxfId="8194" priority="8192" stopIfTrue="1" operator="lessThan">
      <formula>0</formula>
    </cfRule>
  </conditionalFormatting>
  <conditionalFormatting sqref="H191:H207">
    <cfRule type="cellIs" dxfId="8193" priority="8189" stopIfTrue="1" operator="lessThan">
      <formula>0.05</formula>
    </cfRule>
    <cfRule type="cellIs" dxfId="8192" priority="8190" stopIfTrue="1" operator="lessThan">
      <formula>0</formula>
    </cfRule>
  </conditionalFormatting>
  <conditionalFormatting sqref="H191:H207">
    <cfRule type="cellIs" dxfId="8191" priority="8187" stopIfTrue="1" operator="lessThan">
      <formula>0</formula>
    </cfRule>
    <cfRule type="cellIs" dxfId="8190" priority="8188" stopIfTrue="1" operator="lessThan">
      <formula>0</formula>
    </cfRule>
  </conditionalFormatting>
  <conditionalFormatting sqref="H191:H207">
    <cfRule type="cellIs" dxfId="8189" priority="8185" stopIfTrue="1" operator="lessThan">
      <formula>0.05</formula>
    </cfRule>
    <cfRule type="cellIs" dxfId="8188" priority="8186" stopIfTrue="1" operator="lessThan">
      <formula>0</formula>
    </cfRule>
  </conditionalFormatting>
  <conditionalFormatting sqref="H191:H207">
    <cfRule type="cellIs" dxfId="8187" priority="8183" stopIfTrue="1" operator="lessThan">
      <formula>0</formula>
    </cfRule>
    <cfRule type="cellIs" dxfId="8186" priority="8184" stopIfTrue="1" operator="lessThan">
      <formula>0</formula>
    </cfRule>
  </conditionalFormatting>
  <conditionalFormatting sqref="H191:H207">
    <cfRule type="cellIs" dxfId="8185" priority="8181" stopIfTrue="1" operator="lessThan">
      <formula>0.05</formula>
    </cfRule>
    <cfRule type="cellIs" dxfId="8184" priority="8182" stopIfTrue="1" operator="lessThan">
      <formula>0</formula>
    </cfRule>
  </conditionalFormatting>
  <conditionalFormatting sqref="H191:H207">
    <cfRule type="cellIs" dxfId="8183" priority="8179" stopIfTrue="1" operator="lessThan">
      <formula>0</formula>
    </cfRule>
    <cfRule type="cellIs" dxfId="8182" priority="8180" stopIfTrue="1" operator="lessThan">
      <formula>0</formula>
    </cfRule>
  </conditionalFormatting>
  <conditionalFormatting sqref="H191:H207">
    <cfRule type="cellIs" dxfId="8181" priority="8177" stopIfTrue="1" operator="lessThan">
      <formula>0</formula>
    </cfRule>
    <cfRule type="cellIs" dxfId="8180" priority="8178" stopIfTrue="1" operator="lessThan">
      <formula>0</formula>
    </cfRule>
  </conditionalFormatting>
  <conditionalFormatting sqref="H191:H207">
    <cfRule type="cellIs" dxfId="8179" priority="8175" stopIfTrue="1" operator="lessThan">
      <formula>0</formula>
    </cfRule>
    <cfRule type="cellIs" dxfId="8178" priority="8176" stopIfTrue="1" operator="lessThan">
      <formula>0</formula>
    </cfRule>
  </conditionalFormatting>
  <conditionalFormatting sqref="H191:H207">
    <cfRule type="cellIs" dxfId="8177" priority="8173" stopIfTrue="1" operator="lessThan">
      <formula>0.05</formula>
    </cfRule>
    <cfRule type="cellIs" dxfId="8176" priority="8174" stopIfTrue="1" operator="lessThan">
      <formula>0</formula>
    </cfRule>
  </conditionalFormatting>
  <conditionalFormatting sqref="H191:H207">
    <cfRule type="cellIs" dxfId="8175" priority="8171" stopIfTrue="1" operator="lessThan">
      <formula>0</formula>
    </cfRule>
    <cfRule type="cellIs" dxfId="8174" priority="8172" stopIfTrue="1" operator="lessThan">
      <formula>0</formula>
    </cfRule>
  </conditionalFormatting>
  <conditionalFormatting sqref="H191:H207">
    <cfRule type="cellIs" dxfId="8173" priority="8169" stopIfTrue="1" operator="lessThan">
      <formula>0.05</formula>
    </cfRule>
    <cfRule type="cellIs" dxfId="8172" priority="8170" stopIfTrue="1" operator="lessThan">
      <formula>0</formula>
    </cfRule>
  </conditionalFormatting>
  <conditionalFormatting sqref="H191:H207">
    <cfRule type="cellIs" dxfId="8171" priority="8167" stopIfTrue="1" operator="lessThan">
      <formula>0</formula>
    </cfRule>
    <cfRule type="cellIs" dxfId="8170" priority="8168" stopIfTrue="1" operator="lessThan">
      <formula>0</formula>
    </cfRule>
  </conditionalFormatting>
  <conditionalFormatting sqref="H191:H207">
    <cfRule type="cellIs" dxfId="8169" priority="8165" stopIfTrue="1" operator="lessThan">
      <formula>0.05</formula>
    </cfRule>
    <cfRule type="cellIs" dxfId="8168" priority="8166" stopIfTrue="1" operator="lessThan">
      <formula>0</formula>
    </cfRule>
  </conditionalFormatting>
  <conditionalFormatting sqref="H191:H207">
    <cfRule type="cellIs" dxfId="8167" priority="8163" stopIfTrue="1" operator="lessThan">
      <formula>0</formula>
    </cfRule>
    <cfRule type="cellIs" dxfId="8166" priority="8164" stopIfTrue="1" operator="lessThan">
      <formula>0</formula>
    </cfRule>
  </conditionalFormatting>
  <conditionalFormatting sqref="H191:H207">
    <cfRule type="cellIs" dxfId="8165" priority="8161" stopIfTrue="1" operator="lessThan">
      <formula>0</formula>
    </cfRule>
    <cfRule type="cellIs" dxfId="8164" priority="8162" stopIfTrue="1" operator="lessThan">
      <formula>0</formula>
    </cfRule>
  </conditionalFormatting>
  <conditionalFormatting sqref="H191:H207">
    <cfRule type="cellIs" dxfId="8163" priority="8159" stopIfTrue="1" operator="lessThan">
      <formula>0</formula>
    </cfRule>
    <cfRule type="cellIs" dxfId="8162" priority="8160" stopIfTrue="1" operator="lessThan">
      <formula>0</formula>
    </cfRule>
  </conditionalFormatting>
  <conditionalFormatting sqref="H191:H207">
    <cfRule type="cellIs" dxfId="8161" priority="8157" stopIfTrue="1" operator="lessThan">
      <formula>0.05</formula>
    </cfRule>
    <cfRule type="cellIs" dxfId="8160" priority="8158" stopIfTrue="1" operator="lessThan">
      <formula>0</formula>
    </cfRule>
  </conditionalFormatting>
  <conditionalFormatting sqref="H191:H207">
    <cfRule type="cellIs" dxfId="8159" priority="8155" stopIfTrue="1" operator="lessThan">
      <formula>0</formula>
    </cfRule>
    <cfRule type="cellIs" dxfId="8158" priority="8156" stopIfTrue="1" operator="lessThan">
      <formula>0</formula>
    </cfRule>
  </conditionalFormatting>
  <conditionalFormatting sqref="H191:H207">
    <cfRule type="cellIs" dxfId="8157" priority="8153" stopIfTrue="1" operator="lessThan">
      <formula>0.05</formula>
    </cfRule>
    <cfRule type="cellIs" dxfId="8156" priority="8154" stopIfTrue="1" operator="lessThan">
      <formula>0</formula>
    </cfRule>
  </conditionalFormatting>
  <conditionalFormatting sqref="H191:H207">
    <cfRule type="cellIs" dxfId="8155" priority="8151" stopIfTrue="1" operator="lessThan">
      <formula>0</formula>
    </cfRule>
    <cfRule type="cellIs" dxfId="8154" priority="8152" stopIfTrue="1" operator="lessThan">
      <formula>0</formula>
    </cfRule>
  </conditionalFormatting>
  <conditionalFormatting sqref="H191:H207">
    <cfRule type="cellIs" dxfId="8153" priority="8149" stopIfTrue="1" operator="lessThan">
      <formula>0.05</formula>
    </cfRule>
    <cfRule type="cellIs" dxfId="8152" priority="8150" stopIfTrue="1" operator="lessThan">
      <formula>0</formula>
    </cfRule>
  </conditionalFormatting>
  <conditionalFormatting sqref="H191:H207">
    <cfRule type="cellIs" dxfId="8151" priority="8147" stopIfTrue="1" operator="lessThan">
      <formula>0</formula>
    </cfRule>
    <cfRule type="cellIs" dxfId="8150" priority="8148" stopIfTrue="1" operator="lessThan">
      <formula>0</formula>
    </cfRule>
  </conditionalFormatting>
  <conditionalFormatting sqref="H191:H207">
    <cfRule type="cellIs" dxfId="8149" priority="8145" stopIfTrue="1" operator="lessThan">
      <formula>0</formula>
    </cfRule>
    <cfRule type="cellIs" dxfId="8148" priority="8146" stopIfTrue="1" operator="lessThan">
      <formula>0</formula>
    </cfRule>
  </conditionalFormatting>
  <conditionalFormatting sqref="H191:H207">
    <cfRule type="cellIs" dxfId="8147" priority="8143" stopIfTrue="1" operator="lessThan">
      <formula>0.05</formula>
    </cfRule>
    <cfRule type="cellIs" dxfId="8146" priority="8144" stopIfTrue="1" operator="lessThan">
      <formula>0</formula>
    </cfRule>
  </conditionalFormatting>
  <conditionalFormatting sqref="H191:H207">
    <cfRule type="cellIs" dxfId="8145" priority="8141" stopIfTrue="1" operator="lessThan">
      <formula>0</formula>
    </cfRule>
    <cfRule type="cellIs" dxfId="8144" priority="8142" stopIfTrue="1" operator="lessThan">
      <formula>0</formula>
    </cfRule>
  </conditionalFormatting>
  <conditionalFormatting sqref="H191:H207">
    <cfRule type="cellIs" dxfId="8143" priority="8139" stopIfTrue="1" operator="lessThan">
      <formula>0</formula>
    </cfRule>
    <cfRule type="cellIs" dxfId="8142" priority="8140" stopIfTrue="1" operator="lessThan">
      <formula>0</formula>
    </cfRule>
  </conditionalFormatting>
  <conditionalFormatting sqref="H191:H207">
    <cfRule type="cellIs" dxfId="8141" priority="8137" stopIfTrue="1" operator="lessThan">
      <formula>0.05</formula>
    </cfRule>
    <cfRule type="cellIs" dxfId="8140" priority="8138" stopIfTrue="1" operator="lessThan">
      <formula>0</formula>
    </cfRule>
  </conditionalFormatting>
  <conditionalFormatting sqref="H191:H207">
    <cfRule type="cellIs" dxfId="8139" priority="8135" stopIfTrue="1" operator="lessThan">
      <formula>0</formula>
    </cfRule>
    <cfRule type="cellIs" dxfId="8138" priority="8136" stopIfTrue="1" operator="lessThan">
      <formula>0</formula>
    </cfRule>
  </conditionalFormatting>
  <conditionalFormatting sqref="H191:H207">
    <cfRule type="cellIs" dxfId="8137" priority="8133" stopIfTrue="1" operator="lessThan">
      <formula>0</formula>
    </cfRule>
    <cfRule type="cellIs" dxfId="8136" priority="8134" stopIfTrue="1" operator="lessThan">
      <formula>0</formula>
    </cfRule>
  </conditionalFormatting>
  <conditionalFormatting sqref="H191:H207">
    <cfRule type="cellIs" dxfId="8135" priority="8131" stopIfTrue="1" operator="lessThan">
      <formula>0.05</formula>
    </cfRule>
    <cfRule type="cellIs" dxfId="8134" priority="8132" stopIfTrue="1" operator="lessThan">
      <formula>0</formula>
    </cfRule>
  </conditionalFormatting>
  <conditionalFormatting sqref="H191:H207">
    <cfRule type="cellIs" dxfId="8133" priority="8129" stopIfTrue="1" operator="lessThan">
      <formula>0</formula>
    </cfRule>
    <cfRule type="cellIs" dxfId="8132" priority="8130" stopIfTrue="1" operator="lessThan">
      <formula>0</formula>
    </cfRule>
  </conditionalFormatting>
  <conditionalFormatting sqref="H191:H207">
    <cfRule type="cellIs" dxfId="8131" priority="8127" stopIfTrue="1" operator="lessThan">
      <formula>0</formula>
    </cfRule>
    <cfRule type="cellIs" dxfId="8130" priority="8128" stopIfTrue="1" operator="lessThan">
      <formula>0</formula>
    </cfRule>
  </conditionalFormatting>
  <conditionalFormatting sqref="H191:H207">
    <cfRule type="cellIs" dxfId="8129" priority="8125" stopIfTrue="1" operator="lessThan">
      <formula>0.05</formula>
    </cfRule>
    <cfRule type="cellIs" dxfId="8128" priority="8126" stopIfTrue="1" operator="lessThan">
      <formula>0</formula>
    </cfRule>
  </conditionalFormatting>
  <conditionalFormatting sqref="H191:H207">
    <cfRule type="cellIs" dxfId="8127" priority="8123" stopIfTrue="1" operator="lessThan">
      <formula>0</formula>
    </cfRule>
    <cfRule type="cellIs" dxfId="8126" priority="8124" stopIfTrue="1" operator="lessThan">
      <formula>0</formula>
    </cfRule>
  </conditionalFormatting>
  <conditionalFormatting sqref="H191:H207">
    <cfRule type="cellIs" dxfId="8125" priority="8121" stopIfTrue="1" operator="lessThan">
      <formula>0</formula>
    </cfRule>
    <cfRule type="cellIs" dxfId="8124" priority="8122" stopIfTrue="1" operator="lessThan">
      <formula>0</formula>
    </cfRule>
  </conditionalFormatting>
  <conditionalFormatting sqref="H191:H207">
    <cfRule type="cellIs" dxfId="8123" priority="8119" stopIfTrue="1" operator="lessThan">
      <formula>0.05</formula>
    </cfRule>
    <cfRule type="cellIs" dxfId="8122" priority="8120" stopIfTrue="1" operator="lessThan">
      <formula>0</formula>
    </cfRule>
  </conditionalFormatting>
  <conditionalFormatting sqref="H191:H207">
    <cfRule type="cellIs" dxfId="8121" priority="8117" stopIfTrue="1" operator="lessThan">
      <formula>0</formula>
    </cfRule>
    <cfRule type="cellIs" dxfId="8120" priority="8118" stopIfTrue="1" operator="lessThan">
      <formula>0</formula>
    </cfRule>
  </conditionalFormatting>
  <conditionalFormatting sqref="H191:H207">
    <cfRule type="cellIs" dxfId="8119" priority="8115" stopIfTrue="1" operator="lessThan">
      <formula>0</formula>
    </cfRule>
    <cfRule type="cellIs" dxfId="8118" priority="8116" stopIfTrue="1" operator="lessThan">
      <formula>0</formula>
    </cfRule>
  </conditionalFormatting>
  <conditionalFormatting sqref="H191:H207">
    <cfRule type="cellIs" dxfId="8117" priority="8113" stopIfTrue="1" operator="lessThan">
      <formula>0.05</formula>
    </cfRule>
    <cfRule type="cellIs" dxfId="8116" priority="8114" stopIfTrue="1" operator="lessThan">
      <formula>0</formula>
    </cfRule>
  </conditionalFormatting>
  <conditionalFormatting sqref="H191:H207">
    <cfRule type="cellIs" dxfId="8115" priority="8111" stopIfTrue="1" operator="lessThan">
      <formula>0</formula>
    </cfRule>
    <cfRule type="cellIs" dxfId="8114" priority="8112" stopIfTrue="1" operator="lessThan">
      <formula>0</formula>
    </cfRule>
  </conditionalFormatting>
  <conditionalFormatting sqref="H191:H207">
    <cfRule type="cellIs" dxfId="8113" priority="8109" stopIfTrue="1" operator="lessThan">
      <formula>0</formula>
    </cfRule>
    <cfRule type="cellIs" dxfId="8112" priority="8110" stopIfTrue="1" operator="lessThan">
      <formula>0</formula>
    </cfRule>
  </conditionalFormatting>
  <conditionalFormatting sqref="H191:H207">
    <cfRule type="cellIs" dxfId="8111" priority="8107" stopIfTrue="1" operator="lessThan">
      <formula>0.05</formula>
    </cfRule>
    <cfRule type="cellIs" dxfId="8110" priority="8108" stopIfTrue="1" operator="lessThan">
      <formula>0</formula>
    </cfRule>
  </conditionalFormatting>
  <conditionalFormatting sqref="H191:H207">
    <cfRule type="cellIs" dxfId="8109" priority="8105" stopIfTrue="1" operator="lessThan">
      <formula>0</formula>
    </cfRule>
    <cfRule type="cellIs" dxfId="8108" priority="8106" stopIfTrue="1" operator="lessThan">
      <formula>0</formula>
    </cfRule>
  </conditionalFormatting>
  <conditionalFormatting sqref="H191:H207">
    <cfRule type="cellIs" dxfId="8107" priority="8103" stopIfTrue="1" operator="lessThan">
      <formula>0</formula>
    </cfRule>
    <cfRule type="cellIs" dxfId="8106" priority="8104" stopIfTrue="1" operator="lessThan">
      <formula>0</formula>
    </cfRule>
  </conditionalFormatting>
  <conditionalFormatting sqref="H191:H207">
    <cfRule type="cellIs" dxfId="8105" priority="8101" stopIfTrue="1" operator="lessThan">
      <formula>0.05</formula>
    </cfRule>
    <cfRule type="cellIs" dxfId="8104" priority="8102" stopIfTrue="1" operator="lessThan">
      <formula>0</formula>
    </cfRule>
  </conditionalFormatting>
  <conditionalFormatting sqref="H191:H207">
    <cfRule type="cellIs" dxfId="8103" priority="8099" stopIfTrue="1" operator="lessThan">
      <formula>0</formula>
    </cfRule>
    <cfRule type="cellIs" dxfId="8102" priority="8100" stopIfTrue="1" operator="lessThan">
      <formula>0</formula>
    </cfRule>
  </conditionalFormatting>
  <conditionalFormatting sqref="H191:H207">
    <cfRule type="cellIs" dxfId="8101" priority="8097" stopIfTrue="1" operator="lessThan">
      <formula>0</formula>
    </cfRule>
    <cfRule type="cellIs" dxfId="8100" priority="8098" stopIfTrue="1" operator="lessThan">
      <formula>0</formula>
    </cfRule>
  </conditionalFormatting>
  <conditionalFormatting sqref="H191:H207">
    <cfRule type="cellIs" dxfId="8099" priority="8095" stopIfTrue="1" operator="lessThan">
      <formula>0.05</formula>
    </cfRule>
    <cfRule type="cellIs" dxfId="8098" priority="8096" stopIfTrue="1" operator="lessThan">
      <formula>0</formula>
    </cfRule>
  </conditionalFormatting>
  <conditionalFormatting sqref="H191:H207">
    <cfRule type="cellIs" dxfId="8097" priority="8093" stopIfTrue="1" operator="lessThan">
      <formula>0</formula>
    </cfRule>
    <cfRule type="cellIs" dxfId="8096" priority="8094" stopIfTrue="1" operator="lessThan">
      <formula>0</formula>
    </cfRule>
  </conditionalFormatting>
  <conditionalFormatting sqref="H191:H207">
    <cfRule type="cellIs" dxfId="8095" priority="8091" stopIfTrue="1" operator="lessThan">
      <formula>0</formula>
    </cfRule>
    <cfRule type="cellIs" dxfId="8094" priority="8092" stopIfTrue="1" operator="lessThan">
      <formula>0</formula>
    </cfRule>
  </conditionalFormatting>
  <conditionalFormatting sqref="H191:H207">
    <cfRule type="cellIs" dxfId="8093" priority="8089" stopIfTrue="1" operator="lessThan">
      <formula>0.05</formula>
    </cfRule>
    <cfRule type="cellIs" dxfId="8092" priority="8090" stopIfTrue="1" operator="lessThan">
      <formula>0</formula>
    </cfRule>
  </conditionalFormatting>
  <conditionalFormatting sqref="H191:H207">
    <cfRule type="cellIs" dxfId="8091" priority="8087" stopIfTrue="1" operator="lessThan">
      <formula>0</formula>
    </cfRule>
    <cfRule type="cellIs" dxfId="8090" priority="8088" stopIfTrue="1" operator="lessThan">
      <formula>0</formula>
    </cfRule>
  </conditionalFormatting>
  <conditionalFormatting sqref="H191:H207">
    <cfRule type="cellIs" dxfId="8089" priority="8085" stopIfTrue="1" operator="lessThan">
      <formula>0</formula>
    </cfRule>
    <cfRule type="cellIs" dxfId="8088" priority="8086" stopIfTrue="1" operator="lessThan">
      <formula>0</formula>
    </cfRule>
  </conditionalFormatting>
  <conditionalFormatting sqref="H191:H207">
    <cfRule type="cellIs" dxfId="8087" priority="8083" stopIfTrue="1" operator="lessThan">
      <formula>0.05</formula>
    </cfRule>
    <cfRule type="cellIs" dxfId="8086" priority="8084" stopIfTrue="1" operator="lessThan">
      <formula>0</formula>
    </cfRule>
  </conditionalFormatting>
  <conditionalFormatting sqref="H191:H207">
    <cfRule type="cellIs" dxfId="8085" priority="8081" stopIfTrue="1" operator="lessThan">
      <formula>0</formula>
    </cfRule>
    <cfRule type="cellIs" dxfId="8084" priority="8082" stopIfTrue="1" operator="lessThan">
      <formula>0</formula>
    </cfRule>
  </conditionalFormatting>
  <conditionalFormatting sqref="H191:H207">
    <cfRule type="cellIs" dxfId="8083" priority="8079" stopIfTrue="1" operator="lessThan">
      <formula>0</formula>
    </cfRule>
    <cfRule type="cellIs" dxfId="8082" priority="8080" stopIfTrue="1" operator="lessThan">
      <formula>0</formula>
    </cfRule>
  </conditionalFormatting>
  <conditionalFormatting sqref="H191:H207">
    <cfRule type="cellIs" dxfId="8081" priority="8077" stopIfTrue="1" operator="lessThan">
      <formula>0.05</formula>
    </cfRule>
    <cfRule type="cellIs" dxfId="8080" priority="8078" stopIfTrue="1" operator="lessThan">
      <formula>0</formula>
    </cfRule>
  </conditionalFormatting>
  <conditionalFormatting sqref="H191:H207">
    <cfRule type="cellIs" dxfId="8079" priority="8075" stopIfTrue="1" operator="lessThan">
      <formula>0</formula>
    </cfRule>
    <cfRule type="cellIs" dxfId="8078" priority="8076" stopIfTrue="1" operator="lessThan">
      <formula>0</formula>
    </cfRule>
  </conditionalFormatting>
  <conditionalFormatting sqref="H191:H207">
    <cfRule type="cellIs" dxfId="8077" priority="8073" stopIfTrue="1" operator="lessThan">
      <formula>0</formula>
    </cfRule>
    <cfRule type="cellIs" dxfId="8076" priority="8074" stopIfTrue="1" operator="lessThan">
      <formula>0</formula>
    </cfRule>
  </conditionalFormatting>
  <conditionalFormatting sqref="H191:H207">
    <cfRule type="cellIs" dxfId="8075" priority="8071" stopIfTrue="1" operator="lessThan">
      <formula>0.05</formula>
    </cfRule>
    <cfRule type="cellIs" dxfId="8074" priority="8072" stopIfTrue="1" operator="lessThan">
      <formula>0</formula>
    </cfRule>
  </conditionalFormatting>
  <conditionalFormatting sqref="H191:H207">
    <cfRule type="cellIs" dxfId="8073" priority="8069" stopIfTrue="1" operator="lessThan">
      <formula>0</formula>
    </cfRule>
    <cfRule type="cellIs" dxfId="8072" priority="8070" stopIfTrue="1" operator="lessThan">
      <formula>0</formula>
    </cfRule>
  </conditionalFormatting>
  <conditionalFormatting sqref="H191:H207">
    <cfRule type="cellIs" dxfId="8071" priority="8067" stopIfTrue="1" operator="lessThan">
      <formula>0</formula>
    </cfRule>
    <cfRule type="cellIs" dxfId="8070" priority="8068" stopIfTrue="1" operator="lessThan">
      <formula>0</formula>
    </cfRule>
  </conditionalFormatting>
  <conditionalFormatting sqref="H191:H207">
    <cfRule type="cellIs" dxfId="8069" priority="8065" stopIfTrue="1" operator="lessThan">
      <formula>0.05</formula>
    </cfRule>
    <cfRule type="cellIs" dxfId="8068" priority="8066" stopIfTrue="1" operator="lessThan">
      <formula>0</formula>
    </cfRule>
  </conditionalFormatting>
  <conditionalFormatting sqref="H191:H207">
    <cfRule type="cellIs" dxfId="8067" priority="8063" stopIfTrue="1" operator="lessThan">
      <formula>0</formula>
    </cfRule>
    <cfRule type="cellIs" dxfId="8066" priority="8064" stopIfTrue="1" operator="lessThan">
      <formula>0</formula>
    </cfRule>
  </conditionalFormatting>
  <conditionalFormatting sqref="H191:H207">
    <cfRule type="cellIs" dxfId="8065" priority="8061" stopIfTrue="1" operator="lessThan">
      <formula>0</formula>
    </cfRule>
    <cfRule type="cellIs" dxfId="8064" priority="8062" stopIfTrue="1" operator="lessThan">
      <formula>0</formula>
    </cfRule>
  </conditionalFormatting>
  <conditionalFormatting sqref="H191:H207">
    <cfRule type="cellIs" dxfId="8063" priority="8059" stopIfTrue="1" operator="lessThan">
      <formula>0.05</formula>
    </cfRule>
    <cfRule type="cellIs" dxfId="8062" priority="8060" stopIfTrue="1" operator="lessThan">
      <formula>0</formula>
    </cfRule>
  </conditionalFormatting>
  <conditionalFormatting sqref="H191:H207">
    <cfRule type="cellIs" dxfId="8061" priority="8057" stopIfTrue="1" operator="lessThan">
      <formula>0</formula>
    </cfRule>
    <cfRule type="cellIs" dxfId="8060" priority="8058" stopIfTrue="1" operator="lessThan">
      <formula>0</formula>
    </cfRule>
  </conditionalFormatting>
  <conditionalFormatting sqref="H191:H207">
    <cfRule type="cellIs" dxfId="8059" priority="8055" stopIfTrue="1" operator="lessThan">
      <formula>0</formula>
    </cfRule>
    <cfRule type="cellIs" dxfId="8058" priority="8056" stopIfTrue="1" operator="lessThan">
      <formula>0</formula>
    </cfRule>
  </conditionalFormatting>
  <conditionalFormatting sqref="H191:H207">
    <cfRule type="cellIs" dxfId="8057" priority="8053" stopIfTrue="1" operator="lessThan">
      <formula>0.05</formula>
    </cfRule>
    <cfRule type="cellIs" dxfId="8056" priority="8054" stopIfTrue="1" operator="lessThan">
      <formula>0</formula>
    </cfRule>
  </conditionalFormatting>
  <conditionalFormatting sqref="H191:H207">
    <cfRule type="cellIs" dxfId="8055" priority="8051" stopIfTrue="1" operator="lessThan">
      <formula>0</formula>
    </cfRule>
    <cfRule type="cellIs" dxfId="8054" priority="8052" stopIfTrue="1" operator="lessThan">
      <formula>0</formula>
    </cfRule>
  </conditionalFormatting>
  <conditionalFormatting sqref="H191:H207">
    <cfRule type="cellIs" dxfId="8053" priority="8049" stopIfTrue="1" operator="lessThan">
      <formula>0.05</formula>
    </cfRule>
    <cfRule type="cellIs" dxfId="8052" priority="8050" stopIfTrue="1" operator="lessThan">
      <formula>0</formula>
    </cfRule>
  </conditionalFormatting>
  <conditionalFormatting sqref="H191:H207">
    <cfRule type="cellIs" dxfId="8051" priority="8047" stopIfTrue="1" operator="lessThan">
      <formula>0</formula>
    </cfRule>
    <cfRule type="cellIs" dxfId="8050" priority="8048" stopIfTrue="1" operator="lessThan">
      <formula>0</formula>
    </cfRule>
  </conditionalFormatting>
  <conditionalFormatting sqref="H191:H207">
    <cfRule type="cellIs" dxfId="8049" priority="8045" stopIfTrue="1" operator="lessThan">
      <formula>0.05</formula>
    </cfRule>
    <cfRule type="cellIs" dxfId="8048" priority="8046" stopIfTrue="1" operator="lessThan">
      <formula>0</formula>
    </cfRule>
  </conditionalFormatting>
  <conditionalFormatting sqref="H191:H207">
    <cfRule type="cellIs" dxfId="8047" priority="8043" stopIfTrue="1" operator="lessThan">
      <formula>0</formula>
    </cfRule>
    <cfRule type="cellIs" dxfId="8046" priority="8044" stopIfTrue="1" operator="lessThan">
      <formula>0</formula>
    </cfRule>
  </conditionalFormatting>
  <conditionalFormatting sqref="H191:H207">
    <cfRule type="cellIs" dxfId="8045" priority="8041" stopIfTrue="1" operator="lessThan">
      <formula>0</formula>
    </cfRule>
    <cfRule type="cellIs" dxfId="8044" priority="8042" stopIfTrue="1" operator="lessThan">
      <formula>0</formula>
    </cfRule>
  </conditionalFormatting>
  <conditionalFormatting sqref="H191:H207">
    <cfRule type="cellIs" dxfId="8043" priority="8039" stopIfTrue="1" operator="lessThan">
      <formula>0</formula>
    </cfRule>
    <cfRule type="cellIs" dxfId="8042" priority="8040" stopIfTrue="1" operator="lessThan">
      <formula>0</formula>
    </cfRule>
  </conditionalFormatting>
  <conditionalFormatting sqref="H191:H207">
    <cfRule type="cellIs" dxfId="8041" priority="8037" stopIfTrue="1" operator="lessThan">
      <formula>0.05</formula>
    </cfRule>
    <cfRule type="cellIs" dxfId="8040" priority="8038" stopIfTrue="1" operator="lessThan">
      <formula>0</formula>
    </cfRule>
  </conditionalFormatting>
  <conditionalFormatting sqref="H191:H207">
    <cfRule type="cellIs" dxfId="8039" priority="8035" stopIfTrue="1" operator="lessThan">
      <formula>0</formula>
    </cfRule>
    <cfRule type="cellIs" dxfId="8038" priority="8036" stopIfTrue="1" operator="lessThan">
      <formula>0</formula>
    </cfRule>
  </conditionalFormatting>
  <conditionalFormatting sqref="H191:H207">
    <cfRule type="cellIs" dxfId="8037" priority="8033" stopIfTrue="1" operator="lessThan">
      <formula>0.05</formula>
    </cfRule>
    <cfRule type="cellIs" dxfId="8036" priority="8034" stopIfTrue="1" operator="lessThan">
      <formula>0</formula>
    </cfRule>
  </conditionalFormatting>
  <conditionalFormatting sqref="H191:H207">
    <cfRule type="cellIs" dxfId="8035" priority="8031" stopIfTrue="1" operator="lessThan">
      <formula>0</formula>
    </cfRule>
    <cfRule type="cellIs" dxfId="8034" priority="8032" stopIfTrue="1" operator="lessThan">
      <formula>0</formula>
    </cfRule>
  </conditionalFormatting>
  <conditionalFormatting sqref="H191:H207">
    <cfRule type="cellIs" dxfId="8033" priority="8029" stopIfTrue="1" operator="lessThan">
      <formula>0.05</formula>
    </cfRule>
    <cfRule type="cellIs" dxfId="8032" priority="8030" stopIfTrue="1" operator="lessThan">
      <formula>0</formula>
    </cfRule>
  </conditionalFormatting>
  <conditionalFormatting sqref="H191:H207">
    <cfRule type="cellIs" dxfId="8031" priority="8027" stopIfTrue="1" operator="lessThan">
      <formula>0</formula>
    </cfRule>
    <cfRule type="cellIs" dxfId="8030" priority="8028" stopIfTrue="1" operator="lessThan">
      <formula>0</formula>
    </cfRule>
  </conditionalFormatting>
  <conditionalFormatting sqref="H191:H207">
    <cfRule type="cellIs" dxfId="8029" priority="8025" stopIfTrue="1" operator="lessThan">
      <formula>0</formula>
    </cfRule>
    <cfRule type="cellIs" dxfId="8028" priority="8026" stopIfTrue="1" operator="lessThan">
      <formula>0</formula>
    </cfRule>
  </conditionalFormatting>
  <conditionalFormatting sqref="H191:H207">
    <cfRule type="cellIs" dxfId="8027" priority="8023" stopIfTrue="1" operator="lessThan">
      <formula>0.05</formula>
    </cfRule>
    <cfRule type="cellIs" dxfId="8026" priority="8024" stopIfTrue="1" operator="lessThan">
      <formula>0</formula>
    </cfRule>
  </conditionalFormatting>
  <conditionalFormatting sqref="H191:H207">
    <cfRule type="cellIs" dxfId="8025" priority="8021" stopIfTrue="1" operator="lessThan">
      <formula>0</formula>
    </cfRule>
    <cfRule type="cellIs" dxfId="8024" priority="8022" stopIfTrue="1" operator="lessThan">
      <formula>0</formula>
    </cfRule>
  </conditionalFormatting>
  <conditionalFormatting sqref="H191:H207">
    <cfRule type="cellIs" dxfId="8023" priority="8019" stopIfTrue="1" operator="lessThan">
      <formula>0</formula>
    </cfRule>
    <cfRule type="cellIs" dxfId="8022" priority="8020" stopIfTrue="1" operator="lessThan">
      <formula>0</formula>
    </cfRule>
  </conditionalFormatting>
  <conditionalFormatting sqref="H191:H207">
    <cfRule type="cellIs" dxfId="8021" priority="8017" stopIfTrue="1" operator="lessThan">
      <formula>0.05</formula>
    </cfRule>
    <cfRule type="cellIs" dxfId="8020" priority="8018" stopIfTrue="1" operator="lessThan">
      <formula>0</formula>
    </cfRule>
  </conditionalFormatting>
  <conditionalFormatting sqref="H191:H207">
    <cfRule type="cellIs" dxfId="8019" priority="8015" stopIfTrue="1" operator="lessThan">
      <formula>0</formula>
    </cfRule>
    <cfRule type="cellIs" dxfId="8018" priority="8016" stopIfTrue="1" operator="lessThan">
      <formula>0</formula>
    </cfRule>
  </conditionalFormatting>
  <conditionalFormatting sqref="H191:H207">
    <cfRule type="cellIs" dxfId="8017" priority="8013" stopIfTrue="1" operator="lessThan">
      <formula>0</formula>
    </cfRule>
    <cfRule type="cellIs" dxfId="8016" priority="8014" stopIfTrue="1" operator="lessThan">
      <formula>0</formula>
    </cfRule>
  </conditionalFormatting>
  <conditionalFormatting sqref="H191:H207">
    <cfRule type="cellIs" dxfId="8015" priority="8011" stopIfTrue="1" operator="lessThan">
      <formula>0.05</formula>
    </cfRule>
    <cfRule type="cellIs" dxfId="8014" priority="8012" stopIfTrue="1" operator="lessThan">
      <formula>0</formula>
    </cfRule>
  </conditionalFormatting>
  <conditionalFormatting sqref="H191:H207">
    <cfRule type="cellIs" dxfId="8013" priority="8009" stopIfTrue="1" operator="lessThan">
      <formula>0</formula>
    </cfRule>
    <cfRule type="cellIs" dxfId="8012" priority="8010" stopIfTrue="1" operator="lessThan">
      <formula>0</formula>
    </cfRule>
  </conditionalFormatting>
  <conditionalFormatting sqref="H191:H207">
    <cfRule type="cellIs" dxfId="8011" priority="8007" stopIfTrue="1" operator="lessThan">
      <formula>0</formula>
    </cfRule>
    <cfRule type="cellIs" dxfId="8010" priority="8008" stopIfTrue="1" operator="lessThan">
      <formula>0</formula>
    </cfRule>
  </conditionalFormatting>
  <conditionalFormatting sqref="H191:H207">
    <cfRule type="cellIs" dxfId="8009" priority="8005" stopIfTrue="1" operator="lessThan">
      <formula>0.05</formula>
    </cfRule>
    <cfRule type="cellIs" dxfId="8008" priority="8006" stopIfTrue="1" operator="lessThan">
      <formula>0</formula>
    </cfRule>
  </conditionalFormatting>
  <conditionalFormatting sqref="H191:H207">
    <cfRule type="cellIs" dxfId="8007" priority="8003" stopIfTrue="1" operator="lessThan">
      <formula>0</formula>
    </cfRule>
    <cfRule type="cellIs" dxfId="8006" priority="8004" stopIfTrue="1" operator="lessThan">
      <formula>0</formula>
    </cfRule>
  </conditionalFormatting>
  <conditionalFormatting sqref="H191:H207">
    <cfRule type="cellIs" dxfId="8005" priority="8001" stopIfTrue="1" operator="lessThan">
      <formula>0</formula>
    </cfRule>
    <cfRule type="cellIs" dxfId="8004" priority="8002" stopIfTrue="1" operator="lessThan">
      <formula>0</formula>
    </cfRule>
  </conditionalFormatting>
  <conditionalFormatting sqref="H191:H207">
    <cfRule type="cellIs" dxfId="8003" priority="7999" stopIfTrue="1" operator="lessThan">
      <formula>0.05</formula>
    </cfRule>
    <cfRule type="cellIs" dxfId="8002" priority="8000" stopIfTrue="1" operator="lessThan">
      <formula>0</formula>
    </cfRule>
  </conditionalFormatting>
  <conditionalFormatting sqref="H191:H207">
    <cfRule type="cellIs" dxfId="8001" priority="7997" stopIfTrue="1" operator="lessThan">
      <formula>0</formula>
    </cfRule>
    <cfRule type="cellIs" dxfId="8000" priority="7998" stopIfTrue="1" operator="lessThan">
      <formula>0</formula>
    </cfRule>
  </conditionalFormatting>
  <conditionalFormatting sqref="H191:H207">
    <cfRule type="cellIs" dxfId="7999" priority="7995" stopIfTrue="1" operator="lessThan">
      <formula>0</formula>
    </cfRule>
    <cfRule type="cellIs" dxfId="7998" priority="7996" stopIfTrue="1" operator="lessThan">
      <formula>0</formula>
    </cfRule>
  </conditionalFormatting>
  <conditionalFormatting sqref="H191:H207">
    <cfRule type="cellIs" dxfId="7997" priority="7993" stopIfTrue="1" operator="lessThan">
      <formula>0.05</formula>
    </cfRule>
    <cfRule type="cellIs" dxfId="7996" priority="7994" stopIfTrue="1" operator="lessThan">
      <formula>0</formula>
    </cfRule>
  </conditionalFormatting>
  <conditionalFormatting sqref="H191:H207">
    <cfRule type="cellIs" dxfId="7995" priority="7991" stopIfTrue="1" operator="lessThan">
      <formula>0</formula>
    </cfRule>
    <cfRule type="cellIs" dxfId="7994" priority="7992" stopIfTrue="1" operator="lessThan">
      <formula>0</formula>
    </cfRule>
  </conditionalFormatting>
  <conditionalFormatting sqref="H191:H207">
    <cfRule type="cellIs" dxfId="7993" priority="7989" stopIfTrue="1" operator="lessThan">
      <formula>0</formula>
    </cfRule>
    <cfRule type="cellIs" dxfId="7992" priority="7990" stopIfTrue="1" operator="lessThan">
      <formula>0</formula>
    </cfRule>
  </conditionalFormatting>
  <conditionalFormatting sqref="H191:H207">
    <cfRule type="cellIs" dxfId="7991" priority="7987" stopIfTrue="1" operator="lessThan">
      <formula>0.05</formula>
    </cfRule>
    <cfRule type="cellIs" dxfId="7990" priority="7988" stopIfTrue="1" operator="lessThan">
      <formula>0</formula>
    </cfRule>
  </conditionalFormatting>
  <conditionalFormatting sqref="H191:H207">
    <cfRule type="cellIs" dxfId="7989" priority="7985" stopIfTrue="1" operator="lessThan">
      <formula>0</formula>
    </cfRule>
    <cfRule type="cellIs" dxfId="7988" priority="7986" stopIfTrue="1" operator="lessThan">
      <formula>0</formula>
    </cfRule>
  </conditionalFormatting>
  <conditionalFormatting sqref="H191:H207">
    <cfRule type="cellIs" dxfId="7987" priority="7983" stopIfTrue="1" operator="lessThan">
      <formula>0</formula>
    </cfRule>
    <cfRule type="cellIs" dxfId="7986" priority="7984" stopIfTrue="1" operator="lessThan">
      <formula>0</formula>
    </cfRule>
  </conditionalFormatting>
  <conditionalFormatting sqref="H191:H207">
    <cfRule type="cellIs" dxfId="7985" priority="7981" stopIfTrue="1" operator="lessThan">
      <formula>0.05</formula>
    </cfRule>
    <cfRule type="cellIs" dxfId="7984" priority="7982" stopIfTrue="1" operator="lessThan">
      <formula>0</formula>
    </cfRule>
  </conditionalFormatting>
  <conditionalFormatting sqref="H191:H207">
    <cfRule type="cellIs" dxfId="7983" priority="7979" stopIfTrue="1" operator="lessThan">
      <formula>0</formula>
    </cfRule>
    <cfRule type="cellIs" dxfId="7982" priority="7980" stopIfTrue="1" operator="lessThan">
      <formula>0</formula>
    </cfRule>
  </conditionalFormatting>
  <conditionalFormatting sqref="H191:H207">
    <cfRule type="cellIs" dxfId="7981" priority="7977" stopIfTrue="1" operator="lessThan">
      <formula>0</formula>
    </cfRule>
    <cfRule type="cellIs" dxfId="7980" priority="7978" stopIfTrue="1" operator="lessThan">
      <formula>0</formula>
    </cfRule>
  </conditionalFormatting>
  <conditionalFormatting sqref="H191:H207">
    <cfRule type="cellIs" dxfId="7979" priority="7975" stopIfTrue="1" operator="lessThan">
      <formula>0.05</formula>
    </cfRule>
    <cfRule type="cellIs" dxfId="7978" priority="7976" stopIfTrue="1" operator="lessThan">
      <formula>0</formula>
    </cfRule>
  </conditionalFormatting>
  <conditionalFormatting sqref="H191:H207">
    <cfRule type="cellIs" dxfId="7977" priority="7973" stopIfTrue="1" operator="lessThan">
      <formula>0</formula>
    </cfRule>
    <cfRule type="cellIs" dxfId="7976" priority="7974" stopIfTrue="1" operator="lessThan">
      <formula>0</formula>
    </cfRule>
  </conditionalFormatting>
  <conditionalFormatting sqref="H191:H207">
    <cfRule type="cellIs" dxfId="7975" priority="7971" stopIfTrue="1" operator="lessThan">
      <formula>0</formula>
    </cfRule>
    <cfRule type="cellIs" dxfId="7974" priority="7972" stopIfTrue="1" operator="lessThan">
      <formula>0</formula>
    </cfRule>
  </conditionalFormatting>
  <conditionalFormatting sqref="H191:H207">
    <cfRule type="cellIs" dxfId="7973" priority="7969" stopIfTrue="1" operator="lessThan">
      <formula>0.05</formula>
    </cfRule>
    <cfRule type="cellIs" dxfId="7972" priority="7970" stopIfTrue="1" operator="lessThan">
      <formula>0</formula>
    </cfRule>
  </conditionalFormatting>
  <conditionalFormatting sqref="H191:H207">
    <cfRule type="cellIs" dxfId="7971" priority="7967" stopIfTrue="1" operator="lessThan">
      <formula>0</formula>
    </cfRule>
    <cfRule type="cellIs" dxfId="7970" priority="7968" stopIfTrue="1" operator="lessThan">
      <formula>0</formula>
    </cfRule>
  </conditionalFormatting>
  <conditionalFormatting sqref="H191:H207">
    <cfRule type="cellIs" dxfId="7969" priority="7965" stopIfTrue="1" operator="lessThan">
      <formula>0</formula>
    </cfRule>
    <cfRule type="cellIs" dxfId="7968" priority="7966" stopIfTrue="1" operator="lessThan">
      <formula>0</formula>
    </cfRule>
  </conditionalFormatting>
  <conditionalFormatting sqref="H191:H207">
    <cfRule type="cellIs" dxfId="7967" priority="7963" stopIfTrue="1" operator="lessThan">
      <formula>0.05</formula>
    </cfRule>
    <cfRule type="cellIs" dxfId="7966" priority="7964" stopIfTrue="1" operator="lessThan">
      <formula>0</formula>
    </cfRule>
  </conditionalFormatting>
  <conditionalFormatting sqref="H191:H207">
    <cfRule type="cellIs" dxfId="7965" priority="7961" stopIfTrue="1" operator="lessThan">
      <formula>0</formula>
    </cfRule>
    <cfRule type="cellIs" dxfId="7964" priority="7962" stopIfTrue="1" operator="lessThan">
      <formula>0</formula>
    </cfRule>
  </conditionalFormatting>
  <conditionalFormatting sqref="H191:H207">
    <cfRule type="cellIs" dxfId="7963" priority="7959" stopIfTrue="1" operator="lessThan">
      <formula>0</formula>
    </cfRule>
    <cfRule type="cellIs" dxfId="7962" priority="7960" stopIfTrue="1" operator="lessThan">
      <formula>0</formula>
    </cfRule>
  </conditionalFormatting>
  <conditionalFormatting sqref="H191:H207">
    <cfRule type="cellIs" dxfId="7961" priority="7957" stopIfTrue="1" operator="lessThan">
      <formula>0.05</formula>
    </cfRule>
    <cfRule type="cellIs" dxfId="7960" priority="7958" stopIfTrue="1" operator="lessThan">
      <formula>0</formula>
    </cfRule>
  </conditionalFormatting>
  <conditionalFormatting sqref="H191:H207">
    <cfRule type="cellIs" dxfId="7959" priority="7955" stopIfTrue="1" operator="lessThan">
      <formula>0</formula>
    </cfRule>
    <cfRule type="cellIs" dxfId="7958" priority="7956" stopIfTrue="1" operator="lessThan">
      <formula>0</formula>
    </cfRule>
  </conditionalFormatting>
  <conditionalFormatting sqref="H191:H207">
    <cfRule type="cellIs" dxfId="7957" priority="7953" stopIfTrue="1" operator="lessThan">
      <formula>0.05</formula>
    </cfRule>
    <cfRule type="cellIs" dxfId="7956" priority="7954" stopIfTrue="1" operator="lessThan">
      <formula>0</formula>
    </cfRule>
  </conditionalFormatting>
  <conditionalFormatting sqref="H191:H207">
    <cfRule type="cellIs" dxfId="7955" priority="7951" stopIfTrue="1" operator="lessThan">
      <formula>0</formula>
    </cfRule>
    <cfRule type="cellIs" dxfId="7954" priority="7952" stopIfTrue="1" operator="lessThan">
      <formula>0</formula>
    </cfRule>
  </conditionalFormatting>
  <conditionalFormatting sqref="H191:H207">
    <cfRule type="cellIs" dxfId="7953" priority="7949" stopIfTrue="1" operator="lessThan">
      <formula>0.05</formula>
    </cfRule>
    <cfRule type="cellIs" dxfId="7952" priority="7950" stopIfTrue="1" operator="lessThan">
      <formula>0</formula>
    </cfRule>
  </conditionalFormatting>
  <conditionalFormatting sqref="H191:H207">
    <cfRule type="cellIs" dxfId="7951" priority="7947" stopIfTrue="1" operator="lessThan">
      <formula>0</formula>
    </cfRule>
    <cfRule type="cellIs" dxfId="7950" priority="7948" stopIfTrue="1" operator="lessThan">
      <formula>0</formula>
    </cfRule>
  </conditionalFormatting>
  <conditionalFormatting sqref="H191:H207">
    <cfRule type="cellIs" dxfId="7949" priority="7945" stopIfTrue="1" operator="lessThan">
      <formula>0</formula>
    </cfRule>
    <cfRule type="cellIs" dxfId="7948" priority="7946" stopIfTrue="1" operator="lessThan">
      <formula>0</formula>
    </cfRule>
  </conditionalFormatting>
  <conditionalFormatting sqref="H191:H207">
    <cfRule type="cellIs" dxfId="7947" priority="7943" stopIfTrue="1" operator="lessThan">
      <formula>0</formula>
    </cfRule>
    <cfRule type="cellIs" dxfId="7946" priority="7944" stopIfTrue="1" operator="lessThan">
      <formula>0</formula>
    </cfRule>
  </conditionalFormatting>
  <conditionalFormatting sqref="H191:H207">
    <cfRule type="cellIs" dxfId="7945" priority="7941" stopIfTrue="1" operator="lessThan">
      <formula>0.05</formula>
    </cfRule>
    <cfRule type="cellIs" dxfId="7944" priority="7942" stopIfTrue="1" operator="lessThan">
      <formula>0</formula>
    </cfRule>
  </conditionalFormatting>
  <conditionalFormatting sqref="H191:H207">
    <cfRule type="cellIs" dxfId="7943" priority="7939" stopIfTrue="1" operator="lessThan">
      <formula>0</formula>
    </cfRule>
    <cfRule type="cellIs" dxfId="7942" priority="7940" stopIfTrue="1" operator="lessThan">
      <formula>0</formula>
    </cfRule>
  </conditionalFormatting>
  <conditionalFormatting sqref="H191:H207">
    <cfRule type="cellIs" dxfId="7941" priority="7937" stopIfTrue="1" operator="lessThan">
      <formula>0.05</formula>
    </cfRule>
    <cfRule type="cellIs" dxfId="7940" priority="7938" stopIfTrue="1" operator="lessThan">
      <formula>0</formula>
    </cfRule>
  </conditionalFormatting>
  <conditionalFormatting sqref="H191:H207">
    <cfRule type="cellIs" dxfId="7939" priority="7935" stopIfTrue="1" operator="lessThan">
      <formula>0</formula>
    </cfRule>
    <cfRule type="cellIs" dxfId="7938" priority="7936" stopIfTrue="1" operator="lessThan">
      <formula>0</formula>
    </cfRule>
  </conditionalFormatting>
  <conditionalFormatting sqref="H191:H207">
    <cfRule type="cellIs" dxfId="7937" priority="7933" stopIfTrue="1" operator="lessThan">
      <formula>0.05</formula>
    </cfRule>
    <cfRule type="cellIs" dxfId="7936" priority="7934" stopIfTrue="1" operator="lessThan">
      <formula>0</formula>
    </cfRule>
  </conditionalFormatting>
  <conditionalFormatting sqref="H191:H207">
    <cfRule type="cellIs" dxfId="7935" priority="7931" stopIfTrue="1" operator="lessThan">
      <formula>0</formula>
    </cfRule>
    <cfRule type="cellIs" dxfId="7934" priority="7932" stopIfTrue="1" operator="lessThan">
      <formula>0</formula>
    </cfRule>
  </conditionalFormatting>
  <conditionalFormatting sqref="H191:H207">
    <cfRule type="cellIs" dxfId="7933" priority="7929" stopIfTrue="1" operator="lessThan">
      <formula>0</formula>
    </cfRule>
    <cfRule type="cellIs" dxfId="7932" priority="7930" stopIfTrue="1" operator="lessThan">
      <formula>0</formula>
    </cfRule>
  </conditionalFormatting>
  <conditionalFormatting sqref="H191:H207">
    <cfRule type="cellIs" dxfId="7931" priority="7927" stopIfTrue="1" operator="lessThan">
      <formula>0.05</formula>
    </cfRule>
    <cfRule type="cellIs" dxfId="7930" priority="7928" stopIfTrue="1" operator="lessThan">
      <formula>0</formula>
    </cfRule>
  </conditionalFormatting>
  <conditionalFormatting sqref="H191:H207">
    <cfRule type="cellIs" dxfId="7929" priority="7925" stopIfTrue="1" operator="lessThan">
      <formula>0</formula>
    </cfRule>
    <cfRule type="cellIs" dxfId="7928" priority="7926" stopIfTrue="1" operator="lessThan">
      <formula>0</formula>
    </cfRule>
  </conditionalFormatting>
  <conditionalFormatting sqref="H191:H207">
    <cfRule type="cellIs" dxfId="7927" priority="7923" stopIfTrue="1" operator="lessThan">
      <formula>0</formula>
    </cfRule>
    <cfRule type="cellIs" dxfId="7926" priority="7924" stopIfTrue="1" operator="lessThan">
      <formula>0</formula>
    </cfRule>
  </conditionalFormatting>
  <conditionalFormatting sqref="H191:H207">
    <cfRule type="cellIs" dxfId="7925" priority="7921" stopIfTrue="1" operator="lessThan">
      <formula>0.05</formula>
    </cfRule>
    <cfRule type="cellIs" dxfId="7924" priority="7922" stopIfTrue="1" operator="lessThan">
      <formula>0</formula>
    </cfRule>
  </conditionalFormatting>
  <conditionalFormatting sqref="H191:H207">
    <cfRule type="cellIs" dxfId="7923" priority="7919" stopIfTrue="1" operator="lessThan">
      <formula>0</formula>
    </cfRule>
    <cfRule type="cellIs" dxfId="7922" priority="7920" stopIfTrue="1" operator="lessThan">
      <formula>0</formula>
    </cfRule>
  </conditionalFormatting>
  <conditionalFormatting sqref="H191:H207">
    <cfRule type="cellIs" dxfId="7921" priority="7917" stopIfTrue="1" operator="lessThan">
      <formula>0</formula>
    </cfRule>
    <cfRule type="cellIs" dxfId="7920" priority="7918" stopIfTrue="1" operator="lessThan">
      <formula>0</formula>
    </cfRule>
  </conditionalFormatting>
  <conditionalFormatting sqref="H191:H207">
    <cfRule type="cellIs" dxfId="7919" priority="7915" stopIfTrue="1" operator="lessThan">
      <formula>0.05</formula>
    </cfRule>
    <cfRule type="cellIs" dxfId="7918" priority="7916" stopIfTrue="1" operator="lessThan">
      <formula>0</formula>
    </cfRule>
  </conditionalFormatting>
  <conditionalFormatting sqref="H191:H207">
    <cfRule type="cellIs" dxfId="7917" priority="7913" stopIfTrue="1" operator="lessThan">
      <formula>0</formula>
    </cfRule>
    <cfRule type="cellIs" dxfId="7916" priority="7914" stopIfTrue="1" operator="lessThan">
      <formula>0</formula>
    </cfRule>
  </conditionalFormatting>
  <conditionalFormatting sqref="H191:H207">
    <cfRule type="cellIs" dxfId="7915" priority="7911" stopIfTrue="1" operator="lessThan">
      <formula>0</formula>
    </cfRule>
    <cfRule type="cellIs" dxfId="7914" priority="7912" stopIfTrue="1" operator="lessThan">
      <formula>0</formula>
    </cfRule>
  </conditionalFormatting>
  <conditionalFormatting sqref="H191:H207">
    <cfRule type="cellIs" dxfId="7913" priority="7909" stopIfTrue="1" operator="lessThan">
      <formula>0.05</formula>
    </cfRule>
    <cfRule type="cellIs" dxfId="7912" priority="7910" stopIfTrue="1" operator="lessThan">
      <formula>0</formula>
    </cfRule>
  </conditionalFormatting>
  <conditionalFormatting sqref="H191:H207">
    <cfRule type="cellIs" dxfId="7911" priority="7907" stopIfTrue="1" operator="lessThan">
      <formula>0</formula>
    </cfRule>
    <cfRule type="cellIs" dxfId="7910" priority="7908" stopIfTrue="1" operator="lessThan">
      <formula>0</formula>
    </cfRule>
  </conditionalFormatting>
  <conditionalFormatting sqref="H191:H207">
    <cfRule type="cellIs" dxfId="7909" priority="7905" stopIfTrue="1" operator="lessThan">
      <formula>0</formula>
    </cfRule>
    <cfRule type="cellIs" dxfId="7908" priority="7906" stopIfTrue="1" operator="lessThan">
      <formula>0</formula>
    </cfRule>
  </conditionalFormatting>
  <conditionalFormatting sqref="H191:H207">
    <cfRule type="cellIs" dxfId="7907" priority="7903" stopIfTrue="1" operator="lessThan">
      <formula>0.05</formula>
    </cfRule>
    <cfRule type="cellIs" dxfId="7906" priority="7904" stopIfTrue="1" operator="lessThan">
      <formula>0</formula>
    </cfRule>
  </conditionalFormatting>
  <conditionalFormatting sqref="H191:H207">
    <cfRule type="cellIs" dxfId="7905" priority="7901" stopIfTrue="1" operator="lessThan">
      <formula>0</formula>
    </cfRule>
    <cfRule type="cellIs" dxfId="7904" priority="7902" stopIfTrue="1" operator="lessThan">
      <formula>0</formula>
    </cfRule>
  </conditionalFormatting>
  <conditionalFormatting sqref="H191:H207">
    <cfRule type="cellIs" dxfId="7903" priority="7899" stopIfTrue="1" operator="lessThan">
      <formula>0</formula>
    </cfRule>
    <cfRule type="cellIs" dxfId="7902" priority="7900" stopIfTrue="1" operator="lessThan">
      <formula>0</formula>
    </cfRule>
  </conditionalFormatting>
  <conditionalFormatting sqref="H191:H207">
    <cfRule type="cellIs" dxfId="7901" priority="7897" stopIfTrue="1" operator="lessThan">
      <formula>0.05</formula>
    </cfRule>
    <cfRule type="cellIs" dxfId="7900" priority="7898" stopIfTrue="1" operator="lessThan">
      <formula>0</formula>
    </cfRule>
  </conditionalFormatting>
  <conditionalFormatting sqref="H191:H207">
    <cfRule type="cellIs" dxfId="7899" priority="7895" stopIfTrue="1" operator="lessThan">
      <formula>0</formula>
    </cfRule>
    <cfRule type="cellIs" dxfId="7898" priority="7896" stopIfTrue="1" operator="lessThan">
      <formula>0</formula>
    </cfRule>
  </conditionalFormatting>
  <conditionalFormatting sqref="H191:H207">
    <cfRule type="cellIs" dxfId="7897" priority="7893" stopIfTrue="1" operator="lessThan">
      <formula>0</formula>
    </cfRule>
    <cfRule type="cellIs" dxfId="7896" priority="7894" stopIfTrue="1" operator="lessThan">
      <formula>0</formula>
    </cfRule>
  </conditionalFormatting>
  <conditionalFormatting sqref="H191:H207">
    <cfRule type="cellIs" dxfId="7895" priority="7891" stopIfTrue="1" operator="lessThan">
      <formula>0.05</formula>
    </cfRule>
    <cfRule type="cellIs" dxfId="7894" priority="7892" stopIfTrue="1" operator="lessThan">
      <formula>0</formula>
    </cfRule>
  </conditionalFormatting>
  <conditionalFormatting sqref="H191:H207">
    <cfRule type="cellIs" dxfId="7893" priority="7889" stopIfTrue="1" operator="lessThan">
      <formula>0</formula>
    </cfRule>
    <cfRule type="cellIs" dxfId="7892" priority="7890" stopIfTrue="1" operator="lessThan">
      <formula>0</formula>
    </cfRule>
  </conditionalFormatting>
  <conditionalFormatting sqref="H191:H207">
    <cfRule type="cellIs" dxfId="7891" priority="7887" stopIfTrue="1" operator="lessThan">
      <formula>0</formula>
    </cfRule>
    <cfRule type="cellIs" dxfId="7890" priority="7888" stopIfTrue="1" operator="lessThan">
      <formula>0</formula>
    </cfRule>
  </conditionalFormatting>
  <conditionalFormatting sqref="H191:H207">
    <cfRule type="cellIs" dxfId="7889" priority="7885" stopIfTrue="1" operator="lessThan">
      <formula>0.05</formula>
    </cfRule>
    <cfRule type="cellIs" dxfId="7888" priority="7886" stopIfTrue="1" operator="lessThan">
      <formula>0</formula>
    </cfRule>
  </conditionalFormatting>
  <conditionalFormatting sqref="H191:H207">
    <cfRule type="cellIs" dxfId="7887" priority="7883" stopIfTrue="1" operator="lessThan">
      <formula>0</formula>
    </cfRule>
    <cfRule type="cellIs" dxfId="7886" priority="7884" stopIfTrue="1" operator="lessThan">
      <formula>0</formula>
    </cfRule>
  </conditionalFormatting>
  <conditionalFormatting sqref="H191:H207">
    <cfRule type="cellIs" dxfId="7885" priority="7881" stopIfTrue="1" operator="lessThan">
      <formula>0</formula>
    </cfRule>
    <cfRule type="cellIs" dxfId="7884" priority="7882" stopIfTrue="1" operator="lessThan">
      <formula>0</formula>
    </cfRule>
  </conditionalFormatting>
  <conditionalFormatting sqref="H191:H207">
    <cfRule type="cellIs" dxfId="7883" priority="7879" stopIfTrue="1" operator="lessThan">
      <formula>0.05</formula>
    </cfRule>
    <cfRule type="cellIs" dxfId="7882" priority="7880" stopIfTrue="1" operator="lessThan">
      <formula>0</formula>
    </cfRule>
  </conditionalFormatting>
  <conditionalFormatting sqref="H191:H207">
    <cfRule type="cellIs" dxfId="7881" priority="7877" stopIfTrue="1" operator="lessThan">
      <formula>0</formula>
    </cfRule>
    <cfRule type="cellIs" dxfId="7880" priority="7878" stopIfTrue="1" operator="lessThan">
      <formula>0</formula>
    </cfRule>
  </conditionalFormatting>
  <conditionalFormatting sqref="H191:H207">
    <cfRule type="cellIs" dxfId="7879" priority="7875" stopIfTrue="1" operator="lessThan">
      <formula>0</formula>
    </cfRule>
    <cfRule type="cellIs" dxfId="7878" priority="7876" stopIfTrue="1" operator="lessThan">
      <formula>0</formula>
    </cfRule>
  </conditionalFormatting>
  <conditionalFormatting sqref="H191:H207">
    <cfRule type="cellIs" dxfId="7877" priority="7873" stopIfTrue="1" operator="lessThan">
      <formula>0.05</formula>
    </cfRule>
    <cfRule type="cellIs" dxfId="7876" priority="7874" stopIfTrue="1" operator="lessThan">
      <formula>0</formula>
    </cfRule>
  </conditionalFormatting>
  <conditionalFormatting sqref="H191:H207">
    <cfRule type="cellIs" dxfId="7875" priority="7871" stopIfTrue="1" operator="lessThan">
      <formula>0</formula>
    </cfRule>
    <cfRule type="cellIs" dxfId="7874" priority="7872" stopIfTrue="1" operator="lessThan">
      <formula>0</formula>
    </cfRule>
  </conditionalFormatting>
  <conditionalFormatting sqref="H191:H207">
    <cfRule type="cellIs" dxfId="7873" priority="7869" stopIfTrue="1" operator="lessThan">
      <formula>0</formula>
    </cfRule>
    <cfRule type="cellIs" dxfId="7872" priority="7870" stopIfTrue="1" operator="lessThan">
      <formula>0</formula>
    </cfRule>
  </conditionalFormatting>
  <conditionalFormatting sqref="H191:H207">
    <cfRule type="cellIs" dxfId="7871" priority="7867" stopIfTrue="1" operator="lessThan">
      <formula>0.05</formula>
    </cfRule>
    <cfRule type="cellIs" dxfId="7870" priority="7868" stopIfTrue="1" operator="lessThan">
      <formula>0</formula>
    </cfRule>
  </conditionalFormatting>
  <conditionalFormatting sqref="H191:H207">
    <cfRule type="cellIs" dxfId="7869" priority="7865" stopIfTrue="1" operator="lessThan">
      <formula>0</formula>
    </cfRule>
    <cfRule type="cellIs" dxfId="7868" priority="7866" stopIfTrue="1" operator="lessThan">
      <formula>0</formula>
    </cfRule>
  </conditionalFormatting>
  <conditionalFormatting sqref="H191:H207">
    <cfRule type="cellIs" dxfId="7867" priority="7863" stopIfTrue="1" operator="lessThan">
      <formula>0</formula>
    </cfRule>
    <cfRule type="cellIs" dxfId="7866" priority="7864" stopIfTrue="1" operator="lessThan">
      <formula>0</formula>
    </cfRule>
  </conditionalFormatting>
  <conditionalFormatting sqref="H191:H207">
    <cfRule type="cellIs" dxfId="7865" priority="7861" stopIfTrue="1" operator="lessThan">
      <formula>0.05</formula>
    </cfRule>
    <cfRule type="cellIs" dxfId="7864" priority="7862" stopIfTrue="1" operator="lessThan">
      <formula>0</formula>
    </cfRule>
  </conditionalFormatting>
  <conditionalFormatting sqref="H191:H207">
    <cfRule type="cellIs" dxfId="7863" priority="7859" stopIfTrue="1" operator="lessThan">
      <formula>0</formula>
    </cfRule>
    <cfRule type="cellIs" dxfId="7862" priority="7860" stopIfTrue="1" operator="lessThan">
      <formula>0</formula>
    </cfRule>
  </conditionalFormatting>
  <conditionalFormatting sqref="H191:H207">
    <cfRule type="cellIs" dxfId="7861" priority="7857" stopIfTrue="1" operator="lessThan">
      <formula>0</formula>
    </cfRule>
    <cfRule type="cellIs" dxfId="7860" priority="7858" stopIfTrue="1" operator="lessThan">
      <formula>0</formula>
    </cfRule>
  </conditionalFormatting>
  <conditionalFormatting sqref="H191:H207">
    <cfRule type="cellIs" dxfId="7859" priority="7855" stopIfTrue="1" operator="lessThan">
      <formula>0.05</formula>
    </cfRule>
    <cfRule type="cellIs" dxfId="7858" priority="7856" stopIfTrue="1" operator="lessThan">
      <formula>0</formula>
    </cfRule>
  </conditionalFormatting>
  <conditionalFormatting sqref="H191:H207">
    <cfRule type="cellIs" dxfId="7857" priority="7853" stopIfTrue="1" operator="lessThan">
      <formula>0</formula>
    </cfRule>
    <cfRule type="cellIs" dxfId="7856" priority="7854" stopIfTrue="1" operator="lessThan">
      <formula>0</formula>
    </cfRule>
  </conditionalFormatting>
  <conditionalFormatting sqref="H191:H207">
    <cfRule type="cellIs" dxfId="7855" priority="7851" stopIfTrue="1" operator="lessThan">
      <formula>0</formula>
    </cfRule>
    <cfRule type="cellIs" dxfId="7854" priority="7852" stopIfTrue="1" operator="lessThan">
      <formula>0</formula>
    </cfRule>
  </conditionalFormatting>
  <conditionalFormatting sqref="H191:H207">
    <cfRule type="cellIs" dxfId="7853" priority="7849" stopIfTrue="1" operator="lessThan">
      <formula>0.05</formula>
    </cfRule>
    <cfRule type="cellIs" dxfId="7852" priority="7850" stopIfTrue="1" operator="lessThan">
      <formula>0</formula>
    </cfRule>
  </conditionalFormatting>
  <conditionalFormatting sqref="H191:H207">
    <cfRule type="cellIs" dxfId="7851" priority="7847" stopIfTrue="1" operator="lessThan">
      <formula>0</formula>
    </cfRule>
    <cfRule type="cellIs" dxfId="7850" priority="7848" stopIfTrue="1" operator="lessThan">
      <formula>0</formula>
    </cfRule>
  </conditionalFormatting>
  <conditionalFormatting sqref="H191:H207">
    <cfRule type="cellIs" dxfId="7849" priority="7845" stopIfTrue="1" operator="lessThan">
      <formula>0.05</formula>
    </cfRule>
    <cfRule type="cellIs" dxfId="7848" priority="7846" stopIfTrue="1" operator="lessThan">
      <formula>0</formula>
    </cfRule>
  </conditionalFormatting>
  <conditionalFormatting sqref="H191:H207">
    <cfRule type="cellIs" dxfId="7847" priority="7843" stopIfTrue="1" operator="lessThan">
      <formula>0</formula>
    </cfRule>
    <cfRule type="cellIs" dxfId="7846" priority="7844" stopIfTrue="1" operator="lessThan">
      <formula>0</formula>
    </cfRule>
  </conditionalFormatting>
  <conditionalFormatting sqref="H191:H207">
    <cfRule type="cellIs" dxfId="7845" priority="7841" stopIfTrue="1" operator="lessThan">
      <formula>0.05</formula>
    </cfRule>
    <cfRule type="cellIs" dxfId="7844" priority="7842" stopIfTrue="1" operator="lessThan">
      <formula>0</formula>
    </cfRule>
  </conditionalFormatting>
  <conditionalFormatting sqref="H191:H207">
    <cfRule type="cellIs" dxfId="7843" priority="7839" stopIfTrue="1" operator="lessThan">
      <formula>0</formula>
    </cfRule>
    <cfRule type="cellIs" dxfId="7842" priority="7840" stopIfTrue="1" operator="lessThan">
      <formula>0</formula>
    </cfRule>
  </conditionalFormatting>
  <conditionalFormatting sqref="H191:H207">
    <cfRule type="cellIs" dxfId="7841" priority="7837" stopIfTrue="1" operator="lessThan">
      <formula>0</formula>
    </cfRule>
    <cfRule type="cellIs" dxfId="7840" priority="7838" stopIfTrue="1" operator="lessThan">
      <formula>0</formula>
    </cfRule>
  </conditionalFormatting>
  <conditionalFormatting sqref="H191:H207">
    <cfRule type="cellIs" dxfId="7839" priority="7835" stopIfTrue="1" operator="lessThan">
      <formula>0</formula>
    </cfRule>
    <cfRule type="cellIs" dxfId="7838" priority="7836" stopIfTrue="1" operator="lessThan">
      <formula>0</formula>
    </cfRule>
  </conditionalFormatting>
  <conditionalFormatting sqref="H191:H207">
    <cfRule type="cellIs" dxfId="7837" priority="7833" stopIfTrue="1" operator="lessThan">
      <formula>0.05</formula>
    </cfRule>
    <cfRule type="cellIs" dxfId="7836" priority="7834" stopIfTrue="1" operator="lessThan">
      <formula>0</formula>
    </cfRule>
  </conditionalFormatting>
  <conditionalFormatting sqref="H191:H207">
    <cfRule type="cellIs" dxfId="7835" priority="7831" stopIfTrue="1" operator="lessThan">
      <formula>0</formula>
    </cfRule>
    <cfRule type="cellIs" dxfId="7834" priority="7832" stopIfTrue="1" operator="lessThan">
      <formula>0</formula>
    </cfRule>
  </conditionalFormatting>
  <conditionalFormatting sqref="H191:H207">
    <cfRule type="cellIs" dxfId="7833" priority="7829" stopIfTrue="1" operator="lessThan">
      <formula>0.05</formula>
    </cfRule>
    <cfRule type="cellIs" dxfId="7832" priority="7830" stopIfTrue="1" operator="lessThan">
      <formula>0</formula>
    </cfRule>
  </conditionalFormatting>
  <conditionalFormatting sqref="H191:H207">
    <cfRule type="cellIs" dxfId="7831" priority="7827" stopIfTrue="1" operator="lessThan">
      <formula>0</formula>
    </cfRule>
    <cfRule type="cellIs" dxfId="7830" priority="7828" stopIfTrue="1" operator="lessThan">
      <formula>0</formula>
    </cfRule>
  </conditionalFormatting>
  <conditionalFormatting sqref="H191:H207">
    <cfRule type="cellIs" dxfId="7829" priority="7825" stopIfTrue="1" operator="lessThan">
      <formula>0.05</formula>
    </cfRule>
    <cfRule type="cellIs" dxfId="7828" priority="7826" stopIfTrue="1" operator="lessThan">
      <formula>0</formula>
    </cfRule>
  </conditionalFormatting>
  <conditionalFormatting sqref="H191:H207">
    <cfRule type="cellIs" dxfId="7827" priority="7823" stopIfTrue="1" operator="lessThan">
      <formula>0</formula>
    </cfRule>
    <cfRule type="cellIs" dxfId="7826" priority="7824" stopIfTrue="1" operator="lessThan">
      <formula>0</formula>
    </cfRule>
  </conditionalFormatting>
  <conditionalFormatting sqref="H191:H207">
    <cfRule type="cellIs" dxfId="7825" priority="7822" stopIfTrue="1" operator="lessThan">
      <formula>0.05</formula>
    </cfRule>
  </conditionalFormatting>
  <conditionalFormatting sqref="H211:H227">
    <cfRule type="cellIs" dxfId="7824" priority="7820" stopIfTrue="1" operator="lessThan">
      <formula>0</formula>
    </cfRule>
    <cfRule type="cellIs" dxfId="7823" priority="7821" stopIfTrue="1" operator="lessThan">
      <formula>0</formula>
    </cfRule>
  </conditionalFormatting>
  <conditionalFormatting sqref="H211:H227">
    <cfRule type="cellIs" dxfId="7822" priority="7818" stopIfTrue="1" operator="lessThan">
      <formula>0</formula>
    </cfRule>
    <cfRule type="cellIs" dxfId="7821" priority="7819" stopIfTrue="1" operator="lessThan">
      <formula>0</formula>
    </cfRule>
  </conditionalFormatting>
  <conditionalFormatting sqref="H211:H227">
    <cfRule type="cellIs" dxfId="7820" priority="7816" stopIfTrue="1" operator="lessThan">
      <formula>0.05</formula>
    </cfRule>
    <cfRule type="cellIs" dxfId="7819" priority="7817" stopIfTrue="1" operator="lessThan">
      <formula>0</formula>
    </cfRule>
  </conditionalFormatting>
  <conditionalFormatting sqref="H211:H227">
    <cfRule type="cellIs" dxfId="7818" priority="7814" stopIfTrue="1" operator="lessThan">
      <formula>0</formula>
    </cfRule>
    <cfRule type="cellIs" dxfId="7817" priority="7815" stopIfTrue="1" operator="lessThan">
      <formula>0</formula>
    </cfRule>
  </conditionalFormatting>
  <conditionalFormatting sqref="H211:H227">
    <cfRule type="cellIs" dxfId="7816" priority="7812" stopIfTrue="1" operator="lessThan">
      <formula>0.05</formula>
    </cfRule>
    <cfRule type="cellIs" dxfId="7815" priority="7813" stopIfTrue="1" operator="lessThan">
      <formula>0</formula>
    </cfRule>
  </conditionalFormatting>
  <conditionalFormatting sqref="H211:H227">
    <cfRule type="cellIs" dxfId="7814" priority="7810" stopIfTrue="1" operator="lessThan">
      <formula>0</formula>
    </cfRule>
    <cfRule type="cellIs" dxfId="7813" priority="7811" stopIfTrue="1" operator="lessThan">
      <formula>0</formula>
    </cfRule>
  </conditionalFormatting>
  <conditionalFormatting sqref="H211:H227">
    <cfRule type="cellIs" dxfId="7812" priority="7808" stopIfTrue="1" operator="lessThan">
      <formula>0.05</formula>
    </cfRule>
    <cfRule type="cellIs" dxfId="7811" priority="7809" stopIfTrue="1" operator="lessThan">
      <formula>0</formula>
    </cfRule>
  </conditionalFormatting>
  <conditionalFormatting sqref="H211:H227">
    <cfRule type="cellIs" dxfId="7810" priority="7806" stopIfTrue="1" operator="lessThan">
      <formula>0</formula>
    </cfRule>
    <cfRule type="cellIs" dxfId="7809" priority="7807" stopIfTrue="1" operator="lessThan">
      <formula>0</formula>
    </cfRule>
  </conditionalFormatting>
  <conditionalFormatting sqref="H211:H227">
    <cfRule type="cellIs" dxfId="7808" priority="7804" stopIfTrue="1" operator="lessThan">
      <formula>0</formula>
    </cfRule>
    <cfRule type="cellIs" dxfId="7807" priority="7805" stopIfTrue="1" operator="lessThan">
      <formula>0</formula>
    </cfRule>
  </conditionalFormatting>
  <conditionalFormatting sqref="H211:H227">
    <cfRule type="cellIs" dxfId="7806" priority="7802" stopIfTrue="1" operator="lessThan">
      <formula>0</formula>
    </cfRule>
    <cfRule type="cellIs" dxfId="7805" priority="7803" stopIfTrue="1" operator="lessThan">
      <formula>0</formula>
    </cfRule>
  </conditionalFormatting>
  <conditionalFormatting sqref="H211:H227">
    <cfRule type="cellIs" dxfId="7804" priority="7800" stopIfTrue="1" operator="lessThan">
      <formula>0.05</formula>
    </cfRule>
    <cfRule type="cellIs" dxfId="7803" priority="7801" stopIfTrue="1" operator="lessThan">
      <formula>0</formula>
    </cfRule>
  </conditionalFormatting>
  <conditionalFormatting sqref="H211:H227">
    <cfRule type="cellIs" dxfId="7802" priority="7798" stopIfTrue="1" operator="lessThan">
      <formula>0</formula>
    </cfRule>
    <cfRule type="cellIs" dxfId="7801" priority="7799" stopIfTrue="1" operator="lessThan">
      <formula>0</formula>
    </cfRule>
  </conditionalFormatting>
  <conditionalFormatting sqref="H211:H227">
    <cfRule type="cellIs" dxfId="7800" priority="7796" stopIfTrue="1" operator="lessThan">
      <formula>0.05</formula>
    </cfRule>
    <cfRule type="cellIs" dxfId="7799" priority="7797" stopIfTrue="1" operator="lessThan">
      <formula>0</formula>
    </cfRule>
  </conditionalFormatting>
  <conditionalFormatting sqref="H211:H227">
    <cfRule type="cellIs" dxfId="7798" priority="7794" stopIfTrue="1" operator="lessThan">
      <formula>0</formula>
    </cfRule>
    <cfRule type="cellIs" dxfId="7797" priority="7795" stopIfTrue="1" operator="lessThan">
      <formula>0</formula>
    </cfRule>
  </conditionalFormatting>
  <conditionalFormatting sqref="H211:H227">
    <cfRule type="cellIs" dxfId="7796" priority="7792" stopIfTrue="1" operator="lessThan">
      <formula>0.05</formula>
    </cfRule>
    <cfRule type="cellIs" dxfId="7795" priority="7793" stopIfTrue="1" operator="lessThan">
      <formula>0</formula>
    </cfRule>
  </conditionalFormatting>
  <conditionalFormatting sqref="H211:H227">
    <cfRule type="cellIs" dxfId="7794" priority="7790" stopIfTrue="1" operator="lessThan">
      <formula>0</formula>
    </cfRule>
    <cfRule type="cellIs" dxfId="7793" priority="7791" stopIfTrue="1" operator="lessThan">
      <formula>0</formula>
    </cfRule>
  </conditionalFormatting>
  <conditionalFormatting sqref="H211:H227">
    <cfRule type="cellIs" dxfId="7792" priority="7788" stopIfTrue="1" operator="lessThan">
      <formula>0</formula>
    </cfRule>
    <cfRule type="cellIs" dxfId="7791" priority="7789" stopIfTrue="1" operator="lessThan">
      <formula>0</formula>
    </cfRule>
  </conditionalFormatting>
  <conditionalFormatting sqref="H211:H227">
    <cfRule type="cellIs" dxfId="7790" priority="7786" stopIfTrue="1" operator="lessThan">
      <formula>0</formula>
    </cfRule>
    <cfRule type="cellIs" dxfId="7789" priority="7787" stopIfTrue="1" operator="lessThan">
      <formula>0</formula>
    </cfRule>
  </conditionalFormatting>
  <conditionalFormatting sqref="H211:H227">
    <cfRule type="cellIs" dxfId="7788" priority="7784" stopIfTrue="1" operator="lessThan">
      <formula>0.05</formula>
    </cfRule>
    <cfRule type="cellIs" dxfId="7787" priority="7785" stopIfTrue="1" operator="lessThan">
      <formula>0</formula>
    </cfRule>
  </conditionalFormatting>
  <conditionalFormatting sqref="H211:H227">
    <cfRule type="cellIs" dxfId="7786" priority="7782" stopIfTrue="1" operator="lessThan">
      <formula>0</formula>
    </cfRule>
    <cfRule type="cellIs" dxfId="7785" priority="7783" stopIfTrue="1" operator="lessThan">
      <formula>0</formula>
    </cfRule>
  </conditionalFormatting>
  <conditionalFormatting sqref="H211:H227">
    <cfRule type="cellIs" dxfId="7784" priority="7780" stopIfTrue="1" operator="lessThan">
      <formula>0.05</formula>
    </cfRule>
    <cfRule type="cellIs" dxfId="7783" priority="7781" stopIfTrue="1" operator="lessThan">
      <formula>0</formula>
    </cfRule>
  </conditionalFormatting>
  <conditionalFormatting sqref="H211:H227">
    <cfRule type="cellIs" dxfId="7782" priority="7778" stopIfTrue="1" operator="lessThan">
      <formula>0</formula>
    </cfRule>
    <cfRule type="cellIs" dxfId="7781" priority="7779" stopIfTrue="1" operator="lessThan">
      <formula>0</formula>
    </cfRule>
  </conditionalFormatting>
  <conditionalFormatting sqref="H211:H227">
    <cfRule type="cellIs" dxfId="7780" priority="7776" stopIfTrue="1" operator="lessThan">
      <formula>0.05</formula>
    </cfRule>
    <cfRule type="cellIs" dxfId="7779" priority="7777" stopIfTrue="1" operator="lessThan">
      <formula>0</formula>
    </cfRule>
  </conditionalFormatting>
  <conditionalFormatting sqref="H211:H227">
    <cfRule type="cellIs" dxfId="7778" priority="7774" stopIfTrue="1" operator="lessThan">
      <formula>0</formula>
    </cfRule>
    <cfRule type="cellIs" dxfId="7777" priority="7775" stopIfTrue="1" operator="lessThan">
      <formula>0</formula>
    </cfRule>
  </conditionalFormatting>
  <conditionalFormatting sqref="H211:H227">
    <cfRule type="cellIs" dxfId="7776" priority="7772" stopIfTrue="1" operator="lessThan">
      <formula>0</formula>
    </cfRule>
    <cfRule type="cellIs" dxfId="7775" priority="7773" stopIfTrue="1" operator="lessThan">
      <formula>0</formula>
    </cfRule>
  </conditionalFormatting>
  <conditionalFormatting sqref="H211:H227">
    <cfRule type="cellIs" dxfId="7774" priority="7770" stopIfTrue="1" operator="lessThan">
      <formula>0</formula>
    </cfRule>
    <cfRule type="cellIs" dxfId="7773" priority="7771" stopIfTrue="1" operator="lessThan">
      <formula>0</formula>
    </cfRule>
  </conditionalFormatting>
  <conditionalFormatting sqref="H211:H227">
    <cfRule type="cellIs" dxfId="7772" priority="7768" stopIfTrue="1" operator="lessThan">
      <formula>0.05</formula>
    </cfRule>
    <cfRule type="cellIs" dxfId="7771" priority="7769" stopIfTrue="1" operator="lessThan">
      <formula>0</formula>
    </cfRule>
  </conditionalFormatting>
  <conditionalFormatting sqref="H211:H227">
    <cfRule type="cellIs" dxfId="7770" priority="7766" stopIfTrue="1" operator="lessThan">
      <formula>0</formula>
    </cfRule>
    <cfRule type="cellIs" dxfId="7769" priority="7767" stopIfTrue="1" operator="lessThan">
      <formula>0</formula>
    </cfRule>
  </conditionalFormatting>
  <conditionalFormatting sqref="H211:H227">
    <cfRule type="cellIs" dxfId="7768" priority="7764" stopIfTrue="1" operator="lessThan">
      <formula>0.05</formula>
    </cfRule>
    <cfRule type="cellIs" dxfId="7767" priority="7765" stopIfTrue="1" operator="lessThan">
      <formula>0</formula>
    </cfRule>
  </conditionalFormatting>
  <conditionalFormatting sqref="H211:H227">
    <cfRule type="cellIs" dxfId="7766" priority="7762" stopIfTrue="1" operator="lessThan">
      <formula>0</formula>
    </cfRule>
    <cfRule type="cellIs" dxfId="7765" priority="7763" stopIfTrue="1" operator="lessThan">
      <formula>0</formula>
    </cfRule>
  </conditionalFormatting>
  <conditionalFormatting sqref="H211:H227">
    <cfRule type="cellIs" dxfId="7764" priority="7760" stopIfTrue="1" operator="lessThan">
      <formula>0.05</formula>
    </cfRule>
    <cfRule type="cellIs" dxfId="7763" priority="7761" stopIfTrue="1" operator="lessThan">
      <formula>0</formula>
    </cfRule>
  </conditionalFormatting>
  <conditionalFormatting sqref="H211:H227">
    <cfRule type="cellIs" dxfId="7762" priority="7758" stopIfTrue="1" operator="lessThan">
      <formula>0</formula>
    </cfRule>
    <cfRule type="cellIs" dxfId="7761" priority="7759" stopIfTrue="1" operator="lessThan">
      <formula>0</formula>
    </cfRule>
  </conditionalFormatting>
  <conditionalFormatting sqref="H211:H227">
    <cfRule type="cellIs" dxfId="7760" priority="7756" stopIfTrue="1" operator="lessThan">
      <formula>0</formula>
    </cfRule>
    <cfRule type="cellIs" dxfId="7759" priority="7757" stopIfTrue="1" operator="lessThan">
      <formula>0</formula>
    </cfRule>
  </conditionalFormatting>
  <conditionalFormatting sqref="H211:H227">
    <cfRule type="cellIs" dxfId="7758" priority="7754" stopIfTrue="1" operator="lessThan">
      <formula>0.05</formula>
    </cfRule>
    <cfRule type="cellIs" dxfId="7757" priority="7755" stopIfTrue="1" operator="lessThan">
      <formula>0</formula>
    </cfRule>
  </conditionalFormatting>
  <conditionalFormatting sqref="H211:H227">
    <cfRule type="cellIs" dxfId="7756" priority="7752" stopIfTrue="1" operator="lessThan">
      <formula>0</formula>
    </cfRule>
    <cfRule type="cellIs" dxfId="7755" priority="7753" stopIfTrue="1" operator="lessThan">
      <formula>0</formula>
    </cfRule>
  </conditionalFormatting>
  <conditionalFormatting sqref="H211:H227">
    <cfRule type="cellIs" dxfId="7754" priority="7750" stopIfTrue="1" operator="lessThan">
      <formula>0</formula>
    </cfRule>
    <cfRule type="cellIs" dxfId="7753" priority="7751" stopIfTrue="1" operator="lessThan">
      <formula>0</formula>
    </cfRule>
  </conditionalFormatting>
  <conditionalFormatting sqref="H211:H227">
    <cfRule type="cellIs" dxfId="7752" priority="7748" stopIfTrue="1" operator="lessThan">
      <formula>0.05</formula>
    </cfRule>
    <cfRule type="cellIs" dxfId="7751" priority="7749" stopIfTrue="1" operator="lessThan">
      <formula>0</formula>
    </cfRule>
  </conditionalFormatting>
  <conditionalFormatting sqref="H211:H227">
    <cfRule type="cellIs" dxfId="7750" priority="7746" stopIfTrue="1" operator="lessThan">
      <formula>0</formula>
    </cfRule>
    <cfRule type="cellIs" dxfId="7749" priority="7747" stopIfTrue="1" operator="lessThan">
      <formula>0</formula>
    </cfRule>
  </conditionalFormatting>
  <conditionalFormatting sqref="H211:H227">
    <cfRule type="cellIs" dxfId="7748" priority="7744" stopIfTrue="1" operator="lessThan">
      <formula>0</formula>
    </cfRule>
    <cfRule type="cellIs" dxfId="7747" priority="7745" stopIfTrue="1" operator="lessThan">
      <formula>0</formula>
    </cfRule>
  </conditionalFormatting>
  <conditionalFormatting sqref="H211:H227">
    <cfRule type="cellIs" dxfId="7746" priority="7742" stopIfTrue="1" operator="lessThan">
      <formula>0.05</formula>
    </cfRule>
    <cfRule type="cellIs" dxfId="7745" priority="7743" stopIfTrue="1" operator="lessThan">
      <formula>0</formula>
    </cfRule>
  </conditionalFormatting>
  <conditionalFormatting sqref="H211:H227">
    <cfRule type="cellIs" dxfId="7744" priority="7740" stopIfTrue="1" operator="lessThan">
      <formula>0</formula>
    </cfRule>
    <cfRule type="cellIs" dxfId="7743" priority="7741" stopIfTrue="1" operator="lessThan">
      <formula>0</formula>
    </cfRule>
  </conditionalFormatting>
  <conditionalFormatting sqref="H211:H227">
    <cfRule type="cellIs" dxfId="7742" priority="7738" stopIfTrue="1" operator="lessThan">
      <formula>0</formula>
    </cfRule>
    <cfRule type="cellIs" dxfId="7741" priority="7739" stopIfTrue="1" operator="lessThan">
      <formula>0</formula>
    </cfRule>
  </conditionalFormatting>
  <conditionalFormatting sqref="H211:H227">
    <cfRule type="cellIs" dxfId="7740" priority="7736" stopIfTrue="1" operator="lessThan">
      <formula>0.05</formula>
    </cfRule>
    <cfRule type="cellIs" dxfId="7739" priority="7737" stopIfTrue="1" operator="lessThan">
      <formula>0</formula>
    </cfRule>
  </conditionalFormatting>
  <conditionalFormatting sqref="H211:H227">
    <cfRule type="cellIs" dxfId="7738" priority="7734" stopIfTrue="1" operator="lessThan">
      <formula>0</formula>
    </cfRule>
    <cfRule type="cellIs" dxfId="7737" priority="7735" stopIfTrue="1" operator="lessThan">
      <formula>0</formula>
    </cfRule>
  </conditionalFormatting>
  <conditionalFormatting sqref="H211:H227">
    <cfRule type="cellIs" dxfId="7736" priority="7732" stopIfTrue="1" operator="lessThan">
      <formula>0</formula>
    </cfRule>
    <cfRule type="cellIs" dxfId="7735" priority="7733" stopIfTrue="1" operator="lessThan">
      <formula>0</formula>
    </cfRule>
  </conditionalFormatting>
  <conditionalFormatting sqref="H211:H227">
    <cfRule type="cellIs" dxfId="7734" priority="7730" stopIfTrue="1" operator="lessThan">
      <formula>0.05</formula>
    </cfRule>
    <cfRule type="cellIs" dxfId="7733" priority="7731" stopIfTrue="1" operator="lessThan">
      <formula>0</formula>
    </cfRule>
  </conditionalFormatting>
  <conditionalFormatting sqref="H211:H227">
    <cfRule type="cellIs" dxfId="7732" priority="7728" stopIfTrue="1" operator="lessThan">
      <formula>0</formula>
    </cfRule>
    <cfRule type="cellIs" dxfId="7731" priority="7729" stopIfTrue="1" operator="lessThan">
      <formula>0</formula>
    </cfRule>
  </conditionalFormatting>
  <conditionalFormatting sqref="H211:H227">
    <cfRule type="cellIs" dxfId="7730" priority="7726" stopIfTrue="1" operator="lessThan">
      <formula>0</formula>
    </cfRule>
    <cfRule type="cellIs" dxfId="7729" priority="7727" stopIfTrue="1" operator="lessThan">
      <formula>0</formula>
    </cfRule>
  </conditionalFormatting>
  <conditionalFormatting sqref="H211:H227">
    <cfRule type="cellIs" dxfId="7728" priority="7724" stopIfTrue="1" operator="lessThan">
      <formula>0.05</formula>
    </cfRule>
    <cfRule type="cellIs" dxfId="7727" priority="7725" stopIfTrue="1" operator="lessThan">
      <formula>0</formula>
    </cfRule>
  </conditionalFormatting>
  <conditionalFormatting sqref="H211:H227">
    <cfRule type="cellIs" dxfId="7726" priority="7722" stopIfTrue="1" operator="lessThan">
      <formula>0</formula>
    </cfRule>
    <cfRule type="cellIs" dxfId="7725" priority="7723" stopIfTrue="1" operator="lessThan">
      <formula>0</formula>
    </cfRule>
  </conditionalFormatting>
  <conditionalFormatting sqref="H211:H227">
    <cfRule type="cellIs" dxfId="7724" priority="7720" stopIfTrue="1" operator="lessThan">
      <formula>0</formula>
    </cfRule>
    <cfRule type="cellIs" dxfId="7723" priority="7721" stopIfTrue="1" operator="lessThan">
      <formula>0</formula>
    </cfRule>
  </conditionalFormatting>
  <conditionalFormatting sqref="H211:H227">
    <cfRule type="cellIs" dxfId="7722" priority="7718" stopIfTrue="1" operator="lessThan">
      <formula>0.05</formula>
    </cfRule>
    <cfRule type="cellIs" dxfId="7721" priority="7719" stopIfTrue="1" operator="lessThan">
      <formula>0</formula>
    </cfRule>
  </conditionalFormatting>
  <conditionalFormatting sqref="H211:H227">
    <cfRule type="cellIs" dxfId="7720" priority="7716" stopIfTrue="1" operator="lessThan">
      <formula>0</formula>
    </cfRule>
    <cfRule type="cellIs" dxfId="7719" priority="7717" stopIfTrue="1" operator="lessThan">
      <formula>0</formula>
    </cfRule>
  </conditionalFormatting>
  <conditionalFormatting sqref="H211:H227">
    <cfRule type="cellIs" dxfId="7718" priority="7714" stopIfTrue="1" operator="lessThan">
      <formula>0</formula>
    </cfRule>
    <cfRule type="cellIs" dxfId="7717" priority="7715" stopIfTrue="1" operator="lessThan">
      <formula>0</formula>
    </cfRule>
  </conditionalFormatting>
  <conditionalFormatting sqref="H211:H227">
    <cfRule type="cellIs" dxfId="7716" priority="7712" stopIfTrue="1" operator="lessThan">
      <formula>0.05</formula>
    </cfRule>
    <cfRule type="cellIs" dxfId="7715" priority="7713" stopIfTrue="1" operator="lessThan">
      <formula>0</formula>
    </cfRule>
  </conditionalFormatting>
  <conditionalFormatting sqref="H211:H227">
    <cfRule type="cellIs" dxfId="7714" priority="7710" stopIfTrue="1" operator="lessThan">
      <formula>0</formula>
    </cfRule>
    <cfRule type="cellIs" dxfId="7713" priority="7711" stopIfTrue="1" operator="lessThan">
      <formula>0</formula>
    </cfRule>
  </conditionalFormatting>
  <conditionalFormatting sqref="H211:H227">
    <cfRule type="cellIs" dxfId="7712" priority="7708" stopIfTrue="1" operator="lessThan">
      <formula>0</formula>
    </cfRule>
    <cfRule type="cellIs" dxfId="7711" priority="7709" stopIfTrue="1" operator="lessThan">
      <formula>0</formula>
    </cfRule>
  </conditionalFormatting>
  <conditionalFormatting sqref="H211:H227">
    <cfRule type="cellIs" dxfId="7710" priority="7706" stopIfTrue="1" operator="lessThan">
      <formula>0.05</formula>
    </cfRule>
    <cfRule type="cellIs" dxfId="7709" priority="7707" stopIfTrue="1" operator="lessThan">
      <formula>0</formula>
    </cfRule>
  </conditionalFormatting>
  <conditionalFormatting sqref="H211:H227">
    <cfRule type="cellIs" dxfId="7708" priority="7704" stopIfTrue="1" operator="lessThan">
      <formula>0</formula>
    </cfRule>
    <cfRule type="cellIs" dxfId="7707" priority="7705" stopIfTrue="1" operator="lessThan">
      <formula>0</formula>
    </cfRule>
  </conditionalFormatting>
  <conditionalFormatting sqref="H211:H227">
    <cfRule type="cellIs" dxfId="7706" priority="7702" stopIfTrue="1" operator="lessThan">
      <formula>0</formula>
    </cfRule>
    <cfRule type="cellIs" dxfId="7705" priority="7703" stopIfTrue="1" operator="lessThan">
      <formula>0</formula>
    </cfRule>
  </conditionalFormatting>
  <conditionalFormatting sqref="H211:H227">
    <cfRule type="cellIs" dxfId="7704" priority="7700" stopIfTrue="1" operator="lessThan">
      <formula>0.05</formula>
    </cfRule>
    <cfRule type="cellIs" dxfId="7703" priority="7701" stopIfTrue="1" operator="lessThan">
      <formula>0</formula>
    </cfRule>
  </conditionalFormatting>
  <conditionalFormatting sqref="H211:H227">
    <cfRule type="cellIs" dxfId="7702" priority="7698" stopIfTrue="1" operator="lessThan">
      <formula>0</formula>
    </cfRule>
    <cfRule type="cellIs" dxfId="7701" priority="7699" stopIfTrue="1" operator="lessThan">
      <formula>0</formula>
    </cfRule>
  </conditionalFormatting>
  <conditionalFormatting sqref="H211:H227">
    <cfRule type="cellIs" dxfId="7700" priority="7696" stopIfTrue="1" operator="lessThan">
      <formula>0</formula>
    </cfRule>
    <cfRule type="cellIs" dxfId="7699" priority="7697" stopIfTrue="1" operator="lessThan">
      <formula>0</formula>
    </cfRule>
  </conditionalFormatting>
  <conditionalFormatting sqref="H211:H227">
    <cfRule type="cellIs" dxfId="7698" priority="7694" stopIfTrue="1" operator="lessThan">
      <formula>0.05</formula>
    </cfRule>
    <cfRule type="cellIs" dxfId="7697" priority="7695" stopIfTrue="1" operator="lessThan">
      <formula>0</formula>
    </cfRule>
  </conditionalFormatting>
  <conditionalFormatting sqref="H211:H227">
    <cfRule type="cellIs" dxfId="7696" priority="7692" stopIfTrue="1" operator="lessThan">
      <formula>0</formula>
    </cfRule>
    <cfRule type="cellIs" dxfId="7695" priority="7693" stopIfTrue="1" operator="lessThan">
      <formula>0</formula>
    </cfRule>
  </conditionalFormatting>
  <conditionalFormatting sqref="H211:H227">
    <cfRule type="cellIs" dxfId="7694" priority="7690" stopIfTrue="1" operator="lessThan">
      <formula>0</formula>
    </cfRule>
    <cfRule type="cellIs" dxfId="7693" priority="7691" stopIfTrue="1" operator="lessThan">
      <formula>0</formula>
    </cfRule>
  </conditionalFormatting>
  <conditionalFormatting sqref="H211:H227">
    <cfRule type="cellIs" dxfId="7692" priority="7688" stopIfTrue="1" operator="lessThan">
      <formula>0.05</formula>
    </cfRule>
    <cfRule type="cellIs" dxfId="7691" priority="7689" stopIfTrue="1" operator="lessThan">
      <formula>0</formula>
    </cfRule>
  </conditionalFormatting>
  <conditionalFormatting sqref="H211:H227">
    <cfRule type="cellIs" dxfId="7690" priority="7686" stopIfTrue="1" operator="lessThan">
      <formula>0</formula>
    </cfRule>
    <cfRule type="cellIs" dxfId="7689" priority="7687" stopIfTrue="1" operator="lessThan">
      <formula>0</formula>
    </cfRule>
  </conditionalFormatting>
  <conditionalFormatting sqref="H211:H227">
    <cfRule type="cellIs" dxfId="7688" priority="7684" stopIfTrue="1" operator="lessThan">
      <formula>0</formula>
    </cfRule>
    <cfRule type="cellIs" dxfId="7687" priority="7685" stopIfTrue="1" operator="lessThan">
      <formula>0</formula>
    </cfRule>
  </conditionalFormatting>
  <conditionalFormatting sqref="H211:H227">
    <cfRule type="cellIs" dxfId="7686" priority="7682" stopIfTrue="1" operator="lessThan">
      <formula>0.05</formula>
    </cfRule>
    <cfRule type="cellIs" dxfId="7685" priority="7683" stopIfTrue="1" operator="lessThan">
      <formula>0</formula>
    </cfRule>
  </conditionalFormatting>
  <conditionalFormatting sqref="H211:H227">
    <cfRule type="cellIs" dxfId="7684" priority="7680" stopIfTrue="1" operator="lessThan">
      <formula>0</formula>
    </cfRule>
    <cfRule type="cellIs" dxfId="7683" priority="7681" stopIfTrue="1" operator="lessThan">
      <formula>0</formula>
    </cfRule>
  </conditionalFormatting>
  <conditionalFormatting sqref="H211:H227">
    <cfRule type="cellIs" dxfId="7682" priority="7678" stopIfTrue="1" operator="lessThan">
      <formula>0</formula>
    </cfRule>
    <cfRule type="cellIs" dxfId="7681" priority="7679" stopIfTrue="1" operator="lessThan">
      <formula>0</formula>
    </cfRule>
  </conditionalFormatting>
  <conditionalFormatting sqref="H211:H227">
    <cfRule type="cellIs" dxfId="7680" priority="7676" stopIfTrue="1" operator="lessThan">
      <formula>0.05</formula>
    </cfRule>
    <cfRule type="cellIs" dxfId="7679" priority="7677" stopIfTrue="1" operator="lessThan">
      <formula>0</formula>
    </cfRule>
  </conditionalFormatting>
  <conditionalFormatting sqref="H211:H227">
    <cfRule type="cellIs" dxfId="7678" priority="7674" stopIfTrue="1" operator="lessThan">
      <formula>0</formula>
    </cfRule>
    <cfRule type="cellIs" dxfId="7677" priority="7675" stopIfTrue="1" operator="lessThan">
      <formula>0</formula>
    </cfRule>
  </conditionalFormatting>
  <conditionalFormatting sqref="H211:H227">
    <cfRule type="cellIs" dxfId="7676" priority="7672" stopIfTrue="1" operator="lessThan">
      <formula>0</formula>
    </cfRule>
    <cfRule type="cellIs" dxfId="7675" priority="7673" stopIfTrue="1" operator="lessThan">
      <formula>0</formula>
    </cfRule>
  </conditionalFormatting>
  <conditionalFormatting sqref="H211:H227">
    <cfRule type="cellIs" dxfId="7674" priority="7670" stopIfTrue="1" operator="lessThan">
      <formula>0.05</formula>
    </cfRule>
    <cfRule type="cellIs" dxfId="7673" priority="7671" stopIfTrue="1" operator="lessThan">
      <formula>0</formula>
    </cfRule>
  </conditionalFormatting>
  <conditionalFormatting sqref="H211:H227">
    <cfRule type="cellIs" dxfId="7672" priority="7668" stopIfTrue="1" operator="lessThan">
      <formula>0</formula>
    </cfRule>
    <cfRule type="cellIs" dxfId="7671" priority="7669" stopIfTrue="1" operator="lessThan">
      <formula>0</formula>
    </cfRule>
  </conditionalFormatting>
  <conditionalFormatting sqref="H211:H227">
    <cfRule type="cellIs" dxfId="7670" priority="7666" stopIfTrue="1" operator="lessThan">
      <formula>0</formula>
    </cfRule>
    <cfRule type="cellIs" dxfId="7669" priority="7667" stopIfTrue="1" operator="lessThan">
      <formula>0</formula>
    </cfRule>
  </conditionalFormatting>
  <conditionalFormatting sqref="H211:H227">
    <cfRule type="cellIs" dxfId="7668" priority="7664" stopIfTrue="1" operator="lessThan">
      <formula>0.05</formula>
    </cfRule>
    <cfRule type="cellIs" dxfId="7667" priority="7665" stopIfTrue="1" operator="lessThan">
      <formula>0</formula>
    </cfRule>
  </conditionalFormatting>
  <conditionalFormatting sqref="H211:H227">
    <cfRule type="cellIs" dxfId="7666" priority="7662" stopIfTrue="1" operator="lessThan">
      <formula>0</formula>
    </cfRule>
    <cfRule type="cellIs" dxfId="7665" priority="7663" stopIfTrue="1" operator="lessThan">
      <formula>0</formula>
    </cfRule>
  </conditionalFormatting>
  <conditionalFormatting sqref="H211:H227">
    <cfRule type="cellIs" dxfId="7664" priority="7660" stopIfTrue="1" operator="lessThan">
      <formula>0.05</formula>
    </cfRule>
    <cfRule type="cellIs" dxfId="7663" priority="7661" stopIfTrue="1" operator="lessThan">
      <formula>0</formula>
    </cfRule>
  </conditionalFormatting>
  <conditionalFormatting sqref="H211:H227">
    <cfRule type="cellIs" dxfId="7662" priority="7658" stopIfTrue="1" operator="lessThan">
      <formula>0</formula>
    </cfRule>
    <cfRule type="cellIs" dxfId="7661" priority="7659" stopIfTrue="1" operator="lessThan">
      <formula>0</formula>
    </cfRule>
  </conditionalFormatting>
  <conditionalFormatting sqref="H211:H227">
    <cfRule type="cellIs" dxfId="7660" priority="7656" stopIfTrue="1" operator="lessThan">
      <formula>0.05</formula>
    </cfRule>
    <cfRule type="cellIs" dxfId="7659" priority="7657" stopIfTrue="1" operator="lessThan">
      <formula>0</formula>
    </cfRule>
  </conditionalFormatting>
  <conditionalFormatting sqref="H211:H227">
    <cfRule type="cellIs" dxfId="7658" priority="7654" stopIfTrue="1" operator="lessThan">
      <formula>0</formula>
    </cfRule>
    <cfRule type="cellIs" dxfId="7657" priority="7655" stopIfTrue="1" operator="lessThan">
      <formula>0</formula>
    </cfRule>
  </conditionalFormatting>
  <conditionalFormatting sqref="H211:H227">
    <cfRule type="cellIs" dxfId="7656" priority="7652" stopIfTrue="1" operator="lessThan">
      <formula>0</formula>
    </cfRule>
    <cfRule type="cellIs" dxfId="7655" priority="7653" stopIfTrue="1" operator="lessThan">
      <formula>0</formula>
    </cfRule>
  </conditionalFormatting>
  <conditionalFormatting sqref="H211:H227">
    <cfRule type="cellIs" dxfId="7654" priority="7650" stopIfTrue="1" operator="lessThan">
      <formula>0</formula>
    </cfRule>
    <cfRule type="cellIs" dxfId="7653" priority="7651" stopIfTrue="1" operator="lessThan">
      <formula>0</formula>
    </cfRule>
  </conditionalFormatting>
  <conditionalFormatting sqref="H211:H227">
    <cfRule type="cellIs" dxfId="7652" priority="7648" stopIfTrue="1" operator="lessThan">
      <formula>0.05</formula>
    </cfRule>
    <cfRule type="cellIs" dxfId="7651" priority="7649" stopIfTrue="1" operator="lessThan">
      <formula>0</formula>
    </cfRule>
  </conditionalFormatting>
  <conditionalFormatting sqref="H211:H227">
    <cfRule type="cellIs" dxfId="7650" priority="7646" stopIfTrue="1" operator="lessThan">
      <formula>0</formula>
    </cfRule>
    <cfRule type="cellIs" dxfId="7649" priority="7647" stopIfTrue="1" operator="lessThan">
      <formula>0</formula>
    </cfRule>
  </conditionalFormatting>
  <conditionalFormatting sqref="H211:H227">
    <cfRule type="cellIs" dxfId="7648" priority="7644" stopIfTrue="1" operator="lessThan">
      <formula>0.05</formula>
    </cfRule>
    <cfRule type="cellIs" dxfId="7647" priority="7645" stopIfTrue="1" operator="lessThan">
      <formula>0</formula>
    </cfRule>
  </conditionalFormatting>
  <conditionalFormatting sqref="H211:H227">
    <cfRule type="cellIs" dxfId="7646" priority="7642" stopIfTrue="1" operator="lessThan">
      <formula>0</formula>
    </cfRule>
    <cfRule type="cellIs" dxfId="7645" priority="7643" stopIfTrue="1" operator="lessThan">
      <formula>0</formula>
    </cfRule>
  </conditionalFormatting>
  <conditionalFormatting sqref="H211:H227">
    <cfRule type="cellIs" dxfId="7644" priority="7640" stopIfTrue="1" operator="lessThan">
      <formula>0.05</formula>
    </cfRule>
    <cfRule type="cellIs" dxfId="7643" priority="7641" stopIfTrue="1" operator="lessThan">
      <formula>0</formula>
    </cfRule>
  </conditionalFormatting>
  <conditionalFormatting sqref="H211:H227">
    <cfRule type="cellIs" dxfId="7642" priority="7638" stopIfTrue="1" operator="lessThan">
      <formula>0</formula>
    </cfRule>
    <cfRule type="cellIs" dxfId="7641" priority="7639" stopIfTrue="1" operator="lessThan">
      <formula>0</formula>
    </cfRule>
  </conditionalFormatting>
  <conditionalFormatting sqref="H211:H227">
    <cfRule type="cellIs" dxfId="7640" priority="7636" stopIfTrue="1" operator="lessThan">
      <formula>0</formula>
    </cfRule>
    <cfRule type="cellIs" dxfId="7639" priority="7637" stopIfTrue="1" operator="lessThan">
      <formula>0</formula>
    </cfRule>
  </conditionalFormatting>
  <conditionalFormatting sqref="H211:H227">
    <cfRule type="cellIs" dxfId="7638" priority="7634" stopIfTrue="1" operator="lessThan">
      <formula>0.05</formula>
    </cfRule>
    <cfRule type="cellIs" dxfId="7637" priority="7635" stopIfTrue="1" operator="lessThan">
      <formula>0</formula>
    </cfRule>
  </conditionalFormatting>
  <conditionalFormatting sqref="H211:H227">
    <cfRule type="cellIs" dxfId="7636" priority="7632" stopIfTrue="1" operator="lessThan">
      <formula>0</formula>
    </cfRule>
    <cfRule type="cellIs" dxfId="7635" priority="7633" stopIfTrue="1" operator="lessThan">
      <formula>0</formula>
    </cfRule>
  </conditionalFormatting>
  <conditionalFormatting sqref="H211:H227">
    <cfRule type="cellIs" dxfId="7634" priority="7630" stopIfTrue="1" operator="lessThan">
      <formula>0</formula>
    </cfRule>
    <cfRule type="cellIs" dxfId="7633" priority="7631" stopIfTrue="1" operator="lessThan">
      <formula>0</formula>
    </cfRule>
  </conditionalFormatting>
  <conditionalFormatting sqref="H211:H227">
    <cfRule type="cellIs" dxfId="7632" priority="7628" stopIfTrue="1" operator="lessThan">
      <formula>0.05</formula>
    </cfRule>
    <cfRule type="cellIs" dxfId="7631" priority="7629" stopIfTrue="1" operator="lessThan">
      <formula>0</formula>
    </cfRule>
  </conditionalFormatting>
  <conditionalFormatting sqref="H211:H227">
    <cfRule type="cellIs" dxfId="7630" priority="7626" stopIfTrue="1" operator="lessThan">
      <formula>0</formula>
    </cfRule>
    <cfRule type="cellIs" dxfId="7629" priority="7627" stopIfTrue="1" operator="lessThan">
      <formula>0</formula>
    </cfRule>
  </conditionalFormatting>
  <conditionalFormatting sqref="H211:H227">
    <cfRule type="cellIs" dxfId="7628" priority="7624" stopIfTrue="1" operator="lessThan">
      <formula>0</formula>
    </cfRule>
    <cfRule type="cellIs" dxfId="7627" priority="7625" stopIfTrue="1" operator="lessThan">
      <formula>0</formula>
    </cfRule>
  </conditionalFormatting>
  <conditionalFormatting sqref="H211:H227">
    <cfRule type="cellIs" dxfId="7626" priority="7622" stopIfTrue="1" operator="lessThan">
      <formula>0.05</formula>
    </cfRule>
    <cfRule type="cellIs" dxfId="7625" priority="7623" stopIfTrue="1" operator="lessThan">
      <formula>0</formula>
    </cfRule>
  </conditionalFormatting>
  <conditionalFormatting sqref="H211:H227">
    <cfRule type="cellIs" dxfId="7624" priority="7620" stopIfTrue="1" operator="lessThan">
      <formula>0</formula>
    </cfRule>
    <cfRule type="cellIs" dxfId="7623" priority="7621" stopIfTrue="1" operator="lessThan">
      <formula>0</formula>
    </cfRule>
  </conditionalFormatting>
  <conditionalFormatting sqref="H211:H227">
    <cfRule type="cellIs" dxfId="7622" priority="7618" stopIfTrue="1" operator="lessThan">
      <formula>0</formula>
    </cfRule>
    <cfRule type="cellIs" dxfId="7621" priority="7619" stopIfTrue="1" operator="lessThan">
      <formula>0</formula>
    </cfRule>
  </conditionalFormatting>
  <conditionalFormatting sqref="H211:H227">
    <cfRule type="cellIs" dxfId="7620" priority="7616" stopIfTrue="1" operator="lessThan">
      <formula>0.05</formula>
    </cfRule>
    <cfRule type="cellIs" dxfId="7619" priority="7617" stopIfTrue="1" operator="lessThan">
      <formula>0</formula>
    </cfRule>
  </conditionalFormatting>
  <conditionalFormatting sqref="H211:H227">
    <cfRule type="cellIs" dxfId="7618" priority="7614" stopIfTrue="1" operator="lessThan">
      <formula>0</formula>
    </cfRule>
    <cfRule type="cellIs" dxfId="7617" priority="7615" stopIfTrue="1" operator="lessThan">
      <formula>0</formula>
    </cfRule>
  </conditionalFormatting>
  <conditionalFormatting sqref="H211:H227">
    <cfRule type="cellIs" dxfId="7616" priority="7612" stopIfTrue="1" operator="lessThan">
      <formula>0</formula>
    </cfRule>
    <cfRule type="cellIs" dxfId="7615" priority="7613" stopIfTrue="1" operator="lessThan">
      <formula>0</formula>
    </cfRule>
  </conditionalFormatting>
  <conditionalFormatting sqref="H211:H227">
    <cfRule type="cellIs" dxfId="7614" priority="7610" stopIfTrue="1" operator="lessThan">
      <formula>0.05</formula>
    </cfRule>
    <cfRule type="cellIs" dxfId="7613" priority="7611" stopIfTrue="1" operator="lessThan">
      <formula>0</formula>
    </cfRule>
  </conditionalFormatting>
  <conditionalFormatting sqref="H211:H227">
    <cfRule type="cellIs" dxfId="7612" priority="7608" stopIfTrue="1" operator="lessThan">
      <formula>0</formula>
    </cfRule>
    <cfRule type="cellIs" dxfId="7611" priority="7609" stopIfTrue="1" operator="lessThan">
      <formula>0</formula>
    </cfRule>
  </conditionalFormatting>
  <conditionalFormatting sqref="H211:H227">
    <cfRule type="cellIs" dxfId="7610" priority="7606" stopIfTrue="1" operator="lessThan">
      <formula>0</formula>
    </cfRule>
    <cfRule type="cellIs" dxfId="7609" priority="7607" stopIfTrue="1" operator="lessThan">
      <formula>0</formula>
    </cfRule>
  </conditionalFormatting>
  <conditionalFormatting sqref="H211:H227">
    <cfRule type="cellIs" dxfId="7608" priority="7604" stopIfTrue="1" operator="lessThan">
      <formula>0.05</formula>
    </cfRule>
    <cfRule type="cellIs" dxfId="7607" priority="7605" stopIfTrue="1" operator="lessThan">
      <formula>0</formula>
    </cfRule>
  </conditionalFormatting>
  <conditionalFormatting sqref="H211:H227">
    <cfRule type="cellIs" dxfId="7606" priority="7602" stopIfTrue="1" operator="lessThan">
      <formula>0</formula>
    </cfRule>
    <cfRule type="cellIs" dxfId="7605" priority="7603" stopIfTrue="1" operator="lessThan">
      <formula>0</formula>
    </cfRule>
  </conditionalFormatting>
  <conditionalFormatting sqref="H211:H227">
    <cfRule type="cellIs" dxfId="7604" priority="7600" stopIfTrue="1" operator="lessThan">
      <formula>0</formula>
    </cfRule>
    <cfRule type="cellIs" dxfId="7603" priority="7601" stopIfTrue="1" operator="lessThan">
      <formula>0</formula>
    </cfRule>
  </conditionalFormatting>
  <conditionalFormatting sqref="H211:H227">
    <cfRule type="cellIs" dxfId="7602" priority="7598" stopIfTrue="1" operator="lessThan">
      <formula>0.05</formula>
    </cfRule>
    <cfRule type="cellIs" dxfId="7601" priority="7599" stopIfTrue="1" operator="lessThan">
      <formula>0</formula>
    </cfRule>
  </conditionalFormatting>
  <conditionalFormatting sqref="H211:H227">
    <cfRule type="cellIs" dxfId="7600" priority="7596" stopIfTrue="1" operator="lessThan">
      <formula>0</formula>
    </cfRule>
    <cfRule type="cellIs" dxfId="7599" priority="7597" stopIfTrue="1" operator="lessThan">
      <formula>0</formula>
    </cfRule>
  </conditionalFormatting>
  <conditionalFormatting sqref="H211:H227">
    <cfRule type="cellIs" dxfId="7598" priority="7594" stopIfTrue="1" operator="lessThan">
      <formula>0</formula>
    </cfRule>
    <cfRule type="cellIs" dxfId="7597" priority="7595" stopIfTrue="1" operator="lessThan">
      <formula>0</formula>
    </cfRule>
  </conditionalFormatting>
  <conditionalFormatting sqref="H211:H227">
    <cfRule type="cellIs" dxfId="7596" priority="7592" stopIfTrue="1" operator="lessThan">
      <formula>0.05</formula>
    </cfRule>
    <cfRule type="cellIs" dxfId="7595" priority="7593" stopIfTrue="1" operator="lessThan">
      <formula>0</formula>
    </cfRule>
  </conditionalFormatting>
  <conditionalFormatting sqref="H211:H227">
    <cfRule type="cellIs" dxfId="7594" priority="7590" stopIfTrue="1" operator="lessThan">
      <formula>0</formula>
    </cfRule>
    <cfRule type="cellIs" dxfId="7593" priority="7591" stopIfTrue="1" operator="lessThan">
      <formula>0</formula>
    </cfRule>
  </conditionalFormatting>
  <conditionalFormatting sqref="H211:H227">
    <cfRule type="cellIs" dxfId="7592" priority="7588" stopIfTrue="1" operator="lessThan">
      <formula>0</formula>
    </cfRule>
    <cfRule type="cellIs" dxfId="7591" priority="7589" stopIfTrue="1" operator="lessThan">
      <formula>0</formula>
    </cfRule>
  </conditionalFormatting>
  <conditionalFormatting sqref="H211:H227">
    <cfRule type="cellIs" dxfId="7590" priority="7586" stopIfTrue="1" operator="lessThan">
      <formula>0.05</formula>
    </cfRule>
    <cfRule type="cellIs" dxfId="7589" priority="7587" stopIfTrue="1" operator="lessThan">
      <formula>0</formula>
    </cfRule>
  </conditionalFormatting>
  <conditionalFormatting sqref="H211:H227">
    <cfRule type="cellIs" dxfId="7588" priority="7584" stopIfTrue="1" operator="lessThan">
      <formula>0</formula>
    </cfRule>
    <cfRule type="cellIs" dxfId="7587" priority="7585" stopIfTrue="1" operator="lessThan">
      <formula>0</formula>
    </cfRule>
  </conditionalFormatting>
  <conditionalFormatting sqref="H211:H227">
    <cfRule type="cellIs" dxfId="7586" priority="7582" stopIfTrue="1" operator="lessThan">
      <formula>0</formula>
    </cfRule>
    <cfRule type="cellIs" dxfId="7585" priority="7583" stopIfTrue="1" operator="lessThan">
      <formula>0</formula>
    </cfRule>
  </conditionalFormatting>
  <conditionalFormatting sqref="H211:H227">
    <cfRule type="cellIs" dxfId="7584" priority="7580" stopIfTrue="1" operator="lessThan">
      <formula>0.05</formula>
    </cfRule>
    <cfRule type="cellIs" dxfId="7583" priority="7581" stopIfTrue="1" operator="lessThan">
      <formula>0</formula>
    </cfRule>
  </conditionalFormatting>
  <conditionalFormatting sqref="H211:H227">
    <cfRule type="cellIs" dxfId="7582" priority="7578" stopIfTrue="1" operator="lessThan">
      <formula>0</formula>
    </cfRule>
    <cfRule type="cellIs" dxfId="7581" priority="7579" stopIfTrue="1" operator="lessThan">
      <formula>0</formula>
    </cfRule>
  </conditionalFormatting>
  <conditionalFormatting sqref="H211:H227">
    <cfRule type="cellIs" dxfId="7580" priority="7576" stopIfTrue="1" operator="lessThan">
      <formula>0</formula>
    </cfRule>
    <cfRule type="cellIs" dxfId="7579" priority="7577" stopIfTrue="1" operator="lessThan">
      <formula>0</formula>
    </cfRule>
  </conditionalFormatting>
  <conditionalFormatting sqref="H211:H227">
    <cfRule type="cellIs" dxfId="7578" priority="7574" stopIfTrue="1" operator="lessThan">
      <formula>0.05</formula>
    </cfRule>
    <cfRule type="cellIs" dxfId="7577" priority="7575" stopIfTrue="1" operator="lessThan">
      <formula>0</formula>
    </cfRule>
  </conditionalFormatting>
  <conditionalFormatting sqref="H211:H227">
    <cfRule type="cellIs" dxfId="7576" priority="7572" stopIfTrue="1" operator="lessThan">
      <formula>0</formula>
    </cfRule>
    <cfRule type="cellIs" dxfId="7575" priority="7573" stopIfTrue="1" operator="lessThan">
      <formula>0</formula>
    </cfRule>
  </conditionalFormatting>
  <conditionalFormatting sqref="H211:H227">
    <cfRule type="cellIs" dxfId="7574" priority="7570" stopIfTrue="1" operator="lessThan">
      <formula>0</formula>
    </cfRule>
    <cfRule type="cellIs" dxfId="7573" priority="7571" stopIfTrue="1" operator="lessThan">
      <formula>0</formula>
    </cfRule>
  </conditionalFormatting>
  <conditionalFormatting sqref="H211:H227">
    <cfRule type="cellIs" dxfId="7572" priority="7568" stopIfTrue="1" operator="lessThan">
      <formula>0.05</formula>
    </cfRule>
    <cfRule type="cellIs" dxfId="7571" priority="7569" stopIfTrue="1" operator="lessThan">
      <formula>0</formula>
    </cfRule>
  </conditionalFormatting>
  <conditionalFormatting sqref="H211:H227">
    <cfRule type="cellIs" dxfId="7570" priority="7566" stopIfTrue="1" operator="lessThan">
      <formula>0</formula>
    </cfRule>
    <cfRule type="cellIs" dxfId="7569" priority="7567" stopIfTrue="1" operator="lessThan">
      <formula>0</formula>
    </cfRule>
  </conditionalFormatting>
  <conditionalFormatting sqref="H211:H227">
    <cfRule type="cellIs" dxfId="7568" priority="7564" stopIfTrue="1" operator="lessThan">
      <formula>0.05</formula>
    </cfRule>
    <cfRule type="cellIs" dxfId="7567" priority="7565" stopIfTrue="1" operator="lessThan">
      <formula>0</formula>
    </cfRule>
  </conditionalFormatting>
  <conditionalFormatting sqref="H211:H227">
    <cfRule type="cellIs" dxfId="7566" priority="7562" stopIfTrue="1" operator="lessThan">
      <formula>0</formula>
    </cfRule>
    <cfRule type="cellIs" dxfId="7565" priority="7563" stopIfTrue="1" operator="lessThan">
      <formula>0</formula>
    </cfRule>
  </conditionalFormatting>
  <conditionalFormatting sqref="H211:H227">
    <cfRule type="cellIs" dxfId="7564" priority="7560" stopIfTrue="1" operator="lessThan">
      <formula>0.05</formula>
    </cfRule>
    <cfRule type="cellIs" dxfId="7563" priority="7561" stopIfTrue="1" operator="lessThan">
      <formula>0</formula>
    </cfRule>
  </conditionalFormatting>
  <conditionalFormatting sqref="H211:H227">
    <cfRule type="cellIs" dxfId="7562" priority="7558" stopIfTrue="1" operator="lessThan">
      <formula>0</formula>
    </cfRule>
    <cfRule type="cellIs" dxfId="7561" priority="7559" stopIfTrue="1" operator="lessThan">
      <formula>0</formula>
    </cfRule>
  </conditionalFormatting>
  <conditionalFormatting sqref="H211:H227">
    <cfRule type="cellIs" dxfId="7560" priority="7556" stopIfTrue="1" operator="lessThan">
      <formula>0</formula>
    </cfRule>
    <cfRule type="cellIs" dxfId="7559" priority="7557" stopIfTrue="1" operator="lessThan">
      <formula>0</formula>
    </cfRule>
  </conditionalFormatting>
  <conditionalFormatting sqref="H211:H227">
    <cfRule type="cellIs" dxfId="7558" priority="7554" stopIfTrue="1" operator="lessThan">
      <formula>0</formula>
    </cfRule>
    <cfRule type="cellIs" dxfId="7557" priority="7555" stopIfTrue="1" operator="lessThan">
      <formula>0</formula>
    </cfRule>
  </conditionalFormatting>
  <conditionalFormatting sqref="H211:H227">
    <cfRule type="cellIs" dxfId="7556" priority="7552" stopIfTrue="1" operator="lessThan">
      <formula>0.05</formula>
    </cfRule>
    <cfRule type="cellIs" dxfId="7555" priority="7553" stopIfTrue="1" operator="lessThan">
      <formula>0</formula>
    </cfRule>
  </conditionalFormatting>
  <conditionalFormatting sqref="H211:H227">
    <cfRule type="cellIs" dxfId="7554" priority="7550" stopIfTrue="1" operator="lessThan">
      <formula>0</formula>
    </cfRule>
    <cfRule type="cellIs" dxfId="7553" priority="7551" stopIfTrue="1" operator="lessThan">
      <formula>0</formula>
    </cfRule>
  </conditionalFormatting>
  <conditionalFormatting sqref="H211:H227">
    <cfRule type="cellIs" dxfId="7552" priority="7548" stopIfTrue="1" operator="lessThan">
      <formula>0.05</formula>
    </cfRule>
    <cfRule type="cellIs" dxfId="7551" priority="7549" stopIfTrue="1" operator="lessThan">
      <formula>0</formula>
    </cfRule>
  </conditionalFormatting>
  <conditionalFormatting sqref="H211:H227">
    <cfRule type="cellIs" dxfId="7550" priority="7546" stopIfTrue="1" operator="lessThan">
      <formula>0</formula>
    </cfRule>
    <cfRule type="cellIs" dxfId="7549" priority="7547" stopIfTrue="1" operator="lessThan">
      <formula>0</formula>
    </cfRule>
  </conditionalFormatting>
  <conditionalFormatting sqref="H211:H227">
    <cfRule type="cellIs" dxfId="7548" priority="7544" stopIfTrue="1" operator="lessThan">
      <formula>0.05</formula>
    </cfRule>
    <cfRule type="cellIs" dxfId="7547" priority="7545" stopIfTrue="1" operator="lessThan">
      <formula>0</formula>
    </cfRule>
  </conditionalFormatting>
  <conditionalFormatting sqref="H211:H227">
    <cfRule type="cellIs" dxfId="7546" priority="7542" stopIfTrue="1" operator="lessThan">
      <formula>0</formula>
    </cfRule>
    <cfRule type="cellIs" dxfId="7545" priority="7543" stopIfTrue="1" operator="lessThan">
      <formula>0</formula>
    </cfRule>
  </conditionalFormatting>
  <conditionalFormatting sqref="H211:H227">
    <cfRule type="cellIs" dxfId="7544" priority="7540" stopIfTrue="1" operator="lessThan">
      <formula>0</formula>
    </cfRule>
    <cfRule type="cellIs" dxfId="7543" priority="7541" stopIfTrue="1" operator="lessThan">
      <formula>0</formula>
    </cfRule>
  </conditionalFormatting>
  <conditionalFormatting sqref="H211:H227">
    <cfRule type="cellIs" dxfId="7542" priority="7538" stopIfTrue="1" operator="lessThan">
      <formula>0.05</formula>
    </cfRule>
    <cfRule type="cellIs" dxfId="7541" priority="7539" stopIfTrue="1" operator="lessThan">
      <formula>0</formula>
    </cfRule>
  </conditionalFormatting>
  <conditionalFormatting sqref="H211:H227">
    <cfRule type="cellIs" dxfId="7540" priority="7536" stopIfTrue="1" operator="lessThan">
      <formula>0</formula>
    </cfRule>
    <cfRule type="cellIs" dxfId="7539" priority="7537" stopIfTrue="1" operator="lessThan">
      <formula>0</formula>
    </cfRule>
  </conditionalFormatting>
  <conditionalFormatting sqref="H211:H227">
    <cfRule type="cellIs" dxfId="7538" priority="7534" stopIfTrue="1" operator="lessThan">
      <formula>0</formula>
    </cfRule>
    <cfRule type="cellIs" dxfId="7537" priority="7535" stopIfTrue="1" operator="lessThan">
      <formula>0</formula>
    </cfRule>
  </conditionalFormatting>
  <conditionalFormatting sqref="H211:H227">
    <cfRule type="cellIs" dxfId="7536" priority="7532" stopIfTrue="1" operator="lessThan">
      <formula>0.05</formula>
    </cfRule>
    <cfRule type="cellIs" dxfId="7535" priority="7533" stopIfTrue="1" operator="lessThan">
      <formula>0</formula>
    </cfRule>
  </conditionalFormatting>
  <conditionalFormatting sqref="H211:H227">
    <cfRule type="cellIs" dxfId="7534" priority="7530" stopIfTrue="1" operator="lessThan">
      <formula>0</formula>
    </cfRule>
    <cfRule type="cellIs" dxfId="7533" priority="7531" stopIfTrue="1" operator="lessThan">
      <formula>0</formula>
    </cfRule>
  </conditionalFormatting>
  <conditionalFormatting sqref="H211:H227">
    <cfRule type="cellIs" dxfId="7532" priority="7528" stopIfTrue="1" operator="lessThan">
      <formula>0</formula>
    </cfRule>
    <cfRule type="cellIs" dxfId="7531" priority="7529" stopIfTrue="1" operator="lessThan">
      <formula>0</formula>
    </cfRule>
  </conditionalFormatting>
  <conditionalFormatting sqref="H211:H227">
    <cfRule type="cellIs" dxfId="7530" priority="7526" stopIfTrue="1" operator="lessThan">
      <formula>0.05</formula>
    </cfRule>
    <cfRule type="cellIs" dxfId="7529" priority="7527" stopIfTrue="1" operator="lessThan">
      <formula>0</formula>
    </cfRule>
  </conditionalFormatting>
  <conditionalFormatting sqref="H211:H227">
    <cfRule type="cellIs" dxfId="7528" priority="7524" stopIfTrue="1" operator="lessThan">
      <formula>0</formula>
    </cfRule>
    <cfRule type="cellIs" dxfId="7527" priority="7525" stopIfTrue="1" operator="lessThan">
      <formula>0</formula>
    </cfRule>
  </conditionalFormatting>
  <conditionalFormatting sqref="H211:H227">
    <cfRule type="cellIs" dxfId="7526" priority="7522" stopIfTrue="1" operator="lessThan">
      <formula>0</formula>
    </cfRule>
    <cfRule type="cellIs" dxfId="7525" priority="7523" stopIfTrue="1" operator="lessThan">
      <formula>0</formula>
    </cfRule>
  </conditionalFormatting>
  <conditionalFormatting sqref="H211:H227">
    <cfRule type="cellIs" dxfId="7524" priority="7520" stopIfTrue="1" operator="lessThan">
      <formula>0.05</formula>
    </cfRule>
    <cfRule type="cellIs" dxfId="7523" priority="7521" stopIfTrue="1" operator="lessThan">
      <formula>0</formula>
    </cfRule>
  </conditionalFormatting>
  <conditionalFormatting sqref="H211:H227">
    <cfRule type="cellIs" dxfId="7522" priority="7518" stopIfTrue="1" operator="lessThan">
      <formula>0</formula>
    </cfRule>
    <cfRule type="cellIs" dxfId="7521" priority="7519" stopIfTrue="1" operator="lessThan">
      <formula>0</formula>
    </cfRule>
  </conditionalFormatting>
  <conditionalFormatting sqref="H211:H227">
    <cfRule type="cellIs" dxfId="7520" priority="7516" stopIfTrue="1" operator="lessThan">
      <formula>0</formula>
    </cfRule>
    <cfRule type="cellIs" dxfId="7519" priority="7517" stopIfTrue="1" operator="lessThan">
      <formula>0</formula>
    </cfRule>
  </conditionalFormatting>
  <conditionalFormatting sqref="H211:H227">
    <cfRule type="cellIs" dxfId="7518" priority="7514" stopIfTrue="1" operator="lessThan">
      <formula>0.05</formula>
    </cfRule>
    <cfRule type="cellIs" dxfId="7517" priority="7515" stopIfTrue="1" operator="lessThan">
      <formula>0</formula>
    </cfRule>
  </conditionalFormatting>
  <conditionalFormatting sqref="H211:H227">
    <cfRule type="cellIs" dxfId="7516" priority="7512" stopIfTrue="1" operator="lessThan">
      <formula>0</formula>
    </cfRule>
    <cfRule type="cellIs" dxfId="7515" priority="7513" stopIfTrue="1" operator="lessThan">
      <formula>0</formula>
    </cfRule>
  </conditionalFormatting>
  <conditionalFormatting sqref="H211:H227">
    <cfRule type="cellIs" dxfId="7514" priority="7510" stopIfTrue="1" operator="lessThan">
      <formula>0</formula>
    </cfRule>
    <cfRule type="cellIs" dxfId="7513" priority="7511" stopIfTrue="1" operator="lessThan">
      <formula>0</formula>
    </cfRule>
  </conditionalFormatting>
  <conditionalFormatting sqref="H211:H227">
    <cfRule type="cellIs" dxfId="7512" priority="7508" stopIfTrue="1" operator="lessThan">
      <formula>0.05</formula>
    </cfRule>
    <cfRule type="cellIs" dxfId="7511" priority="7509" stopIfTrue="1" operator="lessThan">
      <formula>0</formula>
    </cfRule>
  </conditionalFormatting>
  <conditionalFormatting sqref="H211:H227">
    <cfRule type="cellIs" dxfId="7510" priority="7506" stopIfTrue="1" operator="lessThan">
      <formula>0</formula>
    </cfRule>
    <cfRule type="cellIs" dxfId="7509" priority="7507" stopIfTrue="1" operator="lessThan">
      <formula>0</formula>
    </cfRule>
  </conditionalFormatting>
  <conditionalFormatting sqref="H211:H227">
    <cfRule type="cellIs" dxfId="7508" priority="7504" stopIfTrue="1" operator="lessThan">
      <formula>0</formula>
    </cfRule>
    <cfRule type="cellIs" dxfId="7507" priority="7505" stopIfTrue="1" operator="lessThan">
      <formula>0</formula>
    </cfRule>
  </conditionalFormatting>
  <conditionalFormatting sqref="H211:H227">
    <cfRule type="cellIs" dxfId="7506" priority="7502" stopIfTrue="1" operator="lessThan">
      <formula>0.05</formula>
    </cfRule>
    <cfRule type="cellIs" dxfId="7505" priority="7503" stopIfTrue="1" operator="lessThan">
      <formula>0</formula>
    </cfRule>
  </conditionalFormatting>
  <conditionalFormatting sqref="H211:H227">
    <cfRule type="cellIs" dxfId="7504" priority="7500" stopIfTrue="1" operator="lessThan">
      <formula>0</formula>
    </cfRule>
    <cfRule type="cellIs" dxfId="7503" priority="7501" stopIfTrue="1" operator="lessThan">
      <formula>0</formula>
    </cfRule>
  </conditionalFormatting>
  <conditionalFormatting sqref="H211:H227">
    <cfRule type="cellIs" dxfId="7502" priority="7498" stopIfTrue="1" operator="lessThan">
      <formula>0</formula>
    </cfRule>
    <cfRule type="cellIs" dxfId="7501" priority="7499" stopIfTrue="1" operator="lessThan">
      <formula>0</formula>
    </cfRule>
  </conditionalFormatting>
  <conditionalFormatting sqref="H211:H227">
    <cfRule type="cellIs" dxfId="7500" priority="7496" stopIfTrue="1" operator="lessThan">
      <formula>0.05</formula>
    </cfRule>
    <cfRule type="cellIs" dxfId="7499" priority="7497" stopIfTrue="1" operator="lessThan">
      <formula>0</formula>
    </cfRule>
  </conditionalFormatting>
  <conditionalFormatting sqref="H211:H227">
    <cfRule type="cellIs" dxfId="7498" priority="7494" stopIfTrue="1" operator="lessThan">
      <formula>0</formula>
    </cfRule>
    <cfRule type="cellIs" dxfId="7497" priority="7495" stopIfTrue="1" operator="lessThan">
      <formula>0</formula>
    </cfRule>
  </conditionalFormatting>
  <conditionalFormatting sqref="H211:H227">
    <cfRule type="cellIs" dxfId="7496" priority="7492" stopIfTrue="1" operator="lessThan">
      <formula>0</formula>
    </cfRule>
    <cfRule type="cellIs" dxfId="7495" priority="7493" stopIfTrue="1" operator="lessThan">
      <formula>0</formula>
    </cfRule>
  </conditionalFormatting>
  <conditionalFormatting sqref="H211:H227">
    <cfRule type="cellIs" dxfId="7494" priority="7490" stopIfTrue="1" operator="lessThan">
      <formula>0.05</formula>
    </cfRule>
    <cfRule type="cellIs" dxfId="7493" priority="7491" stopIfTrue="1" operator="lessThan">
      <formula>0</formula>
    </cfRule>
  </conditionalFormatting>
  <conditionalFormatting sqref="H211:H227">
    <cfRule type="cellIs" dxfId="7492" priority="7488" stopIfTrue="1" operator="lessThan">
      <formula>0</formula>
    </cfRule>
    <cfRule type="cellIs" dxfId="7491" priority="7489" stopIfTrue="1" operator="lessThan">
      <formula>0</formula>
    </cfRule>
  </conditionalFormatting>
  <conditionalFormatting sqref="H211:H227">
    <cfRule type="cellIs" dxfId="7490" priority="7486" stopIfTrue="1" operator="lessThan">
      <formula>0</formula>
    </cfRule>
    <cfRule type="cellIs" dxfId="7489" priority="7487" stopIfTrue="1" operator="lessThan">
      <formula>0</formula>
    </cfRule>
  </conditionalFormatting>
  <conditionalFormatting sqref="H211:H227">
    <cfRule type="cellIs" dxfId="7488" priority="7484" stopIfTrue="1" operator="lessThan">
      <formula>0.05</formula>
    </cfRule>
    <cfRule type="cellIs" dxfId="7487" priority="7485" stopIfTrue="1" operator="lessThan">
      <formula>0</formula>
    </cfRule>
  </conditionalFormatting>
  <conditionalFormatting sqref="H211:H227">
    <cfRule type="cellIs" dxfId="7486" priority="7482" stopIfTrue="1" operator="lessThan">
      <formula>0</formula>
    </cfRule>
    <cfRule type="cellIs" dxfId="7485" priority="7483" stopIfTrue="1" operator="lessThan">
      <formula>0</formula>
    </cfRule>
  </conditionalFormatting>
  <conditionalFormatting sqref="H211:H227">
    <cfRule type="cellIs" dxfId="7484" priority="7480" stopIfTrue="1" operator="lessThan">
      <formula>0</formula>
    </cfRule>
    <cfRule type="cellIs" dxfId="7483" priority="7481" stopIfTrue="1" operator="lessThan">
      <formula>0</formula>
    </cfRule>
  </conditionalFormatting>
  <conditionalFormatting sqref="H211:H227">
    <cfRule type="cellIs" dxfId="7482" priority="7478" stopIfTrue="1" operator="lessThan">
      <formula>0.05</formula>
    </cfRule>
    <cfRule type="cellIs" dxfId="7481" priority="7479" stopIfTrue="1" operator="lessThan">
      <formula>0</formula>
    </cfRule>
  </conditionalFormatting>
  <conditionalFormatting sqref="H211:H227">
    <cfRule type="cellIs" dxfId="7480" priority="7476" stopIfTrue="1" operator="lessThan">
      <formula>0</formula>
    </cfRule>
    <cfRule type="cellIs" dxfId="7479" priority="7477" stopIfTrue="1" operator="lessThan">
      <formula>0</formula>
    </cfRule>
  </conditionalFormatting>
  <conditionalFormatting sqref="H211:H227">
    <cfRule type="cellIs" dxfId="7478" priority="7474" stopIfTrue="1" operator="lessThan">
      <formula>0</formula>
    </cfRule>
    <cfRule type="cellIs" dxfId="7477" priority="7475" stopIfTrue="1" operator="lessThan">
      <formula>0</formula>
    </cfRule>
  </conditionalFormatting>
  <conditionalFormatting sqref="H211:H227">
    <cfRule type="cellIs" dxfId="7476" priority="7472" stopIfTrue="1" operator="lessThan">
      <formula>0.05</formula>
    </cfRule>
    <cfRule type="cellIs" dxfId="7475" priority="7473" stopIfTrue="1" operator="lessThan">
      <formula>0</formula>
    </cfRule>
  </conditionalFormatting>
  <conditionalFormatting sqref="H211:H227">
    <cfRule type="cellIs" dxfId="7474" priority="7470" stopIfTrue="1" operator="lessThan">
      <formula>0</formula>
    </cfRule>
    <cfRule type="cellIs" dxfId="7473" priority="7471" stopIfTrue="1" operator="lessThan">
      <formula>0</formula>
    </cfRule>
  </conditionalFormatting>
  <conditionalFormatting sqref="H211:H227">
    <cfRule type="cellIs" dxfId="7472" priority="7468" stopIfTrue="1" operator="lessThan">
      <formula>0</formula>
    </cfRule>
    <cfRule type="cellIs" dxfId="7471" priority="7469" stopIfTrue="1" operator="lessThan">
      <formula>0</formula>
    </cfRule>
  </conditionalFormatting>
  <conditionalFormatting sqref="H211:H227">
    <cfRule type="cellIs" dxfId="7470" priority="7466" stopIfTrue="1" operator="lessThan">
      <formula>0.05</formula>
    </cfRule>
    <cfRule type="cellIs" dxfId="7469" priority="7467" stopIfTrue="1" operator="lessThan">
      <formula>0</formula>
    </cfRule>
  </conditionalFormatting>
  <conditionalFormatting sqref="H211:H227">
    <cfRule type="cellIs" dxfId="7468" priority="7464" stopIfTrue="1" operator="lessThan">
      <formula>0</formula>
    </cfRule>
    <cfRule type="cellIs" dxfId="7467" priority="7465" stopIfTrue="1" operator="lessThan">
      <formula>0</formula>
    </cfRule>
  </conditionalFormatting>
  <conditionalFormatting sqref="H211:H227">
    <cfRule type="cellIs" dxfId="7466" priority="7462" stopIfTrue="1" operator="lessThan">
      <formula>0</formula>
    </cfRule>
    <cfRule type="cellIs" dxfId="7465" priority="7463" stopIfTrue="1" operator="lessThan">
      <formula>0</formula>
    </cfRule>
  </conditionalFormatting>
  <conditionalFormatting sqref="H211:H227">
    <cfRule type="cellIs" dxfId="7464" priority="7460" stopIfTrue="1" operator="lessThan">
      <formula>0.05</formula>
    </cfRule>
    <cfRule type="cellIs" dxfId="7463" priority="7461" stopIfTrue="1" operator="lessThan">
      <formula>0</formula>
    </cfRule>
  </conditionalFormatting>
  <conditionalFormatting sqref="H211:H227">
    <cfRule type="cellIs" dxfId="7462" priority="7458" stopIfTrue="1" operator="lessThan">
      <formula>0</formula>
    </cfRule>
    <cfRule type="cellIs" dxfId="7461" priority="7459" stopIfTrue="1" operator="lessThan">
      <formula>0</formula>
    </cfRule>
  </conditionalFormatting>
  <conditionalFormatting sqref="H211:H227">
    <cfRule type="cellIs" dxfId="7460" priority="7456" stopIfTrue="1" operator="lessThan">
      <formula>0.05</formula>
    </cfRule>
    <cfRule type="cellIs" dxfId="7459" priority="7457" stopIfTrue="1" operator="lessThan">
      <formula>0</formula>
    </cfRule>
  </conditionalFormatting>
  <conditionalFormatting sqref="H211:H227">
    <cfRule type="cellIs" dxfId="7458" priority="7454" stopIfTrue="1" operator="lessThan">
      <formula>0</formula>
    </cfRule>
    <cfRule type="cellIs" dxfId="7457" priority="7455" stopIfTrue="1" operator="lessThan">
      <formula>0</formula>
    </cfRule>
  </conditionalFormatting>
  <conditionalFormatting sqref="H211:H227">
    <cfRule type="cellIs" dxfId="7456" priority="7452" stopIfTrue="1" operator="lessThan">
      <formula>0.05</formula>
    </cfRule>
    <cfRule type="cellIs" dxfId="7455" priority="7453" stopIfTrue="1" operator="lessThan">
      <formula>0</formula>
    </cfRule>
  </conditionalFormatting>
  <conditionalFormatting sqref="H211:H227">
    <cfRule type="cellIs" dxfId="7454" priority="7450" stopIfTrue="1" operator="lessThan">
      <formula>0</formula>
    </cfRule>
    <cfRule type="cellIs" dxfId="7453" priority="7451" stopIfTrue="1" operator="lessThan">
      <formula>0</formula>
    </cfRule>
  </conditionalFormatting>
  <conditionalFormatting sqref="H211:H227">
    <cfRule type="cellIs" dxfId="7452" priority="7448" stopIfTrue="1" operator="lessThan">
      <formula>0</formula>
    </cfRule>
    <cfRule type="cellIs" dxfId="7451" priority="7449" stopIfTrue="1" operator="lessThan">
      <formula>0</formula>
    </cfRule>
  </conditionalFormatting>
  <conditionalFormatting sqref="H211:H227">
    <cfRule type="cellIs" dxfId="7450" priority="7446" stopIfTrue="1" operator="lessThan">
      <formula>0</formula>
    </cfRule>
    <cfRule type="cellIs" dxfId="7449" priority="7447" stopIfTrue="1" operator="lessThan">
      <formula>0</formula>
    </cfRule>
  </conditionalFormatting>
  <conditionalFormatting sqref="H211:H227">
    <cfRule type="cellIs" dxfId="7448" priority="7444" stopIfTrue="1" operator="lessThan">
      <formula>0.05</formula>
    </cfRule>
    <cfRule type="cellIs" dxfId="7447" priority="7445" stopIfTrue="1" operator="lessThan">
      <formula>0</formula>
    </cfRule>
  </conditionalFormatting>
  <conditionalFormatting sqref="H211:H227">
    <cfRule type="cellIs" dxfId="7446" priority="7442" stopIfTrue="1" operator="lessThan">
      <formula>0</formula>
    </cfRule>
    <cfRule type="cellIs" dxfId="7445" priority="7443" stopIfTrue="1" operator="lessThan">
      <formula>0</formula>
    </cfRule>
  </conditionalFormatting>
  <conditionalFormatting sqref="H211:H227">
    <cfRule type="cellIs" dxfId="7444" priority="7440" stopIfTrue="1" operator="lessThan">
      <formula>0.05</formula>
    </cfRule>
    <cfRule type="cellIs" dxfId="7443" priority="7441" stopIfTrue="1" operator="lessThan">
      <formula>0</formula>
    </cfRule>
  </conditionalFormatting>
  <conditionalFormatting sqref="H211:H227">
    <cfRule type="cellIs" dxfId="7442" priority="7438" stopIfTrue="1" operator="lessThan">
      <formula>0</formula>
    </cfRule>
    <cfRule type="cellIs" dxfId="7441" priority="7439" stopIfTrue="1" operator="lessThan">
      <formula>0</formula>
    </cfRule>
  </conditionalFormatting>
  <conditionalFormatting sqref="H211:H227">
    <cfRule type="cellIs" dxfId="7440" priority="7436" stopIfTrue="1" operator="lessThan">
      <formula>0.05</formula>
    </cfRule>
    <cfRule type="cellIs" dxfId="7439" priority="7437" stopIfTrue="1" operator="lessThan">
      <formula>0</formula>
    </cfRule>
  </conditionalFormatting>
  <conditionalFormatting sqref="H211:H227">
    <cfRule type="cellIs" dxfId="7438" priority="7434" stopIfTrue="1" operator="lessThan">
      <formula>0</formula>
    </cfRule>
    <cfRule type="cellIs" dxfId="7437" priority="7435" stopIfTrue="1" operator="lessThan">
      <formula>0</formula>
    </cfRule>
  </conditionalFormatting>
  <conditionalFormatting sqref="H211:H227">
    <cfRule type="cellIs" dxfId="7436" priority="7433" stopIfTrue="1" operator="lessThan">
      <formula>0.05</formula>
    </cfRule>
  </conditionalFormatting>
  <conditionalFormatting sqref="H211:H227">
    <cfRule type="cellIs" dxfId="7435" priority="7431" stopIfTrue="1" operator="lessThan">
      <formula>0</formula>
    </cfRule>
    <cfRule type="cellIs" dxfId="7434" priority="7432" stopIfTrue="1" operator="lessThan">
      <formula>0</formula>
    </cfRule>
  </conditionalFormatting>
  <conditionalFormatting sqref="H211:H227">
    <cfRule type="cellIs" dxfId="7433" priority="7429" stopIfTrue="1" operator="lessThan">
      <formula>0</formula>
    </cfRule>
    <cfRule type="cellIs" dxfId="7432" priority="7430" stopIfTrue="1" operator="lessThan">
      <formula>0</formula>
    </cfRule>
  </conditionalFormatting>
  <conditionalFormatting sqref="H211:H227">
    <cfRule type="cellIs" dxfId="7431" priority="7427" stopIfTrue="1" operator="lessThan">
      <formula>0.05</formula>
    </cfRule>
    <cfRule type="cellIs" dxfId="7430" priority="7428" stopIfTrue="1" operator="lessThan">
      <formula>0</formula>
    </cfRule>
  </conditionalFormatting>
  <conditionalFormatting sqref="H211:H227">
    <cfRule type="cellIs" dxfId="7429" priority="7425" stopIfTrue="1" operator="lessThan">
      <formula>0</formula>
    </cfRule>
    <cfRule type="cellIs" dxfId="7428" priority="7426" stopIfTrue="1" operator="lessThan">
      <formula>0</formula>
    </cfRule>
  </conditionalFormatting>
  <conditionalFormatting sqref="H211:H227">
    <cfRule type="cellIs" dxfId="7427" priority="7423" stopIfTrue="1" operator="lessThan">
      <formula>0.05</formula>
    </cfRule>
    <cfRule type="cellIs" dxfId="7426" priority="7424" stopIfTrue="1" operator="lessThan">
      <formula>0</formula>
    </cfRule>
  </conditionalFormatting>
  <conditionalFormatting sqref="H211:H227">
    <cfRule type="cellIs" dxfId="7425" priority="7421" stopIfTrue="1" operator="lessThan">
      <formula>0</formula>
    </cfRule>
    <cfRule type="cellIs" dxfId="7424" priority="7422" stopIfTrue="1" operator="lessThan">
      <formula>0</formula>
    </cfRule>
  </conditionalFormatting>
  <conditionalFormatting sqref="H211:H227">
    <cfRule type="cellIs" dxfId="7423" priority="7419" stopIfTrue="1" operator="lessThan">
      <formula>0.05</formula>
    </cfRule>
    <cfRule type="cellIs" dxfId="7422" priority="7420" stopIfTrue="1" operator="lessThan">
      <formula>0</formula>
    </cfRule>
  </conditionalFormatting>
  <conditionalFormatting sqref="H211:H227">
    <cfRule type="cellIs" dxfId="7421" priority="7417" stopIfTrue="1" operator="lessThan">
      <formula>0</formula>
    </cfRule>
    <cfRule type="cellIs" dxfId="7420" priority="7418" stopIfTrue="1" operator="lessThan">
      <formula>0</formula>
    </cfRule>
  </conditionalFormatting>
  <conditionalFormatting sqref="H211:H227">
    <cfRule type="cellIs" dxfId="7419" priority="7415" stopIfTrue="1" operator="lessThan">
      <formula>0</formula>
    </cfRule>
    <cfRule type="cellIs" dxfId="7418" priority="7416" stopIfTrue="1" operator="lessThan">
      <formula>0</formula>
    </cfRule>
  </conditionalFormatting>
  <conditionalFormatting sqref="H211:H227">
    <cfRule type="cellIs" dxfId="7417" priority="7413" stopIfTrue="1" operator="lessThan">
      <formula>0</formula>
    </cfRule>
    <cfRule type="cellIs" dxfId="7416" priority="7414" stopIfTrue="1" operator="lessThan">
      <formula>0</formula>
    </cfRule>
  </conditionalFormatting>
  <conditionalFormatting sqref="H211:H227">
    <cfRule type="cellIs" dxfId="7415" priority="7411" stopIfTrue="1" operator="lessThan">
      <formula>0.05</formula>
    </cfRule>
    <cfRule type="cellIs" dxfId="7414" priority="7412" stopIfTrue="1" operator="lessThan">
      <formula>0</formula>
    </cfRule>
  </conditionalFormatting>
  <conditionalFormatting sqref="H211:H227">
    <cfRule type="cellIs" dxfId="7413" priority="7409" stopIfTrue="1" operator="lessThan">
      <formula>0</formula>
    </cfRule>
    <cfRule type="cellIs" dxfId="7412" priority="7410" stopIfTrue="1" operator="lessThan">
      <formula>0</formula>
    </cfRule>
  </conditionalFormatting>
  <conditionalFormatting sqref="H211:H227">
    <cfRule type="cellIs" dxfId="7411" priority="7407" stopIfTrue="1" operator="lessThan">
      <formula>0.05</formula>
    </cfRule>
    <cfRule type="cellIs" dxfId="7410" priority="7408" stopIfTrue="1" operator="lessThan">
      <formula>0</formula>
    </cfRule>
  </conditionalFormatting>
  <conditionalFormatting sqref="H211:H227">
    <cfRule type="cellIs" dxfId="7409" priority="7405" stopIfTrue="1" operator="lessThan">
      <formula>0</formula>
    </cfRule>
    <cfRule type="cellIs" dxfId="7408" priority="7406" stopIfTrue="1" operator="lessThan">
      <formula>0</formula>
    </cfRule>
  </conditionalFormatting>
  <conditionalFormatting sqref="H211:H227">
    <cfRule type="cellIs" dxfId="7407" priority="7403" stopIfTrue="1" operator="lessThan">
      <formula>0.05</formula>
    </cfRule>
    <cfRule type="cellIs" dxfId="7406" priority="7404" stopIfTrue="1" operator="lessThan">
      <formula>0</formula>
    </cfRule>
  </conditionalFormatting>
  <conditionalFormatting sqref="H211:H227">
    <cfRule type="cellIs" dxfId="7405" priority="7401" stopIfTrue="1" operator="lessThan">
      <formula>0</formula>
    </cfRule>
    <cfRule type="cellIs" dxfId="7404" priority="7402" stopIfTrue="1" operator="lessThan">
      <formula>0</formula>
    </cfRule>
  </conditionalFormatting>
  <conditionalFormatting sqref="H211:H227">
    <cfRule type="cellIs" dxfId="7403" priority="7399" stopIfTrue="1" operator="lessThan">
      <formula>0</formula>
    </cfRule>
    <cfRule type="cellIs" dxfId="7402" priority="7400" stopIfTrue="1" operator="lessThan">
      <formula>0</formula>
    </cfRule>
  </conditionalFormatting>
  <conditionalFormatting sqref="H211:H227">
    <cfRule type="cellIs" dxfId="7401" priority="7397" stopIfTrue="1" operator="lessThan">
      <formula>0</formula>
    </cfRule>
    <cfRule type="cellIs" dxfId="7400" priority="7398" stopIfTrue="1" operator="lessThan">
      <formula>0</formula>
    </cfRule>
  </conditionalFormatting>
  <conditionalFormatting sqref="H211:H227">
    <cfRule type="cellIs" dxfId="7399" priority="7395" stopIfTrue="1" operator="lessThan">
      <formula>0.05</formula>
    </cfRule>
    <cfRule type="cellIs" dxfId="7398" priority="7396" stopIfTrue="1" operator="lessThan">
      <formula>0</formula>
    </cfRule>
  </conditionalFormatting>
  <conditionalFormatting sqref="H211:H227">
    <cfRule type="cellIs" dxfId="7397" priority="7393" stopIfTrue="1" operator="lessThan">
      <formula>0</formula>
    </cfRule>
    <cfRule type="cellIs" dxfId="7396" priority="7394" stopIfTrue="1" operator="lessThan">
      <formula>0</formula>
    </cfRule>
  </conditionalFormatting>
  <conditionalFormatting sqref="H211:H227">
    <cfRule type="cellIs" dxfId="7395" priority="7391" stopIfTrue="1" operator="lessThan">
      <formula>0.05</formula>
    </cfRule>
    <cfRule type="cellIs" dxfId="7394" priority="7392" stopIfTrue="1" operator="lessThan">
      <formula>0</formula>
    </cfRule>
  </conditionalFormatting>
  <conditionalFormatting sqref="H211:H227">
    <cfRule type="cellIs" dxfId="7393" priority="7389" stopIfTrue="1" operator="lessThan">
      <formula>0</formula>
    </cfRule>
    <cfRule type="cellIs" dxfId="7392" priority="7390" stopIfTrue="1" operator="lessThan">
      <formula>0</formula>
    </cfRule>
  </conditionalFormatting>
  <conditionalFormatting sqref="H211:H227">
    <cfRule type="cellIs" dxfId="7391" priority="7387" stopIfTrue="1" operator="lessThan">
      <formula>0.05</formula>
    </cfRule>
    <cfRule type="cellIs" dxfId="7390" priority="7388" stopIfTrue="1" operator="lessThan">
      <formula>0</formula>
    </cfRule>
  </conditionalFormatting>
  <conditionalFormatting sqref="H211:H227">
    <cfRule type="cellIs" dxfId="7389" priority="7385" stopIfTrue="1" operator="lessThan">
      <formula>0</formula>
    </cfRule>
    <cfRule type="cellIs" dxfId="7388" priority="7386" stopIfTrue="1" operator="lessThan">
      <formula>0</formula>
    </cfRule>
  </conditionalFormatting>
  <conditionalFormatting sqref="H211:H227">
    <cfRule type="cellIs" dxfId="7387" priority="7383" stopIfTrue="1" operator="lessThan">
      <formula>0</formula>
    </cfRule>
    <cfRule type="cellIs" dxfId="7386" priority="7384" stopIfTrue="1" operator="lessThan">
      <formula>0</formula>
    </cfRule>
  </conditionalFormatting>
  <conditionalFormatting sqref="H211:H227">
    <cfRule type="cellIs" dxfId="7385" priority="7381" stopIfTrue="1" operator="lessThan">
      <formula>0</formula>
    </cfRule>
    <cfRule type="cellIs" dxfId="7384" priority="7382" stopIfTrue="1" operator="lessThan">
      <formula>0</formula>
    </cfRule>
  </conditionalFormatting>
  <conditionalFormatting sqref="H211:H227">
    <cfRule type="cellIs" dxfId="7383" priority="7379" stopIfTrue="1" operator="lessThan">
      <formula>0.05</formula>
    </cfRule>
    <cfRule type="cellIs" dxfId="7382" priority="7380" stopIfTrue="1" operator="lessThan">
      <formula>0</formula>
    </cfRule>
  </conditionalFormatting>
  <conditionalFormatting sqref="H211:H227">
    <cfRule type="cellIs" dxfId="7381" priority="7377" stopIfTrue="1" operator="lessThan">
      <formula>0</formula>
    </cfRule>
    <cfRule type="cellIs" dxfId="7380" priority="7378" stopIfTrue="1" operator="lessThan">
      <formula>0</formula>
    </cfRule>
  </conditionalFormatting>
  <conditionalFormatting sqref="H211:H227">
    <cfRule type="cellIs" dxfId="7379" priority="7375" stopIfTrue="1" operator="lessThan">
      <formula>0.05</formula>
    </cfRule>
    <cfRule type="cellIs" dxfId="7378" priority="7376" stopIfTrue="1" operator="lessThan">
      <formula>0</formula>
    </cfRule>
  </conditionalFormatting>
  <conditionalFormatting sqref="H211:H227">
    <cfRule type="cellIs" dxfId="7377" priority="7373" stopIfTrue="1" operator="lessThan">
      <formula>0</formula>
    </cfRule>
    <cfRule type="cellIs" dxfId="7376" priority="7374" stopIfTrue="1" operator="lessThan">
      <formula>0</formula>
    </cfRule>
  </conditionalFormatting>
  <conditionalFormatting sqref="H211:H227">
    <cfRule type="cellIs" dxfId="7375" priority="7371" stopIfTrue="1" operator="lessThan">
      <formula>0.05</formula>
    </cfRule>
    <cfRule type="cellIs" dxfId="7374" priority="7372" stopIfTrue="1" operator="lessThan">
      <formula>0</formula>
    </cfRule>
  </conditionalFormatting>
  <conditionalFormatting sqref="H211:H227">
    <cfRule type="cellIs" dxfId="7373" priority="7369" stopIfTrue="1" operator="lessThan">
      <formula>0</formula>
    </cfRule>
    <cfRule type="cellIs" dxfId="7372" priority="7370" stopIfTrue="1" operator="lessThan">
      <formula>0</formula>
    </cfRule>
  </conditionalFormatting>
  <conditionalFormatting sqref="H211:H227">
    <cfRule type="cellIs" dxfId="7371" priority="7367" stopIfTrue="1" operator="lessThan">
      <formula>0</formula>
    </cfRule>
    <cfRule type="cellIs" dxfId="7370" priority="7368" stopIfTrue="1" operator="lessThan">
      <formula>0</formula>
    </cfRule>
  </conditionalFormatting>
  <conditionalFormatting sqref="H211:H227">
    <cfRule type="cellIs" dxfId="7369" priority="7365" stopIfTrue="1" operator="lessThan">
      <formula>0.05</formula>
    </cfRule>
    <cfRule type="cellIs" dxfId="7368" priority="7366" stopIfTrue="1" operator="lessThan">
      <formula>0</formula>
    </cfRule>
  </conditionalFormatting>
  <conditionalFormatting sqref="H211:H227">
    <cfRule type="cellIs" dxfId="7367" priority="7363" stopIfTrue="1" operator="lessThan">
      <formula>0</formula>
    </cfRule>
    <cfRule type="cellIs" dxfId="7366" priority="7364" stopIfTrue="1" operator="lessThan">
      <formula>0</formula>
    </cfRule>
  </conditionalFormatting>
  <conditionalFormatting sqref="H211:H227">
    <cfRule type="cellIs" dxfId="7365" priority="7361" stopIfTrue="1" operator="lessThan">
      <formula>0</formula>
    </cfRule>
    <cfRule type="cellIs" dxfId="7364" priority="7362" stopIfTrue="1" operator="lessThan">
      <formula>0</formula>
    </cfRule>
  </conditionalFormatting>
  <conditionalFormatting sqref="H211:H227">
    <cfRule type="cellIs" dxfId="7363" priority="7359" stopIfTrue="1" operator="lessThan">
      <formula>0.05</formula>
    </cfRule>
    <cfRule type="cellIs" dxfId="7362" priority="7360" stopIfTrue="1" operator="lessThan">
      <formula>0</formula>
    </cfRule>
  </conditionalFormatting>
  <conditionalFormatting sqref="H211:H227">
    <cfRule type="cellIs" dxfId="7361" priority="7357" stopIfTrue="1" operator="lessThan">
      <formula>0</formula>
    </cfRule>
    <cfRule type="cellIs" dxfId="7360" priority="7358" stopIfTrue="1" operator="lessThan">
      <formula>0</formula>
    </cfRule>
  </conditionalFormatting>
  <conditionalFormatting sqref="H211:H227">
    <cfRule type="cellIs" dxfId="7359" priority="7355" stopIfTrue="1" operator="lessThan">
      <formula>0</formula>
    </cfRule>
    <cfRule type="cellIs" dxfId="7358" priority="7356" stopIfTrue="1" operator="lessThan">
      <formula>0</formula>
    </cfRule>
  </conditionalFormatting>
  <conditionalFormatting sqref="H211:H227">
    <cfRule type="cellIs" dxfId="7357" priority="7353" stopIfTrue="1" operator="lessThan">
      <formula>0.05</formula>
    </cfRule>
    <cfRule type="cellIs" dxfId="7356" priority="7354" stopIfTrue="1" operator="lessThan">
      <formula>0</formula>
    </cfRule>
  </conditionalFormatting>
  <conditionalFormatting sqref="H211:H227">
    <cfRule type="cellIs" dxfId="7355" priority="7351" stopIfTrue="1" operator="lessThan">
      <formula>0</formula>
    </cfRule>
    <cfRule type="cellIs" dxfId="7354" priority="7352" stopIfTrue="1" operator="lessThan">
      <formula>0</formula>
    </cfRule>
  </conditionalFormatting>
  <conditionalFormatting sqref="H211:H227">
    <cfRule type="cellIs" dxfId="7353" priority="7349" stopIfTrue="1" operator="lessThan">
      <formula>0</formula>
    </cfRule>
    <cfRule type="cellIs" dxfId="7352" priority="7350" stopIfTrue="1" operator="lessThan">
      <formula>0</formula>
    </cfRule>
  </conditionalFormatting>
  <conditionalFormatting sqref="H211:H227">
    <cfRule type="cellIs" dxfId="7351" priority="7347" stopIfTrue="1" operator="lessThan">
      <formula>0.05</formula>
    </cfRule>
    <cfRule type="cellIs" dxfId="7350" priority="7348" stopIfTrue="1" operator="lessThan">
      <formula>0</formula>
    </cfRule>
  </conditionalFormatting>
  <conditionalFormatting sqref="H211:H227">
    <cfRule type="cellIs" dxfId="7349" priority="7345" stopIfTrue="1" operator="lessThan">
      <formula>0</formula>
    </cfRule>
    <cfRule type="cellIs" dxfId="7348" priority="7346" stopIfTrue="1" operator="lessThan">
      <formula>0</formula>
    </cfRule>
  </conditionalFormatting>
  <conditionalFormatting sqref="H211:H227">
    <cfRule type="cellIs" dxfId="7347" priority="7343" stopIfTrue="1" operator="lessThan">
      <formula>0</formula>
    </cfRule>
    <cfRule type="cellIs" dxfId="7346" priority="7344" stopIfTrue="1" operator="lessThan">
      <formula>0</formula>
    </cfRule>
  </conditionalFormatting>
  <conditionalFormatting sqref="H211:H227">
    <cfRule type="cellIs" dxfId="7345" priority="7341" stopIfTrue="1" operator="lessThan">
      <formula>0.05</formula>
    </cfRule>
    <cfRule type="cellIs" dxfId="7344" priority="7342" stopIfTrue="1" operator="lessThan">
      <formula>0</formula>
    </cfRule>
  </conditionalFormatting>
  <conditionalFormatting sqref="H211:H227">
    <cfRule type="cellIs" dxfId="7343" priority="7339" stopIfTrue="1" operator="lessThan">
      <formula>0</formula>
    </cfRule>
    <cfRule type="cellIs" dxfId="7342" priority="7340" stopIfTrue="1" operator="lessThan">
      <formula>0</formula>
    </cfRule>
  </conditionalFormatting>
  <conditionalFormatting sqref="H211:H227">
    <cfRule type="cellIs" dxfId="7341" priority="7337" stopIfTrue="1" operator="lessThan">
      <formula>0</formula>
    </cfRule>
    <cfRule type="cellIs" dxfId="7340" priority="7338" stopIfTrue="1" operator="lessThan">
      <formula>0</formula>
    </cfRule>
  </conditionalFormatting>
  <conditionalFormatting sqref="H211:H227">
    <cfRule type="cellIs" dxfId="7339" priority="7335" stopIfTrue="1" operator="lessThan">
      <formula>0.05</formula>
    </cfRule>
    <cfRule type="cellIs" dxfId="7338" priority="7336" stopIfTrue="1" operator="lessThan">
      <formula>0</formula>
    </cfRule>
  </conditionalFormatting>
  <conditionalFormatting sqref="H211:H227">
    <cfRule type="cellIs" dxfId="7337" priority="7333" stopIfTrue="1" operator="lessThan">
      <formula>0</formula>
    </cfRule>
    <cfRule type="cellIs" dxfId="7336" priority="7334" stopIfTrue="1" operator="lessThan">
      <formula>0</formula>
    </cfRule>
  </conditionalFormatting>
  <conditionalFormatting sqref="H211:H227">
    <cfRule type="cellIs" dxfId="7335" priority="7331" stopIfTrue="1" operator="lessThan">
      <formula>0</formula>
    </cfRule>
    <cfRule type="cellIs" dxfId="7334" priority="7332" stopIfTrue="1" operator="lessThan">
      <formula>0</formula>
    </cfRule>
  </conditionalFormatting>
  <conditionalFormatting sqref="H211:H227">
    <cfRule type="cellIs" dxfId="7333" priority="7329" stopIfTrue="1" operator="lessThan">
      <formula>0.05</formula>
    </cfRule>
    <cfRule type="cellIs" dxfId="7332" priority="7330" stopIfTrue="1" operator="lessThan">
      <formula>0</formula>
    </cfRule>
  </conditionalFormatting>
  <conditionalFormatting sqref="H211:H227">
    <cfRule type="cellIs" dxfId="7331" priority="7327" stopIfTrue="1" operator="lessThan">
      <formula>0</formula>
    </cfRule>
    <cfRule type="cellIs" dxfId="7330" priority="7328" stopIfTrue="1" operator="lessThan">
      <formula>0</formula>
    </cfRule>
  </conditionalFormatting>
  <conditionalFormatting sqref="H211:H227">
    <cfRule type="cellIs" dxfId="7329" priority="7325" stopIfTrue="1" operator="lessThan">
      <formula>0</formula>
    </cfRule>
    <cfRule type="cellIs" dxfId="7328" priority="7326" stopIfTrue="1" operator="lessThan">
      <formula>0</formula>
    </cfRule>
  </conditionalFormatting>
  <conditionalFormatting sqref="H211:H227">
    <cfRule type="cellIs" dxfId="7327" priority="7323" stopIfTrue="1" operator="lessThan">
      <formula>0.05</formula>
    </cfRule>
    <cfRule type="cellIs" dxfId="7326" priority="7324" stopIfTrue="1" operator="lessThan">
      <formula>0</formula>
    </cfRule>
  </conditionalFormatting>
  <conditionalFormatting sqref="H211:H227">
    <cfRule type="cellIs" dxfId="7325" priority="7321" stopIfTrue="1" operator="lessThan">
      <formula>0</formula>
    </cfRule>
    <cfRule type="cellIs" dxfId="7324" priority="7322" stopIfTrue="1" operator="lessThan">
      <formula>0</formula>
    </cfRule>
  </conditionalFormatting>
  <conditionalFormatting sqref="H211:H227">
    <cfRule type="cellIs" dxfId="7323" priority="7319" stopIfTrue="1" operator="lessThan">
      <formula>0</formula>
    </cfRule>
    <cfRule type="cellIs" dxfId="7322" priority="7320" stopIfTrue="1" operator="lessThan">
      <formula>0</formula>
    </cfRule>
  </conditionalFormatting>
  <conditionalFormatting sqref="H211:H227">
    <cfRule type="cellIs" dxfId="7321" priority="7317" stopIfTrue="1" operator="lessThan">
      <formula>0.05</formula>
    </cfRule>
    <cfRule type="cellIs" dxfId="7320" priority="7318" stopIfTrue="1" operator="lessThan">
      <formula>0</formula>
    </cfRule>
  </conditionalFormatting>
  <conditionalFormatting sqref="H211:H227">
    <cfRule type="cellIs" dxfId="7319" priority="7315" stopIfTrue="1" operator="lessThan">
      <formula>0</formula>
    </cfRule>
    <cfRule type="cellIs" dxfId="7318" priority="7316" stopIfTrue="1" operator="lessThan">
      <formula>0</formula>
    </cfRule>
  </conditionalFormatting>
  <conditionalFormatting sqref="H211:H227">
    <cfRule type="cellIs" dxfId="7317" priority="7313" stopIfTrue="1" operator="lessThan">
      <formula>0</formula>
    </cfRule>
    <cfRule type="cellIs" dxfId="7316" priority="7314" stopIfTrue="1" operator="lessThan">
      <formula>0</formula>
    </cfRule>
  </conditionalFormatting>
  <conditionalFormatting sqref="H211:H227">
    <cfRule type="cellIs" dxfId="7315" priority="7311" stopIfTrue="1" operator="lessThan">
      <formula>0.05</formula>
    </cfRule>
    <cfRule type="cellIs" dxfId="7314" priority="7312" stopIfTrue="1" operator="lessThan">
      <formula>0</formula>
    </cfRule>
  </conditionalFormatting>
  <conditionalFormatting sqref="H211:H227">
    <cfRule type="cellIs" dxfId="7313" priority="7309" stopIfTrue="1" operator="lessThan">
      <formula>0</formula>
    </cfRule>
    <cfRule type="cellIs" dxfId="7312" priority="7310" stopIfTrue="1" operator="lessThan">
      <formula>0</formula>
    </cfRule>
  </conditionalFormatting>
  <conditionalFormatting sqref="H211:H227">
    <cfRule type="cellIs" dxfId="7311" priority="7307" stopIfTrue="1" operator="lessThan">
      <formula>0</formula>
    </cfRule>
    <cfRule type="cellIs" dxfId="7310" priority="7308" stopIfTrue="1" operator="lessThan">
      <formula>0</formula>
    </cfRule>
  </conditionalFormatting>
  <conditionalFormatting sqref="H211:H227">
    <cfRule type="cellIs" dxfId="7309" priority="7305" stopIfTrue="1" operator="lessThan">
      <formula>0.05</formula>
    </cfRule>
    <cfRule type="cellIs" dxfId="7308" priority="7306" stopIfTrue="1" operator="lessThan">
      <formula>0</formula>
    </cfRule>
  </conditionalFormatting>
  <conditionalFormatting sqref="H211:H227">
    <cfRule type="cellIs" dxfId="7307" priority="7303" stopIfTrue="1" operator="lessThan">
      <formula>0</formula>
    </cfRule>
    <cfRule type="cellIs" dxfId="7306" priority="7304" stopIfTrue="1" operator="lessThan">
      <formula>0</formula>
    </cfRule>
  </conditionalFormatting>
  <conditionalFormatting sqref="H211:H227">
    <cfRule type="cellIs" dxfId="7305" priority="7301" stopIfTrue="1" operator="lessThan">
      <formula>0</formula>
    </cfRule>
    <cfRule type="cellIs" dxfId="7304" priority="7302" stopIfTrue="1" operator="lessThan">
      <formula>0</formula>
    </cfRule>
  </conditionalFormatting>
  <conditionalFormatting sqref="H211:H227">
    <cfRule type="cellIs" dxfId="7303" priority="7299" stopIfTrue="1" operator="lessThan">
      <formula>0.05</formula>
    </cfRule>
    <cfRule type="cellIs" dxfId="7302" priority="7300" stopIfTrue="1" operator="lessThan">
      <formula>0</formula>
    </cfRule>
  </conditionalFormatting>
  <conditionalFormatting sqref="H211:H227">
    <cfRule type="cellIs" dxfId="7301" priority="7297" stopIfTrue="1" operator="lessThan">
      <formula>0</formula>
    </cfRule>
    <cfRule type="cellIs" dxfId="7300" priority="7298" stopIfTrue="1" operator="lessThan">
      <formula>0</formula>
    </cfRule>
  </conditionalFormatting>
  <conditionalFormatting sqref="H211:H227">
    <cfRule type="cellIs" dxfId="7299" priority="7295" stopIfTrue="1" operator="lessThan">
      <formula>0</formula>
    </cfRule>
    <cfRule type="cellIs" dxfId="7298" priority="7296" stopIfTrue="1" operator="lessThan">
      <formula>0</formula>
    </cfRule>
  </conditionalFormatting>
  <conditionalFormatting sqref="H211:H227">
    <cfRule type="cellIs" dxfId="7297" priority="7293" stopIfTrue="1" operator="lessThan">
      <formula>0.05</formula>
    </cfRule>
    <cfRule type="cellIs" dxfId="7296" priority="7294" stopIfTrue="1" operator="lessThan">
      <formula>0</formula>
    </cfRule>
  </conditionalFormatting>
  <conditionalFormatting sqref="H211:H227">
    <cfRule type="cellIs" dxfId="7295" priority="7291" stopIfTrue="1" operator="lessThan">
      <formula>0</formula>
    </cfRule>
    <cfRule type="cellIs" dxfId="7294" priority="7292" stopIfTrue="1" operator="lessThan">
      <formula>0</formula>
    </cfRule>
  </conditionalFormatting>
  <conditionalFormatting sqref="H211:H227">
    <cfRule type="cellIs" dxfId="7293" priority="7289" stopIfTrue="1" operator="lessThan">
      <formula>0</formula>
    </cfRule>
    <cfRule type="cellIs" dxfId="7292" priority="7290" stopIfTrue="1" operator="lessThan">
      <formula>0</formula>
    </cfRule>
  </conditionalFormatting>
  <conditionalFormatting sqref="H211:H227">
    <cfRule type="cellIs" dxfId="7291" priority="7287" stopIfTrue="1" operator="lessThan">
      <formula>0.05</formula>
    </cfRule>
    <cfRule type="cellIs" dxfId="7290" priority="7288" stopIfTrue="1" operator="lessThan">
      <formula>0</formula>
    </cfRule>
  </conditionalFormatting>
  <conditionalFormatting sqref="H211:H227">
    <cfRule type="cellIs" dxfId="7289" priority="7285" stopIfTrue="1" operator="lessThan">
      <formula>0</formula>
    </cfRule>
    <cfRule type="cellIs" dxfId="7288" priority="7286" stopIfTrue="1" operator="lessThan">
      <formula>0</formula>
    </cfRule>
  </conditionalFormatting>
  <conditionalFormatting sqref="H211:H227">
    <cfRule type="cellIs" dxfId="7287" priority="7283" stopIfTrue="1" operator="lessThan">
      <formula>0</formula>
    </cfRule>
    <cfRule type="cellIs" dxfId="7286" priority="7284" stopIfTrue="1" operator="lessThan">
      <formula>0</formula>
    </cfRule>
  </conditionalFormatting>
  <conditionalFormatting sqref="H211:H227">
    <cfRule type="cellIs" dxfId="7285" priority="7281" stopIfTrue="1" operator="lessThan">
      <formula>0.05</formula>
    </cfRule>
    <cfRule type="cellIs" dxfId="7284" priority="7282" stopIfTrue="1" operator="lessThan">
      <formula>0</formula>
    </cfRule>
  </conditionalFormatting>
  <conditionalFormatting sqref="H211:H227">
    <cfRule type="cellIs" dxfId="7283" priority="7279" stopIfTrue="1" operator="lessThan">
      <formula>0</formula>
    </cfRule>
    <cfRule type="cellIs" dxfId="7282" priority="7280" stopIfTrue="1" operator="lessThan">
      <formula>0</formula>
    </cfRule>
  </conditionalFormatting>
  <conditionalFormatting sqref="H211:H227">
    <cfRule type="cellIs" dxfId="7281" priority="7277" stopIfTrue="1" operator="lessThan">
      <formula>0</formula>
    </cfRule>
    <cfRule type="cellIs" dxfId="7280" priority="7278" stopIfTrue="1" operator="lessThan">
      <formula>0</formula>
    </cfRule>
  </conditionalFormatting>
  <conditionalFormatting sqref="H211:H227">
    <cfRule type="cellIs" dxfId="7279" priority="7275" stopIfTrue="1" operator="lessThan">
      <formula>0.05</formula>
    </cfRule>
    <cfRule type="cellIs" dxfId="7278" priority="7276" stopIfTrue="1" operator="lessThan">
      <formula>0</formula>
    </cfRule>
  </conditionalFormatting>
  <conditionalFormatting sqref="H211:H227">
    <cfRule type="cellIs" dxfId="7277" priority="7273" stopIfTrue="1" operator="lessThan">
      <formula>0</formula>
    </cfRule>
    <cfRule type="cellIs" dxfId="7276" priority="7274" stopIfTrue="1" operator="lessThan">
      <formula>0</formula>
    </cfRule>
  </conditionalFormatting>
  <conditionalFormatting sqref="H211:H227">
    <cfRule type="cellIs" dxfId="7275" priority="7271" stopIfTrue="1" operator="lessThan">
      <formula>0.05</formula>
    </cfRule>
    <cfRule type="cellIs" dxfId="7274" priority="7272" stopIfTrue="1" operator="lessThan">
      <formula>0</formula>
    </cfRule>
  </conditionalFormatting>
  <conditionalFormatting sqref="H211:H227">
    <cfRule type="cellIs" dxfId="7273" priority="7269" stopIfTrue="1" operator="lessThan">
      <formula>0</formula>
    </cfRule>
    <cfRule type="cellIs" dxfId="7272" priority="7270" stopIfTrue="1" operator="lessThan">
      <formula>0</formula>
    </cfRule>
  </conditionalFormatting>
  <conditionalFormatting sqref="H211:H227">
    <cfRule type="cellIs" dxfId="7271" priority="7267" stopIfTrue="1" operator="lessThan">
      <formula>0.05</formula>
    </cfRule>
    <cfRule type="cellIs" dxfId="7270" priority="7268" stopIfTrue="1" operator="lessThan">
      <formula>0</formula>
    </cfRule>
  </conditionalFormatting>
  <conditionalFormatting sqref="H211:H227">
    <cfRule type="cellIs" dxfId="7269" priority="7265" stopIfTrue="1" operator="lessThan">
      <formula>0</formula>
    </cfRule>
    <cfRule type="cellIs" dxfId="7268" priority="7266" stopIfTrue="1" operator="lessThan">
      <formula>0</formula>
    </cfRule>
  </conditionalFormatting>
  <conditionalFormatting sqref="H211:H227">
    <cfRule type="cellIs" dxfId="7267" priority="7263" stopIfTrue="1" operator="lessThan">
      <formula>0</formula>
    </cfRule>
    <cfRule type="cellIs" dxfId="7266" priority="7264" stopIfTrue="1" operator="lessThan">
      <formula>0</formula>
    </cfRule>
  </conditionalFormatting>
  <conditionalFormatting sqref="H211:H227">
    <cfRule type="cellIs" dxfId="7265" priority="7261" stopIfTrue="1" operator="lessThan">
      <formula>0</formula>
    </cfRule>
    <cfRule type="cellIs" dxfId="7264" priority="7262" stopIfTrue="1" operator="lessThan">
      <formula>0</formula>
    </cfRule>
  </conditionalFormatting>
  <conditionalFormatting sqref="H211:H227">
    <cfRule type="cellIs" dxfId="7263" priority="7259" stopIfTrue="1" operator="lessThan">
      <formula>0.05</formula>
    </cfRule>
    <cfRule type="cellIs" dxfId="7262" priority="7260" stopIfTrue="1" operator="lessThan">
      <formula>0</formula>
    </cfRule>
  </conditionalFormatting>
  <conditionalFormatting sqref="H211:H227">
    <cfRule type="cellIs" dxfId="7261" priority="7257" stopIfTrue="1" operator="lessThan">
      <formula>0</formula>
    </cfRule>
    <cfRule type="cellIs" dxfId="7260" priority="7258" stopIfTrue="1" operator="lessThan">
      <formula>0</formula>
    </cfRule>
  </conditionalFormatting>
  <conditionalFormatting sqref="H211:H227">
    <cfRule type="cellIs" dxfId="7259" priority="7255" stopIfTrue="1" operator="lessThan">
      <formula>0.05</formula>
    </cfRule>
    <cfRule type="cellIs" dxfId="7258" priority="7256" stopIfTrue="1" operator="lessThan">
      <formula>0</formula>
    </cfRule>
  </conditionalFormatting>
  <conditionalFormatting sqref="H211:H227">
    <cfRule type="cellIs" dxfId="7257" priority="7253" stopIfTrue="1" operator="lessThan">
      <formula>0</formula>
    </cfRule>
    <cfRule type="cellIs" dxfId="7256" priority="7254" stopIfTrue="1" operator="lessThan">
      <formula>0</formula>
    </cfRule>
  </conditionalFormatting>
  <conditionalFormatting sqref="H211:H227">
    <cfRule type="cellIs" dxfId="7255" priority="7251" stopIfTrue="1" operator="lessThan">
      <formula>0.05</formula>
    </cfRule>
    <cfRule type="cellIs" dxfId="7254" priority="7252" stopIfTrue="1" operator="lessThan">
      <formula>0</formula>
    </cfRule>
  </conditionalFormatting>
  <conditionalFormatting sqref="H211:H227">
    <cfRule type="cellIs" dxfId="7253" priority="7249" stopIfTrue="1" operator="lessThan">
      <formula>0</formula>
    </cfRule>
    <cfRule type="cellIs" dxfId="7252" priority="7250" stopIfTrue="1" operator="lessThan">
      <formula>0</formula>
    </cfRule>
  </conditionalFormatting>
  <conditionalFormatting sqref="H211:H227">
    <cfRule type="cellIs" dxfId="7251" priority="7247" stopIfTrue="1" operator="lessThan">
      <formula>0</formula>
    </cfRule>
    <cfRule type="cellIs" dxfId="7250" priority="7248" stopIfTrue="1" operator="lessThan">
      <formula>0</formula>
    </cfRule>
  </conditionalFormatting>
  <conditionalFormatting sqref="H211:H227">
    <cfRule type="cellIs" dxfId="7249" priority="7245" stopIfTrue="1" operator="lessThan">
      <formula>0.05</formula>
    </cfRule>
    <cfRule type="cellIs" dxfId="7248" priority="7246" stopIfTrue="1" operator="lessThan">
      <formula>0</formula>
    </cfRule>
  </conditionalFormatting>
  <conditionalFormatting sqref="H211:H227">
    <cfRule type="cellIs" dxfId="7247" priority="7243" stopIfTrue="1" operator="lessThan">
      <formula>0</formula>
    </cfRule>
    <cfRule type="cellIs" dxfId="7246" priority="7244" stopIfTrue="1" operator="lessThan">
      <formula>0</formula>
    </cfRule>
  </conditionalFormatting>
  <conditionalFormatting sqref="H211:H227">
    <cfRule type="cellIs" dxfId="7245" priority="7241" stopIfTrue="1" operator="lessThan">
      <formula>0</formula>
    </cfRule>
    <cfRule type="cellIs" dxfId="7244" priority="7242" stopIfTrue="1" operator="lessThan">
      <formula>0</formula>
    </cfRule>
  </conditionalFormatting>
  <conditionalFormatting sqref="H211:H227">
    <cfRule type="cellIs" dxfId="7243" priority="7239" stopIfTrue="1" operator="lessThan">
      <formula>0.05</formula>
    </cfRule>
    <cfRule type="cellIs" dxfId="7242" priority="7240" stopIfTrue="1" operator="lessThan">
      <formula>0</formula>
    </cfRule>
  </conditionalFormatting>
  <conditionalFormatting sqref="H211:H227">
    <cfRule type="cellIs" dxfId="7241" priority="7237" stopIfTrue="1" operator="lessThan">
      <formula>0</formula>
    </cfRule>
    <cfRule type="cellIs" dxfId="7240" priority="7238" stopIfTrue="1" operator="lessThan">
      <formula>0</formula>
    </cfRule>
  </conditionalFormatting>
  <conditionalFormatting sqref="H211:H227">
    <cfRule type="cellIs" dxfId="7239" priority="7235" stopIfTrue="1" operator="lessThan">
      <formula>0</formula>
    </cfRule>
    <cfRule type="cellIs" dxfId="7238" priority="7236" stopIfTrue="1" operator="lessThan">
      <formula>0</formula>
    </cfRule>
  </conditionalFormatting>
  <conditionalFormatting sqref="H211:H227">
    <cfRule type="cellIs" dxfId="7237" priority="7233" stopIfTrue="1" operator="lessThan">
      <formula>0.05</formula>
    </cfRule>
    <cfRule type="cellIs" dxfId="7236" priority="7234" stopIfTrue="1" operator="lessThan">
      <formula>0</formula>
    </cfRule>
  </conditionalFormatting>
  <conditionalFormatting sqref="H211:H227">
    <cfRule type="cellIs" dxfId="7235" priority="7231" stopIfTrue="1" operator="lessThan">
      <formula>0</formula>
    </cfRule>
    <cfRule type="cellIs" dxfId="7234" priority="7232" stopIfTrue="1" operator="lessThan">
      <formula>0</formula>
    </cfRule>
  </conditionalFormatting>
  <conditionalFormatting sqref="H211:H227">
    <cfRule type="cellIs" dxfId="7233" priority="7229" stopIfTrue="1" operator="lessThan">
      <formula>0</formula>
    </cfRule>
    <cfRule type="cellIs" dxfId="7232" priority="7230" stopIfTrue="1" operator="lessThan">
      <formula>0</formula>
    </cfRule>
  </conditionalFormatting>
  <conditionalFormatting sqref="H211:H227">
    <cfRule type="cellIs" dxfId="7231" priority="7227" stopIfTrue="1" operator="lessThan">
      <formula>0.05</formula>
    </cfRule>
    <cfRule type="cellIs" dxfId="7230" priority="7228" stopIfTrue="1" operator="lessThan">
      <formula>0</formula>
    </cfRule>
  </conditionalFormatting>
  <conditionalFormatting sqref="H211:H227">
    <cfRule type="cellIs" dxfId="7229" priority="7225" stopIfTrue="1" operator="lessThan">
      <formula>0</formula>
    </cfRule>
    <cfRule type="cellIs" dxfId="7228" priority="7226" stopIfTrue="1" operator="lessThan">
      <formula>0</formula>
    </cfRule>
  </conditionalFormatting>
  <conditionalFormatting sqref="H211:H227">
    <cfRule type="cellIs" dxfId="7227" priority="7223" stopIfTrue="1" operator="lessThan">
      <formula>0</formula>
    </cfRule>
    <cfRule type="cellIs" dxfId="7226" priority="7224" stopIfTrue="1" operator="lessThan">
      <formula>0</formula>
    </cfRule>
  </conditionalFormatting>
  <conditionalFormatting sqref="H211:H227">
    <cfRule type="cellIs" dxfId="7225" priority="7221" stopIfTrue="1" operator="lessThan">
      <formula>0.05</formula>
    </cfRule>
    <cfRule type="cellIs" dxfId="7224" priority="7222" stopIfTrue="1" operator="lessThan">
      <formula>0</formula>
    </cfRule>
  </conditionalFormatting>
  <conditionalFormatting sqref="H211:H227">
    <cfRule type="cellIs" dxfId="7223" priority="7219" stopIfTrue="1" operator="lessThan">
      <formula>0</formula>
    </cfRule>
    <cfRule type="cellIs" dxfId="7222" priority="7220" stopIfTrue="1" operator="lessThan">
      <formula>0</formula>
    </cfRule>
  </conditionalFormatting>
  <conditionalFormatting sqref="H211:H227">
    <cfRule type="cellIs" dxfId="7221" priority="7217" stopIfTrue="1" operator="lessThan">
      <formula>0</formula>
    </cfRule>
    <cfRule type="cellIs" dxfId="7220" priority="7218" stopIfTrue="1" operator="lessThan">
      <formula>0</formula>
    </cfRule>
  </conditionalFormatting>
  <conditionalFormatting sqref="H211:H227">
    <cfRule type="cellIs" dxfId="7219" priority="7215" stopIfTrue="1" operator="lessThan">
      <formula>0.05</formula>
    </cfRule>
    <cfRule type="cellIs" dxfId="7218" priority="7216" stopIfTrue="1" operator="lessThan">
      <formula>0</formula>
    </cfRule>
  </conditionalFormatting>
  <conditionalFormatting sqref="H211:H227">
    <cfRule type="cellIs" dxfId="7217" priority="7213" stopIfTrue="1" operator="lessThan">
      <formula>0</formula>
    </cfRule>
    <cfRule type="cellIs" dxfId="7216" priority="7214" stopIfTrue="1" operator="lessThan">
      <formula>0</formula>
    </cfRule>
  </conditionalFormatting>
  <conditionalFormatting sqref="H211:H227">
    <cfRule type="cellIs" dxfId="7215" priority="7211" stopIfTrue="1" operator="lessThan">
      <formula>0</formula>
    </cfRule>
    <cfRule type="cellIs" dxfId="7214" priority="7212" stopIfTrue="1" operator="lessThan">
      <formula>0</formula>
    </cfRule>
  </conditionalFormatting>
  <conditionalFormatting sqref="H211:H227">
    <cfRule type="cellIs" dxfId="7213" priority="7209" stopIfTrue="1" operator="lessThan">
      <formula>0.05</formula>
    </cfRule>
    <cfRule type="cellIs" dxfId="7212" priority="7210" stopIfTrue="1" operator="lessThan">
      <formula>0</formula>
    </cfRule>
  </conditionalFormatting>
  <conditionalFormatting sqref="H211:H227">
    <cfRule type="cellIs" dxfId="7211" priority="7207" stopIfTrue="1" operator="lessThan">
      <formula>0</formula>
    </cfRule>
    <cfRule type="cellIs" dxfId="7210" priority="7208" stopIfTrue="1" operator="lessThan">
      <formula>0</formula>
    </cfRule>
  </conditionalFormatting>
  <conditionalFormatting sqref="H211:H227">
    <cfRule type="cellIs" dxfId="7209" priority="7205" stopIfTrue="1" operator="lessThan">
      <formula>0</formula>
    </cfRule>
    <cfRule type="cellIs" dxfId="7208" priority="7206" stopIfTrue="1" operator="lessThan">
      <formula>0</formula>
    </cfRule>
  </conditionalFormatting>
  <conditionalFormatting sqref="H211:H227">
    <cfRule type="cellIs" dxfId="7207" priority="7203" stopIfTrue="1" operator="lessThan">
      <formula>0.05</formula>
    </cfRule>
    <cfRule type="cellIs" dxfId="7206" priority="7204" stopIfTrue="1" operator="lessThan">
      <formula>0</formula>
    </cfRule>
  </conditionalFormatting>
  <conditionalFormatting sqref="H211:H227">
    <cfRule type="cellIs" dxfId="7205" priority="7201" stopIfTrue="1" operator="lessThan">
      <formula>0</formula>
    </cfRule>
    <cfRule type="cellIs" dxfId="7204" priority="7202" stopIfTrue="1" operator="lessThan">
      <formula>0</formula>
    </cfRule>
  </conditionalFormatting>
  <conditionalFormatting sqref="H211:H227">
    <cfRule type="cellIs" dxfId="7203" priority="7199" stopIfTrue="1" operator="lessThan">
      <formula>0</formula>
    </cfRule>
    <cfRule type="cellIs" dxfId="7202" priority="7200" stopIfTrue="1" operator="lessThan">
      <formula>0</formula>
    </cfRule>
  </conditionalFormatting>
  <conditionalFormatting sqref="H211:H227">
    <cfRule type="cellIs" dxfId="7201" priority="7197" stopIfTrue="1" operator="lessThan">
      <formula>0.05</formula>
    </cfRule>
    <cfRule type="cellIs" dxfId="7200" priority="7198" stopIfTrue="1" operator="lessThan">
      <formula>0</formula>
    </cfRule>
  </conditionalFormatting>
  <conditionalFormatting sqref="H211:H227">
    <cfRule type="cellIs" dxfId="7199" priority="7195" stopIfTrue="1" operator="lessThan">
      <formula>0</formula>
    </cfRule>
    <cfRule type="cellIs" dxfId="7198" priority="7196" stopIfTrue="1" operator="lessThan">
      <formula>0</formula>
    </cfRule>
  </conditionalFormatting>
  <conditionalFormatting sqref="H211:H227">
    <cfRule type="cellIs" dxfId="7197" priority="7193" stopIfTrue="1" operator="lessThan">
      <formula>0</formula>
    </cfRule>
    <cfRule type="cellIs" dxfId="7196" priority="7194" stopIfTrue="1" operator="lessThan">
      <formula>0</formula>
    </cfRule>
  </conditionalFormatting>
  <conditionalFormatting sqref="H211:H227">
    <cfRule type="cellIs" dxfId="7195" priority="7191" stopIfTrue="1" operator="lessThan">
      <formula>0.05</formula>
    </cfRule>
    <cfRule type="cellIs" dxfId="7194" priority="7192" stopIfTrue="1" operator="lessThan">
      <formula>0</formula>
    </cfRule>
  </conditionalFormatting>
  <conditionalFormatting sqref="H211:H227">
    <cfRule type="cellIs" dxfId="7193" priority="7189" stopIfTrue="1" operator="lessThan">
      <formula>0</formula>
    </cfRule>
    <cfRule type="cellIs" dxfId="7192" priority="7190" stopIfTrue="1" operator="lessThan">
      <formula>0</formula>
    </cfRule>
  </conditionalFormatting>
  <conditionalFormatting sqref="H211:H227">
    <cfRule type="cellIs" dxfId="7191" priority="7187" stopIfTrue="1" operator="lessThan">
      <formula>0</formula>
    </cfRule>
    <cfRule type="cellIs" dxfId="7190" priority="7188" stopIfTrue="1" operator="lessThan">
      <formula>0</formula>
    </cfRule>
  </conditionalFormatting>
  <conditionalFormatting sqref="H211:H227">
    <cfRule type="cellIs" dxfId="7189" priority="7185" stopIfTrue="1" operator="lessThan">
      <formula>0.05</formula>
    </cfRule>
    <cfRule type="cellIs" dxfId="7188" priority="7186" stopIfTrue="1" operator="lessThan">
      <formula>0</formula>
    </cfRule>
  </conditionalFormatting>
  <conditionalFormatting sqref="H211:H227">
    <cfRule type="cellIs" dxfId="7187" priority="7183" stopIfTrue="1" operator="lessThan">
      <formula>0</formula>
    </cfRule>
    <cfRule type="cellIs" dxfId="7186" priority="7184" stopIfTrue="1" operator="lessThan">
      <formula>0</formula>
    </cfRule>
  </conditionalFormatting>
  <conditionalFormatting sqref="H211:H227">
    <cfRule type="cellIs" dxfId="7185" priority="7181" stopIfTrue="1" operator="lessThan">
      <formula>0</formula>
    </cfRule>
    <cfRule type="cellIs" dxfId="7184" priority="7182" stopIfTrue="1" operator="lessThan">
      <formula>0</formula>
    </cfRule>
  </conditionalFormatting>
  <conditionalFormatting sqref="H211:H227">
    <cfRule type="cellIs" dxfId="7183" priority="7179" stopIfTrue="1" operator="lessThan">
      <formula>0.05</formula>
    </cfRule>
    <cfRule type="cellIs" dxfId="7182" priority="7180" stopIfTrue="1" operator="lessThan">
      <formula>0</formula>
    </cfRule>
  </conditionalFormatting>
  <conditionalFormatting sqref="H211:H227">
    <cfRule type="cellIs" dxfId="7181" priority="7177" stopIfTrue="1" operator="lessThan">
      <formula>0</formula>
    </cfRule>
    <cfRule type="cellIs" dxfId="7180" priority="7178" stopIfTrue="1" operator="lessThan">
      <formula>0</formula>
    </cfRule>
  </conditionalFormatting>
  <conditionalFormatting sqref="H211:H227">
    <cfRule type="cellIs" dxfId="7179" priority="7175" stopIfTrue="1" operator="lessThan">
      <formula>0.05</formula>
    </cfRule>
    <cfRule type="cellIs" dxfId="7178" priority="7176" stopIfTrue="1" operator="lessThan">
      <formula>0</formula>
    </cfRule>
  </conditionalFormatting>
  <conditionalFormatting sqref="H211:H227">
    <cfRule type="cellIs" dxfId="7177" priority="7173" stopIfTrue="1" operator="lessThan">
      <formula>0</formula>
    </cfRule>
    <cfRule type="cellIs" dxfId="7176" priority="7174" stopIfTrue="1" operator="lessThan">
      <formula>0</formula>
    </cfRule>
  </conditionalFormatting>
  <conditionalFormatting sqref="H211:H227">
    <cfRule type="cellIs" dxfId="7175" priority="7171" stopIfTrue="1" operator="lessThan">
      <formula>0.05</formula>
    </cfRule>
    <cfRule type="cellIs" dxfId="7174" priority="7172" stopIfTrue="1" operator="lessThan">
      <formula>0</formula>
    </cfRule>
  </conditionalFormatting>
  <conditionalFormatting sqref="H211:H227">
    <cfRule type="cellIs" dxfId="7173" priority="7169" stopIfTrue="1" operator="lessThan">
      <formula>0</formula>
    </cfRule>
    <cfRule type="cellIs" dxfId="7172" priority="7170" stopIfTrue="1" operator="lessThan">
      <formula>0</formula>
    </cfRule>
  </conditionalFormatting>
  <conditionalFormatting sqref="H211:H227">
    <cfRule type="cellIs" dxfId="7171" priority="7167" stopIfTrue="1" operator="lessThan">
      <formula>0</formula>
    </cfRule>
    <cfRule type="cellIs" dxfId="7170" priority="7168" stopIfTrue="1" operator="lessThan">
      <formula>0</formula>
    </cfRule>
  </conditionalFormatting>
  <conditionalFormatting sqref="H211:H227">
    <cfRule type="cellIs" dxfId="7169" priority="7165" stopIfTrue="1" operator="lessThan">
      <formula>0</formula>
    </cfRule>
    <cfRule type="cellIs" dxfId="7168" priority="7166" stopIfTrue="1" operator="lessThan">
      <formula>0</formula>
    </cfRule>
  </conditionalFormatting>
  <conditionalFormatting sqref="H211:H227">
    <cfRule type="cellIs" dxfId="7167" priority="7163" stopIfTrue="1" operator="lessThan">
      <formula>0.05</formula>
    </cfRule>
    <cfRule type="cellIs" dxfId="7166" priority="7164" stopIfTrue="1" operator="lessThan">
      <formula>0</formula>
    </cfRule>
  </conditionalFormatting>
  <conditionalFormatting sqref="H211:H227">
    <cfRule type="cellIs" dxfId="7165" priority="7161" stopIfTrue="1" operator="lessThan">
      <formula>0</formula>
    </cfRule>
    <cfRule type="cellIs" dxfId="7164" priority="7162" stopIfTrue="1" operator="lessThan">
      <formula>0</formula>
    </cfRule>
  </conditionalFormatting>
  <conditionalFormatting sqref="H211:H227">
    <cfRule type="cellIs" dxfId="7163" priority="7159" stopIfTrue="1" operator="lessThan">
      <formula>0.05</formula>
    </cfRule>
    <cfRule type="cellIs" dxfId="7162" priority="7160" stopIfTrue="1" operator="lessThan">
      <formula>0</formula>
    </cfRule>
  </conditionalFormatting>
  <conditionalFormatting sqref="H211:H227">
    <cfRule type="cellIs" dxfId="7161" priority="7157" stopIfTrue="1" operator="lessThan">
      <formula>0</formula>
    </cfRule>
    <cfRule type="cellIs" dxfId="7160" priority="7158" stopIfTrue="1" operator="lessThan">
      <formula>0</formula>
    </cfRule>
  </conditionalFormatting>
  <conditionalFormatting sqref="H211:H227">
    <cfRule type="cellIs" dxfId="7159" priority="7155" stopIfTrue="1" operator="lessThan">
      <formula>0.05</formula>
    </cfRule>
    <cfRule type="cellIs" dxfId="7158" priority="7156" stopIfTrue="1" operator="lessThan">
      <formula>0</formula>
    </cfRule>
  </conditionalFormatting>
  <conditionalFormatting sqref="H211:H227">
    <cfRule type="cellIs" dxfId="7157" priority="7153" stopIfTrue="1" operator="lessThan">
      <formula>0</formula>
    </cfRule>
    <cfRule type="cellIs" dxfId="7156" priority="7154" stopIfTrue="1" operator="lessThan">
      <formula>0</formula>
    </cfRule>
  </conditionalFormatting>
  <conditionalFormatting sqref="H211:H227">
    <cfRule type="cellIs" dxfId="7155" priority="7151" stopIfTrue="1" operator="lessThan">
      <formula>0</formula>
    </cfRule>
    <cfRule type="cellIs" dxfId="7154" priority="7152" stopIfTrue="1" operator="lessThan">
      <formula>0</formula>
    </cfRule>
  </conditionalFormatting>
  <conditionalFormatting sqref="H211:H227">
    <cfRule type="cellIs" dxfId="7153" priority="7149" stopIfTrue="1" operator="lessThan">
      <formula>0.05</formula>
    </cfRule>
    <cfRule type="cellIs" dxfId="7152" priority="7150" stopIfTrue="1" operator="lessThan">
      <formula>0</formula>
    </cfRule>
  </conditionalFormatting>
  <conditionalFormatting sqref="H211:H227">
    <cfRule type="cellIs" dxfId="7151" priority="7147" stopIfTrue="1" operator="lessThan">
      <formula>0</formula>
    </cfRule>
    <cfRule type="cellIs" dxfId="7150" priority="7148" stopIfTrue="1" operator="lessThan">
      <formula>0</formula>
    </cfRule>
  </conditionalFormatting>
  <conditionalFormatting sqref="H211:H227">
    <cfRule type="cellIs" dxfId="7149" priority="7145" stopIfTrue="1" operator="lessThan">
      <formula>0</formula>
    </cfRule>
    <cfRule type="cellIs" dxfId="7148" priority="7146" stopIfTrue="1" operator="lessThan">
      <formula>0</formula>
    </cfRule>
  </conditionalFormatting>
  <conditionalFormatting sqref="H211:H227">
    <cfRule type="cellIs" dxfId="7147" priority="7143" stopIfTrue="1" operator="lessThan">
      <formula>0.05</formula>
    </cfRule>
    <cfRule type="cellIs" dxfId="7146" priority="7144" stopIfTrue="1" operator="lessThan">
      <formula>0</formula>
    </cfRule>
  </conditionalFormatting>
  <conditionalFormatting sqref="H211:H227">
    <cfRule type="cellIs" dxfId="7145" priority="7141" stopIfTrue="1" operator="lessThan">
      <formula>0</formula>
    </cfRule>
    <cfRule type="cellIs" dxfId="7144" priority="7142" stopIfTrue="1" operator="lessThan">
      <formula>0</formula>
    </cfRule>
  </conditionalFormatting>
  <conditionalFormatting sqref="H211:H227">
    <cfRule type="cellIs" dxfId="7143" priority="7139" stopIfTrue="1" operator="lessThan">
      <formula>0</formula>
    </cfRule>
    <cfRule type="cellIs" dxfId="7142" priority="7140" stopIfTrue="1" operator="lessThan">
      <formula>0</formula>
    </cfRule>
  </conditionalFormatting>
  <conditionalFormatting sqref="H211:H227">
    <cfRule type="cellIs" dxfId="7141" priority="7137" stopIfTrue="1" operator="lessThan">
      <formula>0.05</formula>
    </cfRule>
    <cfRule type="cellIs" dxfId="7140" priority="7138" stopIfTrue="1" operator="lessThan">
      <formula>0</formula>
    </cfRule>
  </conditionalFormatting>
  <conditionalFormatting sqref="H211:H227">
    <cfRule type="cellIs" dxfId="7139" priority="7135" stopIfTrue="1" operator="lessThan">
      <formula>0</formula>
    </cfRule>
    <cfRule type="cellIs" dxfId="7138" priority="7136" stopIfTrue="1" operator="lessThan">
      <formula>0</formula>
    </cfRule>
  </conditionalFormatting>
  <conditionalFormatting sqref="H211:H227">
    <cfRule type="cellIs" dxfId="7137" priority="7133" stopIfTrue="1" operator="lessThan">
      <formula>0</formula>
    </cfRule>
    <cfRule type="cellIs" dxfId="7136" priority="7134" stopIfTrue="1" operator="lessThan">
      <formula>0</formula>
    </cfRule>
  </conditionalFormatting>
  <conditionalFormatting sqref="H211:H227">
    <cfRule type="cellIs" dxfId="7135" priority="7131" stopIfTrue="1" operator="lessThan">
      <formula>0.05</formula>
    </cfRule>
    <cfRule type="cellIs" dxfId="7134" priority="7132" stopIfTrue="1" operator="lessThan">
      <formula>0</formula>
    </cfRule>
  </conditionalFormatting>
  <conditionalFormatting sqref="H211:H227">
    <cfRule type="cellIs" dxfId="7133" priority="7129" stopIfTrue="1" operator="lessThan">
      <formula>0</formula>
    </cfRule>
    <cfRule type="cellIs" dxfId="7132" priority="7130" stopIfTrue="1" operator="lessThan">
      <formula>0</formula>
    </cfRule>
  </conditionalFormatting>
  <conditionalFormatting sqref="H211:H227">
    <cfRule type="cellIs" dxfId="7131" priority="7127" stopIfTrue="1" operator="lessThan">
      <formula>0</formula>
    </cfRule>
    <cfRule type="cellIs" dxfId="7130" priority="7128" stopIfTrue="1" operator="lessThan">
      <formula>0</formula>
    </cfRule>
  </conditionalFormatting>
  <conditionalFormatting sqref="H211:H227">
    <cfRule type="cellIs" dxfId="7129" priority="7125" stopIfTrue="1" operator="lessThan">
      <formula>0.05</formula>
    </cfRule>
    <cfRule type="cellIs" dxfId="7128" priority="7126" stopIfTrue="1" operator="lessThan">
      <formula>0</formula>
    </cfRule>
  </conditionalFormatting>
  <conditionalFormatting sqref="H211:H227">
    <cfRule type="cellIs" dxfId="7127" priority="7123" stopIfTrue="1" operator="lessThan">
      <formula>0</formula>
    </cfRule>
    <cfRule type="cellIs" dxfId="7126" priority="7124" stopIfTrue="1" operator="lessThan">
      <formula>0</formula>
    </cfRule>
  </conditionalFormatting>
  <conditionalFormatting sqref="H211:H227">
    <cfRule type="cellIs" dxfId="7125" priority="7121" stopIfTrue="1" operator="lessThan">
      <formula>0</formula>
    </cfRule>
    <cfRule type="cellIs" dxfId="7124" priority="7122" stopIfTrue="1" operator="lessThan">
      <formula>0</formula>
    </cfRule>
  </conditionalFormatting>
  <conditionalFormatting sqref="H211:H227">
    <cfRule type="cellIs" dxfId="7123" priority="7119" stopIfTrue="1" operator="lessThan">
      <formula>0.05</formula>
    </cfRule>
    <cfRule type="cellIs" dxfId="7122" priority="7120" stopIfTrue="1" operator="lessThan">
      <formula>0</formula>
    </cfRule>
  </conditionalFormatting>
  <conditionalFormatting sqref="H211:H227">
    <cfRule type="cellIs" dxfId="7121" priority="7117" stopIfTrue="1" operator="lessThan">
      <formula>0</formula>
    </cfRule>
    <cfRule type="cellIs" dxfId="7120" priority="7118" stopIfTrue="1" operator="lessThan">
      <formula>0</formula>
    </cfRule>
  </conditionalFormatting>
  <conditionalFormatting sqref="H211:H227">
    <cfRule type="cellIs" dxfId="7119" priority="7115" stopIfTrue="1" operator="lessThan">
      <formula>0</formula>
    </cfRule>
    <cfRule type="cellIs" dxfId="7118" priority="7116" stopIfTrue="1" operator="lessThan">
      <formula>0</formula>
    </cfRule>
  </conditionalFormatting>
  <conditionalFormatting sqref="H211:H227">
    <cfRule type="cellIs" dxfId="7117" priority="7113" stopIfTrue="1" operator="lessThan">
      <formula>0.05</formula>
    </cfRule>
    <cfRule type="cellIs" dxfId="7116" priority="7114" stopIfTrue="1" operator="lessThan">
      <formula>0</formula>
    </cfRule>
  </conditionalFormatting>
  <conditionalFormatting sqref="H211:H227">
    <cfRule type="cellIs" dxfId="7115" priority="7111" stopIfTrue="1" operator="lessThan">
      <formula>0</formula>
    </cfRule>
    <cfRule type="cellIs" dxfId="7114" priority="7112" stopIfTrue="1" operator="lessThan">
      <formula>0</formula>
    </cfRule>
  </conditionalFormatting>
  <conditionalFormatting sqref="H211:H227">
    <cfRule type="cellIs" dxfId="7113" priority="7109" stopIfTrue="1" operator="lessThan">
      <formula>0</formula>
    </cfRule>
    <cfRule type="cellIs" dxfId="7112" priority="7110" stopIfTrue="1" operator="lessThan">
      <formula>0</formula>
    </cfRule>
  </conditionalFormatting>
  <conditionalFormatting sqref="H211:H227">
    <cfRule type="cellIs" dxfId="7111" priority="7107" stopIfTrue="1" operator="lessThan">
      <formula>0.05</formula>
    </cfRule>
    <cfRule type="cellIs" dxfId="7110" priority="7108" stopIfTrue="1" operator="lessThan">
      <formula>0</formula>
    </cfRule>
  </conditionalFormatting>
  <conditionalFormatting sqref="H211:H227">
    <cfRule type="cellIs" dxfId="7109" priority="7105" stopIfTrue="1" operator="lessThan">
      <formula>0</formula>
    </cfRule>
    <cfRule type="cellIs" dxfId="7108" priority="7106" stopIfTrue="1" operator="lessThan">
      <formula>0</formula>
    </cfRule>
  </conditionalFormatting>
  <conditionalFormatting sqref="H211:H227">
    <cfRule type="cellIs" dxfId="7107" priority="7103" stopIfTrue="1" operator="lessThan">
      <formula>0</formula>
    </cfRule>
    <cfRule type="cellIs" dxfId="7106" priority="7104" stopIfTrue="1" operator="lessThan">
      <formula>0</formula>
    </cfRule>
  </conditionalFormatting>
  <conditionalFormatting sqref="H211:H227">
    <cfRule type="cellIs" dxfId="7105" priority="7101" stopIfTrue="1" operator="lessThan">
      <formula>0.05</formula>
    </cfRule>
    <cfRule type="cellIs" dxfId="7104" priority="7102" stopIfTrue="1" operator="lessThan">
      <formula>0</formula>
    </cfRule>
  </conditionalFormatting>
  <conditionalFormatting sqref="H211:H227">
    <cfRule type="cellIs" dxfId="7103" priority="7099" stopIfTrue="1" operator="lessThan">
      <formula>0</formula>
    </cfRule>
    <cfRule type="cellIs" dxfId="7102" priority="7100" stopIfTrue="1" operator="lessThan">
      <formula>0</formula>
    </cfRule>
  </conditionalFormatting>
  <conditionalFormatting sqref="H211:H227">
    <cfRule type="cellIs" dxfId="7101" priority="7097" stopIfTrue="1" operator="lessThan">
      <formula>0</formula>
    </cfRule>
    <cfRule type="cellIs" dxfId="7100" priority="7098" stopIfTrue="1" operator="lessThan">
      <formula>0</formula>
    </cfRule>
  </conditionalFormatting>
  <conditionalFormatting sqref="H211:H227">
    <cfRule type="cellIs" dxfId="7099" priority="7095" stopIfTrue="1" operator="lessThan">
      <formula>0.05</formula>
    </cfRule>
    <cfRule type="cellIs" dxfId="7098" priority="7096" stopIfTrue="1" operator="lessThan">
      <formula>0</formula>
    </cfRule>
  </conditionalFormatting>
  <conditionalFormatting sqref="H211:H227">
    <cfRule type="cellIs" dxfId="7097" priority="7093" stopIfTrue="1" operator="lessThan">
      <formula>0</formula>
    </cfRule>
    <cfRule type="cellIs" dxfId="7096" priority="7094" stopIfTrue="1" operator="lessThan">
      <formula>0</formula>
    </cfRule>
  </conditionalFormatting>
  <conditionalFormatting sqref="H211:H227">
    <cfRule type="cellIs" dxfId="7095" priority="7091" stopIfTrue="1" operator="lessThan">
      <formula>0</formula>
    </cfRule>
    <cfRule type="cellIs" dxfId="7094" priority="7092" stopIfTrue="1" operator="lessThan">
      <formula>0</formula>
    </cfRule>
  </conditionalFormatting>
  <conditionalFormatting sqref="H211:H227">
    <cfRule type="cellIs" dxfId="7093" priority="7089" stopIfTrue="1" operator="lessThan">
      <formula>0.05</formula>
    </cfRule>
    <cfRule type="cellIs" dxfId="7092" priority="7090" stopIfTrue="1" operator="lessThan">
      <formula>0</formula>
    </cfRule>
  </conditionalFormatting>
  <conditionalFormatting sqref="H211:H227">
    <cfRule type="cellIs" dxfId="7091" priority="7087" stopIfTrue="1" operator="lessThan">
      <formula>0</formula>
    </cfRule>
    <cfRule type="cellIs" dxfId="7090" priority="7088" stopIfTrue="1" operator="lessThan">
      <formula>0</formula>
    </cfRule>
  </conditionalFormatting>
  <conditionalFormatting sqref="H211:H227">
    <cfRule type="cellIs" dxfId="7089" priority="7085" stopIfTrue="1" operator="lessThan">
      <formula>0</formula>
    </cfRule>
    <cfRule type="cellIs" dxfId="7088" priority="7086" stopIfTrue="1" operator="lessThan">
      <formula>0</formula>
    </cfRule>
  </conditionalFormatting>
  <conditionalFormatting sqref="H211:H227">
    <cfRule type="cellIs" dxfId="7087" priority="7083" stopIfTrue="1" operator="lessThan">
      <formula>0.05</formula>
    </cfRule>
    <cfRule type="cellIs" dxfId="7086" priority="7084" stopIfTrue="1" operator="lessThan">
      <formula>0</formula>
    </cfRule>
  </conditionalFormatting>
  <conditionalFormatting sqref="H211:H227">
    <cfRule type="cellIs" dxfId="7085" priority="7081" stopIfTrue="1" operator="lessThan">
      <formula>0</formula>
    </cfRule>
    <cfRule type="cellIs" dxfId="7084" priority="7082" stopIfTrue="1" operator="lessThan">
      <formula>0</formula>
    </cfRule>
  </conditionalFormatting>
  <conditionalFormatting sqref="H211:H227">
    <cfRule type="cellIs" dxfId="7083" priority="7079" stopIfTrue="1" operator="lessThan">
      <formula>0</formula>
    </cfRule>
    <cfRule type="cellIs" dxfId="7082" priority="7080" stopIfTrue="1" operator="lessThan">
      <formula>0</formula>
    </cfRule>
  </conditionalFormatting>
  <conditionalFormatting sqref="H211:H227">
    <cfRule type="cellIs" dxfId="7081" priority="7077" stopIfTrue="1" operator="lessThan">
      <formula>0.05</formula>
    </cfRule>
    <cfRule type="cellIs" dxfId="7080" priority="7078" stopIfTrue="1" operator="lessThan">
      <formula>0</formula>
    </cfRule>
  </conditionalFormatting>
  <conditionalFormatting sqref="H211:H227">
    <cfRule type="cellIs" dxfId="7079" priority="7075" stopIfTrue="1" operator="lessThan">
      <formula>0</formula>
    </cfRule>
    <cfRule type="cellIs" dxfId="7078" priority="7076" stopIfTrue="1" operator="lessThan">
      <formula>0</formula>
    </cfRule>
  </conditionalFormatting>
  <conditionalFormatting sqref="H211:H227">
    <cfRule type="cellIs" dxfId="7077" priority="7073" stopIfTrue="1" operator="lessThan">
      <formula>0</formula>
    </cfRule>
    <cfRule type="cellIs" dxfId="7076" priority="7074" stopIfTrue="1" operator="lessThan">
      <formula>0</formula>
    </cfRule>
  </conditionalFormatting>
  <conditionalFormatting sqref="H211:H227">
    <cfRule type="cellIs" dxfId="7075" priority="7071" stopIfTrue="1" operator="lessThan">
      <formula>0.05</formula>
    </cfRule>
    <cfRule type="cellIs" dxfId="7074" priority="7072" stopIfTrue="1" operator="lessThan">
      <formula>0</formula>
    </cfRule>
  </conditionalFormatting>
  <conditionalFormatting sqref="H211:H227">
    <cfRule type="cellIs" dxfId="7073" priority="7069" stopIfTrue="1" operator="lessThan">
      <formula>0</formula>
    </cfRule>
    <cfRule type="cellIs" dxfId="7072" priority="7070" stopIfTrue="1" operator="lessThan">
      <formula>0</formula>
    </cfRule>
  </conditionalFormatting>
  <conditionalFormatting sqref="H211:H227">
    <cfRule type="cellIs" dxfId="7071" priority="7067" stopIfTrue="1" operator="lessThan">
      <formula>0.05</formula>
    </cfRule>
    <cfRule type="cellIs" dxfId="7070" priority="7068" stopIfTrue="1" operator="lessThan">
      <formula>0</formula>
    </cfRule>
  </conditionalFormatting>
  <conditionalFormatting sqref="H211:H227">
    <cfRule type="cellIs" dxfId="7069" priority="7065" stopIfTrue="1" operator="lessThan">
      <formula>0</formula>
    </cfRule>
    <cfRule type="cellIs" dxfId="7068" priority="7066" stopIfTrue="1" operator="lessThan">
      <formula>0</formula>
    </cfRule>
  </conditionalFormatting>
  <conditionalFormatting sqref="H211:H227">
    <cfRule type="cellIs" dxfId="7067" priority="7063" stopIfTrue="1" operator="lessThan">
      <formula>0.05</formula>
    </cfRule>
    <cfRule type="cellIs" dxfId="7066" priority="7064" stopIfTrue="1" operator="lessThan">
      <formula>0</formula>
    </cfRule>
  </conditionalFormatting>
  <conditionalFormatting sqref="H211:H227">
    <cfRule type="cellIs" dxfId="7065" priority="7061" stopIfTrue="1" operator="lessThan">
      <formula>0</formula>
    </cfRule>
    <cfRule type="cellIs" dxfId="7064" priority="7062" stopIfTrue="1" operator="lessThan">
      <formula>0</formula>
    </cfRule>
  </conditionalFormatting>
  <conditionalFormatting sqref="H211:H227">
    <cfRule type="cellIs" dxfId="7063" priority="7059" stopIfTrue="1" operator="lessThan">
      <formula>0</formula>
    </cfRule>
    <cfRule type="cellIs" dxfId="7062" priority="7060" stopIfTrue="1" operator="lessThan">
      <formula>0</formula>
    </cfRule>
  </conditionalFormatting>
  <conditionalFormatting sqref="H211:H227">
    <cfRule type="cellIs" dxfId="7061" priority="7057" stopIfTrue="1" operator="lessThan">
      <formula>0</formula>
    </cfRule>
    <cfRule type="cellIs" dxfId="7060" priority="7058" stopIfTrue="1" operator="lessThan">
      <formula>0</formula>
    </cfRule>
  </conditionalFormatting>
  <conditionalFormatting sqref="H211:H227">
    <cfRule type="cellIs" dxfId="7059" priority="7055" stopIfTrue="1" operator="lessThan">
      <formula>0.05</formula>
    </cfRule>
    <cfRule type="cellIs" dxfId="7058" priority="7056" stopIfTrue="1" operator="lessThan">
      <formula>0</formula>
    </cfRule>
  </conditionalFormatting>
  <conditionalFormatting sqref="H211:H227">
    <cfRule type="cellIs" dxfId="7057" priority="7053" stopIfTrue="1" operator="lessThan">
      <formula>0</formula>
    </cfRule>
    <cfRule type="cellIs" dxfId="7056" priority="7054" stopIfTrue="1" operator="lessThan">
      <formula>0</formula>
    </cfRule>
  </conditionalFormatting>
  <conditionalFormatting sqref="H211:H227">
    <cfRule type="cellIs" dxfId="7055" priority="7051" stopIfTrue="1" operator="lessThan">
      <formula>0.05</formula>
    </cfRule>
    <cfRule type="cellIs" dxfId="7054" priority="7052" stopIfTrue="1" operator="lessThan">
      <formula>0</formula>
    </cfRule>
  </conditionalFormatting>
  <conditionalFormatting sqref="H211:H227">
    <cfRule type="cellIs" dxfId="7053" priority="7049" stopIfTrue="1" operator="lessThan">
      <formula>0</formula>
    </cfRule>
    <cfRule type="cellIs" dxfId="7052" priority="7050" stopIfTrue="1" operator="lessThan">
      <formula>0</formula>
    </cfRule>
  </conditionalFormatting>
  <conditionalFormatting sqref="H211:H227">
    <cfRule type="cellIs" dxfId="7051" priority="7047" stopIfTrue="1" operator="lessThan">
      <formula>0.05</formula>
    </cfRule>
    <cfRule type="cellIs" dxfId="7050" priority="7048" stopIfTrue="1" operator="lessThan">
      <formula>0</formula>
    </cfRule>
  </conditionalFormatting>
  <conditionalFormatting sqref="H211:H227">
    <cfRule type="cellIs" dxfId="7049" priority="7045" stopIfTrue="1" operator="lessThan">
      <formula>0</formula>
    </cfRule>
    <cfRule type="cellIs" dxfId="7048" priority="7046" stopIfTrue="1" operator="lessThan">
      <formula>0</formula>
    </cfRule>
  </conditionalFormatting>
  <conditionalFormatting sqref="H211:H227">
    <cfRule type="cellIs" dxfId="7047" priority="7044" stopIfTrue="1" operator="lessThan">
      <formula>0.05</formula>
    </cfRule>
  </conditionalFormatting>
  <conditionalFormatting sqref="H233:H242">
    <cfRule type="cellIs" dxfId="7046" priority="7042" stopIfTrue="1" operator="lessThan">
      <formula>0</formula>
    </cfRule>
    <cfRule type="cellIs" dxfId="7045" priority="7043" stopIfTrue="1" operator="lessThan">
      <formula>0</formula>
    </cfRule>
  </conditionalFormatting>
  <conditionalFormatting sqref="H233:H242">
    <cfRule type="cellIs" dxfId="7044" priority="7040" stopIfTrue="1" operator="lessThan">
      <formula>0</formula>
    </cfRule>
    <cfRule type="cellIs" dxfId="7043" priority="7041" stopIfTrue="1" operator="lessThan">
      <formula>0</formula>
    </cfRule>
  </conditionalFormatting>
  <conditionalFormatting sqref="H233:H242">
    <cfRule type="cellIs" dxfId="7042" priority="7038" stopIfTrue="1" operator="lessThan">
      <formula>0.05</formula>
    </cfRule>
    <cfRule type="cellIs" dxfId="7041" priority="7039" stopIfTrue="1" operator="lessThan">
      <formula>0</formula>
    </cfRule>
  </conditionalFormatting>
  <conditionalFormatting sqref="H233:H242">
    <cfRule type="cellIs" dxfId="7040" priority="7036" stopIfTrue="1" operator="lessThan">
      <formula>0</formula>
    </cfRule>
    <cfRule type="cellIs" dxfId="7039" priority="7037" stopIfTrue="1" operator="lessThan">
      <formula>0</formula>
    </cfRule>
  </conditionalFormatting>
  <conditionalFormatting sqref="H233:H242">
    <cfRule type="cellIs" dxfId="7038" priority="7034" stopIfTrue="1" operator="lessThan">
      <formula>0.05</formula>
    </cfRule>
    <cfRule type="cellIs" dxfId="7037" priority="7035" stopIfTrue="1" operator="lessThan">
      <formula>0</formula>
    </cfRule>
  </conditionalFormatting>
  <conditionalFormatting sqref="H233:H242">
    <cfRule type="cellIs" dxfId="7036" priority="7032" stopIfTrue="1" operator="lessThan">
      <formula>0</formula>
    </cfRule>
    <cfRule type="cellIs" dxfId="7035" priority="7033" stopIfTrue="1" operator="lessThan">
      <formula>0</formula>
    </cfRule>
  </conditionalFormatting>
  <conditionalFormatting sqref="H233:H242">
    <cfRule type="cellIs" dxfId="7034" priority="7030" stopIfTrue="1" operator="lessThan">
      <formula>0.05</formula>
    </cfRule>
    <cfRule type="cellIs" dxfId="7033" priority="7031" stopIfTrue="1" operator="lessThan">
      <formula>0</formula>
    </cfRule>
  </conditionalFormatting>
  <conditionalFormatting sqref="H233:H242">
    <cfRule type="cellIs" dxfId="7032" priority="7028" stopIfTrue="1" operator="lessThan">
      <formula>0</formula>
    </cfRule>
    <cfRule type="cellIs" dxfId="7031" priority="7029" stopIfTrue="1" operator="lessThan">
      <formula>0</formula>
    </cfRule>
  </conditionalFormatting>
  <conditionalFormatting sqref="H233:H242">
    <cfRule type="cellIs" dxfId="7030" priority="7026" stopIfTrue="1" operator="lessThan">
      <formula>0</formula>
    </cfRule>
    <cfRule type="cellIs" dxfId="7029" priority="7027" stopIfTrue="1" operator="lessThan">
      <formula>0</formula>
    </cfRule>
  </conditionalFormatting>
  <conditionalFormatting sqref="H233:H242">
    <cfRule type="cellIs" dxfId="7028" priority="7024" stopIfTrue="1" operator="lessThan">
      <formula>0</formula>
    </cfRule>
    <cfRule type="cellIs" dxfId="7027" priority="7025" stopIfTrue="1" operator="lessThan">
      <formula>0</formula>
    </cfRule>
  </conditionalFormatting>
  <conditionalFormatting sqref="H233:H242">
    <cfRule type="cellIs" dxfId="7026" priority="7022" stopIfTrue="1" operator="lessThan">
      <formula>0.05</formula>
    </cfRule>
    <cfRule type="cellIs" dxfId="7025" priority="7023" stopIfTrue="1" operator="lessThan">
      <formula>0</formula>
    </cfRule>
  </conditionalFormatting>
  <conditionalFormatting sqref="H233:H242">
    <cfRule type="cellIs" dxfId="7024" priority="7020" stopIfTrue="1" operator="lessThan">
      <formula>0</formula>
    </cfRule>
    <cfRule type="cellIs" dxfId="7023" priority="7021" stopIfTrue="1" operator="lessThan">
      <formula>0</formula>
    </cfRule>
  </conditionalFormatting>
  <conditionalFormatting sqref="H233:H242">
    <cfRule type="cellIs" dxfId="7022" priority="7018" stopIfTrue="1" operator="lessThan">
      <formula>0.05</formula>
    </cfRule>
    <cfRule type="cellIs" dxfId="7021" priority="7019" stopIfTrue="1" operator="lessThan">
      <formula>0</formula>
    </cfRule>
  </conditionalFormatting>
  <conditionalFormatting sqref="H233:H242">
    <cfRule type="cellIs" dxfId="7020" priority="7016" stopIfTrue="1" operator="lessThan">
      <formula>0</formula>
    </cfRule>
    <cfRule type="cellIs" dxfId="7019" priority="7017" stopIfTrue="1" operator="lessThan">
      <formula>0</formula>
    </cfRule>
  </conditionalFormatting>
  <conditionalFormatting sqref="H233:H242">
    <cfRule type="cellIs" dxfId="7018" priority="7014" stopIfTrue="1" operator="lessThan">
      <formula>0.05</formula>
    </cfRule>
    <cfRule type="cellIs" dxfId="7017" priority="7015" stopIfTrue="1" operator="lessThan">
      <formula>0</formula>
    </cfRule>
  </conditionalFormatting>
  <conditionalFormatting sqref="H233:H242">
    <cfRule type="cellIs" dxfId="7016" priority="7012" stopIfTrue="1" operator="lessThan">
      <formula>0</formula>
    </cfRule>
    <cfRule type="cellIs" dxfId="7015" priority="7013" stopIfTrue="1" operator="lessThan">
      <formula>0</formula>
    </cfRule>
  </conditionalFormatting>
  <conditionalFormatting sqref="H233:H242">
    <cfRule type="cellIs" dxfId="7014" priority="7010" stopIfTrue="1" operator="lessThan">
      <formula>0</formula>
    </cfRule>
    <cfRule type="cellIs" dxfId="7013" priority="7011" stopIfTrue="1" operator="lessThan">
      <formula>0</formula>
    </cfRule>
  </conditionalFormatting>
  <conditionalFormatting sqref="H233:H242">
    <cfRule type="cellIs" dxfId="7012" priority="7008" stopIfTrue="1" operator="lessThan">
      <formula>0</formula>
    </cfRule>
    <cfRule type="cellIs" dxfId="7011" priority="7009" stopIfTrue="1" operator="lessThan">
      <formula>0</formula>
    </cfRule>
  </conditionalFormatting>
  <conditionalFormatting sqref="H233:H242">
    <cfRule type="cellIs" dxfId="7010" priority="7006" stopIfTrue="1" operator="lessThan">
      <formula>0.05</formula>
    </cfRule>
    <cfRule type="cellIs" dxfId="7009" priority="7007" stopIfTrue="1" operator="lessThan">
      <formula>0</formula>
    </cfRule>
  </conditionalFormatting>
  <conditionalFormatting sqref="H233:H242">
    <cfRule type="cellIs" dxfId="7008" priority="7004" stopIfTrue="1" operator="lessThan">
      <formula>0</formula>
    </cfRule>
    <cfRule type="cellIs" dxfId="7007" priority="7005" stopIfTrue="1" operator="lessThan">
      <formula>0</formula>
    </cfRule>
  </conditionalFormatting>
  <conditionalFormatting sqref="H233:H242">
    <cfRule type="cellIs" dxfId="7006" priority="7002" stopIfTrue="1" operator="lessThan">
      <formula>0.05</formula>
    </cfRule>
    <cfRule type="cellIs" dxfId="7005" priority="7003" stopIfTrue="1" operator="lessThan">
      <formula>0</formula>
    </cfRule>
  </conditionalFormatting>
  <conditionalFormatting sqref="H233:H242">
    <cfRule type="cellIs" dxfId="7004" priority="7000" stopIfTrue="1" operator="lessThan">
      <formula>0</formula>
    </cfRule>
    <cfRule type="cellIs" dxfId="7003" priority="7001" stopIfTrue="1" operator="lessThan">
      <formula>0</formula>
    </cfRule>
  </conditionalFormatting>
  <conditionalFormatting sqref="H233:H242">
    <cfRule type="cellIs" dxfId="7002" priority="6998" stopIfTrue="1" operator="lessThan">
      <formula>0.05</formula>
    </cfRule>
    <cfRule type="cellIs" dxfId="7001" priority="6999" stopIfTrue="1" operator="lessThan">
      <formula>0</formula>
    </cfRule>
  </conditionalFormatting>
  <conditionalFormatting sqref="H233:H242">
    <cfRule type="cellIs" dxfId="7000" priority="6996" stopIfTrue="1" operator="lessThan">
      <formula>0</formula>
    </cfRule>
    <cfRule type="cellIs" dxfId="6999" priority="6997" stopIfTrue="1" operator="lessThan">
      <formula>0</formula>
    </cfRule>
  </conditionalFormatting>
  <conditionalFormatting sqref="H233:H242">
    <cfRule type="cellIs" dxfId="6998" priority="6994" stopIfTrue="1" operator="lessThan">
      <formula>0</formula>
    </cfRule>
    <cfRule type="cellIs" dxfId="6997" priority="6995" stopIfTrue="1" operator="lessThan">
      <formula>0</formula>
    </cfRule>
  </conditionalFormatting>
  <conditionalFormatting sqref="H233:H242">
    <cfRule type="cellIs" dxfId="6996" priority="6992" stopIfTrue="1" operator="lessThan">
      <formula>0</formula>
    </cfRule>
    <cfRule type="cellIs" dxfId="6995" priority="6993" stopIfTrue="1" operator="lessThan">
      <formula>0</formula>
    </cfRule>
  </conditionalFormatting>
  <conditionalFormatting sqref="H233:H242">
    <cfRule type="cellIs" dxfId="6994" priority="6990" stopIfTrue="1" operator="lessThan">
      <formula>0.05</formula>
    </cfRule>
    <cfRule type="cellIs" dxfId="6993" priority="6991" stopIfTrue="1" operator="lessThan">
      <formula>0</formula>
    </cfRule>
  </conditionalFormatting>
  <conditionalFormatting sqref="H233:H242">
    <cfRule type="cellIs" dxfId="6992" priority="6988" stopIfTrue="1" operator="lessThan">
      <formula>0</formula>
    </cfRule>
    <cfRule type="cellIs" dxfId="6991" priority="6989" stopIfTrue="1" operator="lessThan">
      <formula>0</formula>
    </cfRule>
  </conditionalFormatting>
  <conditionalFormatting sqref="H233:H242">
    <cfRule type="cellIs" dxfId="6990" priority="6986" stopIfTrue="1" operator="lessThan">
      <formula>0.05</formula>
    </cfRule>
    <cfRule type="cellIs" dxfId="6989" priority="6987" stopIfTrue="1" operator="lessThan">
      <formula>0</formula>
    </cfRule>
  </conditionalFormatting>
  <conditionalFormatting sqref="H233:H242">
    <cfRule type="cellIs" dxfId="6988" priority="6984" stopIfTrue="1" operator="lessThan">
      <formula>0</formula>
    </cfRule>
    <cfRule type="cellIs" dxfId="6987" priority="6985" stopIfTrue="1" operator="lessThan">
      <formula>0</formula>
    </cfRule>
  </conditionalFormatting>
  <conditionalFormatting sqref="H233:H242">
    <cfRule type="cellIs" dxfId="6986" priority="6982" stopIfTrue="1" operator="lessThan">
      <formula>0.05</formula>
    </cfRule>
    <cfRule type="cellIs" dxfId="6985" priority="6983" stopIfTrue="1" operator="lessThan">
      <formula>0</formula>
    </cfRule>
  </conditionalFormatting>
  <conditionalFormatting sqref="H233:H242">
    <cfRule type="cellIs" dxfId="6984" priority="6980" stopIfTrue="1" operator="lessThan">
      <formula>0</formula>
    </cfRule>
    <cfRule type="cellIs" dxfId="6983" priority="6981" stopIfTrue="1" operator="lessThan">
      <formula>0</formula>
    </cfRule>
  </conditionalFormatting>
  <conditionalFormatting sqref="H233:H242">
    <cfRule type="cellIs" dxfId="6982" priority="6978" stopIfTrue="1" operator="lessThan">
      <formula>0</formula>
    </cfRule>
    <cfRule type="cellIs" dxfId="6981" priority="6979" stopIfTrue="1" operator="lessThan">
      <formula>0</formula>
    </cfRule>
  </conditionalFormatting>
  <conditionalFormatting sqref="H233:H242">
    <cfRule type="cellIs" dxfId="6980" priority="6976" stopIfTrue="1" operator="lessThan">
      <formula>0.05</formula>
    </cfRule>
    <cfRule type="cellIs" dxfId="6979" priority="6977" stopIfTrue="1" operator="lessThan">
      <formula>0</formula>
    </cfRule>
  </conditionalFormatting>
  <conditionalFormatting sqref="H233:H242">
    <cfRule type="cellIs" dxfId="6978" priority="6974" stopIfTrue="1" operator="lessThan">
      <formula>0</formula>
    </cfRule>
    <cfRule type="cellIs" dxfId="6977" priority="6975" stopIfTrue="1" operator="lessThan">
      <formula>0</formula>
    </cfRule>
  </conditionalFormatting>
  <conditionalFormatting sqref="H233:H242">
    <cfRule type="cellIs" dxfId="6976" priority="6972" stopIfTrue="1" operator="lessThan">
      <formula>0</formula>
    </cfRule>
    <cfRule type="cellIs" dxfId="6975" priority="6973" stopIfTrue="1" operator="lessThan">
      <formula>0</formula>
    </cfRule>
  </conditionalFormatting>
  <conditionalFormatting sqref="H233:H242">
    <cfRule type="cellIs" dxfId="6974" priority="6970" stopIfTrue="1" operator="lessThan">
      <formula>0.05</formula>
    </cfRule>
    <cfRule type="cellIs" dxfId="6973" priority="6971" stopIfTrue="1" operator="lessThan">
      <formula>0</formula>
    </cfRule>
  </conditionalFormatting>
  <conditionalFormatting sqref="H233:H242">
    <cfRule type="cellIs" dxfId="6972" priority="6968" stopIfTrue="1" operator="lessThan">
      <formula>0</formula>
    </cfRule>
    <cfRule type="cellIs" dxfId="6971" priority="6969" stopIfTrue="1" operator="lessThan">
      <formula>0</formula>
    </cfRule>
  </conditionalFormatting>
  <conditionalFormatting sqref="H233:H242">
    <cfRule type="cellIs" dxfId="6970" priority="6966" stopIfTrue="1" operator="lessThan">
      <formula>0</formula>
    </cfRule>
    <cfRule type="cellIs" dxfId="6969" priority="6967" stopIfTrue="1" operator="lessThan">
      <formula>0</formula>
    </cfRule>
  </conditionalFormatting>
  <conditionalFormatting sqref="H233:H242">
    <cfRule type="cellIs" dxfId="6968" priority="6964" stopIfTrue="1" operator="lessThan">
      <formula>0.05</formula>
    </cfRule>
    <cfRule type="cellIs" dxfId="6967" priority="6965" stopIfTrue="1" operator="lessThan">
      <formula>0</formula>
    </cfRule>
  </conditionalFormatting>
  <conditionalFormatting sqref="H233:H242">
    <cfRule type="cellIs" dxfId="6966" priority="6962" stopIfTrue="1" operator="lessThan">
      <formula>0</formula>
    </cfRule>
    <cfRule type="cellIs" dxfId="6965" priority="6963" stopIfTrue="1" operator="lessThan">
      <formula>0</formula>
    </cfRule>
  </conditionalFormatting>
  <conditionalFormatting sqref="H233:H242">
    <cfRule type="cellIs" dxfId="6964" priority="6960" stopIfTrue="1" operator="lessThan">
      <formula>0</formula>
    </cfRule>
    <cfRule type="cellIs" dxfId="6963" priority="6961" stopIfTrue="1" operator="lessThan">
      <formula>0</formula>
    </cfRule>
  </conditionalFormatting>
  <conditionalFormatting sqref="H233:H242">
    <cfRule type="cellIs" dxfId="6962" priority="6958" stopIfTrue="1" operator="lessThan">
      <formula>0.05</formula>
    </cfRule>
    <cfRule type="cellIs" dxfId="6961" priority="6959" stopIfTrue="1" operator="lessThan">
      <formula>0</formula>
    </cfRule>
  </conditionalFormatting>
  <conditionalFormatting sqref="H233:H242">
    <cfRule type="cellIs" dxfId="6960" priority="6956" stopIfTrue="1" operator="lessThan">
      <formula>0</formula>
    </cfRule>
    <cfRule type="cellIs" dxfId="6959" priority="6957" stopIfTrue="1" operator="lessThan">
      <formula>0</formula>
    </cfRule>
  </conditionalFormatting>
  <conditionalFormatting sqref="H233:H242">
    <cfRule type="cellIs" dxfId="6958" priority="6954" stopIfTrue="1" operator="lessThan">
      <formula>0</formula>
    </cfRule>
    <cfRule type="cellIs" dxfId="6957" priority="6955" stopIfTrue="1" operator="lessThan">
      <formula>0</formula>
    </cfRule>
  </conditionalFormatting>
  <conditionalFormatting sqref="H233:H242">
    <cfRule type="cellIs" dxfId="6956" priority="6952" stopIfTrue="1" operator="lessThan">
      <formula>0.05</formula>
    </cfRule>
    <cfRule type="cellIs" dxfId="6955" priority="6953" stopIfTrue="1" operator="lessThan">
      <formula>0</formula>
    </cfRule>
  </conditionalFormatting>
  <conditionalFormatting sqref="H233:H242">
    <cfRule type="cellIs" dxfId="6954" priority="6950" stopIfTrue="1" operator="lessThan">
      <formula>0</formula>
    </cfRule>
    <cfRule type="cellIs" dxfId="6953" priority="6951" stopIfTrue="1" operator="lessThan">
      <formula>0</formula>
    </cfRule>
  </conditionalFormatting>
  <conditionalFormatting sqref="H233:H242">
    <cfRule type="cellIs" dxfId="6952" priority="6948" stopIfTrue="1" operator="lessThan">
      <formula>0</formula>
    </cfRule>
    <cfRule type="cellIs" dxfId="6951" priority="6949" stopIfTrue="1" operator="lessThan">
      <formula>0</formula>
    </cfRule>
  </conditionalFormatting>
  <conditionalFormatting sqref="H233:H242">
    <cfRule type="cellIs" dxfId="6950" priority="6946" stopIfTrue="1" operator="lessThan">
      <formula>0.05</formula>
    </cfRule>
    <cfRule type="cellIs" dxfId="6949" priority="6947" stopIfTrue="1" operator="lessThan">
      <formula>0</formula>
    </cfRule>
  </conditionalFormatting>
  <conditionalFormatting sqref="H233:H242">
    <cfRule type="cellIs" dxfId="6948" priority="6944" stopIfTrue="1" operator="lessThan">
      <formula>0</formula>
    </cfRule>
    <cfRule type="cellIs" dxfId="6947" priority="6945" stopIfTrue="1" operator="lessThan">
      <formula>0</formula>
    </cfRule>
  </conditionalFormatting>
  <conditionalFormatting sqref="H233:H242">
    <cfRule type="cellIs" dxfId="6946" priority="6942" stopIfTrue="1" operator="lessThan">
      <formula>0</formula>
    </cfRule>
    <cfRule type="cellIs" dxfId="6945" priority="6943" stopIfTrue="1" operator="lessThan">
      <formula>0</formula>
    </cfRule>
  </conditionalFormatting>
  <conditionalFormatting sqref="H233:H242">
    <cfRule type="cellIs" dxfId="6944" priority="6940" stopIfTrue="1" operator="lessThan">
      <formula>0.05</formula>
    </cfRule>
    <cfRule type="cellIs" dxfId="6943" priority="6941" stopIfTrue="1" operator="lessThan">
      <formula>0</formula>
    </cfRule>
  </conditionalFormatting>
  <conditionalFormatting sqref="H233:H242">
    <cfRule type="cellIs" dxfId="6942" priority="6938" stopIfTrue="1" operator="lessThan">
      <formula>0</formula>
    </cfRule>
    <cfRule type="cellIs" dxfId="6941" priority="6939" stopIfTrue="1" operator="lessThan">
      <formula>0</formula>
    </cfRule>
  </conditionalFormatting>
  <conditionalFormatting sqref="H233:H242">
    <cfRule type="cellIs" dxfId="6940" priority="6936" stopIfTrue="1" operator="lessThan">
      <formula>0</formula>
    </cfRule>
    <cfRule type="cellIs" dxfId="6939" priority="6937" stopIfTrue="1" operator="lessThan">
      <formula>0</formula>
    </cfRule>
  </conditionalFormatting>
  <conditionalFormatting sqref="H233:H242">
    <cfRule type="cellIs" dxfId="6938" priority="6934" stopIfTrue="1" operator="lessThan">
      <formula>0.05</formula>
    </cfRule>
    <cfRule type="cellIs" dxfId="6937" priority="6935" stopIfTrue="1" operator="lessThan">
      <formula>0</formula>
    </cfRule>
  </conditionalFormatting>
  <conditionalFormatting sqref="H233:H242">
    <cfRule type="cellIs" dxfId="6936" priority="6932" stopIfTrue="1" operator="lessThan">
      <formula>0</formula>
    </cfRule>
    <cfRule type="cellIs" dxfId="6935" priority="6933" stopIfTrue="1" operator="lessThan">
      <formula>0</formula>
    </cfRule>
  </conditionalFormatting>
  <conditionalFormatting sqref="H233:H242">
    <cfRule type="cellIs" dxfId="6934" priority="6930" stopIfTrue="1" operator="lessThan">
      <formula>0</formula>
    </cfRule>
    <cfRule type="cellIs" dxfId="6933" priority="6931" stopIfTrue="1" operator="lessThan">
      <formula>0</formula>
    </cfRule>
  </conditionalFormatting>
  <conditionalFormatting sqref="H233:H242">
    <cfRule type="cellIs" dxfId="6932" priority="6928" stopIfTrue="1" operator="lessThan">
      <formula>0.05</formula>
    </cfRule>
    <cfRule type="cellIs" dxfId="6931" priority="6929" stopIfTrue="1" operator="lessThan">
      <formula>0</formula>
    </cfRule>
  </conditionalFormatting>
  <conditionalFormatting sqref="H233:H242">
    <cfRule type="cellIs" dxfId="6930" priority="6926" stopIfTrue="1" operator="lessThan">
      <formula>0</formula>
    </cfRule>
    <cfRule type="cellIs" dxfId="6929" priority="6927" stopIfTrue="1" operator="lessThan">
      <formula>0</formula>
    </cfRule>
  </conditionalFormatting>
  <conditionalFormatting sqref="H233:H242">
    <cfRule type="cellIs" dxfId="6928" priority="6924" stopIfTrue="1" operator="lessThan">
      <formula>0</formula>
    </cfRule>
    <cfRule type="cellIs" dxfId="6927" priority="6925" stopIfTrue="1" operator="lessThan">
      <formula>0</formula>
    </cfRule>
  </conditionalFormatting>
  <conditionalFormatting sqref="H233:H242">
    <cfRule type="cellIs" dxfId="6926" priority="6922" stopIfTrue="1" operator="lessThan">
      <formula>0.05</formula>
    </cfRule>
    <cfRule type="cellIs" dxfId="6925" priority="6923" stopIfTrue="1" operator="lessThan">
      <formula>0</formula>
    </cfRule>
  </conditionalFormatting>
  <conditionalFormatting sqref="H233:H242">
    <cfRule type="cellIs" dxfId="6924" priority="6920" stopIfTrue="1" operator="lessThan">
      <formula>0</formula>
    </cfRule>
    <cfRule type="cellIs" dxfId="6923" priority="6921" stopIfTrue="1" operator="lessThan">
      <formula>0</formula>
    </cfRule>
  </conditionalFormatting>
  <conditionalFormatting sqref="H233:H242">
    <cfRule type="cellIs" dxfId="6922" priority="6918" stopIfTrue="1" operator="lessThan">
      <formula>0</formula>
    </cfRule>
    <cfRule type="cellIs" dxfId="6921" priority="6919" stopIfTrue="1" operator="lessThan">
      <formula>0</formula>
    </cfRule>
  </conditionalFormatting>
  <conditionalFormatting sqref="H233:H242">
    <cfRule type="cellIs" dxfId="6920" priority="6916" stopIfTrue="1" operator="lessThan">
      <formula>0.05</formula>
    </cfRule>
    <cfRule type="cellIs" dxfId="6919" priority="6917" stopIfTrue="1" operator="lessThan">
      <formula>0</formula>
    </cfRule>
  </conditionalFormatting>
  <conditionalFormatting sqref="H233:H242">
    <cfRule type="cellIs" dxfId="6918" priority="6914" stopIfTrue="1" operator="lessThan">
      <formula>0</formula>
    </cfRule>
    <cfRule type="cellIs" dxfId="6917" priority="6915" stopIfTrue="1" operator="lessThan">
      <formula>0</formula>
    </cfRule>
  </conditionalFormatting>
  <conditionalFormatting sqref="H233:H242">
    <cfRule type="cellIs" dxfId="6916" priority="6912" stopIfTrue="1" operator="lessThan">
      <formula>0</formula>
    </cfRule>
    <cfRule type="cellIs" dxfId="6915" priority="6913" stopIfTrue="1" operator="lessThan">
      <formula>0</formula>
    </cfRule>
  </conditionalFormatting>
  <conditionalFormatting sqref="H233:H242">
    <cfRule type="cellIs" dxfId="6914" priority="6910" stopIfTrue="1" operator="lessThan">
      <formula>0.05</formula>
    </cfRule>
    <cfRule type="cellIs" dxfId="6913" priority="6911" stopIfTrue="1" operator="lessThan">
      <formula>0</formula>
    </cfRule>
  </conditionalFormatting>
  <conditionalFormatting sqref="H233:H242">
    <cfRule type="cellIs" dxfId="6912" priority="6908" stopIfTrue="1" operator="lessThan">
      <formula>0</formula>
    </cfRule>
    <cfRule type="cellIs" dxfId="6911" priority="6909" stopIfTrue="1" operator="lessThan">
      <formula>0</formula>
    </cfRule>
  </conditionalFormatting>
  <conditionalFormatting sqref="H233:H242">
    <cfRule type="cellIs" dxfId="6910" priority="6906" stopIfTrue="1" operator="lessThan">
      <formula>0</formula>
    </cfRule>
    <cfRule type="cellIs" dxfId="6909" priority="6907" stopIfTrue="1" operator="lessThan">
      <formula>0</formula>
    </cfRule>
  </conditionalFormatting>
  <conditionalFormatting sqref="H233:H242">
    <cfRule type="cellIs" dxfId="6908" priority="6904" stopIfTrue="1" operator="lessThan">
      <formula>0.05</formula>
    </cfRule>
    <cfRule type="cellIs" dxfId="6907" priority="6905" stopIfTrue="1" operator="lessThan">
      <formula>0</formula>
    </cfRule>
  </conditionalFormatting>
  <conditionalFormatting sqref="H233:H242">
    <cfRule type="cellIs" dxfId="6906" priority="6902" stopIfTrue="1" operator="lessThan">
      <formula>0</formula>
    </cfRule>
    <cfRule type="cellIs" dxfId="6905" priority="6903" stopIfTrue="1" operator="lessThan">
      <formula>0</formula>
    </cfRule>
  </conditionalFormatting>
  <conditionalFormatting sqref="H233:H242">
    <cfRule type="cellIs" dxfId="6904" priority="6900" stopIfTrue="1" operator="lessThan">
      <formula>0</formula>
    </cfRule>
    <cfRule type="cellIs" dxfId="6903" priority="6901" stopIfTrue="1" operator="lessThan">
      <formula>0</formula>
    </cfRule>
  </conditionalFormatting>
  <conditionalFormatting sqref="H233:H242">
    <cfRule type="cellIs" dxfId="6902" priority="6898" stopIfTrue="1" operator="lessThan">
      <formula>0.05</formula>
    </cfRule>
    <cfRule type="cellIs" dxfId="6901" priority="6899" stopIfTrue="1" operator="lessThan">
      <formula>0</formula>
    </cfRule>
  </conditionalFormatting>
  <conditionalFormatting sqref="H233:H242">
    <cfRule type="cellIs" dxfId="6900" priority="6896" stopIfTrue="1" operator="lessThan">
      <formula>0</formula>
    </cfRule>
    <cfRule type="cellIs" dxfId="6899" priority="6897" stopIfTrue="1" operator="lessThan">
      <formula>0</formula>
    </cfRule>
  </conditionalFormatting>
  <conditionalFormatting sqref="H233:H242">
    <cfRule type="cellIs" dxfId="6898" priority="6894" stopIfTrue="1" operator="lessThan">
      <formula>0</formula>
    </cfRule>
    <cfRule type="cellIs" dxfId="6897" priority="6895" stopIfTrue="1" operator="lessThan">
      <formula>0</formula>
    </cfRule>
  </conditionalFormatting>
  <conditionalFormatting sqref="H233:H242">
    <cfRule type="cellIs" dxfId="6896" priority="6892" stopIfTrue="1" operator="lessThan">
      <formula>0.05</formula>
    </cfRule>
    <cfRule type="cellIs" dxfId="6895" priority="6893" stopIfTrue="1" operator="lessThan">
      <formula>0</formula>
    </cfRule>
  </conditionalFormatting>
  <conditionalFormatting sqref="H233:H242">
    <cfRule type="cellIs" dxfId="6894" priority="6890" stopIfTrue="1" operator="lessThan">
      <formula>0</formula>
    </cfRule>
    <cfRule type="cellIs" dxfId="6893" priority="6891" stopIfTrue="1" operator="lessThan">
      <formula>0</formula>
    </cfRule>
  </conditionalFormatting>
  <conditionalFormatting sqref="H233:H242">
    <cfRule type="cellIs" dxfId="6892" priority="6888" stopIfTrue="1" operator="lessThan">
      <formula>0</formula>
    </cfRule>
    <cfRule type="cellIs" dxfId="6891" priority="6889" stopIfTrue="1" operator="lessThan">
      <formula>0</formula>
    </cfRule>
  </conditionalFormatting>
  <conditionalFormatting sqref="H233:H242">
    <cfRule type="cellIs" dxfId="6890" priority="6886" stopIfTrue="1" operator="lessThan">
      <formula>0.05</formula>
    </cfRule>
    <cfRule type="cellIs" dxfId="6889" priority="6887" stopIfTrue="1" operator="lessThan">
      <formula>0</formula>
    </cfRule>
  </conditionalFormatting>
  <conditionalFormatting sqref="H233:H242">
    <cfRule type="cellIs" dxfId="6888" priority="6884" stopIfTrue="1" operator="lessThan">
      <formula>0</formula>
    </cfRule>
    <cfRule type="cellIs" dxfId="6887" priority="6885" stopIfTrue="1" operator="lessThan">
      <formula>0</formula>
    </cfRule>
  </conditionalFormatting>
  <conditionalFormatting sqref="H233:H242">
    <cfRule type="cellIs" dxfId="6886" priority="6882" stopIfTrue="1" operator="lessThan">
      <formula>0.05</formula>
    </cfRule>
    <cfRule type="cellIs" dxfId="6885" priority="6883" stopIfTrue="1" operator="lessThan">
      <formula>0</formula>
    </cfRule>
  </conditionalFormatting>
  <conditionalFormatting sqref="H233:H242">
    <cfRule type="cellIs" dxfId="6884" priority="6880" stopIfTrue="1" operator="lessThan">
      <formula>0</formula>
    </cfRule>
    <cfRule type="cellIs" dxfId="6883" priority="6881" stopIfTrue="1" operator="lessThan">
      <formula>0</formula>
    </cfRule>
  </conditionalFormatting>
  <conditionalFormatting sqref="H233:H242">
    <cfRule type="cellIs" dxfId="6882" priority="6878" stopIfTrue="1" operator="lessThan">
      <formula>0.05</formula>
    </cfRule>
    <cfRule type="cellIs" dxfId="6881" priority="6879" stopIfTrue="1" operator="lessThan">
      <formula>0</formula>
    </cfRule>
  </conditionalFormatting>
  <conditionalFormatting sqref="H233:H242">
    <cfRule type="cellIs" dxfId="6880" priority="6876" stopIfTrue="1" operator="lessThan">
      <formula>0</formula>
    </cfRule>
    <cfRule type="cellIs" dxfId="6879" priority="6877" stopIfTrue="1" operator="lessThan">
      <formula>0</formula>
    </cfRule>
  </conditionalFormatting>
  <conditionalFormatting sqref="H233:H242">
    <cfRule type="cellIs" dxfId="6878" priority="6874" stopIfTrue="1" operator="lessThan">
      <formula>0</formula>
    </cfRule>
    <cfRule type="cellIs" dxfId="6877" priority="6875" stopIfTrue="1" operator="lessThan">
      <formula>0</formula>
    </cfRule>
  </conditionalFormatting>
  <conditionalFormatting sqref="H233:H242">
    <cfRule type="cellIs" dxfId="6876" priority="6872" stopIfTrue="1" operator="lessThan">
      <formula>0</formula>
    </cfRule>
    <cfRule type="cellIs" dxfId="6875" priority="6873" stopIfTrue="1" operator="lessThan">
      <formula>0</formula>
    </cfRule>
  </conditionalFormatting>
  <conditionalFormatting sqref="H233:H242">
    <cfRule type="cellIs" dxfId="6874" priority="6870" stopIfTrue="1" operator="lessThan">
      <formula>0.05</formula>
    </cfRule>
    <cfRule type="cellIs" dxfId="6873" priority="6871" stopIfTrue="1" operator="lessThan">
      <formula>0</formula>
    </cfRule>
  </conditionalFormatting>
  <conditionalFormatting sqref="H233:H242">
    <cfRule type="cellIs" dxfId="6872" priority="6868" stopIfTrue="1" operator="lessThan">
      <formula>0</formula>
    </cfRule>
    <cfRule type="cellIs" dxfId="6871" priority="6869" stopIfTrue="1" operator="lessThan">
      <formula>0</formula>
    </cfRule>
  </conditionalFormatting>
  <conditionalFormatting sqref="H233:H242">
    <cfRule type="cellIs" dxfId="6870" priority="6866" stopIfTrue="1" operator="lessThan">
      <formula>0.05</formula>
    </cfRule>
    <cfRule type="cellIs" dxfId="6869" priority="6867" stopIfTrue="1" operator="lessThan">
      <formula>0</formula>
    </cfRule>
  </conditionalFormatting>
  <conditionalFormatting sqref="H233:H242">
    <cfRule type="cellIs" dxfId="6868" priority="6864" stopIfTrue="1" operator="lessThan">
      <formula>0</formula>
    </cfRule>
    <cfRule type="cellIs" dxfId="6867" priority="6865" stopIfTrue="1" operator="lessThan">
      <formula>0</formula>
    </cfRule>
  </conditionalFormatting>
  <conditionalFormatting sqref="H233:H242">
    <cfRule type="cellIs" dxfId="6866" priority="6862" stopIfTrue="1" operator="lessThan">
      <formula>0.05</formula>
    </cfRule>
    <cfRule type="cellIs" dxfId="6865" priority="6863" stopIfTrue="1" operator="lessThan">
      <formula>0</formula>
    </cfRule>
  </conditionalFormatting>
  <conditionalFormatting sqref="H233:H242">
    <cfRule type="cellIs" dxfId="6864" priority="6860" stopIfTrue="1" operator="lessThan">
      <formula>0</formula>
    </cfRule>
    <cfRule type="cellIs" dxfId="6863" priority="6861" stopIfTrue="1" operator="lessThan">
      <formula>0</formula>
    </cfRule>
  </conditionalFormatting>
  <conditionalFormatting sqref="H233:H242">
    <cfRule type="cellIs" dxfId="6862" priority="6858" stopIfTrue="1" operator="lessThan">
      <formula>0</formula>
    </cfRule>
    <cfRule type="cellIs" dxfId="6861" priority="6859" stopIfTrue="1" operator="lessThan">
      <formula>0</formula>
    </cfRule>
  </conditionalFormatting>
  <conditionalFormatting sqref="H233:H242">
    <cfRule type="cellIs" dxfId="6860" priority="6856" stopIfTrue="1" operator="lessThan">
      <formula>0.05</formula>
    </cfRule>
    <cfRule type="cellIs" dxfId="6859" priority="6857" stopIfTrue="1" operator="lessThan">
      <formula>0</formula>
    </cfRule>
  </conditionalFormatting>
  <conditionalFormatting sqref="H233:H242">
    <cfRule type="cellIs" dxfId="6858" priority="6854" stopIfTrue="1" operator="lessThan">
      <formula>0</formula>
    </cfRule>
    <cfRule type="cellIs" dxfId="6857" priority="6855" stopIfTrue="1" operator="lessThan">
      <formula>0</formula>
    </cfRule>
  </conditionalFormatting>
  <conditionalFormatting sqref="H233:H242">
    <cfRule type="cellIs" dxfId="6856" priority="6852" stopIfTrue="1" operator="lessThan">
      <formula>0</formula>
    </cfRule>
    <cfRule type="cellIs" dxfId="6855" priority="6853" stopIfTrue="1" operator="lessThan">
      <formula>0</formula>
    </cfRule>
  </conditionalFormatting>
  <conditionalFormatting sqref="H233:H242">
    <cfRule type="cellIs" dxfId="6854" priority="6850" stopIfTrue="1" operator="lessThan">
      <formula>0.05</formula>
    </cfRule>
    <cfRule type="cellIs" dxfId="6853" priority="6851" stopIfTrue="1" operator="lessThan">
      <formula>0</formula>
    </cfRule>
  </conditionalFormatting>
  <conditionalFormatting sqref="H233:H242">
    <cfRule type="cellIs" dxfId="6852" priority="6848" stopIfTrue="1" operator="lessThan">
      <formula>0</formula>
    </cfRule>
    <cfRule type="cellIs" dxfId="6851" priority="6849" stopIfTrue="1" operator="lessThan">
      <formula>0</formula>
    </cfRule>
  </conditionalFormatting>
  <conditionalFormatting sqref="H233:H242">
    <cfRule type="cellIs" dxfId="6850" priority="6846" stopIfTrue="1" operator="lessThan">
      <formula>0</formula>
    </cfRule>
    <cfRule type="cellIs" dxfId="6849" priority="6847" stopIfTrue="1" operator="lessThan">
      <formula>0</formula>
    </cfRule>
  </conditionalFormatting>
  <conditionalFormatting sqref="H233:H242">
    <cfRule type="cellIs" dxfId="6848" priority="6844" stopIfTrue="1" operator="lessThan">
      <formula>0.05</formula>
    </cfRule>
    <cfRule type="cellIs" dxfId="6847" priority="6845" stopIfTrue="1" operator="lessThan">
      <formula>0</formula>
    </cfRule>
  </conditionalFormatting>
  <conditionalFormatting sqref="H233:H242">
    <cfRule type="cellIs" dxfId="6846" priority="6842" stopIfTrue="1" operator="lessThan">
      <formula>0</formula>
    </cfRule>
    <cfRule type="cellIs" dxfId="6845" priority="6843" stopIfTrue="1" operator="lessThan">
      <formula>0</formula>
    </cfRule>
  </conditionalFormatting>
  <conditionalFormatting sqref="H233:H242">
    <cfRule type="cellIs" dxfId="6844" priority="6840" stopIfTrue="1" operator="lessThan">
      <formula>0</formula>
    </cfRule>
    <cfRule type="cellIs" dxfId="6843" priority="6841" stopIfTrue="1" operator="lessThan">
      <formula>0</formula>
    </cfRule>
  </conditionalFormatting>
  <conditionalFormatting sqref="H233:H242">
    <cfRule type="cellIs" dxfId="6842" priority="6838" stopIfTrue="1" operator="lessThan">
      <formula>0.05</formula>
    </cfRule>
    <cfRule type="cellIs" dxfId="6841" priority="6839" stopIfTrue="1" operator="lessThan">
      <formula>0</formula>
    </cfRule>
  </conditionalFormatting>
  <conditionalFormatting sqref="H233:H242">
    <cfRule type="cellIs" dxfId="6840" priority="6836" stopIfTrue="1" operator="lessThan">
      <formula>0</formula>
    </cfRule>
    <cfRule type="cellIs" dxfId="6839" priority="6837" stopIfTrue="1" operator="lessThan">
      <formula>0</formula>
    </cfRule>
  </conditionalFormatting>
  <conditionalFormatting sqref="H233:H242">
    <cfRule type="cellIs" dxfId="6838" priority="6834" stopIfTrue="1" operator="lessThan">
      <formula>0</formula>
    </cfRule>
    <cfRule type="cellIs" dxfId="6837" priority="6835" stopIfTrue="1" operator="lessThan">
      <formula>0</formula>
    </cfRule>
  </conditionalFormatting>
  <conditionalFormatting sqref="H233:H242">
    <cfRule type="cellIs" dxfId="6836" priority="6832" stopIfTrue="1" operator="lessThan">
      <formula>0.05</formula>
    </cfRule>
    <cfRule type="cellIs" dxfId="6835" priority="6833" stopIfTrue="1" operator="lessThan">
      <formula>0</formula>
    </cfRule>
  </conditionalFormatting>
  <conditionalFormatting sqref="H233:H242">
    <cfRule type="cellIs" dxfId="6834" priority="6830" stopIfTrue="1" operator="lessThan">
      <formula>0</formula>
    </cfRule>
    <cfRule type="cellIs" dxfId="6833" priority="6831" stopIfTrue="1" operator="lessThan">
      <formula>0</formula>
    </cfRule>
  </conditionalFormatting>
  <conditionalFormatting sqref="H233:H242">
    <cfRule type="cellIs" dxfId="6832" priority="6828" stopIfTrue="1" operator="lessThan">
      <formula>0</formula>
    </cfRule>
    <cfRule type="cellIs" dxfId="6831" priority="6829" stopIfTrue="1" operator="lessThan">
      <formula>0</formula>
    </cfRule>
  </conditionalFormatting>
  <conditionalFormatting sqref="H233:H242">
    <cfRule type="cellIs" dxfId="6830" priority="6826" stopIfTrue="1" operator="lessThan">
      <formula>0.05</formula>
    </cfRule>
    <cfRule type="cellIs" dxfId="6829" priority="6827" stopIfTrue="1" operator="lessThan">
      <formula>0</formula>
    </cfRule>
  </conditionalFormatting>
  <conditionalFormatting sqref="H233:H242">
    <cfRule type="cellIs" dxfId="6828" priority="6824" stopIfTrue="1" operator="lessThan">
      <formula>0</formula>
    </cfRule>
    <cfRule type="cellIs" dxfId="6827" priority="6825" stopIfTrue="1" operator="lessThan">
      <formula>0</formula>
    </cfRule>
  </conditionalFormatting>
  <conditionalFormatting sqref="H233:H242">
    <cfRule type="cellIs" dxfId="6826" priority="6822" stopIfTrue="1" operator="lessThan">
      <formula>0</formula>
    </cfRule>
    <cfRule type="cellIs" dxfId="6825" priority="6823" stopIfTrue="1" operator="lessThan">
      <formula>0</formula>
    </cfRule>
  </conditionalFormatting>
  <conditionalFormatting sqref="H233:H242">
    <cfRule type="cellIs" dxfId="6824" priority="6820" stopIfTrue="1" operator="lessThan">
      <formula>0.05</formula>
    </cfRule>
    <cfRule type="cellIs" dxfId="6823" priority="6821" stopIfTrue="1" operator="lessThan">
      <formula>0</formula>
    </cfRule>
  </conditionalFormatting>
  <conditionalFormatting sqref="H233:H242">
    <cfRule type="cellIs" dxfId="6822" priority="6818" stopIfTrue="1" operator="lessThan">
      <formula>0</formula>
    </cfRule>
    <cfRule type="cellIs" dxfId="6821" priority="6819" stopIfTrue="1" operator="lessThan">
      <formula>0</formula>
    </cfRule>
  </conditionalFormatting>
  <conditionalFormatting sqref="H233:H242">
    <cfRule type="cellIs" dxfId="6820" priority="6816" stopIfTrue="1" operator="lessThan">
      <formula>0</formula>
    </cfRule>
    <cfRule type="cellIs" dxfId="6819" priority="6817" stopIfTrue="1" operator="lessThan">
      <formula>0</formula>
    </cfRule>
  </conditionalFormatting>
  <conditionalFormatting sqref="H233:H242">
    <cfRule type="cellIs" dxfId="6818" priority="6814" stopIfTrue="1" operator="lessThan">
      <formula>0.05</formula>
    </cfRule>
    <cfRule type="cellIs" dxfId="6817" priority="6815" stopIfTrue="1" operator="lessThan">
      <formula>0</formula>
    </cfRule>
  </conditionalFormatting>
  <conditionalFormatting sqref="H233:H242">
    <cfRule type="cellIs" dxfId="6816" priority="6812" stopIfTrue="1" operator="lessThan">
      <formula>0</formula>
    </cfRule>
    <cfRule type="cellIs" dxfId="6815" priority="6813" stopIfTrue="1" operator="lessThan">
      <formula>0</formula>
    </cfRule>
  </conditionalFormatting>
  <conditionalFormatting sqref="H233:H242">
    <cfRule type="cellIs" dxfId="6814" priority="6810" stopIfTrue="1" operator="lessThan">
      <formula>0</formula>
    </cfRule>
    <cfRule type="cellIs" dxfId="6813" priority="6811" stopIfTrue="1" operator="lessThan">
      <formula>0</formula>
    </cfRule>
  </conditionalFormatting>
  <conditionalFormatting sqref="H233:H242">
    <cfRule type="cellIs" dxfId="6812" priority="6808" stopIfTrue="1" operator="lessThan">
      <formula>0.05</formula>
    </cfRule>
    <cfRule type="cellIs" dxfId="6811" priority="6809" stopIfTrue="1" operator="lessThan">
      <formula>0</formula>
    </cfRule>
  </conditionalFormatting>
  <conditionalFormatting sqref="H233:H242">
    <cfRule type="cellIs" dxfId="6810" priority="6806" stopIfTrue="1" operator="lessThan">
      <formula>0</formula>
    </cfRule>
    <cfRule type="cellIs" dxfId="6809" priority="6807" stopIfTrue="1" operator="lessThan">
      <formula>0</formula>
    </cfRule>
  </conditionalFormatting>
  <conditionalFormatting sqref="H233:H242">
    <cfRule type="cellIs" dxfId="6808" priority="6804" stopIfTrue="1" operator="lessThan">
      <formula>0</formula>
    </cfRule>
    <cfRule type="cellIs" dxfId="6807" priority="6805" stopIfTrue="1" operator="lessThan">
      <formula>0</formula>
    </cfRule>
  </conditionalFormatting>
  <conditionalFormatting sqref="H233:H242">
    <cfRule type="cellIs" dxfId="6806" priority="6802" stopIfTrue="1" operator="lessThan">
      <formula>0.05</formula>
    </cfRule>
    <cfRule type="cellIs" dxfId="6805" priority="6803" stopIfTrue="1" operator="lessThan">
      <formula>0</formula>
    </cfRule>
  </conditionalFormatting>
  <conditionalFormatting sqref="H233:H242">
    <cfRule type="cellIs" dxfId="6804" priority="6800" stopIfTrue="1" operator="lessThan">
      <formula>0</formula>
    </cfRule>
    <cfRule type="cellIs" dxfId="6803" priority="6801" stopIfTrue="1" operator="lessThan">
      <formula>0</formula>
    </cfRule>
  </conditionalFormatting>
  <conditionalFormatting sqref="H233:H242">
    <cfRule type="cellIs" dxfId="6802" priority="6798" stopIfTrue="1" operator="lessThan">
      <formula>0</formula>
    </cfRule>
    <cfRule type="cellIs" dxfId="6801" priority="6799" stopIfTrue="1" operator="lessThan">
      <formula>0</formula>
    </cfRule>
  </conditionalFormatting>
  <conditionalFormatting sqref="H233:H242">
    <cfRule type="cellIs" dxfId="6800" priority="6796" stopIfTrue="1" operator="lessThan">
      <formula>0.05</formula>
    </cfRule>
    <cfRule type="cellIs" dxfId="6799" priority="6797" stopIfTrue="1" operator="lessThan">
      <formula>0</formula>
    </cfRule>
  </conditionalFormatting>
  <conditionalFormatting sqref="H233:H242">
    <cfRule type="cellIs" dxfId="6798" priority="6794" stopIfTrue="1" operator="lessThan">
      <formula>0</formula>
    </cfRule>
    <cfRule type="cellIs" dxfId="6797" priority="6795" stopIfTrue="1" operator="lessThan">
      <formula>0</formula>
    </cfRule>
  </conditionalFormatting>
  <conditionalFormatting sqref="H233:H242">
    <cfRule type="cellIs" dxfId="6796" priority="6792" stopIfTrue="1" operator="lessThan">
      <formula>0</formula>
    </cfRule>
    <cfRule type="cellIs" dxfId="6795" priority="6793" stopIfTrue="1" operator="lessThan">
      <formula>0</formula>
    </cfRule>
  </conditionalFormatting>
  <conditionalFormatting sqref="H233:H242">
    <cfRule type="cellIs" dxfId="6794" priority="6790" stopIfTrue="1" operator="lessThan">
      <formula>0.05</formula>
    </cfRule>
    <cfRule type="cellIs" dxfId="6793" priority="6791" stopIfTrue="1" operator="lessThan">
      <formula>0</formula>
    </cfRule>
  </conditionalFormatting>
  <conditionalFormatting sqref="H233:H242">
    <cfRule type="cellIs" dxfId="6792" priority="6788" stopIfTrue="1" operator="lessThan">
      <formula>0</formula>
    </cfRule>
    <cfRule type="cellIs" dxfId="6791" priority="6789" stopIfTrue="1" operator="lessThan">
      <formula>0</formula>
    </cfRule>
  </conditionalFormatting>
  <conditionalFormatting sqref="H233:H242">
    <cfRule type="cellIs" dxfId="6790" priority="6786" stopIfTrue="1" operator="lessThan">
      <formula>0.05</formula>
    </cfRule>
    <cfRule type="cellIs" dxfId="6789" priority="6787" stopIfTrue="1" operator="lessThan">
      <formula>0</formula>
    </cfRule>
  </conditionalFormatting>
  <conditionalFormatting sqref="H233:H242">
    <cfRule type="cellIs" dxfId="6788" priority="6784" stopIfTrue="1" operator="lessThan">
      <formula>0</formula>
    </cfRule>
    <cfRule type="cellIs" dxfId="6787" priority="6785" stopIfTrue="1" operator="lessThan">
      <formula>0</formula>
    </cfRule>
  </conditionalFormatting>
  <conditionalFormatting sqref="H233:H242">
    <cfRule type="cellIs" dxfId="6786" priority="6782" stopIfTrue="1" operator="lessThan">
      <formula>0.05</formula>
    </cfRule>
    <cfRule type="cellIs" dxfId="6785" priority="6783" stopIfTrue="1" operator="lessThan">
      <formula>0</formula>
    </cfRule>
  </conditionalFormatting>
  <conditionalFormatting sqref="H233:H242">
    <cfRule type="cellIs" dxfId="6784" priority="6780" stopIfTrue="1" operator="lessThan">
      <formula>0</formula>
    </cfRule>
    <cfRule type="cellIs" dxfId="6783" priority="6781" stopIfTrue="1" operator="lessThan">
      <formula>0</formula>
    </cfRule>
  </conditionalFormatting>
  <conditionalFormatting sqref="H233:H242">
    <cfRule type="cellIs" dxfId="6782" priority="6778" stopIfTrue="1" operator="lessThan">
      <formula>0</formula>
    </cfRule>
    <cfRule type="cellIs" dxfId="6781" priority="6779" stopIfTrue="1" operator="lessThan">
      <formula>0</formula>
    </cfRule>
  </conditionalFormatting>
  <conditionalFormatting sqref="H233:H242">
    <cfRule type="cellIs" dxfId="6780" priority="6776" stopIfTrue="1" operator="lessThan">
      <formula>0</formula>
    </cfRule>
    <cfRule type="cellIs" dxfId="6779" priority="6777" stopIfTrue="1" operator="lessThan">
      <formula>0</formula>
    </cfRule>
  </conditionalFormatting>
  <conditionalFormatting sqref="H233:H242">
    <cfRule type="cellIs" dxfId="6778" priority="6774" stopIfTrue="1" operator="lessThan">
      <formula>0.05</formula>
    </cfRule>
    <cfRule type="cellIs" dxfId="6777" priority="6775" stopIfTrue="1" operator="lessThan">
      <formula>0</formula>
    </cfRule>
  </conditionalFormatting>
  <conditionalFormatting sqref="H233:H242">
    <cfRule type="cellIs" dxfId="6776" priority="6772" stopIfTrue="1" operator="lessThan">
      <formula>0</formula>
    </cfRule>
    <cfRule type="cellIs" dxfId="6775" priority="6773" stopIfTrue="1" operator="lessThan">
      <formula>0</formula>
    </cfRule>
  </conditionalFormatting>
  <conditionalFormatting sqref="H233:H242">
    <cfRule type="cellIs" dxfId="6774" priority="6770" stopIfTrue="1" operator="lessThan">
      <formula>0.05</formula>
    </cfRule>
    <cfRule type="cellIs" dxfId="6773" priority="6771" stopIfTrue="1" operator="lessThan">
      <formula>0</formula>
    </cfRule>
  </conditionalFormatting>
  <conditionalFormatting sqref="H233:H242">
    <cfRule type="cellIs" dxfId="6772" priority="6768" stopIfTrue="1" operator="lessThan">
      <formula>0</formula>
    </cfRule>
    <cfRule type="cellIs" dxfId="6771" priority="6769" stopIfTrue="1" operator="lessThan">
      <formula>0</formula>
    </cfRule>
  </conditionalFormatting>
  <conditionalFormatting sqref="H233:H242">
    <cfRule type="cellIs" dxfId="6770" priority="6766" stopIfTrue="1" operator="lessThan">
      <formula>0.05</formula>
    </cfRule>
    <cfRule type="cellIs" dxfId="6769" priority="6767" stopIfTrue="1" operator="lessThan">
      <formula>0</formula>
    </cfRule>
  </conditionalFormatting>
  <conditionalFormatting sqref="H233:H242">
    <cfRule type="cellIs" dxfId="6768" priority="6764" stopIfTrue="1" operator="lessThan">
      <formula>0</formula>
    </cfRule>
    <cfRule type="cellIs" dxfId="6767" priority="6765" stopIfTrue="1" operator="lessThan">
      <formula>0</formula>
    </cfRule>
  </conditionalFormatting>
  <conditionalFormatting sqref="H233:H242">
    <cfRule type="cellIs" dxfId="6766" priority="6762" stopIfTrue="1" operator="lessThan">
      <formula>0</formula>
    </cfRule>
    <cfRule type="cellIs" dxfId="6765" priority="6763" stopIfTrue="1" operator="lessThan">
      <formula>0</formula>
    </cfRule>
  </conditionalFormatting>
  <conditionalFormatting sqref="H233:H242">
    <cfRule type="cellIs" dxfId="6764" priority="6760" stopIfTrue="1" operator="lessThan">
      <formula>0.05</formula>
    </cfRule>
    <cfRule type="cellIs" dxfId="6763" priority="6761" stopIfTrue="1" operator="lessThan">
      <formula>0</formula>
    </cfRule>
  </conditionalFormatting>
  <conditionalFormatting sqref="H233:H242">
    <cfRule type="cellIs" dxfId="6762" priority="6758" stopIfTrue="1" operator="lessThan">
      <formula>0</formula>
    </cfRule>
    <cfRule type="cellIs" dxfId="6761" priority="6759" stopIfTrue="1" operator="lessThan">
      <formula>0</formula>
    </cfRule>
  </conditionalFormatting>
  <conditionalFormatting sqref="H233:H242">
    <cfRule type="cellIs" dxfId="6760" priority="6756" stopIfTrue="1" operator="lessThan">
      <formula>0</formula>
    </cfRule>
    <cfRule type="cellIs" dxfId="6759" priority="6757" stopIfTrue="1" operator="lessThan">
      <formula>0</formula>
    </cfRule>
  </conditionalFormatting>
  <conditionalFormatting sqref="H233:H242">
    <cfRule type="cellIs" dxfId="6758" priority="6754" stopIfTrue="1" operator="lessThan">
      <formula>0.05</formula>
    </cfRule>
    <cfRule type="cellIs" dxfId="6757" priority="6755" stopIfTrue="1" operator="lessThan">
      <formula>0</formula>
    </cfRule>
  </conditionalFormatting>
  <conditionalFormatting sqref="H233:H242">
    <cfRule type="cellIs" dxfId="6756" priority="6752" stopIfTrue="1" operator="lessThan">
      <formula>0</formula>
    </cfRule>
    <cfRule type="cellIs" dxfId="6755" priority="6753" stopIfTrue="1" operator="lessThan">
      <formula>0</formula>
    </cfRule>
  </conditionalFormatting>
  <conditionalFormatting sqref="H233:H242">
    <cfRule type="cellIs" dxfId="6754" priority="6750" stopIfTrue="1" operator="lessThan">
      <formula>0</formula>
    </cfRule>
    <cfRule type="cellIs" dxfId="6753" priority="6751" stopIfTrue="1" operator="lessThan">
      <formula>0</formula>
    </cfRule>
  </conditionalFormatting>
  <conditionalFormatting sqref="H233:H242">
    <cfRule type="cellIs" dxfId="6752" priority="6748" stopIfTrue="1" operator="lessThan">
      <formula>0.05</formula>
    </cfRule>
    <cfRule type="cellIs" dxfId="6751" priority="6749" stopIfTrue="1" operator="lessThan">
      <formula>0</formula>
    </cfRule>
  </conditionalFormatting>
  <conditionalFormatting sqref="H233:H242">
    <cfRule type="cellIs" dxfId="6750" priority="6746" stopIfTrue="1" operator="lessThan">
      <formula>0</formula>
    </cfRule>
    <cfRule type="cellIs" dxfId="6749" priority="6747" stopIfTrue="1" operator="lessThan">
      <formula>0</formula>
    </cfRule>
  </conditionalFormatting>
  <conditionalFormatting sqref="H233:H242">
    <cfRule type="cellIs" dxfId="6748" priority="6744" stopIfTrue="1" operator="lessThan">
      <formula>0</formula>
    </cfRule>
    <cfRule type="cellIs" dxfId="6747" priority="6745" stopIfTrue="1" operator="lessThan">
      <formula>0</formula>
    </cfRule>
  </conditionalFormatting>
  <conditionalFormatting sqref="H233:H242">
    <cfRule type="cellIs" dxfId="6746" priority="6742" stopIfTrue="1" operator="lessThan">
      <formula>0.05</formula>
    </cfRule>
    <cfRule type="cellIs" dxfId="6745" priority="6743" stopIfTrue="1" operator="lessThan">
      <formula>0</formula>
    </cfRule>
  </conditionalFormatting>
  <conditionalFormatting sqref="H233:H242">
    <cfRule type="cellIs" dxfId="6744" priority="6740" stopIfTrue="1" operator="lessThan">
      <formula>0</formula>
    </cfRule>
    <cfRule type="cellIs" dxfId="6743" priority="6741" stopIfTrue="1" operator="lessThan">
      <formula>0</formula>
    </cfRule>
  </conditionalFormatting>
  <conditionalFormatting sqref="H233:H242">
    <cfRule type="cellIs" dxfId="6742" priority="6738" stopIfTrue="1" operator="lessThan">
      <formula>0</formula>
    </cfRule>
    <cfRule type="cellIs" dxfId="6741" priority="6739" stopIfTrue="1" operator="lessThan">
      <formula>0</formula>
    </cfRule>
  </conditionalFormatting>
  <conditionalFormatting sqref="H233:H242">
    <cfRule type="cellIs" dxfId="6740" priority="6736" stopIfTrue="1" operator="lessThan">
      <formula>0.05</formula>
    </cfRule>
    <cfRule type="cellIs" dxfId="6739" priority="6737" stopIfTrue="1" operator="lessThan">
      <formula>0</formula>
    </cfRule>
  </conditionalFormatting>
  <conditionalFormatting sqref="H233:H242">
    <cfRule type="cellIs" dxfId="6738" priority="6734" stopIfTrue="1" operator="lessThan">
      <formula>0</formula>
    </cfRule>
    <cfRule type="cellIs" dxfId="6737" priority="6735" stopIfTrue="1" operator="lessThan">
      <formula>0</formula>
    </cfRule>
  </conditionalFormatting>
  <conditionalFormatting sqref="H233:H242">
    <cfRule type="cellIs" dxfId="6736" priority="6732" stopIfTrue="1" operator="lessThan">
      <formula>0</formula>
    </cfRule>
    <cfRule type="cellIs" dxfId="6735" priority="6733" stopIfTrue="1" operator="lessThan">
      <formula>0</formula>
    </cfRule>
  </conditionalFormatting>
  <conditionalFormatting sqref="H233:H242">
    <cfRule type="cellIs" dxfId="6734" priority="6730" stopIfTrue="1" operator="lessThan">
      <formula>0.05</formula>
    </cfRule>
    <cfRule type="cellIs" dxfId="6733" priority="6731" stopIfTrue="1" operator="lessThan">
      <formula>0</formula>
    </cfRule>
  </conditionalFormatting>
  <conditionalFormatting sqref="H233:H242">
    <cfRule type="cellIs" dxfId="6732" priority="6728" stopIfTrue="1" operator="lessThan">
      <formula>0</formula>
    </cfRule>
    <cfRule type="cellIs" dxfId="6731" priority="6729" stopIfTrue="1" operator="lessThan">
      <formula>0</formula>
    </cfRule>
  </conditionalFormatting>
  <conditionalFormatting sqref="H233:H242">
    <cfRule type="cellIs" dxfId="6730" priority="6726" stopIfTrue="1" operator="lessThan">
      <formula>0</formula>
    </cfRule>
    <cfRule type="cellIs" dxfId="6729" priority="6727" stopIfTrue="1" operator="lessThan">
      <formula>0</formula>
    </cfRule>
  </conditionalFormatting>
  <conditionalFormatting sqref="H233:H242">
    <cfRule type="cellIs" dxfId="6728" priority="6724" stopIfTrue="1" operator="lessThan">
      <formula>0.05</formula>
    </cfRule>
    <cfRule type="cellIs" dxfId="6727" priority="6725" stopIfTrue="1" operator="lessThan">
      <formula>0</formula>
    </cfRule>
  </conditionalFormatting>
  <conditionalFormatting sqref="H233:H242">
    <cfRule type="cellIs" dxfId="6726" priority="6722" stopIfTrue="1" operator="lessThan">
      <formula>0</formula>
    </cfRule>
    <cfRule type="cellIs" dxfId="6725" priority="6723" stopIfTrue="1" operator="lessThan">
      <formula>0</formula>
    </cfRule>
  </conditionalFormatting>
  <conditionalFormatting sqref="H233:H242">
    <cfRule type="cellIs" dxfId="6724" priority="6720" stopIfTrue="1" operator="lessThan">
      <formula>0</formula>
    </cfRule>
    <cfRule type="cellIs" dxfId="6723" priority="6721" stopIfTrue="1" operator="lessThan">
      <formula>0</formula>
    </cfRule>
  </conditionalFormatting>
  <conditionalFormatting sqref="H233:H242">
    <cfRule type="cellIs" dxfId="6722" priority="6718" stopIfTrue="1" operator="lessThan">
      <formula>0.05</formula>
    </cfRule>
    <cfRule type="cellIs" dxfId="6721" priority="6719" stopIfTrue="1" operator="lessThan">
      <formula>0</formula>
    </cfRule>
  </conditionalFormatting>
  <conditionalFormatting sqref="H233:H242">
    <cfRule type="cellIs" dxfId="6720" priority="6716" stopIfTrue="1" operator="lessThan">
      <formula>0</formula>
    </cfRule>
    <cfRule type="cellIs" dxfId="6719" priority="6717" stopIfTrue="1" operator="lessThan">
      <formula>0</formula>
    </cfRule>
  </conditionalFormatting>
  <conditionalFormatting sqref="H233:H242">
    <cfRule type="cellIs" dxfId="6718" priority="6714" stopIfTrue="1" operator="lessThan">
      <formula>0</formula>
    </cfRule>
    <cfRule type="cellIs" dxfId="6717" priority="6715" stopIfTrue="1" operator="lessThan">
      <formula>0</formula>
    </cfRule>
  </conditionalFormatting>
  <conditionalFormatting sqref="H233:H242">
    <cfRule type="cellIs" dxfId="6716" priority="6712" stopIfTrue="1" operator="lessThan">
      <formula>0.05</formula>
    </cfRule>
    <cfRule type="cellIs" dxfId="6715" priority="6713" stopIfTrue="1" operator="lessThan">
      <formula>0</formula>
    </cfRule>
  </conditionalFormatting>
  <conditionalFormatting sqref="H233:H242">
    <cfRule type="cellIs" dxfId="6714" priority="6710" stopIfTrue="1" operator="lessThan">
      <formula>0</formula>
    </cfRule>
    <cfRule type="cellIs" dxfId="6713" priority="6711" stopIfTrue="1" operator="lessThan">
      <formula>0</formula>
    </cfRule>
  </conditionalFormatting>
  <conditionalFormatting sqref="H233:H242">
    <cfRule type="cellIs" dxfId="6712" priority="6708" stopIfTrue="1" operator="lessThan">
      <formula>0</formula>
    </cfRule>
    <cfRule type="cellIs" dxfId="6711" priority="6709" stopIfTrue="1" operator="lessThan">
      <formula>0</formula>
    </cfRule>
  </conditionalFormatting>
  <conditionalFormatting sqref="H233:H242">
    <cfRule type="cellIs" dxfId="6710" priority="6706" stopIfTrue="1" operator="lessThan">
      <formula>0.05</formula>
    </cfRule>
    <cfRule type="cellIs" dxfId="6709" priority="6707" stopIfTrue="1" operator="lessThan">
      <formula>0</formula>
    </cfRule>
  </conditionalFormatting>
  <conditionalFormatting sqref="H233:H242">
    <cfRule type="cellIs" dxfId="6708" priority="6704" stopIfTrue="1" operator="lessThan">
      <formula>0</formula>
    </cfRule>
    <cfRule type="cellIs" dxfId="6707" priority="6705" stopIfTrue="1" operator="lessThan">
      <formula>0</formula>
    </cfRule>
  </conditionalFormatting>
  <conditionalFormatting sqref="H233:H242">
    <cfRule type="cellIs" dxfId="6706" priority="6702" stopIfTrue="1" operator="lessThan">
      <formula>0</formula>
    </cfRule>
    <cfRule type="cellIs" dxfId="6705" priority="6703" stopIfTrue="1" operator="lessThan">
      <formula>0</formula>
    </cfRule>
  </conditionalFormatting>
  <conditionalFormatting sqref="H233:H242">
    <cfRule type="cellIs" dxfId="6704" priority="6700" stopIfTrue="1" operator="lessThan">
      <formula>0.05</formula>
    </cfRule>
    <cfRule type="cellIs" dxfId="6703" priority="6701" stopIfTrue="1" operator="lessThan">
      <formula>0</formula>
    </cfRule>
  </conditionalFormatting>
  <conditionalFormatting sqref="H233:H242">
    <cfRule type="cellIs" dxfId="6702" priority="6698" stopIfTrue="1" operator="lessThan">
      <formula>0</formula>
    </cfRule>
    <cfRule type="cellIs" dxfId="6701" priority="6699" stopIfTrue="1" operator="lessThan">
      <formula>0</formula>
    </cfRule>
  </conditionalFormatting>
  <conditionalFormatting sqref="H233:H242">
    <cfRule type="cellIs" dxfId="6700" priority="6696" stopIfTrue="1" operator="lessThan">
      <formula>0</formula>
    </cfRule>
    <cfRule type="cellIs" dxfId="6699" priority="6697" stopIfTrue="1" operator="lessThan">
      <formula>0</formula>
    </cfRule>
  </conditionalFormatting>
  <conditionalFormatting sqref="H233:H242">
    <cfRule type="cellIs" dxfId="6698" priority="6694" stopIfTrue="1" operator="lessThan">
      <formula>0.05</formula>
    </cfRule>
    <cfRule type="cellIs" dxfId="6697" priority="6695" stopIfTrue="1" operator="lessThan">
      <formula>0</formula>
    </cfRule>
  </conditionalFormatting>
  <conditionalFormatting sqref="H233:H242">
    <cfRule type="cellIs" dxfId="6696" priority="6692" stopIfTrue="1" operator="lessThan">
      <formula>0</formula>
    </cfRule>
    <cfRule type="cellIs" dxfId="6695" priority="6693" stopIfTrue="1" operator="lessThan">
      <formula>0</formula>
    </cfRule>
  </conditionalFormatting>
  <conditionalFormatting sqref="H233:H242">
    <cfRule type="cellIs" dxfId="6694" priority="6690" stopIfTrue="1" operator="lessThan">
      <formula>0</formula>
    </cfRule>
    <cfRule type="cellIs" dxfId="6693" priority="6691" stopIfTrue="1" operator="lessThan">
      <formula>0</formula>
    </cfRule>
  </conditionalFormatting>
  <conditionalFormatting sqref="H233:H242">
    <cfRule type="cellIs" dxfId="6692" priority="6688" stopIfTrue="1" operator="lessThan">
      <formula>0.05</formula>
    </cfRule>
    <cfRule type="cellIs" dxfId="6691" priority="6689" stopIfTrue="1" operator="lessThan">
      <formula>0</formula>
    </cfRule>
  </conditionalFormatting>
  <conditionalFormatting sqref="H233:H242">
    <cfRule type="cellIs" dxfId="6690" priority="6686" stopIfTrue="1" operator="lessThan">
      <formula>0</formula>
    </cfRule>
    <cfRule type="cellIs" dxfId="6689" priority="6687" stopIfTrue="1" operator="lessThan">
      <formula>0</formula>
    </cfRule>
  </conditionalFormatting>
  <conditionalFormatting sqref="H233:H242">
    <cfRule type="cellIs" dxfId="6688" priority="6684" stopIfTrue="1" operator="lessThan">
      <formula>0</formula>
    </cfRule>
    <cfRule type="cellIs" dxfId="6687" priority="6685" stopIfTrue="1" operator="lessThan">
      <formula>0</formula>
    </cfRule>
  </conditionalFormatting>
  <conditionalFormatting sqref="H233:H242">
    <cfRule type="cellIs" dxfId="6686" priority="6682" stopIfTrue="1" operator="lessThan">
      <formula>0.05</formula>
    </cfRule>
    <cfRule type="cellIs" dxfId="6685" priority="6683" stopIfTrue="1" operator="lessThan">
      <formula>0</formula>
    </cfRule>
  </conditionalFormatting>
  <conditionalFormatting sqref="H233:H242">
    <cfRule type="cellIs" dxfId="6684" priority="6680" stopIfTrue="1" operator="lessThan">
      <formula>0</formula>
    </cfRule>
    <cfRule type="cellIs" dxfId="6683" priority="6681" stopIfTrue="1" operator="lessThan">
      <formula>0</formula>
    </cfRule>
  </conditionalFormatting>
  <conditionalFormatting sqref="H233:H242">
    <cfRule type="cellIs" dxfId="6682" priority="6678" stopIfTrue="1" operator="lessThan">
      <formula>0.05</formula>
    </cfRule>
    <cfRule type="cellIs" dxfId="6681" priority="6679" stopIfTrue="1" operator="lessThan">
      <formula>0</formula>
    </cfRule>
  </conditionalFormatting>
  <conditionalFormatting sqref="H233:H242">
    <cfRule type="cellIs" dxfId="6680" priority="6676" stopIfTrue="1" operator="lessThan">
      <formula>0</formula>
    </cfRule>
    <cfRule type="cellIs" dxfId="6679" priority="6677" stopIfTrue="1" operator="lessThan">
      <formula>0</formula>
    </cfRule>
  </conditionalFormatting>
  <conditionalFormatting sqref="H233:H242">
    <cfRule type="cellIs" dxfId="6678" priority="6674" stopIfTrue="1" operator="lessThan">
      <formula>0.05</formula>
    </cfRule>
    <cfRule type="cellIs" dxfId="6677" priority="6675" stopIfTrue="1" operator="lessThan">
      <formula>0</formula>
    </cfRule>
  </conditionalFormatting>
  <conditionalFormatting sqref="H233:H242">
    <cfRule type="cellIs" dxfId="6676" priority="6672" stopIfTrue="1" operator="lessThan">
      <formula>0</formula>
    </cfRule>
    <cfRule type="cellIs" dxfId="6675" priority="6673" stopIfTrue="1" operator="lessThan">
      <formula>0</formula>
    </cfRule>
  </conditionalFormatting>
  <conditionalFormatting sqref="H233:H242">
    <cfRule type="cellIs" dxfId="6674" priority="6670" stopIfTrue="1" operator="lessThan">
      <formula>0</formula>
    </cfRule>
    <cfRule type="cellIs" dxfId="6673" priority="6671" stopIfTrue="1" operator="lessThan">
      <formula>0</formula>
    </cfRule>
  </conditionalFormatting>
  <conditionalFormatting sqref="H233:H242">
    <cfRule type="cellIs" dxfId="6672" priority="6668" stopIfTrue="1" operator="lessThan">
      <formula>0</formula>
    </cfRule>
    <cfRule type="cellIs" dxfId="6671" priority="6669" stopIfTrue="1" operator="lessThan">
      <formula>0</formula>
    </cfRule>
  </conditionalFormatting>
  <conditionalFormatting sqref="H233:H242">
    <cfRule type="cellIs" dxfId="6670" priority="6666" stopIfTrue="1" operator="lessThan">
      <formula>0.05</formula>
    </cfRule>
    <cfRule type="cellIs" dxfId="6669" priority="6667" stopIfTrue="1" operator="lessThan">
      <formula>0</formula>
    </cfRule>
  </conditionalFormatting>
  <conditionalFormatting sqref="H233:H242">
    <cfRule type="cellIs" dxfId="6668" priority="6664" stopIfTrue="1" operator="lessThan">
      <formula>0</formula>
    </cfRule>
    <cfRule type="cellIs" dxfId="6667" priority="6665" stopIfTrue="1" operator="lessThan">
      <formula>0</formula>
    </cfRule>
  </conditionalFormatting>
  <conditionalFormatting sqref="H233:H242">
    <cfRule type="cellIs" dxfId="6666" priority="6662" stopIfTrue="1" operator="lessThan">
      <formula>0.05</formula>
    </cfRule>
    <cfRule type="cellIs" dxfId="6665" priority="6663" stopIfTrue="1" operator="lessThan">
      <formula>0</formula>
    </cfRule>
  </conditionalFormatting>
  <conditionalFormatting sqref="H233:H242">
    <cfRule type="cellIs" dxfId="6664" priority="6660" stopIfTrue="1" operator="lessThan">
      <formula>0</formula>
    </cfRule>
    <cfRule type="cellIs" dxfId="6663" priority="6661" stopIfTrue="1" operator="lessThan">
      <formula>0</formula>
    </cfRule>
  </conditionalFormatting>
  <conditionalFormatting sqref="H233:H242">
    <cfRule type="cellIs" dxfId="6662" priority="6658" stopIfTrue="1" operator="lessThan">
      <formula>0.05</formula>
    </cfRule>
    <cfRule type="cellIs" dxfId="6661" priority="6659" stopIfTrue="1" operator="lessThan">
      <formula>0</formula>
    </cfRule>
  </conditionalFormatting>
  <conditionalFormatting sqref="H233:H242">
    <cfRule type="cellIs" dxfId="6660" priority="6656" stopIfTrue="1" operator="lessThan">
      <formula>0</formula>
    </cfRule>
    <cfRule type="cellIs" dxfId="6659" priority="6657" stopIfTrue="1" operator="lessThan">
      <formula>0</formula>
    </cfRule>
  </conditionalFormatting>
  <conditionalFormatting sqref="H233:H242">
    <cfRule type="cellIs" dxfId="6658" priority="6655" stopIfTrue="1" operator="lessThan">
      <formula>0.05</formula>
    </cfRule>
  </conditionalFormatting>
  <conditionalFormatting sqref="H233:H242">
    <cfRule type="cellIs" dxfId="6657" priority="6653" stopIfTrue="1" operator="lessThan">
      <formula>0</formula>
    </cfRule>
    <cfRule type="cellIs" dxfId="6656" priority="6654" stopIfTrue="1" operator="lessThan">
      <formula>0</formula>
    </cfRule>
  </conditionalFormatting>
  <conditionalFormatting sqref="H233:H242">
    <cfRule type="cellIs" dxfId="6655" priority="6651" stopIfTrue="1" operator="lessThan">
      <formula>0</formula>
    </cfRule>
    <cfRule type="cellIs" dxfId="6654" priority="6652" stopIfTrue="1" operator="lessThan">
      <formula>0</formula>
    </cfRule>
  </conditionalFormatting>
  <conditionalFormatting sqref="H233:H242">
    <cfRule type="cellIs" dxfId="6653" priority="6649" stopIfTrue="1" operator="lessThan">
      <formula>0.05</formula>
    </cfRule>
    <cfRule type="cellIs" dxfId="6652" priority="6650" stopIfTrue="1" operator="lessThan">
      <formula>0</formula>
    </cfRule>
  </conditionalFormatting>
  <conditionalFormatting sqref="H233:H242">
    <cfRule type="cellIs" dxfId="6651" priority="6647" stopIfTrue="1" operator="lessThan">
      <formula>0</formula>
    </cfRule>
    <cfRule type="cellIs" dxfId="6650" priority="6648" stopIfTrue="1" operator="lessThan">
      <formula>0</formula>
    </cfRule>
  </conditionalFormatting>
  <conditionalFormatting sqref="H233:H242">
    <cfRule type="cellIs" dxfId="6649" priority="6645" stopIfTrue="1" operator="lessThan">
      <formula>0.05</formula>
    </cfRule>
    <cfRule type="cellIs" dxfId="6648" priority="6646" stopIfTrue="1" operator="lessThan">
      <formula>0</formula>
    </cfRule>
  </conditionalFormatting>
  <conditionalFormatting sqref="H233:H242">
    <cfRule type="cellIs" dxfId="6647" priority="6643" stopIfTrue="1" operator="lessThan">
      <formula>0</formula>
    </cfRule>
    <cfRule type="cellIs" dxfId="6646" priority="6644" stopIfTrue="1" operator="lessThan">
      <formula>0</formula>
    </cfRule>
  </conditionalFormatting>
  <conditionalFormatting sqref="H233:H242">
    <cfRule type="cellIs" dxfId="6645" priority="6641" stopIfTrue="1" operator="lessThan">
      <formula>0.05</formula>
    </cfRule>
    <cfRule type="cellIs" dxfId="6644" priority="6642" stopIfTrue="1" operator="lessThan">
      <formula>0</formula>
    </cfRule>
  </conditionalFormatting>
  <conditionalFormatting sqref="H233:H242">
    <cfRule type="cellIs" dxfId="6643" priority="6639" stopIfTrue="1" operator="lessThan">
      <formula>0</formula>
    </cfRule>
    <cfRule type="cellIs" dxfId="6642" priority="6640" stopIfTrue="1" operator="lessThan">
      <formula>0</formula>
    </cfRule>
  </conditionalFormatting>
  <conditionalFormatting sqref="H233:H242">
    <cfRule type="cellIs" dxfId="6641" priority="6637" stopIfTrue="1" operator="lessThan">
      <formula>0</formula>
    </cfRule>
    <cfRule type="cellIs" dxfId="6640" priority="6638" stopIfTrue="1" operator="lessThan">
      <formula>0</formula>
    </cfRule>
  </conditionalFormatting>
  <conditionalFormatting sqref="H233:H242">
    <cfRule type="cellIs" dxfId="6639" priority="6635" stopIfTrue="1" operator="lessThan">
      <formula>0</formula>
    </cfRule>
    <cfRule type="cellIs" dxfId="6638" priority="6636" stopIfTrue="1" operator="lessThan">
      <formula>0</formula>
    </cfRule>
  </conditionalFormatting>
  <conditionalFormatting sqref="H233:H242">
    <cfRule type="cellIs" dxfId="6637" priority="6633" stopIfTrue="1" operator="lessThan">
      <formula>0.05</formula>
    </cfRule>
    <cfRule type="cellIs" dxfId="6636" priority="6634" stopIfTrue="1" operator="lessThan">
      <formula>0</formula>
    </cfRule>
  </conditionalFormatting>
  <conditionalFormatting sqref="H233:H242">
    <cfRule type="cellIs" dxfId="6635" priority="6631" stopIfTrue="1" operator="lessThan">
      <formula>0</formula>
    </cfRule>
    <cfRule type="cellIs" dxfId="6634" priority="6632" stopIfTrue="1" operator="lessThan">
      <formula>0</formula>
    </cfRule>
  </conditionalFormatting>
  <conditionalFormatting sqref="H233:H242">
    <cfRule type="cellIs" dxfId="6633" priority="6629" stopIfTrue="1" operator="lessThan">
      <formula>0.05</formula>
    </cfRule>
    <cfRule type="cellIs" dxfId="6632" priority="6630" stopIfTrue="1" operator="lessThan">
      <formula>0</formula>
    </cfRule>
  </conditionalFormatting>
  <conditionalFormatting sqref="H233:H242">
    <cfRule type="cellIs" dxfId="6631" priority="6627" stopIfTrue="1" operator="lessThan">
      <formula>0</formula>
    </cfRule>
    <cfRule type="cellIs" dxfId="6630" priority="6628" stopIfTrue="1" operator="lessThan">
      <formula>0</formula>
    </cfRule>
  </conditionalFormatting>
  <conditionalFormatting sqref="H233:H242">
    <cfRule type="cellIs" dxfId="6629" priority="6625" stopIfTrue="1" operator="lessThan">
      <formula>0.05</formula>
    </cfRule>
    <cfRule type="cellIs" dxfId="6628" priority="6626" stopIfTrue="1" operator="lessThan">
      <formula>0</formula>
    </cfRule>
  </conditionalFormatting>
  <conditionalFormatting sqref="H233:H242">
    <cfRule type="cellIs" dxfId="6627" priority="6623" stopIfTrue="1" operator="lessThan">
      <formula>0</formula>
    </cfRule>
    <cfRule type="cellIs" dxfId="6626" priority="6624" stopIfTrue="1" operator="lessThan">
      <formula>0</formula>
    </cfRule>
  </conditionalFormatting>
  <conditionalFormatting sqref="H233:H242">
    <cfRule type="cellIs" dxfId="6625" priority="6621" stopIfTrue="1" operator="lessThan">
      <formula>0</formula>
    </cfRule>
    <cfRule type="cellIs" dxfId="6624" priority="6622" stopIfTrue="1" operator="lessThan">
      <formula>0</formula>
    </cfRule>
  </conditionalFormatting>
  <conditionalFormatting sqref="H233:H242">
    <cfRule type="cellIs" dxfId="6623" priority="6619" stopIfTrue="1" operator="lessThan">
      <formula>0</formula>
    </cfRule>
    <cfRule type="cellIs" dxfId="6622" priority="6620" stopIfTrue="1" operator="lessThan">
      <formula>0</formula>
    </cfRule>
  </conditionalFormatting>
  <conditionalFormatting sqref="H233:H242">
    <cfRule type="cellIs" dxfId="6621" priority="6617" stopIfTrue="1" operator="lessThan">
      <formula>0.05</formula>
    </cfRule>
    <cfRule type="cellIs" dxfId="6620" priority="6618" stopIfTrue="1" operator="lessThan">
      <formula>0</formula>
    </cfRule>
  </conditionalFormatting>
  <conditionalFormatting sqref="H233:H242">
    <cfRule type="cellIs" dxfId="6619" priority="6615" stopIfTrue="1" operator="lessThan">
      <formula>0</formula>
    </cfRule>
    <cfRule type="cellIs" dxfId="6618" priority="6616" stopIfTrue="1" operator="lessThan">
      <formula>0</formula>
    </cfRule>
  </conditionalFormatting>
  <conditionalFormatting sqref="H233:H242">
    <cfRule type="cellIs" dxfId="6617" priority="6613" stopIfTrue="1" operator="lessThan">
      <formula>0.05</formula>
    </cfRule>
    <cfRule type="cellIs" dxfId="6616" priority="6614" stopIfTrue="1" operator="lessThan">
      <formula>0</formula>
    </cfRule>
  </conditionalFormatting>
  <conditionalFormatting sqref="H233:H242">
    <cfRule type="cellIs" dxfId="6615" priority="6611" stopIfTrue="1" operator="lessThan">
      <formula>0</formula>
    </cfRule>
    <cfRule type="cellIs" dxfId="6614" priority="6612" stopIfTrue="1" operator="lessThan">
      <formula>0</formula>
    </cfRule>
  </conditionalFormatting>
  <conditionalFormatting sqref="H233:H242">
    <cfRule type="cellIs" dxfId="6613" priority="6609" stopIfTrue="1" operator="lessThan">
      <formula>0.05</formula>
    </cfRule>
    <cfRule type="cellIs" dxfId="6612" priority="6610" stopIfTrue="1" operator="lessThan">
      <formula>0</formula>
    </cfRule>
  </conditionalFormatting>
  <conditionalFormatting sqref="H233:H242">
    <cfRule type="cellIs" dxfId="6611" priority="6607" stopIfTrue="1" operator="lessThan">
      <formula>0</formula>
    </cfRule>
    <cfRule type="cellIs" dxfId="6610" priority="6608" stopIfTrue="1" operator="lessThan">
      <formula>0</formula>
    </cfRule>
  </conditionalFormatting>
  <conditionalFormatting sqref="H233:H242">
    <cfRule type="cellIs" dxfId="6609" priority="6605" stopIfTrue="1" operator="lessThan">
      <formula>0</formula>
    </cfRule>
    <cfRule type="cellIs" dxfId="6608" priority="6606" stopIfTrue="1" operator="lessThan">
      <formula>0</formula>
    </cfRule>
  </conditionalFormatting>
  <conditionalFormatting sqref="H233:H242">
    <cfRule type="cellIs" dxfId="6607" priority="6603" stopIfTrue="1" operator="lessThan">
      <formula>0</formula>
    </cfRule>
    <cfRule type="cellIs" dxfId="6606" priority="6604" stopIfTrue="1" operator="lessThan">
      <formula>0</formula>
    </cfRule>
  </conditionalFormatting>
  <conditionalFormatting sqref="H233:H242">
    <cfRule type="cellIs" dxfId="6605" priority="6601" stopIfTrue="1" operator="lessThan">
      <formula>0.05</formula>
    </cfRule>
    <cfRule type="cellIs" dxfId="6604" priority="6602" stopIfTrue="1" operator="lessThan">
      <formula>0</formula>
    </cfRule>
  </conditionalFormatting>
  <conditionalFormatting sqref="H233:H242">
    <cfRule type="cellIs" dxfId="6603" priority="6599" stopIfTrue="1" operator="lessThan">
      <formula>0</formula>
    </cfRule>
    <cfRule type="cellIs" dxfId="6602" priority="6600" stopIfTrue="1" operator="lessThan">
      <formula>0</formula>
    </cfRule>
  </conditionalFormatting>
  <conditionalFormatting sqref="H233:H242">
    <cfRule type="cellIs" dxfId="6601" priority="6597" stopIfTrue="1" operator="lessThan">
      <formula>0.05</formula>
    </cfRule>
    <cfRule type="cellIs" dxfId="6600" priority="6598" stopIfTrue="1" operator="lessThan">
      <formula>0</formula>
    </cfRule>
  </conditionalFormatting>
  <conditionalFormatting sqref="H233:H242">
    <cfRule type="cellIs" dxfId="6599" priority="6595" stopIfTrue="1" operator="lessThan">
      <formula>0</formula>
    </cfRule>
    <cfRule type="cellIs" dxfId="6598" priority="6596" stopIfTrue="1" operator="lessThan">
      <formula>0</formula>
    </cfRule>
  </conditionalFormatting>
  <conditionalFormatting sqref="H233:H242">
    <cfRule type="cellIs" dxfId="6597" priority="6593" stopIfTrue="1" operator="lessThan">
      <formula>0.05</formula>
    </cfRule>
    <cfRule type="cellIs" dxfId="6596" priority="6594" stopIfTrue="1" operator="lessThan">
      <formula>0</formula>
    </cfRule>
  </conditionalFormatting>
  <conditionalFormatting sqref="H233:H242">
    <cfRule type="cellIs" dxfId="6595" priority="6591" stopIfTrue="1" operator="lessThan">
      <formula>0</formula>
    </cfRule>
    <cfRule type="cellIs" dxfId="6594" priority="6592" stopIfTrue="1" operator="lessThan">
      <formula>0</formula>
    </cfRule>
  </conditionalFormatting>
  <conditionalFormatting sqref="H233:H242">
    <cfRule type="cellIs" dxfId="6593" priority="6589" stopIfTrue="1" operator="lessThan">
      <formula>0</formula>
    </cfRule>
    <cfRule type="cellIs" dxfId="6592" priority="6590" stopIfTrue="1" operator="lessThan">
      <formula>0</formula>
    </cfRule>
  </conditionalFormatting>
  <conditionalFormatting sqref="H233:H242">
    <cfRule type="cellIs" dxfId="6591" priority="6587" stopIfTrue="1" operator="lessThan">
      <formula>0.05</formula>
    </cfRule>
    <cfRule type="cellIs" dxfId="6590" priority="6588" stopIfTrue="1" operator="lessThan">
      <formula>0</formula>
    </cfRule>
  </conditionalFormatting>
  <conditionalFormatting sqref="H233:H242">
    <cfRule type="cellIs" dxfId="6589" priority="6585" stopIfTrue="1" operator="lessThan">
      <formula>0</formula>
    </cfRule>
    <cfRule type="cellIs" dxfId="6588" priority="6586" stopIfTrue="1" operator="lessThan">
      <formula>0</formula>
    </cfRule>
  </conditionalFormatting>
  <conditionalFormatting sqref="H233:H242">
    <cfRule type="cellIs" dxfId="6587" priority="6583" stopIfTrue="1" operator="lessThan">
      <formula>0</formula>
    </cfRule>
    <cfRule type="cellIs" dxfId="6586" priority="6584" stopIfTrue="1" operator="lessThan">
      <formula>0</formula>
    </cfRule>
  </conditionalFormatting>
  <conditionalFormatting sqref="H233:H242">
    <cfRule type="cellIs" dxfId="6585" priority="6581" stopIfTrue="1" operator="lessThan">
      <formula>0.05</formula>
    </cfRule>
    <cfRule type="cellIs" dxfId="6584" priority="6582" stopIfTrue="1" operator="lessThan">
      <formula>0</formula>
    </cfRule>
  </conditionalFormatting>
  <conditionalFormatting sqref="H233:H242">
    <cfRule type="cellIs" dxfId="6583" priority="6579" stopIfTrue="1" operator="lessThan">
      <formula>0</formula>
    </cfRule>
    <cfRule type="cellIs" dxfId="6582" priority="6580" stopIfTrue="1" operator="lessThan">
      <formula>0</formula>
    </cfRule>
  </conditionalFormatting>
  <conditionalFormatting sqref="H233:H242">
    <cfRule type="cellIs" dxfId="6581" priority="6577" stopIfTrue="1" operator="lessThan">
      <formula>0</formula>
    </cfRule>
    <cfRule type="cellIs" dxfId="6580" priority="6578" stopIfTrue="1" operator="lessThan">
      <formula>0</formula>
    </cfRule>
  </conditionalFormatting>
  <conditionalFormatting sqref="H233:H242">
    <cfRule type="cellIs" dxfId="6579" priority="6575" stopIfTrue="1" operator="lessThan">
      <formula>0.05</formula>
    </cfRule>
    <cfRule type="cellIs" dxfId="6578" priority="6576" stopIfTrue="1" operator="lessThan">
      <formula>0</formula>
    </cfRule>
  </conditionalFormatting>
  <conditionalFormatting sqref="H233:H242">
    <cfRule type="cellIs" dxfId="6577" priority="6573" stopIfTrue="1" operator="lessThan">
      <formula>0</formula>
    </cfRule>
    <cfRule type="cellIs" dxfId="6576" priority="6574" stopIfTrue="1" operator="lessThan">
      <formula>0</formula>
    </cfRule>
  </conditionalFormatting>
  <conditionalFormatting sqref="H233:H242">
    <cfRule type="cellIs" dxfId="6575" priority="6571" stopIfTrue="1" operator="lessThan">
      <formula>0</formula>
    </cfRule>
    <cfRule type="cellIs" dxfId="6574" priority="6572" stopIfTrue="1" operator="lessThan">
      <formula>0</formula>
    </cfRule>
  </conditionalFormatting>
  <conditionalFormatting sqref="H233:H242">
    <cfRule type="cellIs" dxfId="6573" priority="6569" stopIfTrue="1" operator="lessThan">
      <formula>0.05</formula>
    </cfRule>
    <cfRule type="cellIs" dxfId="6572" priority="6570" stopIfTrue="1" operator="lessThan">
      <formula>0</formula>
    </cfRule>
  </conditionalFormatting>
  <conditionalFormatting sqref="H233:H242">
    <cfRule type="cellIs" dxfId="6571" priority="6567" stopIfTrue="1" operator="lessThan">
      <formula>0</formula>
    </cfRule>
    <cfRule type="cellIs" dxfId="6570" priority="6568" stopIfTrue="1" operator="lessThan">
      <formula>0</formula>
    </cfRule>
  </conditionalFormatting>
  <conditionalFormatting sqref="H233:H242">
    <cfRule type="cellIs" dxfId="6569" priority="6565" stopIfTrue="1" operator="lessThan">
      <formula>0</formula>
    </cfRule>
    <cfRule type="cellIs" dxfId="6568" priority="6566" stopIfTrue="1" operator="lessThan">
      <formula>0</formula>
    </cfRule>
  </conditionalFormatting>
  <conditionalFormatting sqref="H233:H242">
    <cfRule type="cellIs" dxfId="6567" priority="6563" stopIfTrue="1" operator="lessThan">
      <formula>0.05</formula>
    </cfRule>
    <cfRule type="cellIs" dxfId="6566" priority="6564" stopIfTrue="1" operator="lessThan">
      <formula>0</formula>
    </cfRule>
  </conditionalFormatting>
  <conditionalFormatting sqref="H233:H242">
    <cfRule type="cellIs" dxfId="6565" priority="6561" stopIfTrue="1" operator="lessThan">
      <formula>0</formula>
    </cfRule>
    <cfRule type="cellIs" dxfId="6564" priority="6562" stopIfTrue="1" operator="lessThan">
      <formula>0</formula>
    </cfRule>
  </conditionalFormatting>
  <conditionalFormatting sqref="H233:H242">
    <cfRule type="cellIs" dxfId="6563" priority="6559" stopIfTrue="1" operator="lessThan">
      <formula>0</formula>
    </cfRule>
    <cfRule type="cellIs" dxfId="6562" priority="6560" stopIfTrue="1" operator="lessThan">
      <formula>0</formula>
    </cfRule>
  </conditionalFormatting>
  <conditionalFormatting sqref="H233:H242">
    <cfRule type="cellIs" dxfId="6561" priority="6557" stopIfTrue="1" operator="lessThan">
      <formula>0.05</formula>
    </cfRule>
    <cfRule type="cellIs" dxfId="6560" priority="6558" stopIfTrue="1" operator="lessThan">
      <formula>0</formula>
    </cfRule>
  </conditionalFormatting>
  <conditionalFormatting sqref="H233:H242">
    <cfRule type="cellIs" dxfId="6559" priority="6555" stopIfTrue="1" operator="lessThan">
      <formula>0</formula>
    </cfRule>
    <cfRule type="cellIs" dxfId="6558" priority="6556" stopIfTrue="1" operator="lessThan">
      <formula>0</formula>
    </cfRule>
  </conditionalFormatting>
  <conditionalFormatting sqref="H233:H242">
    <cfRule type="cellIs" dxfId="6557" priority="6553" stopIfTrue="1" operator="lessThan">
      <formula>0</formula>
    </cfRule>
    <cfRule type="cellIs" dxfId="6556" priority="6554" stopIfTrue="1" operator="lessThan">
      <formula>0</formula>
    </cfRule>
  </conditionalFormatting>
  <conditionalFormatting sqref="H233:H242">
    <cfRule type="cellIs" dxfId="6555" priority="6551" stopIfTrue="1" operator="lessThan">
      <formula>0.05</formula>
    </cfRule>
    <cfRule type="cellIs" dxfId="6554" priority="6552" stopIfTrue="1" operator="lessThan">
      <formula>0</formula>
    </cfRule>
  </conditionalFormatting>
  <conditionalFormatting sqref="H233:H242">
    <cfRule type="cellIs" dxfId="6553" priority="6549" stopIfTrue="1" operator="lessThan">
      <formula>0</formula>
    </cfRule>
    <cfRule type="cellIs" dxfId="6552" priority="6550" stopIfTrue="1" operator="lessThan">
      <formula>0</formula>
    </cfRule>
  </conditionalFormatting>
  <conditionalFormatting sqref="H233:H242">
    <cfRule type="cellIs" dxfId="6551" priority="6547" stopIfTrue="1" operator="lessThan">
      <formula>0</formula>
    </cfRule>
    <cfRule type="cellIs" dxfId="6550" priority="6548" stopIfTrue="1" operator="lessThan">
      <formula>0</formula>
    </cfRule>
  </conditionalFormatting>
  <conditionalFormatting sqref="H233:H242">
    <cfRule type="cellIs" dxfId="6549" priority="6545" stopIfTrue="1" operator="lessThan">
      <formula>0.05</formula>
    </cfRule>
    <cfRule type="cellIs" dxfId="6548" priority="6546" stopIfTrue="1" operator="lessThan">
      <formula>0</formula>
    </cfRule>
  </conditionalFormatting>
  <conditionalFormatting sqref="H233:H242">
    <cfRule type="cellIs" dxfId="6547" priority="6543" stopIfTrue="1" operator="lessThan">
      <formula>0</formula>
    </cfRule>
    <cfRule type="cellIs" dxfId="6546" priority="6544" stopIfTrue="1" operator="lessThan">
      <formula>0</formula>
    </cfRule>
  </conditionalFormatting>
  <conditionalFormatting sqref="H233:H242">
    <cfRule type="cellIs" dxfId="6545" priority="6541" stopIfTrue="1" operator="lessThan">
      <formula>0</formula>
    </cfRule>
    <cfRule type="cellIs" dxfId="6544" priority="6542" stopIfTrue="1" operator="lessThan">
      <formula>0</formula>
    </cfRule>
  </conditionalFormatting>
  <conditionalFormatting sqref="H233:H242">
    <cfRule type="cellIs" dxfId="6543" priority="6539" stopIfTrue="1" operator="lessThan">
      <formula>0.05</formula>
    </cfRule>
    <cfRule type="cellIs" dxfId="6542" priority="6540" stopIfTrue="1" operator="lessThan">
      <formula>0</formula>
    </cfRule>
  </conditionalFormatting>
  <conditionalFormatting sqref="H233:H242">
    <cfRule type="cellIs" dxfId="6541" priority="6537" stopIfTrue="1" operator="lessThan">
      <formula>0</formula>
    </cfRule>
    <cfRule type="cellIs" dxfId="6540" priority="6538" stopIfTrue="1" operator="lessThan">
      <formula>0</formula>
    </cfRule>
  </conditionalFormatting>
  <conditionalFormatting sqref="H233:H242">
    <cfRule type="cellIs" dxfId="6539" priority="6535" stopIfTrue="1" operator="lessThan">
      <formula>0</formula>
    </cfRule>
    <cfRule type="cellIs" dxfId="6538" priority="6536" stopIfTrue="1" operator="lessThan">
      <formula>0</formula>
    </cfRule>
  </conditionalFormatting>
  <conditionalFormatting sqref="H233:H242">
    <cfRule type="cellIs" dxfId="6537" priority="6533" stopIfTrue="1" operator="lessThan">
      <formula>0.05</formula>
    </cfRule>
    <cfRule type="cellIs" dxfId="6536" priority="6534" stopIfTrue="1" operator="lessThan">
      <formula>0</formula>
    </cfRule>
  </conditionalFormatting>
  <conditionalFormatting sqref="H233:H242">
    <cfRule type="cellIs" dxfId="6535" priority="6531" stopIfTrue="1" operator="lessThan">
      <formula>0</formula>
    </cfRule>
    <cfRule type="cellIs" dxfId="6534" priority="6532" stopIfTrue="1" operator="lessThan">
      <formula>0</formula>
    </cfRule>
  </conditionalFormatting>
  <conditionalFormatting sqref="H233:H242">
    <cfRule type="cellIs" dxfId="6533" priority="6529" stopIfTrue="1" operator="lessThan">
      <formula>0</formula>
    </cfRule>
    <cfRule type="cellIs" dxfId="6532" priority="6530" stopIfTrue="1" operator="lessThan">
      <formula>0</formula>
    </cfRule>
  </conditionalFormatting>
  <conditionalFormatting sqref="H233:H242">
    <cfRule type="cellIs" dxfId="6531" priority="6527" stopIfTrue="1" operator="lessThan">
      <formula>0.05</formula>
    </cfRule>
    <cfRule type="cellIs" dxfId="6530" priority="6528" stopIfTrue="1" operator="lessThan">
      <formula>0</formula>
    </cfRule>
  </conditionalFormatting>
  <conditionalFormatting sqref="H233:H242">
    <cfRule type="cellIs" dxfId="6529" priority="6525" stopIfTrue="1" operator="lessThan">
      <formula>0</formula>
    </cfRule>
    <cfRule type="cellIs" dxfId="6528" priority="6526" stopIfTrue="1" operator="lessThan">
      <formula>0</formula>
    </cfRule>
  </conditionalFormatting>
  <conditionalFormatting sqref="H233:H242">
    <cfRule type="cellIs" dxfId="6527" priority="6523" stopIfTrue="1" operator="lessThan">
      <formula>0</formula>
    </cfRule>
    <cfRule type="cellIs" dxfId="6526" priority="6524" stopIfTrue="1" operator="lessThan">
      <formula>0</formula>
    </cfRule>
  </conditionalFormatting>
  <conditionalFormatting sqref="H233:H242">
    <cfRule type="cellIs" dxfId="6525" priority="6521" stopIfTrue="1" operator="lessThan">
      <formula>0.05</formula>
    </cfRule>
    <cfRule type="cellIs" dxfId="6524" priority="6522" stopIfTrue="1" operator="lessThan">
      <formula>0</formula>
    </cfRule>
  </conditionalFormatting>
  <conditionalFormatting sqref="H233:H242">
    <cfRule type="cellIs" dxfId="6523" priority="6519" stopIfTrue="1" operator="lessThan">
      <formula>0</formula>
    </cfRule>
    <cfRule type="cellIs" dxfId="6522" priority="6520" stopIfTrue="1" operator="lessThan">
      <formula>0</formula>
    </cfRule>
  </conditionalFormatting>
  <conditionalFormatting sqref="H233:H242">
    <cfRule type="cellIs" dxfId="6521" priority="6517" stopIfTrue="1" operator="lessThan">
      <formula>0</formula>
    </cfRule>
    <cfRule type="cellIs" dxfId="6520" priority="6518" stopIfTrue="1" operator="lessThan">
      <formula>0</formula>
    </cfRule>
  </conditionalFormatting>
  <conditionalFormatting sqref="H233:H242">
    <cfRule type="cellIs" dxfId="6519" priority="6515" stopIfTrue="1" operator="lessThan">
      <formula>0.05</formula>
    </cfRule>
    <cfRule type="cellIs" dxfId="6518" priority="6516" stopIfTrue="1" operator="lessThan">
      <formula>0</formula>
    </cfRule>
  </conditionalFormatting>
  <conditionalFormatting sqref="H233:H242">
    <cfRule type="cellIs" dxfId="6517" priority="6513" stopIfTrue="1" operator="lessThan">
      <formula>0</formula>
    </cfRule>
    <cfRule type="cellIs" dxfId="6516" priority="6514" stopIfTrue="1" operator="lessThan">
      <formula>0</formula>
    </cfRule>
  </conditionalFormatting>
  <conditionalFormatting sqref="H233:H242">
    <cfRule type="cellIs" dxfId="6515" priority="6511" stopIfTrue="1" operator="lessThan">
      <formula>0</formula>
    </cfRule>
    <cfRule type="cellIs" dxfId="6514" priority="6512" stopIfTrue="1" operator="lessThan">
      <formula>0</formula>
    </cfRule>
  </conditionalFormatting>
  <conditionalFormatting sqref="H233:H242">
    <cfRule type="cellIs" dxfId="6513" priority="6509" stopIfTrue="1" operator="lessThan">
      <formula>0.05</formula>
    </cfRule>
    <cfRule type="cellIs" dxfId="6512" priority="6510" stopIfTrue="1" operator="lessThan">
      <formula>0</formula>
    </cfRule>
  </conditionalFormatting>
  <conditionalFormatting sqref="H233:H242">
    <cfRule type="cellIs" dxfId="6511" priority="6507" stopIfTrue="1" operator="lessThan">
      <formula>0</formula>
    </cfRule>
    <cfRule type="cellIs" dxfId="6510" priority="6508" stopIfTrue="1" operator="lessThan">
      <formula>0</formula>
    </cfRule>
  </conditionalFormatting>
  <conditionalFormatting sqref="H233:H242">
    <cfRule type="cellIs" dxfId="6509" priority="6505" stopIfTrue="1" operator="lessThan">
      <formula>0</formula>
    </cfRule>
    <cfRule type="cellIs" dxfId="6508" priority="6506" stopIfTrue="1" operator="lessThan">
      <formula>0</formula>
    </cfRule>
  </conditionalFormatting>
  <conditionalFormatting sqref="H233:H242">
    <cfRule type="cellIs" dxfId="6507" priority="6503" stopIfTrue="1" operator="lessThan">
      <formula>0.05</formula>
    </cfRule>
    <cfRule type="cellIs" dxfId="6506" priority="6504" stopIfTrue="1" operator="lessThan">
      <formula>0</formula>
    </cfRule>
  </conditionalFormatting>
  <conditionalFormatting sqref="H233:H242">
    <cfRule type="cellIs" dxfId="6505" priority="6501" stopIfTrue="1" operator="lessThan">
      <formula>0</formula>
    </cfRule>
    <cfRule type="cellIs" dxfId="6504" priority="6502" stopIfTrue="1" operator="lessThan">
      <formula>0</formula>
    </cfRule>
  </conditionalFormatting>
  <conditionalFormatting sqref="H233:H242">
    <cfRule type="cellIs" dxfId="6503" priority="6499" stopIfTrue="1" operator="lessThan">
      <formula>0</formula>
    </cfRule>
    <cfRule type="cellIs" dxfId="6502" priority="6500" stopIfTrue="1" operator="lessThan">
      <formula>0</formula>
    </cfRule>
  </conditionalFormatting>
  <conditionalFormatting sqref="H233:H242">
    <cfRule type="cellIs" dxfId="6501" priority="6497" stopIfTrue="1" operator="lessThan">
      <formula>0.05</formula>
    </cfRule>
    <cfRule type="cellIs" dxfId="6500" priority="6498" stopIfTrue="1" operator="lessThan">
      <formula>0</formula>
    </cfRule>
  </conditionalFormatting>
  <conditionalFormatting sqref="H233:H242">
    <cfRule type="cellIs" dxfId="6499" priority="6495" stopIfTrue="1" operator="lessThan">
      <formula>0</formula>
    </cfRule>
    <cfRule type="cellIs" dxfId="6498" priority="6496" stopIfTrue="1" operator="lessThan">
      <formula>0</formula>
    </cfRule>
  </conditionalFormatting>
  <conditionalFormatting sqref="H233:H242">
    <cfRule type="cellIs" dxfId="6497" priority="6493" stopIfTrue="1" operator="lessThan">
      <formula>0.05</formula>
    </cfRule>
    <cfRule type="cellIs" dxfId="6496" priority="6494" stopIfTrue="1" operator="lessThan">
      <formula>0</formula>
    </cfRule>
  </conditionalFormatting>
  <conditionalFormatting sqref="H233:H242">
    <cfRule type="cellIs" dxfId="6495" priority="6491" stopIfTrue="1" operator="lessThan">
      <formula>0</formula>
    </cfRule>
    <cfRule type="cellIs" dxfId="6494" priority="6492" stopIfTrue="1" operator="lessThan">
      <formula>0</formula>
    </cfRule>
  </conditionalFormatting>
  <conditionalFormatting sqref="H233:H242">
    <cfRule type="cellIs" dxfId="6493" priority="6489" stopIfTrue="1" operator="lessThan">
      <formula>0.05</formula>
    </cfRule>
    <cfRule type="cellIs" dxfId="6492" priority="6490" stopIfTrue="1" operator="lessThan">
      <formula>0</formula>
    </cfRule>
  </conditionalFormatting>
  <conditionalFormatting sqref="H233:H242">
    <cfRule type="cellIs" dxfId="6491" priority="6487" stopIfTrue="1" operator="lessThan">
      <formula>0</formula>
    </cfRule>
    <cfRule type="cellIs" dxfId="6490" priority="6488" stopIfTrue="1" operator="lessThan">
      <formula>0</formula>
    </cfRule>
  </conditionalFormatting>
  <conditionalFormatting sqref="H233:H242">
    <cfRule type="cellIs" dxfId="6489" priority="6485" stopIfTrue="1" operator="lessThan">
      <formula>0</formula>
    </cfRule>
    <cfRule type="cellIs" dxfId="6488" priority="6486" stopIfTrue="1" operator="lessThan">
      <formula>0</formula>
    </cfRule>
  </conditionalFormatting>
  <conditionalFormatting sqref="H233:H242">
    <cfRule type="cellIs" dxfId="6487" priority="6483" stopIfTrue="1" operator="lessThan">
      <formula>0</formula>
    </cfRule>
    <cfRule type="cellIs" dxfId="6486" priority="6484" stopIfTrue="1" operator="lessThan">
      <formula>0</formula>
    </cfRule>
  </conditionalFormatting>
  <conditionalFormatting sqref="H233:H242">
    <cfRule type="cellIs" dxfId="6485" priority="6481" stopIfTrue="1" operator="lessThan">
      <formula>0.05</formula>
    </cfRule>
    <cfRule type="cellIs" dxfId="6484" priority="6482" stopIfTrue="1" operator="lessThan">
      <formula>0</formula>
    </cfRule>
  </conditionalFormatting>
  <conditionalFormatting sqref="H233:H242">
    <cfRule type="cellIs" dxfId="6483" priority="6479" stopIfTrue="1" operator="lessThan">
      <formula>0</formula>
    </cfRule>
    <cfRule type="cellIs" dxfId="6482" priority="6480" stopIfTrue="1" operator="lessThan">
      <formula>0</formula>
    </cfRule>
  </conditionalFormatting>
  <conditionalFormatting sqref="H233:H242">
    <cfRule type="cellIs" dxfId="6481" priority="6477" stopIfTrue="1" operator="lessThan">
      <formula>0.05</formula>
    </cfRule>
    <cfRule type="cellIs" dxfId="6480" priority="6478" stopIfTrue="1" operator="lessThan">
      <formula>0</formula>
    </cfRule>
  </conditionalFormatting>
  <conditionalFormatting sqref="H233:H242">
    <cfRule type="cellIs" dxfId="6479" priority="6475" stopIfTrue="1" operator="lessThan">
      <formula>0</formula>
    </cfRule>
    <cfRule type="cellIs" dxfId="6478" priority="6476" stopIfTrue="1" operator="lessThan">
      <formula>0</formula>
    </cfRule>
  </conditionalFormatting>
  <conditionalFormatting sqref="H233:H242">
    <cfRule type="cellIs" dxfId="6477" priority="6473" stopIfTrue="1" operator="lessThan">
      <formula>0.05</formula>
    </cfRule>
    <cfRule type="cellIs" dxfId="6476" priority="6474" stopIfTrue="1" operator="lessThan">
      <formula>0</formula>
    </cfRule>
  </conditionalFormatting>
  <conditionalFormatting sqref="H233:H242">
    <cfRule type="cellIs" dxfId="6475" priority="6471" stopIfTrue="1" operator="lessThan">
      <formula>0</formula>
    </cfRule>
    <cfRule type="cellIs" dxfId="6474" priority="6472" stopIfTrue="1" operator="lessThan">
      <formula>0</formula>
    </cfRule>
  </conditionalFormatting>
  <conditionalFormatting sqref="H233:H242">
    <cfRule type="cellIs" dxfId="6473" priority="6469" stopIfTrue="1" operator="lessThan">
      <formula>0</formula>
    </cfRule>
    <cfRule type="cellIs" dxfId="6472" priority="6470" stopIfTrue="1" operator="lessThan">
      <formula>0</formula>
    </cfRule>
  </conditionalFormatting>
  <conditionalFormatting sqref="H233:H242">
    <cfRule type="cellIs" dxfId="6471" priority="6467" stopIfTrue="1" operator="lessThan">
      <formula>0.05</formula>
    </cfRule>
    <cfRule type="cellIs" dxfId="6470" priority="6468" stopIfTrue="1" operator="lessThan">
      <formula>0</formula>
    </cfRule>
  </conditionalFormatting>
  <conditionalFormatting sqref="H233:H242">
    <cfRule type="cellIs" dxfId="6469" priority="6465" stopIfTrue="1" operator="lessThan">
      <formula>0</formula>
    </cfRule>
    <cfRule type="cellIs" dxfId="6468" priority="6466" stopIfTrue="1" operator="lessThan">
      <formula>0</formula>
    </cfRule>
  </conditionalFormatting>
  <conditionalFormatting sqref="H233:H242">
    <cfRule type="cellIs" dxfId="6467" priority="6463" stopIfTrue="1" operator="lessThan">
      <formula>0</formula>
    </cfRule>
    <cfRule type="cellIs" dxfId="6466" priority="6464" stopIfTrue="1" operator="lessThan">
      <formula>0</formula>
    </cfRule>
  </conditionalFormatting>
  <conditionalFormatting sqref="H233:H242">
    <cfRule type="cellIs" dxfId="6465" priority="6461" stopIfTrue="1" operator="lessThan">
      <formula>0.05</formula>
    </cfRule>
    <cfRule type="cellIs" dxfId="6464" priority="6462" stopIfTrue="1" operator="lessThan">
      <formula>0</formula>
    </cfRule>
  </conditionalFormatting>
  <conditionalFormatting sqref="H233:H242">
    <cfRule type="cellIs" dxfId="6463" priority="6459" stopIfTrue="1" operator="lessThan">
      <formula>0</formula>
    </cfRule>
    <cfRule type="cellIs" dxfId="6462" priority="6460" stopIfTrue="1" operator="lessThan">
      <formula>0</formula>
    </cfRule>
  </conditionalFormatting>
  <conditionalFormatting sqref="H233:H242">
    <cfRule type="cellIs" dxfId="6461" priority="6457" stopIfTrue="1" operator="lessThan">
      <formula>0</formula>
    </cfRule>
    <cfRule type="cellIs" dxfId="6460" priority="6458" stopIfTrue="1" operator="lessThan">
      <formula>0</formula>
    </cfRule>
  </conditionalFormatting>
  <conditionalFormatting sqref="H233:H242">
    <cfRule type="cellIs" dxfId="6459" priority="6455" stopIfTrue="1" operator="lessThan">
      <formula>0.05</formula>
    </cfRule>
    <cfRule type="cellIs" dxfId="6458" priority="6456" stopIfTrue="1" operator="lessThan">
      <formula>0</formula>
    </cfRule>
  </conditionalFormatting>
  <conditionalFormatting sqref="H233:H242">
    <cfRule type="cellIs" dxfId="6457" priority="6453" stopIfTrue="1" operator="lessThan">
      <formula>0</formula>
    </cfRule>
    <cfRule type="cellIs" dxfId="6456" priority="6454" stopIfTrue="1" operator="lessThan">
      <formula>0</formula>
    </cfRule>
  </conditionalFormatting>
  <conditionalFormatting sqref="H233:H242">
    <cfRule type="cellIs" dxfId="6455" priority="6451" stopIfTrue="1" operator="lessThan">
      <formula>0</formula>
    </cfRule>
    <cfRule type="cellIs" dxfId="6454" priority="6452" stopIfTrue="1" operator="lessThan">
      <formula>0</formula>
    </cfRule>
  </conditionalFormatting>
  <conditionalFormatting sqref="H233:H242">
    <cfRule type="cellIs" dxfId="6453" priority="6449" stopIfTrue="1" operator="lessThan">
      <formula>0.05</formula>
    </cfRule>
    <cfRule type="cellIs" dxfId="6452" priority="6450" stopIfTrue="1" operator="lessThan">
      <formula>0</formula>
    </cfRule>
  </conditionalFormatting>
  <conditionalFormatting sqref="H233:H242">
    <cfRule type="cellIs" dxfId="6451" priority="6447" stopIfTrue="1" operator="lessThan">
      <formula>0</formula>
    </cfRule>
    <cfRule type="cellIs" dxfId="6450" priority="6448" stopIfTrue="1" operator="lessThan">
      <formula>0</formula>
    </cfRule>
  </conditionalFormatting>
  <conditionalFormatting sqref="H233:H242">
    <cfRule type="cellIs" dxfId="6449" priority="6445" stopIfTrue="1" operator="lessThan">
      <formula>0</formula>
    </cfRule>
    <cfRule type="cellIs" dxfId="6448" priority="6446" stopIfTrue="1" operator="lessThan">
      <formula>0</formula>
    </cfRule>
  </conditionalFormatting>
  <conditionalFormatting sqref="H233:H242">
    <cfRule type="cellIs" dxfId="6447" priority="6443" stopIfTrue="1" operator="lessThan">
      <formula>0.05</formula>
    </cfRule>
    <cfRule type="cellIs" dxfId="6446" priority="6444" stopIfTrue="1" operator="lessThan">
      <formula>0</formula>
    </cfRule>
  </conditionalFormatting>
  <conditionalFormatting sqref="H233:H242">
    <cfRule type="cellIs" dxfId="6445" priority="6441" stopIfTrue="1" operator="lessThan">
      <formula>0</formula>
    </cfRule>
    <cfRule type="cellIs" dxfId="6444" priority="6442" stopIfTrue="1" operator="lessThan">
      <formula>0</formula>
    </cfRule>
  </conditionalFormatting>
  <conditionalFormatting sqref="H233:H242">
    <cfRule type="cellIs" dxfId="6443" priority="6439" stopIfTrue="1" operator="lessThan">
      <formula>0</formula>
    </cfRule>
    <cfRule type="cellIs" dxfId="6442" priority="6440" stopIfTrue="1" operator="lessThan">
      <formula>0</formula>
    </cfRule>
  </conditionalFormatting>
  <conditionalFormatting sqref="H233:H242">
    <cfRule type="cellIs" dxfId="6441" priority="6437" stopIfTrue="1" operator="lessThan">
      <formula>0.05</formula>
    </cfRule>
    <cfRule type="cellIs" dxfId="6440" priority="6438" stopIfTrue="1" operator="lessThan">
      <formula>0</formula>
    </cfRule>
  </conditionalFormatting>
  <conditionalFormatting sqref="H233:H242">
    <cfRule type="cellIs" dxfId="6439" priority="6435" stopIfTrue="1" operator="lessThan">
      <formula>0</formula>
    </cfRule>
    <cfRule type="cellIs" dxfId="6438" priority="6436" stopIfTrue="1" operator="lessThan">
      <formula>0</formula>
    </cfRule>
  </conditionalFormatting>
  <conditionalFormatting sqref="H233:H242">
    <cfRule type="cellIs" dxfId="6437" priority="6433" stopIfTrue="1" operator="lessThan">
      <formula>0</formula>
    </cfRule>
    <cfRule type="cellIs" dxfId="6436" priority="6434" stopIfTrue="1" operator="lessThan">
      <formula>0</formula>
    </cfRule>
  </conditionalFormatting>
  <conditionalFormatting sqref="H233:H242">
    <cfRule type="cellIs" dxfId="6435" priority="6431" stopIfTrue="1" operator="lessThan">
      <formula>0.05</formula>
    </cfRule>
    <cfRule type="cellIs" dxfId="6434" priority="6432" stopIfTrue="1" operator="lessThan">
      <formula>0</formula>
    </cfRule>
  </conditionalFormatting>
  <conditionalFormatting sqref="H233:H242">
    <cfRule type="cellIs" dxfId="6433" priority="6429" stopIfTrue="1" operator="lessThan">
      <formula>0</formula>
    </cfRule>
    <cfRule type="cellIs" dxfId="6432" priority="6430" stopIfTrue="1" operator="lessThan">
      <formula>0</formula>
    </cfRule>
  </conditionalFormatting>
  <conditionalFormatting sqref="H233:H242">
    <cfRule type="cellIs" dxfId="6431" priority="6427" stopIfTrue="1" operator="lessThan">
      <formula>0</formula>
    </cfRule>
    <cfRule type="cellIs" dxfId="6430" priority="6428" stopIfTrue="1" operator="lessThan">
      <formula>0</formula>
    </cfRule>
  </conditionalFormatting>
  <conditionalFormatting sqref="H233:H242">
    <cfRule type="cellIs" dxfId="6429" priority="6425" stopIfTrue="1" operator="lessThan">
      <formula>0.05</formula>
    </cfRule>
    <cfRule type="cellIs" dxfId="6428" priority="6426" stopIfTrue="1" operator="lessThan">
      <formula>0</formula>
    </cfRule>
  </conditionalFormatting>
  <conditionalFormatting sqref="H233:H242">
    <cfRule type="cellIs" dxfId="6427" priority="6423" stopIfTrue="1" operator="lessThan">
      <formula>0</formula>
    </cfRule>
    <cfRule type="cellIs" dxfId="6426" priority="6424" stopIfTrue="1" operator="lessThan">
      <formula>0</formula>
    </cfRule>
  </conditionalFormatting>
  <conditionalFormatting sqref="H233:H242">
    <cfRule type="cellIs" dxfId="6425" priority="6421" stopIfTrue="1" operator="lessThan">
      <formula>0</formula>
    </cfRule>
    <cfRule type="cellIs" dxfId="6424" priority="6422" stopIfTrue="1" operator="lessThan">
      <formula>0</formula>
    </cfRule>
  </conditionalFormatting>
  <conditionalFormatting sqref="H233:H242">
    <cfRule type="cellIs" dxfId="6423" priority="6419" stopIfTrue="1" operator="lessThan">
      <formula>0.05</formula>
    </cfRule>
    <cfRule type="cellIs" dxfId="6422" priority="6420" stopIfTrue="1" operator="lessThan">
      <formula>0</formula>
    </cfRule>
  </conditionalFormatting>
  <conditionalFormatting sqref="H233:H242">
    <cfRule type="cellIs" dxfId="6421" priority="6417" stopIfTrue="1" operator="lessThan">
      <formula>0</formula>
    </cfRule>
    <cfRule type="cellIs" dxfId="6420" priority="6418" stopIfTrue="1" operator="lessThan">
      <formula>0</formula>
    </cfRule>
  </conditionalFormatting>
  <conditionalFormatting sqref="H233:H242">
    <cfRule type="cellIs" dxfId="6419" priority="6415" stopIfTrue="1" operator="lessThan">
      <formula>0</formula>
    </cfRule>
    <cfRule type="cellIs" dxfId="6418" priority="6416" stopIfTrue="1" operator="lessThan">
      <formula>0</formula>
    </cfRule>
  </conditionalFormatting>
  <conditionalFormatting sqref="H233:H242">
    <cfRule type="cellIs" dxfId="6417" priority="6413" stopIfTrue="1" operator="lessThan">
      <formula>0.05</formula>
    </cfRule>
    <cfRule type="cellIs" dxfId="6416" priority="6414" stopIfTrue="1" operator="lessThan">
      <formula>0</formula>
    </cfRule>
  </conditionalFormatting>
  <conditionalFormatting sqref="H233:H242">
    <cfRule type="cellIs" dxfId="6415" priority="6411" stopIfTrue="1" operator="lessThan">
      <formula>0</formula>
    </cfRule>
    <cfRule type="cellIs" dxfId="6414" priority="6412" stopIfTrue="1" operator="lessThan">
      <formula>0</formula>
    </cfRule>
  </conditionalFormatting>
  <conditionalFormatting sqref="H233:H242">
    <cfRule type="cellIs" dxfId="6413" priority="6409" stopIfTrue="1" operator="lessThan">
      <formula>0</formula>
    </cfRule>
    <cfRule type="cellIs" dxfId="6412" priority="6410" stopIfTrue="1" operator="lessThan">
      <formula>0</formula>
    </cfRule>
  </conditionalFormatting>
  <conditionalFormatting sqref="H233:H242">
    <cfRule type="cellIs" dxfId="6411" priority="6407" stopIfTrue="1" operator="lessThan">
      <formula>0.05</formula>
    </cfRule>
    <cfRule type="cellIs" dxfId="6410" priority="6408" stopIfTrue="1" operator="lessThan">
      <formula>0</formula>
    </cfRule>
  </conditionalFormatting>
  <conditionalFormatting sqref="H233:H242">
    <cfRule type="cellIs" dxfId="6409" priority="6405" stopIfTrue="1" operator="lessThan">
      <formula>0</formula>
    </cfRule>
    <cfRule type="cellIs" dxfId="6408" priority="6406" stopIfTrue="1" operator="lessThan">
      <formula>0</formula>
    </cfRule>
  </conditionalFormatting>
  <conditionalFormatting sqref="H233:H242">
    <cfRule type="cellIs" dxfId="6407" priority="6403" stopIfTrue="1" operator="lessThan">
      <formula>0</formula>
    </cfRule>
    <cfRule type="cellIs" dxfId="6406" priority="6404" stopIfTrue="1" operator="lessThan">
      <formula>0</formula>
    </cfRule>
  </conditionalFormatting>
  <conditionalFormatting sqref="H233:H242">
    <cfRule type="cellIs" dxfId="6405" priority="6401" stopIfTrue="1" operator="lessThan">
      <formula>0.05</formula>
    </cfRule>
    <cfRule type="cellIs" dxfId="6404" priority="6402" stopIfTrue="1" operator="lessThan">
      <formula>0</formula>
    </cfRule>
  </conditionalFormatting>
  <conditionalFormatting sqref="H233:H242">
    <cfRule type="cellIs" dxfId="6403" priority="6399" stopIfTrue="1" operator="lessThan">
      <formula>0</formula>
    </cfRule>
    <cfRule type="cellIs" dxfId="6402" priority="6400" stopIfTrue="1" operator="lessThan">
      <formula>0</formula>
    </cfRule>
  </conditionalFormatting>
  <conditionalFormatting sqref="H233:H242">
    <cfRule type="cellIs" dxfId="6401" priority="6397" stopIfTrue="1" operator="lessThan">
      <formula>0.05</formula>
    </cfRule>
    <cfRule type="cellIs" dxfId="6400" priority="6398" stopIfTrue="1" operator="lessThan">
      <formula>0</formula>
    </cfRule>
  </conditionalFormatting>
  <conditionalFormatting sqref="H233:H242">
    <cfRule type="cellIs" dxfId="6399" priority="6395" stopIfTrue="1" operator="lessThan">
      <formula>0</formula>
    </cfRule>
    <cfRule type="cellIs" dxfId="6398" priority="6396" stopIfTrue="1" operator="lessThan">
      <formula>0</formula>
    </cfRule>
  </conditionalFormatting>
  <conditionalFormatting sqref="H233:H242">
    <cfRule type="cellIs" dxfId="6397" priority="6393" stopIfTrue="1" operator="lessThan">
      <formula>0.05</formula>
    </cfRule>
    <cfRule type="cellIs" dxfId="6396" priority="6394" stopIfTrue="1" operator="lessThan">
      <formula>0</formula>
    </cfRule>
  </conditionalFormatting>
  <conditionalFormatting sqref="H233:H242">
    <cfRule type="cellIs" dxfId="6395" priority="6391" stopIfTrue="1" operator="lessThan">
      <formula>0</formula>
    </cfRule>
    <cfRule type="cellIs" dxfId="6394" priority="6392" stopIfTrue="1" operator="lessThan">
      <formula>0</formula>
    </cfRule>
  </conditionalFormatting>
  <conditionalFormatting sqref="H233:H242">
    <cfRule type="cellIs" dxfId="6393" priority="6389" stopIfTrue="1" operator="lessThan">
      <formula>0</formula>
    </cfRule>
    <cfRule type="cellIs" dxfId="6392" priority="6390" stopIfTrue="1" operator="lessThan">
      <formula>0</formula>
    </cfRule>
  </conditionalFormatting>
  <conditionalFormatting sqref="H233:H242">
    <cfRule type="cellIs" dxfId="6391" priority="6387" stopIfTrue="1" operator="lessThan">
      <formula>0</formula>
    </cfRule>
    <cfRule type="cellIs" dxfId="6390" priority="6388" stopIfTrue="1" operator="lessThan">
      <formula>0</formula>
    </cfRule>
  </conditionalFormatting>
  <conditionalFormatting sqref="H233:H242">
    <cfRule type="cellIs" dxfId="6389" priority="6385" stopIfTrue="1" operator="lessThan">
      <formula>0.05</formula>
    </cfRule>
    <cfRule type="cellIs" dxfId="6388" priority="6386" stopIfTrue="1" operator="lessThan">
      <formula>0</formula>
    </cfRule>
  </conditionalFormatting>
  <conditionalFormatting sqref="H233:H242">
    <cfRule type="cellIs" dxfId="6387" priority="6383" stopIfTrue="1" operator="lessThan">
      <formula>0</formula>
    </cfRule>
    <cfRule type="cellIs" dxfId="6386" priority="6384" stopIfTrue="1" operator="lessThan">
      <formula>0</formula>
    </cfRule>
  </conditionalFormatting>
  <conditionalFormatting sqref="H233:H242">
    <cfRule type="cellIs" dxfId="6385" priority="6381" stopIfTrue="1" operator="lessThan">
      <formula>0.05</formula>
    </cfRule>
    <cfRule type="cellIs" dxfId="6384" priority="6382" stopIfTrue="1" operator="lessThan">
      <formula>0</formula>
    </cfRule>
  </conditionalFormatting>
  <conditionalFormatting sqref="H233:H242">
    <cfRule type="cellIs" dxfId="6383" priority="6379" stopIfTrue="1" operator="lessThan">
      <formula>0</formula>
    </cfRule>
    <cfRule type="cellIs" dxfId="6382" priority="6380" stopIfTrue="1" operator="lessThan">
      <formula>0</formula>
    </cfRule>
  </conditionalFormatting>
  <conditionalFormatting sqref="H233:H242">
    <cfRule type="cellIs" dxfId="6381" priority="6377" stopIfTrue="1" operator="lessThan">
      <formula>0.05</formula>
    </cfRule>
    <cfRule type="cellIs" dxfId="6380" priority="6378" stopIfTrue="1" operator="lessThan">
      <formula>0</formula>
    </cfRule>
  </conditionalFormatting>
  <conditionalFormatting sqref="H233:H242">
    <cfRule type="cellIs" dxfId="6379" priority="6375" stopIfTrue="1" operator="lessThan">
      <formula>0</formula>
    </cfRule>
    <cfRule type="cellIs" dxfId="6378" priority="6376" stopIfTrue="1" operator="lessThan">
      <formula>0</formula>
    </cfRule>
  </conditionalFormatting>
  <conditionalFormatting sqref="H233:H242">
    <cfRule type="cellIs" dxfId="6377" priority="6373" stopIfTrue="1" operator="lessThan">
      <formula>0</formula>
    </cfRule>
    <cfRule type="cellIs" dxfId="6376" priority="6374" stopIfTrue="1" operator="lessThan">
      <formula>0</formula>
    </cfRule>
  </conditionalFormatting>
  <conditionalFormatting sqref="H233:H242">
    <cfRule type="cellIs" dxfId="6375" priority="6371" stopIfTrue="1" operator="lessThan">
      <formula>0.05</formula>
    </cfRule>
    <cfRule type="cellIs" dxfId="6374" priority="6372" stopIfTrue="1" operator="lessThan">
      <formula>0</formula>
    </cfRule>
  </conditionalFormatting>
  <conditionalFormatting sqref="H233:H242">
    <cfRule type="cellIs" dxfId="6373" priority="6369" stopIfTrue="1" operator="lessThan">
      <formula>0</formula>
    </cfRule>
    <cfRule type="cellIs" dxfId="6372" priority="6370" stopIfTrue="1" operator="lessThan">
      <formula>0</formula>
    </cfRule>
  </conditionalFormatting>
  <conditionalFormatting sqref="H233:H242">
    <cfRule type="cellIs" dxfId="6371" priority="6367" stopIfTrue="1" operator="lessThan">
      <formula>0</formula>
    </cfRule>
    <cfRule type="cellIs" dxfId="6370" priority="6368" stopIfTrue="1" operator="lessThan">
      <formula>0</formula>
    </cfRule>
  </conditionalFormatting>
  <conditionalFormatting sqref="H233:H242">
    <cfRule type="cellIs" dxfId="6369" priority="6365" stopIfTrue="1" operator="lessThan">
      <formula>0.05</formula>
    </cfRule>
    <cfRule type="cellIs" dxfId="6368" priority="6366" stopIfTrue="1" operator="lessThan">
      <formula>0</formula>
    </cfRule>
  </conditionalFormatting>
  <conditionalFormatting sqref="H233:H242">
    <cfRule type="cellIs" dxfId="6367" priority="6363" stopIfTrue="1" operator="lessThan">
      <formula>0</formula>
    </cfRule>
    <cfRule type="cellIs" dxfId="6366" priority="6364" stopIfTrue="1" operator="lessThan">
      <formula>0</formula>
    </cfRule>
  </conditionalFormatting>
  <conditionalFormatting sqref="H233:H242">
    <cfRule type="cellIs" dxfId="6365" priority="6361" stopIfTrue="1" operator="lessThan">
      <formula>0</formula>
    </cfRule>
    <cfRule type="cellIs" dxfId="6364" priority="6362" stopIfTrue="1" operator="lessThan">
      <formula>0</formula>
    </cfRule>
  </conditionalFormatting>
  <conditionalFormatting sqref="H233:H242">
    <cfRule type="cellIs" dxfId="6363" priority="6359" stopIfTrue="1" operator="lessThan">
      <formula>0.05</formula>
    </cfRule>
    <cfRule type="cellIs" dxfId="6362" priority="6360" stopIfTrue="1" operator="lessThan">
      <formula>0</formula>
    </cfRule>
  </conditionalFormatting>
  <conditionalFormatting sqref="H233:H242">
    <cfRule type="cellIs" dxfId="6361" priority="6357" stopIfTrue="1" operator="lessThan">
      <formula>0</formula>
    </cfRule>
    <cfRule type="cellIs" dxfId="6360" priority="6358" stopIfTrue="1" operator="lessThan">
      <formula>0</formula>
    </cfRule>
  </conditionalFormatting>
  <conditionalFormatting sqref="H233:H242">
    <cfRule type="cellIs" dxfId="6359" priority="6355" stopIfTrue="1" operator="lessThan">
      <formula>0</formula>
    </cfRule>
    <cfRule type="cellIs" dxfId="6358" priority="6356" stopIfTrue="1" operator="lessThan">
      <formula>0</formula>
    </cfRule>
  </conditionalFormatting>
  <conditionalFormatting sqref="H233:H242">
    <cfRule type="cellIs" dxfId="6357" priority="6353" stopIfTrue="1" operator="lessThan">
      <formula>0.05</formula>
    </cfRule>
    <cfRule type="cellIs" dxfId="6356" priority="6354" stopIfTrue="1" operator="lessThan">
      <formula>0</formula>
    </cfRule>
  </conditionalFormatting>
  <conditionalFormatting sqref="H233:H242">
    <cfRule type="cellIs" dxfId="6355" priority="6351" stopIfTrue="1" operator="lessThan">
      <formula>0</formula>
    </cfRule>
    <cfRule type="cellIs" dxfId="6354" priority="6352" stopIfTrue="1" operator="lessThan">
      <formula>0</formula>
    </cfRule>
  </conditionalFormatting>
  <conditionalFormatting sqref="H233:H242">
    <cfRule type="cellIs" dxfId="6353" priority="6349" stopIfTrue="1" operator="lessThan">
      <formula>0</formula>
    </cfRule>
    <cfRule type="cellIs" dxfId="6352" priority="6350" stopIfTrue="1" operator="lessThan">
      <formula>0</formula>
    </cfRule>
  </conditionalFormatting>
  <conditionalFormatting sqref="H233:H242">
    <cfRule type="cellIs" dxfId="6351" priority="6347" stopIfTrue="1" operator="lessThan">
      <formula>0.05</formula>
    </cfRule>
    <cfRule type="cellIs" dxfId="6350" priority="6348" stopIfTrue="1" operator="lessThan">
      <formula>0</formula>
    </cfRule>
  </conditionalFormatting>
  <conditionalFormatting sqref="H233:H242">
    <cfRule type="cellIs" dxfId="6349" priority="6345" stopIfTrue="1" operator="lessThan">
      <formula>0</formula>
    </cfRule>
    <cfRule type="cellIs" dxfId="6348" priority="6346" stopIfTrue="1" operator="lessThan">
      <formula>0</formula>
    </cfRule>
  </conditionalFormatting>
  <conditionalFormatting sqref="H233:H242">
    <cfRule type="cellIs" dxfId="6347" priority="6343" stopIfTrue="1" operator="lessThan">
      <formula>0</formula>
    </cfRule>
    <cfRule type="cellIs" dxfId="6346" priority="6344" stopIfTrue="1" operator="lessThan">
      <formula>0</formula>
    </cfRule>
  </conditionalFormatting>
  <conditionalFormatting sqref="H233:H242">
    <cfRule type="cellIs" dxfId="6345" priority="6341" stopIfTrue="1" operator="lessThan">
      <formula>0.05</formula>
    </cfRule>
    <cfRule type="cellIs" dxfId="6344" priority="6342" stopIfTrue="1" operator="lessThan">
      <formula>0</formula>
    </cfRule>
  </conditionalFormatting>
  <conditionalFormatting sqref="H233:H242">
    <cfRule type="cellIs" dxfId="6343" priority="6339" stopIfTrue="1" operator="lessThan">
      <formula>0</formula>
    </cfRule>
    <cfRule type="cellIs" dxfId="6342" priority="6340" stopIfTrue="1" operator="lessThan">
      <formula>0</formula>
    </cfRule>
  </conditionalFormatting>
  <conditionalFormatting sqref="H233:H242">
    <cfRule type="cellIs" dxfId="6341" priority="6337" stopIfTrue="1" operator="lessThan">
      <formula>0</formula>
    </cfRule>
    <cfRule type="cellIs" dxfId="6340" priority="6338" stopIfTrue="1" operator="lessThan">
      <formula>0</formula>
    </cfRule>
  </conditionalFormatting>
  <conditionalFormatting sqref="H233:H242">
    <cfRule type="cellIs" dxfId="6339" priority="6335" stopIfTrue="1" operator="lessThan">
      <formula>0.05</formula>
    </cfRule>
    <cfRule type="cellIs" dxfId="6338" priority="6336" stopIfTrue="1" operator="lessThan">
      <formula>0</formula>
    </cfRule>
  </conditionalFormatting>
  <conditionalFormatting sqref="H233:H242">
    <cfRule type="cellIs" dxfId="6337" priority="6333" stopIfTrue="1" operator="lessThan">
      <formula>0</formula>
    </cfRule>
    <cfRule type="cellIs" dxfId="6336" priority="6334" stopIfTrue="1" operator="lessThan">
      <formula>0</formula>
    </cfRule>
  </conditionalFormatting>
  <conditionalFormatting sqref="H233:H242">
    <cfRule type="cellIs" dxfId="6335" priority="6331" stopIfTrue="1" operator="lessThan">
      <formula>0</formula>
    </cfRule>
    <cfRule type="cellIs" dxfId="6334" priority="6332" stopIfTrue="1" operator="lessThan">
      <formula>0</formula>
    </cfRule>
  </conditionalFormatting>
  <conditionalFormatting sqref="H233:H242">
    <cfRule type="cellIs" dxfId="6333" priority="6329" stopIfTrue="1" operator="lessThan">
      <formula>0.05</formula>
    </cfRule>
    <cfRule type="cellIs" dxfId="6332" priority="6330" stopIfTrue="1" operator="lessThan">
      <formula>0</formula>
    </cfRule>
  </conditionalFormatting>
  <conditionalFormatting sqref="H233:H242">
    <cfRule type="cellIs" dxfId="6331" priority="6327" stopIfTrue="1" operator="lessThan">
      <formula>0</formula>
    </cfRule>
    <cfRule type="cellIs" dxfId="6330" priority="6328" stopIfTrue="1" operator="lessThan">
      <formula>0</formula>
    </cfRule>
  </conditionalFormatting>
  <conditionalFormatting sqref="H233:H242">
    <cfRule type="cellIs" dxfId="6329" priority="6325" stopIfTrue="1" operator="lessThan">
      <formula>0</formula>
    </cfRule>
    <cfRule type="cellIs" dxfId="6328" priority="6326" stopIfTrue="1" operator="lessThan">
      <formula>0</formula>
    </cfRule>
  </conditionalFormatting>
  <conditionalFormatting sqref="H233:H242">
    <cfRule type="cellIs" dxfId="6327" priority="6323" stopIfTrue="1" operator="lessThan">
      <formula>0.05</formula>
    </cfRule>
    <cfRule type="cellIs" dxfId="6326" priority="6324" stopIfTrue="1" operator="lessThan">
      <formula>0</formula>
    </cfRule>
  </conditionalFormatting>
  <conditionalFormatting sqref="H233:H242">
    <cfRule type="cellIs" dxfId="6325" priority="6321" stopIfTrue="1" operator="lessThan">
      <formula>0</formula>
    </cfRule>
    <cfRule type="cellIs" dxfId="6324" priority="6322" stopIfTrue="1" operator="lessThan">
      <formula>0</formula>
    </cfRule>
  </conditionalFormatting>
  <conditionalFormatting sqref="H233:H242">
    <cfRule type="cellIs" dxfId="6323" priority="6319" stopIfTrue="1" operator="lessThan">
      <formula>0</formula>
    </cfRule>
    <cfRule type="cellIs" dxfId="6322" priority="6320" stopIfTrue="1" operator="lessThan">
      <formula>0</formula>
    </cfRule>
  </conditionalFormatting>
  <conditionalFormatting sqref="H233:H242">
    <cfRule type="cellIs" dxfId="6321" priority="6317" stopIfTrue="1" operator="lessThan">
      <formula>0.05</formula>
    </cfRule>
    <cfRule type="cellIs" dxfId="6320" priority="6318" stopIfTrue="1" operator="lessThan">
      <formula>0</formula>
    </cfRule>
  </conditionalFormatting>
  <conditionalFormatting sqref="H233:H242">
    <cfRule type="cellIs" dxfId="6319" priority="6315" stopIfTrue="1" operator="lessThan">
      <formula>0</formula>
    </cfRule>
    <cfRule type="cellIs" dxfId="6318" priority="6316" stopIfTrue="1" operator="lessThan">
      <formula>0</formula>
    </cfRule>
  </conditionalFormatting>
  <conditionalFormatting sqref="H233:H242">
    <cfRule type="cellIs" dxfId="6317" priority="6313" stopIfTrue="1" operator="lessThan">
      <formula>0</formula>
    </cfRule>
    <cfRule type="cellIs" dxfId="6316" priority="6314" stopIfTrue="1" operator="lessThan">
      <formula>0</formula>
    </cfRule>
  </conditionalFormatting>
  <conditionalFormatting sqref="H233:H242">
    <cfRule type="cellIs" dxfId="6315" priority="6311" stopIfTrue="1" operator="lessThan">
      <formula>0.05</formula>
    </cfRule>
    <cfRule type="cellIs" dxfId="6314" priority="6312" stopIfTrue="1" operator="lessThan">
      <formula>0</formula>
    </cfRule>
  </conditionalFormatting>
  <conditionalFormatting sqref="H233:H242">
    <cfRule type="cellIs" dxfId="6313" priority="6309" stopIfTrue="1" operator="lessThan">
      <formula>0</formula>
    </cfRule>
    <cfRule type="cellIs" dxfId="6312" priority="6310" stopIfTrue="1" operator="lessThan">
      <formula>0</formula>
    </cfRule>
  </conditionalFormatting>
  <conditionalFormatting sqref="H233:H242">
    <cfRule type="cellIs" dxfId="6311" priority="6307" stopIfTrue="1" operator="lessThan">
      <formula>0</formula>
    </cfRule>
    <cfRule type="cellIs" dxfId="6310" priority="6308" stopIfTrue="1" operator="lessThan">
      <formula>0</formula>
    </cfRule>
  </conditionalFormatting>
  <conditionalFormatting sqref="H233:H242">
    <cfRule type="cellIs" dxfId="6309" priority="6305" stopIfTrue="1" operator="lessThan">
      <formula>0.05</formula>
    </cfRule>
    <cfRule type="cellIs" dxfId="6308" priority="6306" stopIfTrue="1" operator="lessThan">
      <formula>0</formula>
    </cfRule>
  </conditionalFormatting>
  <conditionalFormatting sqref="H233:H242">
    <cfRule type="cellIs" dxfId="6307" priority="6303" stopIfTrue="1" operator="lessThan">
      <formula>0</formula>
    </cfRule>
    <cfRule type="cellIs" dxfId="6306" priority="6304" stopIfTrue="1" operator="lessThan">
      <formula>0</formula>
    </cfRule>
  </conditionalFormatting>
  <conditionalFormatting sqref="H233:H242">
    <cfRule type="cellIs" dxfId="6305" priority="6301" stopIfTrue="1" operator="lessThan">
      <formula>0</formula>
    </cfRule>
    <cfRule type="cellIs" dxfId="6304" priority="6302" stopIfTrue="1" operator="lessThan">
      <formula>0</formula>
    </cfRule>
  </conditionalFormatting>
  <conditionalFormatting sqref="H233:H242">
    <cfRule type="cellIs" dxfId="6303" priority="6299" stopIfTrue="1" operator="lessThan">
      <formula>0.05</formula>
    </cfRule>
    <cfRule type="cellIs" dxfId="6302" priority="6300" stopIfTrue="1" operator="lessThan">
      <formula>0</formula>
    </cfRule>
  </conditionalFormatting>
  <conditionalFormatting sqref="H233:H242">
    <cfRule type="cellIs" dxfId="6301" priority="6297" stopIfTrue="1" operator="lessThan">
      <formula>0</formula>
    </cfRule>
    <cfRule type="cellIs" dxfId="6300" priority="6298" stopIfTrue="1" operator="lessThan">
      <formula>0</formula>
    </cfRule>
  </conditionalFormatting>
  <conditionalFormatting sqref="H233:H242">
    <cfRule type="cellIs" dxfId="6299" priority="6295" stopIfTrue="1" operator="lessThan">
      <formula>0</formula>
    </cfRule>
    <cfRule type="cellIs" dxfId="6298" priority="6296" stopIfTrue="1" operator="lessThan">
      <formula>0</formula>
    </cfRule>
  </conditionalFormatting>
  <conditionalFormatting sqref="H233:H242">
    <cfRule type="cellIs" dxfId="6297" priority="6293" stopIfTrue="1" operator="lessThan">
      <formula>0.05</formula>
    </cfRule>
    <cfRule type="cellIs" dxfId="6296" priority="6294" stopIfTrue="1" operator="lessThan">
      <formula>0</formula>
    </cfRule>
  </conditionalFormatting>
  <conditionalFormatting sqref="H233:H242">
    <cfRule type="cellIs" dxfId="6295" priority="6291" stopIfTrue="1" operator="lessThan">
      <formula>0</formula>
    </cfRule>
    <cfRule type="cellIs" dxfId="6294" priority="6292" stopIfTrue="1" operator="lessThan">
      <formula>0</formula>
    </cfRule>
  </conditionalFormatting>
  <conditionalFormatting sqref="H233:H242">
    <cfRule type="cellIs" dxfId="6293" priority="6289" stopIfTrue="1" operator="lessThan">
      <formula>0.05</formula>
    </cfRule>
    <cfRule type="cellIs" dxfId="6292" priority="6290" stopIfTrue="1" operator="lessThan">
      <formula>0</formula>
    </cfRule>
  </conditionalFormatting>
  <conditionalFormatting sqref="H233:H242">
    <cfRule type="cellIs" dxfId="6291" priority="6287" stopIfTrue="1" operator="lessThan">
      <formula>0</formula>
    </cfRule>
    <cfRule type="cellIs" dxfId="6290" priority="6288" stopIfTrue="1" operator="lessThan">
      <formula>0</formula>
    </cfRule>
  </conditionalFormatting>
  <conditionalFormatting sqref="H233:H242">
    <cfRule type="cellIs" dxfId="6289" priority="6285" stopIfTrue="1" operator="lessThan">
      <formula>0.05</formula>
    </cfRule>
    <cfRule type="cellIs" dxfId="6288" priority="6286" stopIfTrue="1" operator="lessThan">
      <formula>0</formula>
    </cfRule>
  </conditionalFormatting>
  <conditionalFormatting sqref="H233:H242">
    <cfRule type="cellIs" dxfId="6287" priority="6283" stopIfTrue="1" operator="lessThan">
      <formula>0</formula>
    </cfRule>
    <cfRule type="cellIs" dxfId="6286" priority="6284" stopIfTrue="1" operator="lessThan">
      <formula>0</formula>
    </cfRule>
  </conditionalFormatting>
  <conditionalFormatting sqref="H233:H242">
    <cfRule type="cellIs" dxfId="6285" priority="6281" stopIfTrue="1" operator="lessThan">
      <formula>0</formula>
    </cfRule>
    <cfRule type="cellIs" dxfId="6284" priority="6282" stopIfTrue="1" operator="lessThan">
      <formula>0</formula>
    </cfRule>
  </conditionalFormatting>
  <conditionalFormatting sqref="H233:H242">
    <cfRule type="cellIs" dxfId="6283" priority="6279" stopIfTrue="1" operator="lessThan">
      <formula>0</formula>
    </cfRule>
    <cfRule type="cellIs" dxfId="6282" priority="6280" stopIfTrue="1" operator="lessThan">
      <formula>0</formula>
    </cfRule>
  </conditionalFormatting>
  <conditionalFormatting sqref="H233:H242">
    <cfRule type="cellIs" dxfId="6281" priority="6277" stopIfTrue="1" operator="lessThan">
      <formula>0.05</formula>
    </cfRule>
    <cfRule type="cellIs" dxfId="6280" priority="6278" stopIfTrue="1" operator="lessThan">
      <formula>0</formula>
    </cfRule>
  </conditionalFormatting>
  <conditionalFormatting sqref="H233:H242">
    <cfRule type="cellIs" dxfId="6279" priority="6275" stopIfTrue="1" operator="lessThan">
      <formula>0</formula>
    </cfRule>
    <cfRule type="cellIs" dxfId="6278" priority="6276" stopIfTrue="1" operator="lessThan">
      <formula>0</formula>
    </cfRule>
  </conditionalFormatting>
  <conditionalFormatting sqref="H233:H242">
    <cfRule type="cellIs" dxfId="6277" priority="6273" stopIfTrue="1" operator="lessThan">
      <formula>0.05</formula>
    </cfRule>
    <cfRule type="cellIs" dxfId="6276" priority="6274" stopIfTrue="1" operator="lessThan">
      <formula>0</formula>
    </cfRule>
  </conditionalFormatting>
  <conditionalFormatting sqref="H233:H242">
    <cfRule type="cellIs" dxfId="6275" priority="6271" stopIfTrue="1" operator="lessThan">
      <formula>0</formula>
    </cfRule>
    <cfRule type="cellIs" dxfId="6274" priority="6272" stopIfTrue="1" operator="lessThan">
      <formula>0</formula>
    </cfRule>
  </conditionalFormatting>
  <conditionalFormatting sqref="H233:H242">
    <cfRule type="cellIs" dxfId="6273" priority="6269" stopIfTrue="1" operator="lessThan">
      <formula>0.05</formula>
    </cfRule>
    <cfRule type="cellIs" dxfId="6272" priority="6270" stopIfTrue="1" operator="lessThan">
      <formula>0</formula>
    </cfRule>
  </conditionalFormatting>
  <conditionalFormatting sqref="H233:H242">
    <cfRule type="cellIs" dxfId="6271" priority="6267" stopIfTrue="1" operator="lessThan">
      <formula>0</formula>
    </cfRule>
    <cfRule type="cellIs" dxfId="6270" priority="6268" stopIfTrue="1" operator="lessThan">
      <formula>0</formula>
    </cfRule>
  </conditionalFormatting>
  <conditionalFormatting sqref="H233:H242">
    <cfRule type="cellIs" dxfId="6269" priority="6266" stopIfTrue="1" operator="lessThan">
      <formula>0.05</formula>
    </cfRule>
  </conditionalFormatting>
  <conditionalFormatting sqref="H233:H242">
    <cfRule type="cellIs" dxfId="6268" priority="6264" stopIfTrue="1" operator="lessThan">
      <formula>0</formula>
    </cfRule>
    <cfRule type="cellIs" dxfId="6267" priority="6265" stopIfTrue="1" operator="lessThan">
      <formula>0</formula>
    </cfRule>
  </conditionalFormatting>
  <conditionalFormatting sqref="H233:H242">
    <cfRule type="cellIs" dxfId="6266" priority="6262" stopIfTrue="1" operator="lessThan">
      <formula>0</formula>
    </cfRule>
    <cfRule type="cellIs" dxfId="6265" priority="6263" stopIfTrue="1" operator="lessThan">
      <formula>0</formula>
    </cfRule>
  </conditionalFormatting>
  <conditionalFormatting sqref="H233:H242">
    <cfRule type="cellIs" dxfId="6264" priority="6260" stopIfTrue="1" operator="lessThan">
      <formula>0.05</formula>
    </cfRule>
    <cfRule type="cellIs" dxfId="6263" priority="6261" stopIfTrue="1" operator="lessThan">
      <formula>0</formula>
    </cfRule>
  </conditionalFormatting>
  <conditionalFormatting sqref="H233:H242">
    <cfRule type="cellIs" dxfId="6262" priority="6258" stopIfTrue="1" operator="lessThan">
      <formula>0</formula>
    </cfRule>
    <cfRule type="cellIs" dxfId="6261" priority="6259" stopIfTrue="1" operator="lessThan">
      <formula>0</formula>
    </cfRule>
  </conditionalFormatting>
  <conditionalFormatting sqref="H233:H242">
    <cfRule type="cellIs" dxfId="6260" priority="6256" stopIfTrue="1" operator="lessThan">
      <formula>0.05</formula>
    </cfRule>
    <cfRule type="cellIs" dxfId="6259" priority="6257" stopIfTrue="1" operator="lessThan">
      <formula>0</formula>
    </cfRule>
  </conditionalFormatting>
  <conditionalFormatting sqref="H233:H242">
    <cfRule type="cellIs" dxfId="6258" priority="6254" stopIfTrue="1" operator="lessThan">
      <formula>0</formula>
    </cfRule>
    <cfRule type="cellIs" dxfId="6257" priority="6255" stopIfTrue="1" operator="lessThan">
      <formula>0</formula>
    </cfRule>
  </conditionalFormatting>
  <conditionalFormatting sqref="H233:H242">
    <cfRule type="cellIs" dxfId="6256" priority="6252" stopIfTrue="1" operator="lessThan">
      <formula>0.05</formula>
    </cfRule>
    <cfRule type="cellIs" dxfId="6255" priority="6253" stopIfTrue="1" operator="lessThan">
      <formula>0</formula>
    </cfRule>
  </conditionalFormatting>
  <conditionalFormatting sqref="H233:H242">
    <cfRule type="cellIs" dxfId="6254" priority="6250" stopIfTrue="1" operator="lessThan">
      <formula>0</formula>
    </cfRule>
    <cfRule type="cellIs" dxfId="6253" priority="6251" stopIfTrue="1" operator="lessThan">
      <formula>0</formula>
    </cfRule>
  </conditionalFormatting>
  <conditionalFormatting sqref="H233:H242">
    <cfRule type="cellIs" dxfId="6252" priority="6248" stopIfTrue="1" operator="lessThan">
      <formula>0</formula>
    </cfRule>
    <cfRule type="cellIs" dxfId="6251" priority="6249" stopIfTrue="1" operator="lessThan">
      <formula>0</formula>
    </cfRule>
  </conditionalFormatting>
  <conditionalFormatting sqref="H233:H242">
    <cfRule type="cellIs" dxfId="6250" priority="6246" stopIfTrue="1" operator="lessThan">
      <formula>0</formula>
    </cfRule>
    <cfRule type="cellIs" dxfId="6249" priority="6247" stopIfTrue="1" operator="lessThan">
      <formula>0</formula>
    </cfRule>
  </conditionalFormatting>
  <conditionalFormatting sqref="H233:H242">
    <cfRule type="cellIs" dxfId="6248" priority="6244" stopIfTrue="1" operator="lessThan">
      <formula>0.05</formula>
    </cfRule>
    <cfRule type="cellIs" dxfId="6247" priority="6245" stopIfTrue="1" operator="lessThan">
      <formula>0</formula>
    </cfRule>
  </conditionalFormatting>
  <conditionalFormatting sqref="H233:H242">
    <cfRule type="cellIs" dxfId="6246" priority="6242" stopIfTrue="1" operator="lessThan">
      <formula>0</formula>
    </cfRule>
    <cfRule type="cellIs" dxfId="6245" priority="6243" stopIfTrue="1" operator="lessThan">
      <formula>0</formula>
    </cfRule>
  </conditionalFormatting>
  <conditionalFormatting sqref="H233:H242">
    <cfRule type="cellIs" dxfId="6244" priority="6240" stopIfTrue="1" operator="lessThan">
      <formula>0.05</formula>
    </cfRule>
    <cfRule type="cellIs" dxfId="6243" priority="6241" stopIfTrue="1" operator="lessThan">
      <formula>0</formula>
    </cfRule>
  </conditionalFormatting>
  <conditionalFormatting sqref="H233:H242">
    <cfRule type="cellIs" dxfId="6242" priority="6238" stopIfTrue="1" operator="lessThan">
      <formula>0</formula>
    </cfRule>
    <cfRule type="cellIs" dxfId="6241" priority="6239" stopIfTrue="1" operator="lessThan">
      <formula>0</formula>
    </cfRule>
  </conditionalFormatting>
  <conditionalFormatting sqref="H233:H242">
    <cfRule type="cellIs" dxfId="6240" priority="6236" stopIfTrue="1" operator="lessThan">
      <formula>0.05</formula>
    </cfRule>
    <cfRule type="cellIs" dxfId="6239" priority="6237" stopIfTrue="1" operator="lessThan">
      <formula>0</formula>
    </cfRule>
  </conditionalFormatting>
  <conditionalFormatting sqref="H233:H242">
    <cfRule type="cellIs" dxfId="6238" priority="6234" stopIfTrue="1" operator="lessThan">
      <formula>0</formula>
    </cfRule>
    <cfRule type="cellIs" dxfId="6237" priority="6235" stopIfTrue="1" operator="lessThan">
      <formula>0</formula>
    </cfRule>
  </conditionalFormatting>
  <conditionalFormatting sqref="H233:H242">
    <cfRule type="cellIs" dxfId="6236" priority="6232" stopIfTrue="1" operator="lessThan">
      <formula>0</formula>
    </cfRule>
    <cfRule type="cellIs" dxfId="6235" priority="6233" stopIfTrue="1" operator="lessThan">
      <formula>0</formula>
    </cfRule>
  </conditionalFormatting>
  <conditionalFormatting sqref="H233:H242">
    <cfRule type="cellIs" dxfId="6234" priority="6230" stopIfTrue="1" operator="lessThan">
      <formula>0</formula>
    </cfRule>
    <cfRule type="cellIs" dxfId="6233" priority="6231" stopIfTrue="1" operator="lessThan">
      <formula>0</formula>
    </cfRule>
  </conditionalFormatting>
  <conditionalFormatting sqref="H233:H242">
    <cfRule type="cellIs" dxfId="6232" priority="6228" stopIfTrue="1" operator="lessThan">
      <formula>0.05</formula>
    </cfRule>
    <cfRule type="cellIs" dxfId="6231" priority="6229" stopIfTrue="1" operator="lessThan">
      <formula>0</formula>
    </cfRule>
  </conditionalFormatting>
  <conditionalFormatting sqref="H233:H242">
    <cfRule type="cellIs" dxfId="6230" priority="6226" stopIfTrue="1" operator="lessThan">
      <formula>0</formula>
    </cfRule>
    <cfRule type="cellIs" dxfId="6229" priority="6227" stopIfTrue="1" operator="lessThan">
      <formula>0</formula>
    </cfRule>
  </conditionalFormatting>
  <conditionalFormatting sqref="H233:H242">
    <cfRule type="cellIs" dxfId="6228" priority="6224" stopIfTrue="1" operator="lessThan">
      <formula>0.05</formula>
    </cfRule>
    <cfRule type="cellIs" dxfId="6227" priority="6225" stopIfTrue="1" operator="lessThan">
      <formula>0</formula>
    </cfRule>
  </conditionalFormatting>
  <conditionalFormatting sqref="H233:H242">
    <cfRule type="cellIs" dxfId="6226" priority="6222" stopIfTrue="1" operator="lessThan">
      <formula>0</formula>
    </cfRule>
    <cfRule type="cellIs" dxfId="6225" priority="6223" stopIfTrue="1" operator="lessThan">
      <formula>0</formula>
    </cfRule>
  </conditionalFormatting>
  <conditionalFormatting sqref="H233:H242">
    <cfRule type="cellIs" dxfId="6224" priority="6220" stopIfTrue="1" operator="lessThan">
      <formula>0.05</formula>
    </cfRule>
    <cfRule type="cellIs" dxfId="6223" priority="6221" stopIfTrue="1" operator="lessThan">
      <formula>0</formula>
    </cfRule>
  </conditionalFormatting>
  <conditionalFormatting sqref="H233:H242">
    <cfRule type="cellIs" dxfId="6222" priority="6218" stopIfTrue="1" operator="lessThan">
      <formula>0</formula>
    </cfRule>
    <cfRule type="cellIs" dxfId="6221" priority="6219" stopIfTrue="1" operator="lessThan">
      <formula>0</formula>
    </cfRule>
  </conditionalFormatting>
  <conditionalFormatting sqref="H233:H242">
    <cfRule type="cellIs" dxfId="6220" priority="6216" stopIfTrue="1" operator="lessThan">
      <formula>0</formula>
    </cfRule>
    <cfRule type="cellIs" dxfId="6219" priority="6217" stopIfTrue="1" operator="lessThan">
      <formula>0</formula>
    </cfRule>
  </conditionalFormatting>
  <conditionalFormatting sqref="H233:H242">
    <cfRule type="cellIs" dxfId="6218" priority="6214" stopIfTrue="1" operator="lessThan">
      <formula>0</formula>
    </cfRule>
    <cfRule type="cellIs" dxfId="6217" priority="6215" stopIfTrue="1" operator="lessThan">
      <formula>0</formula>
    </cfRule>
  </conditionalFormatting>
  <conditionalFormatting sqref="H233:H242">
    <cfRule type="cellIs" dxfId="6216" priority="6212" stopIfTrue="1" operator="lessThan">
      <formula>0.05</formula>
    </cfRule>
    <cfRule type="cellIs" dxfId="6215" priority="6213" stopIfTrue="1" operator="lessThan">
      <formula>0</formula>
    </cfRule>
  </conditionalFormatting>
  <conditionalFormatting sqref="H233:H242">
    <cfRule type="cellIs" dxfId="6214" priority="6210" stopIfTrue="1" operator="lessThan">
      <formula>0</formula>
    </cfRule>
    <cfRule type="cellIs" dxfId="6213" priority="6211" stopIfTrue="1" operator="lessThan">
      <formula>0</formula>
    </cfRule>
  </conditionalFormatting>
  <conditionalFormatting sqref="H233:H242">
    <cfRule type="cellIs" dxfId="6212" priority="6208" stopIfTrue="1" operator="lessThan">
      <formula>0.05</formula>
    </cfRule>
    <cfRule type="cellIs" dxfId="6211" priority="6209" stopIfTrue="1" operator="lessThan">
      <formula>0</formula>
    </cfRule>
  </conditionalFormatting>
  <conditionalFormatting sqref="H233:H242">
    <cfRule type="cellIs" dxfId="6210" priority="6206" stopIfTrue="1" operator="lessThan">
      <formula>0</formula>
    </cfRule>
    <cfRule type="cellIs" dxfId="6209" priority="6207" stopIfTrue="1" operator="lessThan">
      <formula>0</formula>
    </cfRule>
  </conditionalFormatting>
  <conditionalFormatting sqref="H233:H242">
    <cfRule type="cellIs" dxfId="6208" priority="6204" stopIfTrue="1" operator="lessThan">
      <formula>0.05</formula>
    </cfRule>
    <cfRule type="cellIs" dxfId="6207" priority="6205" stopIfTrue="1" operator="lessThan">
      <formula>0</formula>
    </cfRule>
  </conditionalFormatting>
  <conditionalFormatting sqref="H233:H242">
    <cfRule type="cellIs" dxfId="6206" priority="6202" stopIfTrue="1" operator="lessThan">
      <formula>0</formula>
    </cfRule>
    <cfRule type="cellIs" dxfId="6205" priority="6203" stopIfTrue="1" operator="lessThan">
      <formula>0</formula>
    </cfRule>
  </conditionalFormatting>
  <conditionalFormatting sqref="H233:H242">
    <cfRule type="cellIs" dxfId="6204" priority="6200" stopIfTrue="1" operator="lessThan">
      <formula>0</formula>
    </cfRule>
    <cfRule type="cellIs" dxfId="6203" priority="6201" stopIfTrue="1" operator="lessThan">
      <formula>0</formula>
    </cfRule>
  </conditionalFormatting>
  <conditionalFormatting sqref="H233:H242">
    <cfRule type="cellIs" dxfId="6202" priority="6198" stopIfTrue="1" operator="lessThan">
      <formula>0.05</formula>
    </cfRule>
    <cfRule type="cellIs" dxfId="6201" priority="6199" stopIfTrue="1" operator="lessThan">
      <formula>0</formula>
    </cfRule>
  </conditionalFormatting>
  <conditionalFormatting sqref="H233:H242">
    <cfRule type="cellIs" dxfId="6200" priority="6196" stopIfTrue="1" operator="lessThan">
      <formula>0</formula>
    </cfRule>
    <cfRule type="cellIs" dxfId="6199" priority="6197" stopIfTrue="1" operator="lessThan">
      <formula>0</formula>
    </cfRule>
  </conditionalFormatting>
  <conditionalFormatting sqref="H233:H242">
    <cfRule type="cellIs" dxfId="6198" priority="6194" stopIfTrue="1" operator="lessThan">
      <formula>0</formula>
    </cfRule>
    <cfRule type="cellIs" dxfId="6197" priority="6195" stopIfTrue="1" operator="lessThan">
      <formula>0</formula>
    </cfRule>
  </conditionalFormatting>
  <conditionalFormatting sqref="H233:H242">
    <cfRule type="cellIs" dxfId="6196" priority="6192" stopIfTrue="1" operator="lessThan">
      <formula>0.05</formula>
    </cfRule>
    <cfRule type="cellIs" dxfId="6195" priority="6193" stopIfTrue="1" operator="lessThan">
      <formula>0</formula>
    </cfRule>
  </conditionalFormatting>
  <conditionalFormatting sqref="H233:H242">
    <cfRule type="cellIs" dxfId="6194" priority="6190" stopIfTrue="1" operator="lessThan">
      <formula>0</formula>
    </cfRule>
    <cfRule type="cellIs" dxfId="6193" priority="6191" stopIfTrue="1" operator="lessThan">
      <formula>0</formula>
    </cfRule>
  </conditionalFormatting>
  <conditionalFormatting sqref="H233:H242">
    <cfRule type="cellIs" dxfId="6192" priority="6188" stopIfTrue="1" operator="lessThan">
      <formula>0</formula>
    </cfRule>
    <cfRule type="cellIs" dxfId="6191" priority="6189" stopIfTrue="1" operator="lessThan">
      <formula>0</formula>
    </cfRule>
  </conditionalFormatting>
  <conditionalFormatting sqref="H233:H242">
    <cfRule type="cellIs" dxfId="6190" priority="6186" stopIfTrue="1" operator="lessThan">
      <formula>0.05</formula>
    </cfRule>
    <cfRule type="cellIs" dxfId="6189" priority="6187" stopIfTrue="1" operator="lessThan">
      <formula>0</formula>
    </cfRule>
  </conditionalFormatting>
  <conditionalFormatting sqref="H233:H242">
    <cfRule type="cellIs" dxfId="6188" priority="6184" stopIfTrue="1" operator="lessThan">
      <formula>0</formula>
    </cfRule>
    <cfRule type="cellIs" dxfId="6187" priority="6185" stopIfTrue="1" operator="lessThan">
      <formula>0</formula>
    </cfRule>
  </conditionalFormatting>
  <conditionalFormatting sqref="H233:H242">
    <cfRule type="cellIs" dxfId="6186" priority="6182" stopIfTrue="1" operator="lessThan">
      <formula>0</formula>
    </cfRule>
    <cfRule type="cellIs" dxfId="6185" priority="6183" stopIfTrue="1" operator="lessThan">
      <formula>0</formula>
    </cfRule>
  </conditionalFormatting>
  <conditionalFormatting sqref="H233:H242">
    <cfRule type="cellIs" dxfId="6184" priority="6180" stopIfTrue="1" operator="lessThan">
      <formula>0.05</formula>
    </cfRule>
    <cfRule type="cellIs" dxfId="6183" priority="6181" stopIfTrue="1" operator="lessThan">
      <formula>0</formula>
    </cfRule>
  </conditionalFormatting>
  <conditionalFormatting sqref="H233:H242">
    <cfRule type="cellIs" dxfId="6182" priority="6178" stopIfTrue="1" operator="lessThan">
      <formula>0</formula>
    </cfRule>
    <cfRule type="cellIs" dxfId="6181" priority="6179" stopIfTrue="1" operator="lessThan">
      <formula>0</formula>
    </cfRule>
  </conditionalFormatting>
  <conditionalFormatting sqref="H233:H242">
    <cfRule type="cellIs" dxfId="6180" priority="6176" stopIfTrue="1" operator="lessThan">
      <formula>0</formula>
    </cfRule>
    <cfRule type="cellIs" dxfId="6179" priority="6177" stopIfTrue="1" operator="lessThan">
      <formula>0</formula>
    </cfRule>
  </conditionalFormatting>
  <conditionalFormatting sqref="H233:H242">
    <cfRule type="cellIs" dxfId="6178" priority="6174" stopIfTrue="1" operator="lessThan">
      <formula>0.05</formula>
    </cfRule>
    <cfRule type="cellIs" dxfId="6177" priority="6175" stopIfTrue="1" operator="lessThan">
      <formula>0</formula>
    </cfRule>
  </conditionalFormatting>
  <conditionalFormatting sqref="H233:H242">
    <cfRule type="cellIs" dxfId="6176" priority="6172" stopIfTrue="1" operator="lessThan">
      <formula>0</formula>
    </cfRule>
    <cfRule type="cellIs" dxfId="6175" priority="6173" stopIfTrue="1" operator="lessThan">
      <formula>0</formula>
    </cfRule>
  </conditionalFormatting>
  <conditionalFormatting sqref="H233:H242">
    <cfRule type="cellIs" dxfId="6174" priority="6170" stopIfTrue="1" operator="lessThan">
      <formula>0</formula>
    </cfRule>
    <cfRule type="cellIs" dxfId="6173" priority="6171" stopIfTrue="1" operator="lessThan">
      <formula>0</formula>
    </cfRule>
  </conditionalFormatting>
  <conditionalFormatting sqref="H233:H242">
    <cfRule type="cellIs" dxfId="6172" priority="6168" stopIfTrue="1" operator="lessThan">
      <formula>0.05</formula>
    </cfRule>
    <cfRule type="cellIs" dxfId="6171" priority="6169" stopIfTrue="1" operator="lessThan">
      <formula>0</formula>
    </cfRule>
  </conditionalFormatting>
  <conditionalFormatting sqref="H233:H242">
    <cfRule type="cellIs" dxfId="6170" priority="6166" stopIfTrue="1" operator="lessThan">
      <formula>0</formula>
    </cfRule>
    <cfRule type="cellIs" dxfId="6169" priority="6167" stopIfTrue="1" operator="lessThan">
      <formula>0</formula>
    </cfRule>
  </conditionalFormatting>
  <conditionalFormatting sqref="H233:H242">
    <cfRule type="cellIs" dxfId="6168" priority="6164" stopIfTrue="1" operator="lessThan">
      <formula>0</formula>
    </cfRule>
    <cfRule type="cellIs" dxfId="6167" priority="6165" stopIfTrue="1" operator="lessThan">
      <formula>0</formula>
    </cfRule>
  </conditionalFormatting>
  <conditionalFormatting sqref="H233:H242">
    <cfRule type="cellIs" dxfId="6166" priority="6162" stopIfTrue="1" operator="lessThan">
      <formula>0.05</formula>
    </cfRule>
    <cfRule type="cellIs" dxfId="6165" priority="6163" stopIfTrue="1" operator="lessThan">
      <formula>0</formula>
    </cfRule>
  </conditionalFormatting>
  <conditionalFormatting sqref="H233:H242">
    <cfRule type="cellIs" dxfId="6164" priority="6160" stopIfTrue="1" operator="lessThan">
      <formula>0</formula>
    </cfRule>
    <cfRule type="cellIs" dxfId="6163" priority="6161" stopIfTrue="1" operator="lessThan">
      <formula>0</formula>
    </cfRule>
  </conditionalFormatting>
  <conditionalFormatting sqref="H233:H242">
    <cfRule type="cellIs" dxfId="6162" priority="6158" stopIfTrue="1" operator="lessThan">
      <formula>0</formula>
    </cfRule>
    <cfRule type="cellIs" dxfId="6161" priority="6159" stopIfTrue="1" operator="lessThan">
      <formula>0</formula>
    </cfRule>
  </conditionalFormatting>
  <conditionalFormatting sqref="H233:H242">
    <cfRule type="cellIs" dxfId="6160" priority="6156" stopIfTrue="1" operator="lessThan">
      <formula>0.05</formula>
    </cfRule>
    <cfRule type="cellIs" dxfId="6159" priority="6157" stopIfTrue="1" operator="lessThan">
      <formula>0</formula>
    </cfRule>
  </conditionalFormatting>
  <conditionalFormatting sqref="H233:H242">
    <cfRule type="cellIs" dxfId="6158" priority="6154" stopIfTrue="1" operator="lessThan">
      <formula>0</formula>
    </cfRule>
    <cfRule type="cellIs" dxfId="6157" priority="6155" stopIfTrue="1" operator="lessThan">
      <formula>0</formula>
    </cfRule>
  </conditionalFormatting>
  <conditionalFormatting sqref="H233:H242">
    <cfRule type="cellIs" dxfId="6156" priority="6152" stopIfTrue="1" operator="lessThan">
      <formula>0</formula>
    </cfRule>
    <cfRule type="cellIs" dxfId="6155" priority="6153" stopIfTrue="1" operator="lessThan">
      <formula>0</formula>
    </cfRule>
  </conditionalFormatting>
  <conditionalFormatting sqref="H233:H242">
    <cfRule type="cellIs" dxfId="6154" priority="6150" stopIfTrue="1" operator="lessThan">
      <formula>0.05</formula>
    </cfRule>
    <cfRule type="cellIs" dxfId="6153" priority="6151" stopIfTrue="1" operator="lessThan">
      <formula>0</formula>
    </cfRule>
  </conditionalFormatting>
  <conditionalFormatting sqref="H233:H242">
    <cfRule type="cellIs" dxfId="6152" priority="6148" stopIfTrue="1" operator="lessThan">
      <formula>0</formula>
    </cfRule>
    <cfRule type="cellIs" dxfId="6151" priority="6149" stopIfTrue="1" operator="lessThan">
      <formula>0</formula>
    </cfRule>
  </conditionalFormatting>
  <conditionalFormatting sqref="H233:H242">
    <cfRule type="cellIs" dxfId="6150" priority="6146" stopIfTrue="1" operator="lessThan">
      <formula>0</formula>
    </cfRule>
    <cfRule type="cellIs" dxfId="6149" priority="6147" stopIfTrue="1" operator="lessThan">
      <formula>0</formula>
    </cfRule>
  </conditionalFormatting>
  <conditionalFormatting sqref="H233:H242">
    <cfRule type="cellIs" dxfId="6148" priority="6144" stopIfTrue="1" operator="lessThan">
      <formula>0.05</formula>
    </cfRule>
    <cfRule type="cellIs" dxfId="6147" priority="6145" stopIfTrue="1" operator="lessThan">
      <formula>0</formula>
    </cfRule>
  </conditionalFormatting>
  <conditionalFormatting sqref="H233:H242">
    <cfRule type="cellIs" dxfId="6146" priority="6142" stopIfTrue="1" operator="lessThan">
      <formula>0</formula>
    </cfRule>
    <cfRule type="cellIs" dxfId="6145" priority="6143" stopIfTrue="1" operator="lessThan">
      <formula>0</formula>
    </cfRule>
  </conditionalFormatting>
  <conditionalFormatting sqref="H233:H242">
    <cfRule type="cellIs" dxfId="6144" priority="6140" stopIfTrue="1" operator="lessThan">
      <formula>0</formula>
    </cfRule>
    <cfRule type="cellIs" dxfId="6143" priority="6141" stopIfTrue="1" operator="lessThan">
      <formula>0</formula>
    </cfRule>
  </conditionalFormatting>
  <conditionalFormatting sqref="H233:H242">
    <cfRule type="cellIs" dxfId="6142" priority="6138" stopIfTrue="1" operator="lessThan">
      <formula>0.05</formula>
    </cfRule>
    <cfRule type="cellIs" dxfId="6141" priority="6139" stopIfTrue="1" operator="lessThan">
      <formula>0</formula>
    </cfRule>
  </conditionalFormatting>
  <conditionalFormatting sqref="H233:H242">
    <cfRule type="cellIs" dxfId="6140" priority="6136" stopIfTrue="1" operator="lessThan">
      <formula>0</formula>
    </cfRule>
    <cfRule type="cellIs" dxfId="6139" priority="6137" stopIfTrue="1" operator="lessThan">
      <formula>0</formula>
    </cfRule>
  </conditionalFormatting>
  <conditionalFormatting sqref="H233:H242">
    <cfRule type="cellIs" dxfId="6138" priority="6134" stopIfTrue="1" operator="lessThan">
      <formula>0</formula>
    </cfRule>
    <cfRule type="cellIs" dxfId="6137" priority="6135" stopIfTrue="1" operator="lessThan">
      <formula>0</formula>
    </cfRule>
  </conditionalFormatting>
  <conditionalFormatting sqref="H233:H242">
    <cfRule type="cellIs" dxfId="6136" priority="6132" stopIfTrue="1" operator="lessThan">
      <formula>0.05</formula>
    </cfRule>
    <cfRule type="cellIs" dxfId="6135" priority="6133" stopIfTrue="1" operator="lessThan">
      <formula>0</formula>
    </cfRule>
  </conditionalFormatting>
  <conditionalFormatting sqref="H233:H242">
    <cfRule type="cellIs" dxfId="6134" priority="6130" stopIfTrue="1" operator="lessThan">
      <formula>0</formula>
    </cfRule>
    <cfRule type="cellIs" dxfId="6133" priority="6131" stopIfTrue="1" operator="lessThan">
      <formula>0</formula>
    </cfRule>
  </conditionalFormatting>
  <conditionalFormatting sqref="H233:H242">
    <cfRule type="cellIs" dxfId="6132" priority="6128" stopIfTrue="1" operator="lessThan">
      <formula>0</formula>
    </cfRule>
    <cfRule type="cellIs" dxfId="6131" priority="6129" stopIfTrue="1" operator="lessThan">
      <formula>0</formula>
    </cfRule>
  </conditionalFormatting>
  <conditionalFormatting sqref="H233:H242">
    <cfRule type="cellIs" dxfId="6130" priority="6126" stopIfTrue="1" operator="lessThan">
      <formula>0.05</formula>
    </cfRule>
    <cfRule type="cellIs" dxfId="6129" priority="6127" stopIfTrue="1" operator="lessThan">
      <formula>0</formula>
    </cfRule>
  </conditionalFormatting>
  <conditionalFormatting sqref="H233:H242">
    <cfRule type="cellIs" dxfId="6128" priority="6124" stopIfTrue="1" operator="lessThan">
      <formula>0</formula>
    </cfRule>
    <cfRule type="cellIs" dxfId="6127" priority="6125" stopIfTrue="1" operator="lessThan">
      <formula>0</formula>
    </cfRule>
  </conditionalFormatting>
  <conditionalFormatting sqref="H233:H242">
    <cfRule type="cellIs" dxfId="6126" priority="6122" stopIfTrue="1" operator="lessThan">
      <formula>0</formula>
    </cfRule>
    <cfRule type="cellIs" dxfId="6125" priority="6123" stopIfTrue="1" operator="lessThan">
      <formula>0</formula>
    </cfRule>
  </conditionalFormatting>
  <conditionalFormatting sqref="H233:H242">
    <cfRule type="cellIs" dxfId="6124" priority="6120" stopIfTrue="1" operator="lessThan">
      <formula>0.05</formula>
    </cfRule>
    <cfRule type="cellIs" dxfId="6123" priority="6121" stopIfTrue="1" operator="lessThan">
      <formula>0</formula>
    </cfRule>
  </conditionalFormatting>
  <conditionalFormatting sqref="H233:H242">
    <cfRule type="cellIs" dxfId="6122" priority="6118" stopIfTrue="1" operator="lessThan">
      <formula>0</formula>
    </cfRule>
    <cfRule type="cellIs" dxfId="6121" priority="6119" stopIfTrue="1" operator="lessThan">
      <formula>0</formula>
    </cfRule>
  </conditionalFormatting>
  <conditionalFormatting sqref="H233:H242">
    <cfRule type="cellIs" dxfId="6120" priority="6116" stopIfTrue="1" operator="lessThan">
      <formula>0</formula>
    </cfRule>
    <cfRule type="cellIs" dxfId="6119" priority="6117" stopIfTrue="1" operator="lessThan">
      <formula>0</formula>
    </cfRule>
  </conditionalFormatting>
  <conditionalFormatting sqref="H233:H242">
    <cfRule type="cellIs" dxfId="6118" priority="6114" stopIfTrue="1" operator="lessThan">
      <formula>0.05</formula>
    </cfRule>
    <cfRule type="cellIs" dxfId="6117" priority="6115" stopIfTrue="1" operator="lessThan">
      <formula>0</formula>
    </cfRule>
  </conditionalFormatting>
  <conditionalFormatting sqref="H233:H242">
    <cfRule type="cellIs" dxfId="6116" priority="6112" stopIfTrue="1" operator="lessThan">
      <formula>0</formula>
    </cfRule>
    <cfRule type="cellIs" dxfId="6115" priority="6113" stopIfTrue="1" operator="lessThan">
      <formula>0</formula>
    </cfRule>
  </conditionalFormatting>
  <conditionalFormatting sqref="H233:H242">
    <cfRule type="cellIs" dxfId="6114" priority="6110" stopIfTrue="1" operator="lessThan">
      <formula>0</formula>
    </cfRule>
    <cfRule type="cellIs" dxfId="6113" priority="6111" stopIfTrue="1" operator="lessThan">
      <formula>0</formula>
    </cfRule>
  </conditionalFormatting>
  <conditionalFormatting sqref="H233:H242">
    <cfRule type="cellIs" dxfId="6112" priority="6108" stopIfTrue="1" operator="lessThan">
      <formula>0.05</formula>
    </cfRule>
    <cfRule type="cellIs" dxfId="6111" priority="6109" stopIfTrue="1" operator="lessThan">
      <formula>0</formula>
    </cfRule>
  </conditionalFormatting>
  <conditionalFormatting sqref="H233:H242">
    <cfRule type="cellIs" dxfId="6110" priority="6106" stopIfTrue="1" operator="lessThan">
      <formula>0</formula>
    </cfRule>
    <cfRule type="cellIs" dxfId="6109" priority="6107" stopIfTrue="1" operator="lessThan">
      <formula>0</formula>
    </cfRule>
  </conditionalFormatting>
  <conditionalFormatting sqref="H233:H242">
    <cfRule type="cellIs" dxfId="6108" priority="6104" stopIfTrue="1" operator="lessThan">
      <formula>0.05</formula>
    </cfRule>
    <cfRule type="cellIs" dxfId="6107" priority="6105" stopIfTrue="1" operator="lessThan">
      <formula>0</formula>
    </cfRule>
  </conditionalFormatting>
  <conditionalFormatting sqref="H233:H242">
    <cfRule type="cellIs" dxfId="6106" priority="6102" stopIfTrue="1" operator="lessThan">
      <formula>0</formula>
    </cfRule>
    <cfRule type="cellIs" dxfId="6105" priority="6103" stopIfTrue="1" operator="lessThan">
      <formula>0</formula>
    </cfRule>
  </conditionalFormatting>
  <conditionalFormatting sqref="H233:H242">
    <cfRule type="cellIs" dxfId="6104" priority="6100" stopIfTrue="1" operator="lessThan">
      <formula>0.05</formula>
    </cfRule>
    <cfRule type="cellIs" dxfId="6103" priority="6101" stopIfTrue="1" operator="lessThan">
      <formula>0</formula>
    </cfRule>
  </conditionalFormatting>
  <conditionalFormatting sqref="H233:H242">
    <cfRule type="cellIs" dxfId="6102" priority="6098" stopIfTrue="1" operator="lessThan">
      <formula>0</formula>
    </cfRule>
    <cfRule type="cellIs" dxfId="6101" priority="6099" stopIfTrue="1" operator="lessThan">
      <formula>0</formula>
    </cfRule>
  </conditionalFormatting>
  <conditionalFormatting sqref="H233:H242">
    <cfRule type="cellIs" dxfId="6100" priority="6096" stopIfTrue="1" operator="lessThan">
      <formula>0</formula>
    </cfRule>
    <cfRule type="cellIs" dxfId="6099" priority="6097" stopIfTrue="1" operator="lessThan">
      <formula>0</formula>
    </cfRule>
  </conditionalFormatting>
  <conditionalFormatting sqref="H233:H242">
    <cfRule type="cellIs" dxfId="6098" priority="6094" stopIfTrue="1" operator="lessThan">
      <formula>0</formula>
    </cfRule>
    <cfRule type="cellIs" dxfId="6097" priority="6095" stopIfTrue="1" operator="lessThan">
      <formula>0</formula>
    </cfRule>
  </conditionalFormatting>
  <conditionalFormatting sqref="H233:H242">
    <cfRule type="cellIs" dxfId="6096" priority="6092" stopIfTrue="1" operator="lessThan">
      <formula>0.05</formula>
    </cfRule>
    <cfRule type="cellIs" dxfId="6095" priority="6093" stopIfTrue="1" operator="lessThan">
      <formula>0</formula>
    </cfRule>
  </conditionalFormatting>
  <conditionalFormatting sqref="H233:H242">
    <cfRule type="cellIs" dxfId="6094" priority="6090" stopIfTrue="1" operator="lessThan">
      <formula>0</formula>
    </cfRule>
    <cfRule type="cellIs" dxfId="6093" priority="6091" stopIfTrue="1" operator="lessThan">
      <formula>0</formula>
    </cfRule>
  </conditionalFormatting>
  <conditionalFormatting sqref="H233:H242">
    <cfRule type="cellIs" dxfId="6092" priority="6088" stopIfTrue="1" operator="lessThan">
      <formula>0.05</formula>
    </cfRule>
    <cfRule type="cellIs" dxfId="6091" priority="6089" stopIfTrue="1" operator="lessThan">
      <formula>0</formula>
    </cfRule>
  </conditionalFormatting>
  <conditionalFormatting sqref="H233:H242">
    <cfRule type="cellIs" dxfId="6090" priority="6086" stopIfTrue="1" operator="lessThan">
      <formula>0</formula>
    </cfRule>
    <cfRule type="cellIs" dxfId="6089" priority="6087" stopIfTrue="1" operator="lessThan">
      <formula>0</formula>
    </cfRule>
  </conditionalFormatting>
  <conditionalFormatting sqref="H233:H242">
    <cfRule type="cellIs" dxfId="6088" priority="6084" stopIfTrue="1" operator="lessThan">
      <formula>0.05</formula>
    </cfRule>
    <cfRule type="cellIs" dxfId="6087" priority="6085" stopIfTrue="1" operator="lessThan">
      <formula>0</formula>
    </cfRule>
  </conditionalFormatting>
  <conditionalFormatting sqref="H233:H242">
    <cfRule type="cellIs" dxfId="6086" priority="6082" stopIfTrue="1" operator="lessThan">
      <formula>0</formula>
    </cfRule>
    <cfRule type="cellIs" dxfId="6085" priority="6083" stopIfTrue="1" operator="lessThan">
      <formula>0</formula>
    </cfRule>
  </conditionalFormatting>
  <conditionalFormatting sqref="H233:H242">
    <cfRule type="cellIs" dxfId="6084" priority="6080" stopIfTrue="1" operator="lessThan">
      <formula>0</formula>
    </cfRule>
    <cfRule type="cellIs" dxfId="6083" priority="6081" stopIfTrue="1" operator="lessThan">
      <formula>0</formula>
    </cfRule>
  </conditionalFormatting>
  <conditionalFormatting sqref="H233:H242">
    <cfRule type="cellIs" dxfId="6082" priority="6078" stopIfTrue="1" operator="lessThan">
      <formula>0.05</formula>
    </cfRule>
    <cfRule type="cellIs" dxfId="6081" priority="6079" stopIfTrue="1" operator="lessThan">
      <formula>0</formula>
    </cfRule>
  </conditionalFormatting>
  <conditionalFormatting sqref="H233:H242">
    <cfRule type="cellIs" dxfId="6080" priority="6076" stopIfTrue="1" operator="lessThan">
      <formula>0</formula>
    </cfRule>
    <cfRule type="cellIs" dxfId="6079" priority="6077" stopIfTrue="1" operator="lessThan">
      <formula>0</formula>
    </cfRule>
  </conditionalFormatting>
  <conditionalFormatting sqref="H233:H242">
    <cfRule type="cellIs" dxfId="6078" priority="6074" stopIfTrue="1" operator="lessThan">
      <formula>0</formula>
    </cfRule>
    <cfRule type="cellIs" dxfId="6077" priority="6075" stopIfTrue="1" operator="lessThan">
      <formula>0</formula>
    </cfRule>
  </conditionalFormatting>
  <conditionalFormatting sqref="H233:H242">
    <cfRule type="cellIs" dxfId="6076" priority="6072" stopIfTrue="1" operator="lessThan">
      <formula>0.05</formula>
    </cfRule>
    <cfRule type="cellIs" dxfId="6075" priority="6073" stopIfTrue="1" operator="lessThan">
      <formula>0</formula>
    </cfRule>
  </conditionalFormatting>
  <conditionalFormatting sqref="H233:H242">
    <cfRule type="cellIs" dxfId="6074" priority="6070" stopIfTrue="1" operator="lessThan">
      <formula>0</formula>
    </cfRule>
    <cfRule type="cellIs" dxfId="6073" priority="6071" stopIfTrue="1" operator="lessThan">
      <formula>0</formula>
    </cfRule>
  </conditionalFormatting>
  <conditionalFormatting sqref="H233:H242">
    <cfRule type="cellIs" dxfId="6072" priority="6068" stopIfTrue="1" operator="lessThan">
      <formula>0</formula>
    </cfRule>
    <cfRule type="cellIs" dxfId="6071" priority="6069" stopIfTrue="1" operator="lessThan">
      <formula>0</formula>
    </cfRule>
  </conditionalFormatting>
  <conditionalFormatting sqref="H233:H242">
    <cfRule type="cellIs" dxfId="6070" priority="6066" stopIfTrue="1" operator="lessThan">
      <formula>0.05</formula>
    </cfRule>
    <cfRule type="cellIs" dxfId="6069" priority="6067" stopIfTrue="1" operator="lessThan">
      <formula>0</formula>
    </cfRule>
  </conditionalFormatting>
  <conditionalFormatting sqref="H233:H242">
    <cfRule type="cellIs" dxfId="6068" priority="6064" stopIfTrue="1" operator="lessThan">
      <formula>0</formula>
    </cfRule>
    <cfRule type="cellIs" dxfId="6067" priority="6065" stopIfTrue="1" operator="lessThan">
      <formula>0</formula>
    </cfRule>
  </conditionalFormatting>
  <conditionalFormatting sqref="H233:H242">
    <cfRule type="cellIs" dxfId="6066" priority="6062" stopIfTrue="1" operator="lessThan">
      <formula>0</formula>
    </cfRule>
    <cfRule type="cellIs" dxfId="6065" priority="6063" stopIfTrue="1" operator="lessThan">
      <formula>0</formula>
    </cfRule>
  </conditionalFormatting>
  <conditionalFormatting sqref="H233:H242">
    <cfRule type="cellIs" dxfId="6064" priority="6060" stopIfTrue="1" operator="lessThan">
      <formula>0.05</formula>
    </cfRule>
    <cfRule type="cellIs" dxfId="6063" priority="6061" stopIfTrue="1" operator="lessThan">
      <formula>0</formula>
    </cfRule>
  </conditionalFormatting>
  <conditionalFormatting sqref="H233:H242">
    <cfRule type="cellIs" dxfId="6062" priority="6058" stopIfTrue="1" operator="lessThan">
      <formula>0</formula>
    </cfRule>
    <cfRule type="cellIs" dxfId="6061" priority="6059" stopIfTrue="1" operator="lessThan">
      <formula>0</formula>
    </cfRule>
  </conditionalFormatting>
  <conditionalFormatting sqref="H233:H242">
    <cfRule type="cellIs" dxfId="6060" priority="6056" stopIfTrue="1" operator="lessThan">
      <formula>0</formula>
    </cfRule>
    <cfRule type="cellIs" dxfId="6059" priority="6057" stopIfTrue="1" operator="lessThan">
      <formula>0</formula>
    </cfRule>
  </conditionalFormatting>
  <conditionalFormatting sqref="H233:H242">
    <cfRule type="cellIs" dxfId="6058" priority="6054" stopIfTrue="1" operator="lessThan">
      <formula>0.05</formula>
    </cfRule>
    <cfRule type="cellIs" dxfId="6057" priority="6055" stopIfTrue="1" operator="lessThan">
      <formula>0</formula>
    </cfRule>
  </conditionalFormatting>
  <conditionalFormatting sqref="H233:H242">
    <cfRule type="cellIs" dxfId="6056" priority="6052" stopIfTrue="1" operator="lessThan">
      <formula>0</formula>
    </cfRule>
    <cfRule type="cellIs" dxfId="6055" priority="6053" stopIfTrue="1" operator="lessThan">
      <formula>0</formula>
    </cfRule>
  </conditionalFormatting>
  <conditionalFormatting sqref="H233:H242">
    <cfRule type="cellIs" dxfId="6054" priority="6050" stopIfTrue="1" operator="lessThan">
      <formula>0</formula>
    </cfRule>
    <cfRule type="cellIs" dxfId="6053" priority="6051" stopIfTrue="1" operator="lessThan">
      <formula>0</formula>
    </cfRule>
  </conditionalFormatting>
  <conditionalFormatting sqref="H233:H242">
    <cfRule type="cellIs" dxfId="6052" priority="6048" stopIfTrue="1" operator="lessThan">
      <formula>0.05</formula>
    </cfRule>
    <cfRule type="cellIs" dxfId="6051" priority="6049" stopIfTrue="1" operator="lessThan">
      <formula>0</formula>
    </cfRule>
  </conditionalFormatting>
  <conditionalFormatting sqref="H233:H242">
    <cfRule type="cellIs" dxfId="6050" priority="6046" stopIfTrue="1" operator="lessThan">
      <formula>0</formula>
    </cfRule>
    <cfRule type="cellIs" dxfId="6049" priority="6047" stopIfTrue="1" operator="lessThan">
      <formula>0</formula>
    </cfRule>
  </conditionalFormatting>
  <conditionalFormatting sqref="H233:H242">
    <cfRule type="cellIs" dxfId="6048" priority="6044" stopIfTrue="1" operator="lessThan">
      <formula>0</formula>
    </cfRule>
    <cfRule type="cellIs" dxfId="6047" priority="6045" stopIfTrue="1" operator="lessThan">
      <formula>0</formula>
    </cfRule>
  </conditionalFormatting>
  <conditionalFormatting sqref="H233:H242">
    <cfRule type="cellIs" dxfId="6046" priority="6042" stopIfTrue="1" operator="lessThan">
      <formula>0.05</formula>
    </cfRule>
    <cfRule type="cellIs" dxfId="6045" priority="6043" stopIfTrue="1" operator="lessThan">
      <formula>0</formula>
    </cfRule>
  </conditionalFormatting>
  <conditionalFormatting sqref="H233:H242">
    <cfRule type="cellIs" dxfId="6044" priority="6040" stopIfTrue="1" operator="lessThan">
      <formula>0</formula>
    </cfRule>
    <cfRule type="cellIs" dxfId="6043" priority="6041" stopIfTrue="1" operator="lessThan">
      <formula>0</formula>
    </cfRule>
  </conditionalFormatting>
  <conditionalFormatting sqref="H233:H242">
    <cfRule type="cellIs" dxfId="6042" priority="6038" stopIfTrue="1" operator="lessThan">
      <formula>0</formula>
    </cfRule>
    <cfRule type="cellIs" dxfId="6041" priority="6039" stopIfTrue="1" operator="lessThan">
      <formula>0</formula>
    </cfRule>
  </conditionalFormatting>
  <conditionalFormatting sqref="H233:H242">
    <cfRule type="cellIs" dxfId="6040" priority="6036" stopIfTrue="1" operator="lessThan">
      <formula>0.05</formula>
    </cfRule>
    <cfRule type="cellIs" dxfId="6039" priority="6037" stopIfTrue="1" operator="lessThan">
      <formula>0</formula>
    </cfRule>
  </conditionalFormatting>
  <conditionalFormatting sqref="H233:H242">
    <cfRule type="cellIs" dxfId="6038" priority="6034" stopIfTrue="1" operator="lessThan">
      <formula>0</formula>
    </cfRule>
    <cfRule type="cellIs" dxfId="6037" priority="6035" stopIfTrue="1" operator="lessThan">
      <formula>0</formula>
    </cfRule>
  </conditionalFormatting>
  <conditionalFormatting sqref="H233:H242">
    <cfRule type="cellIs" dxfId="6036" priority="6032" stopIfTrue="1" operator="lessThan">
      <formula>0</formula>
    </cfRule>
    <cfRule type="cellIs" dxfId="6035" priority="6033" stopIfTrue="1" operator="lessThan">
      <formula>0</formula>
    </cfRule>
  </conditionalFormatting>
  <conditionalFormatting sqref="H233:H242">
    <cfRule type="cellIs" dxfId="6034" priority="6030" stopIfTrue="1" operator="lessThan">
      <formula>0.05</formula>
    </cfRule>
    <cfRule type="cellIs" dxfId="6033" priority="6031" stopIfTrue="1" operator="lessThan">
      <formula>0</formula>
    </cfRule>
  </conditionalFormatting>
  <conditionalFormatting sqref="H233:H242">
    <cfRule type="cellIs" dxfId="6032" priority="6028" stopIfTrue="1" operator="lessThan">
      <formula>0</formula>
    </cfRule>
    <cfRule type="cellIs" dxfId="6031" priority="6029" stopIfTrue="1" operator="lessThan">
      <formula>0</formula>
    </cfRule>
  </conditionalFormatting>
  <conditionalFormatting sqref="H233:H242">
    <cfRule type="cellIs" dxfId="6030" priority="6026" stopIfTrue="1" operator="lessThan">
      <formula>0</formula>
    </cfRule>
    <cfRule type="cellIs" dxfId="6029" priority="6027" stopIfTrue="1" operator="lessThan">
      <formula>0</formula>
    </cfRule>
  </conditionalFormatting>
  <conditionalFormatting sqref="H233:H242">
    <cfRule type="cellIs" dxfId="6028" priority="6024" stopIfTrue="1" operator="lessThan">
      <formula>0.05</formula>
    </cfRule>
    <cfRule type="cellIs" dxfId="6027" priority="6025" stopIfTrue="1" operator="lessThan">
      <formula>0</formula>
    </cfRule>
  </conditionalFormatting>
  <conditionalFormatting sqref="H233:H242">
    <cfRule type="cellIs" dxfId="6026" priority="6022" stopIfTrue="1" operator="lessThan">
      <formula>0</formula>
    </cfRule>
    <cfRule type="cellIs" dxfId="6025" priority="6023" stopIfTrue="1" operator="lessThan">
      <formula>0</formula>
    </cfRule>
  </conditionalFormatting>
  <conditionalFormatting sqref="H233:H242">
    <cfRule type="cellIs" dxfId="6024" priority="6020" stopIfTrue="1" operator="lessThan">
      <formula>0</formula>
    </cfRule>
    <cfRule type="cellIs" dxfId="6023" priority="6021" stopIfTrue="1" operator="lessThan">
      <formula>0</formula>
    </cfRule>
  </conditionalFormatting>
  <conditionalFormatting sqref="H233:H242">
    <cfRule type="cellIs" dxfId="6022" priority="6018" stopIfTrue="1" operator="lessThan">
      <formula>0.05</formula>
    </cfRule>
    <cfRule type="cellIs" dxfId="6021" priority="6019" stopIfTrue="1" operator="lessThan">
      <formula>0</formula>
    </cfRule>
  </conditionalFormatting>
  <conditionalFormatting sqref="H233:H242">
    <cfRule type="cellIs" dxfId="6020" priority="6016" stopIfTrue="1" operator="lessThan">
      <formula>0</formula>
    </cfRule>
    <cfRule type="cellIs" dxfId="6019" priority="6017" stopIfTrue="1" operator="lessThan">
      <formula>0</formula>
    </cfRule>
  </conditionalFormatting>
  <conditionalFormatting sqref="H233:H242">
    <cfRule type="cellIs" dxfId="6018" priority="6014" stopIfTrue="1" operator="lessThan">
      <formula>0</formula>
    </cfRule>
    <cfRule type="cellIs" dxfId="6017" priority="6015" stopIfTrue="1" operator="lessThan">
      <formula>0</formula>
    </cfRule>
  </conditionalFormatting>
  <conditionalFormatting sqref="H233:H242">
    <cfRule type="cellIs" dxfId="6016" priority="6012" stopIfTrue="1" operator="lessThan">
      <formula>0.05</formula>
    </cfRule>
    <cfRule type="cellIs" dxfId="6015" priority="6013" stopIfTrue="1" operator="lessThan">
      <formula>0</formula>
    </cfRule>
  </conditionalFormatting>
  <conditionalFormatting sqref="H233:H242">
    <cfRule type="cellIs" dxfId="6014" priority="6010" stopIfTrue="1" operator="lessThan">
      <formula>0</formula>
    </cfRule>
    <cfRule type="cellIs" dxfId="6013" priority="6011" stopIfTrue="1" operator="lessThan">
      <formula>0</formula>
    </cfRule>
  </conditionalFormatting>
  <conditionalFormatting sqref="H233:H242">
    <cfRule type="cellIs" dxfId="6012" priority="6008" stopIfTrue="1" operator="lessThan">
      <formula>0.05</formula>
    </cfRule>
    <cfRule type="cellIs" dxfId="6011" priority="6009" stopIfTrue="1" operator="lessThan">
      <formula>0</formula>
    </cfRule>
  </conditionalFormatting>
  <conditionalFormatting sqref="H233:H242">
    <cfRule type="cellIs" dxfId="6010" priority="6006" stopIfTrue="1" operator="lessThan">
      <formula>0</formula>
    </cfRule>
    <cfRule type="cellIs" dxfId="6009" priority="6007" stopIfTrue="1" operator="lessThan">
      <formula>0</formula>
    </cfRule>
  </conditionalFormatting>
  <conditionalFormatting sqref="H233:H242">
    <cfRule type="cellIs" dxfId="6008" priority="6004" stopIfTrue="1" operator="lessThan">
      <formula>0.05</formula>
    </cfRule>
    <cfRule type="cellIs" dxfId="6007" priority="6005" stopIfTrue="1" operator="lessThan">
      <formula>0</formula>
    </cfRule>
  </conditionalFormatting>
  <conditionalFormatting sqref="H233:H242">
    <cfRule type="cellIs" dxfId="6006" priority="6002" stopIfTrue="1" operator="lessThan">
      <formula>0</formula>
    </cfRule>
    <cfRule type="cellIs" dxfId="6005" priority="6003" stopIfTrue="1" operator="lessThan">
      <formula>0</formula>
    </cfRule>
  </conditionalFormatting>
  <conditionalFormatting sqref="H233:H242">
    <cfRule type="cellIs" dxfId="6004" priority="6000" stopIfTrue="1" operator="lessThan">
      <formula>0</formula>
    </cfRule>
    <cfRule type="cellIs" dxfId="6003" priority="6001" stopIfTrue="1" operator="lessThan">
      <formula>0</formula>
    </cfRule>
  </conditionalFormatting>
  <conditionalFormatting sqref="H233:H242">
    <cfRule type="cellIs" dxfId="6002" priority="5998" stopIfTrue="1" operator="lessThan">
      <formula>0</formula>
    </cfRule>
    <cfRule type="cellIs" dxfId="6001" priority="5999" stopIfTrue="1" operator="lessThan">
      <formula>0</formula>
    </cfRule>
  </conditionalFormatting>
  <conditionalFormatting sqref="H233:H242">
    <cfRule type="cellIs" dxfId="6000" priority="5996" stopIfTrue="1" operator="lessThan">
      <formula>0.05</formula>
    </cfRule>
    <cfRule type="cellIs" dxfId="5999" priority="5997" stopIfTrue="1" operator="lessThan">
      <formula>0</formula>
    </cfRule>
  </conditionalFormatting>
  <conditionalFormatting sqref="H233:H242">
    <cfRule type="cellIs" dxfId="5998" priority="5994" stopIfTrue="1" operator="lessThan">
      <formula>0</formula>
    </cfRule>
    <cfRule type="cellIs" dxfId="5997" priority="5995" stopIfTrue="1" operator="lessThan">
      <formula>0</formula>
    </cfRule>
  </conditionalFormatting>
  <conditionalFormatting sqref="H233:H242">
    <cfRule type="cellIs" dxfId="5996" priority="5992" stopIfTrue="1" operator="lessThan">
      <formula>0.05</formula>
    </cfRule>
    <cfRule type="cellIs" dxfId="5995" priority="5993" stopIfTrue="1" operator="lessThan">
      <formula>0</formula>
    </cfRule>
  </conditionalFormatting>
  <conditionalFormatting sqref="H233:H242">
    <cfRule type="cellIs" dxfId="5994" priority="5990" stopIfTrue="1" operator="lessThan">
      <formula>0</formula>
    </cfRule>
    <cfRule type="cellIs" dxfId="5993" priority="5991" stopIfTrue="1" operator="lessThan">
      <formula>0</formula>
    </cfRule>
  </conditionalFormatting>
  <conditionalFormatting sqref="H233:H242">
    <cfRule type="cellIs" dxfId="5992" priority="5988" stopIfTrue="1" operator="lessThan">
      <formula>0.05</formula>
    </cfRule>
    <cfRule type="cellIs" dxfId="5991" priority="5989" stopIfTrue="1" operator="lessThan">
      <formula>0</formula>
    </cfRule>
  </conditionalFormatting>
  <conditionalFormatting sqref="H233:H242">
    <cfRule type="cellIs" dxfId="5990" priority="5986" stopIfTrue="1" operator="lessThan">
      <formula>0</formula>
    </cfRule>
    <cfRule type="cellIs" dxfId="5989" priority="5987" stopIfTrue="1" operator="lessThan">
      <formula>0</formula>
    </cfRule>
  </conditionalFormatting>
  <conditionalFormatting sqref="H233:H242">
    <cfRule type="cellIs" dxfId="5988" priority="5984" stopIfTrue="1" operator="lessThan">
      <formula>0</formula>
    </cfRule>
    <cfRule type="cellIs" dxfId="5987" priority="5985" stopIfTrue="1" operator="lessThan">
      <formula>0</formula>
    </cfRule>
  </conditionalFormatting>
  <conditionalFormatting sqref="H233:H242">
    <cfRule type="cellIs" dxfId="5986" priority="5982" stopIfTrue="1" operator="lessThan">
      <formula>0.05</formula>
    </cfRule>
    <cfRule type="cellIs" dxfId="5985" priority="5983" stopIfTrue="1" operator="lessThan">
      <formula>0</formula>
    </cfRule>
  </conditionalFormatting>
  <conditionalFormatting sqref="H233:H242">
    <cfRule type="cellIs" dxfId="5984" priority="5980" stopIfTrue="1" operator="lessThan">
      <formula>0</formula>
    </cfRule>
    <cfRule type="cellIs" dxfId="5983" priority="5981" stopIfTrue="1" operator="lessThan">
      <formula>0</formula>
    </cfRule>
  </conditionalFormatting>
  <conditionalFormatting sqref="H233:H242">
    <cfRule type="cellIs" dxfId="5982" priority="5978" stopIfTrue="1" operator="lessThan">
      <formula>0</formula>
    </cfRule>
    <cfRule type="cellIs" dxfId="5981" priority="5979" stopIfTrue="1" operator="lessThan">
      <formula>0</formula>
    </cfRule>
  </conditionalFormatting>
  <conditionalFormatting sqref="H233:H242">
    <cfRule type="cellIs" dxfId="5980" priority="5976" stopIfTrue="1" operator="lessThan">
      <formula>0.05</formula>
    </cfRule>
    <cfRule type="cellIs" dxfId="5979" priority="5977" stopIfTrue="1" operator="lessThan">
      <formula>0</formula>
    </cfRule>
  </conditionalFormatting>
  <conditionalFormatting sqref="H233:H242">
    <cfRule type="cellIs" dxfId="5978" priority="5974" stopIfTrue="1" operator="lessThan">
      <formula>0</formula>
    </cfRule>
    <cfRule type="cellIs" dxfId="5977" priority="5975" stopIfTrue="1" operator="lessThan">
      <formula>0</formula>
    </cfRule>
  </conditionalFormatting>
  <conditionalFormatting sqref="H233:H242">
    <cfRule type="cellIs" dxfId="5976" priority="5972" stopIfTrue="1" operator="lessThan">
      <formula>0</formula>
    </cfRule>
    <cfRule type="cellIs" dxfId="5975" priority="5973" stopIfTrue="1" operator="lessThan">
      <formula>0</formula>
    </cfRule>
  </conditionalFormatting>
  <conditionalFormatting sqref="H233:H242">
    <cfRule type="cellIs" dxfId="5974" priority="5970" stopIfTrue="1" operator="lessThan">
      <formula>0.05</formula>
    </cfRule>
    <cfRule type="cellIs" dxfId="5973" priority="5971" stopIfTrue="1" operator="lessThan">
      <formula>0</formula>
    </cfRule>
  </conditionalFormatting>
  <conditionalFormatting sqref="H233:H242">
    <cfRule type="cellIs" dxfId="5972" priority="5968" stopIfTrue="1" operator="lessThan">
      <formula>0</formula>
    </cfRule>
    <cfRule type="cellIs" dxfId="5971" priority="5969" stopIfTrue="1" operator="lessThan">
      <formula>0</formula>
    </cfRule>
  </conditionalFormatting>
  <conditionalFormatting sqref="H233:H242">
    <cfRule type="cellIs" dxfId="5970" priority="5966" stopIfTrue="1" operator="lessThan">
      <formula>0</formula>
    </cfRule>
    <cfRule type="cellIs" dxfId="5969" priority="5967" stopIfTrue="1" operator="lessThan">
      <formula>0</formula>
    </cfRule>
  </conditionalFormatting>
  <conditionalFormatting sqref="H233:H242">
    <cfRule type="cellIs" dxfId="5968" priority="5964" stopIfTrue="1" operator="lessThan">
      <formula>0.05</formula>
    </cfRule>
    <cfRule type="cellIs" dxfId="5967" priority="5965" stopIfTrue="1" operator="lessThan">
      <formula>0</formula>
    </cfRule>
  </conditionalFormatting>
  <conditionalFormatting sqref="H233:H242">
    <cfRule type="cellIs" dxfId="5966" priority="5962" stopIfTrue="1" operator="lessThan">
      <formula>0</formula>
    </cfRule>
    <cfRule type="cellIs" dxfId="5965" priority="5963" stopIfTrue="1" operator="lessThan">
      <formula>0</formula>
    </cfRule>
  </conditionalFormatting>
  <conditionalFormatting sqref="H233:H242">
    <cfRule type="cellIs" dxfId="5964" priority="5960" stopIfTrue="1" operator="lessThan">
      <formula>0</formula>
    </cfRule>
    <cfRule type="cellIs" dxfId="5963" priority="5961" stopIfTrue="1" operator="lessThan">
      <formula>0</formula>
    </cfRule>
  </conditionalFormatting>
  <conditionalFormatting sqref="H233:H242">
    <cfRule type="cellIs" dxfId="5962" priority="5958" stopIfTrue="1" operator="lessThan">
      <formula>0.05</formula>
    </cfRule>
    <cfRule type="cellIs" dxfId="5961" priority="5959" stopIfTrue="1" operator="lessThan">
      <formula>0</formula>
    </cfRule>
  </conditionalFormatting>
  <conditionalFormatting sqref="H233:H242">
    <cfRule type="cellIs" dxfId="5960" priority="5956" stopIfTrue="1" operator="lessThan">
      <formula>0</formula>
    </cfRule>
    <cfRule type="cellIs" dxfId="5959" priority="5957" stopIfTrue="1" operator="lessThan">
      <formula>0</formula>
    </cfRule>
  </conditionalFormatting>
  <conditionalFormatting sqref="H233:H242">
    <cfRule type="cellIs" dxfId="5958" priority="5954" stopIfTrue="1" operator="lessThan">
      <formula>0</formula>
    </cfRule>
    <cfRule type="cellIs" dxfId="5957" priority="5955" stopIfTrue="1" operator="lessThan">
      <formula>0</formula>
    </cfRule>
  </conditionalFormatting>
  <conditionalFormatting sqref="H233:H242">
    <cfRule type="cellIs" dxfId="5956" priority="5952" stopIfTrue="1" operator="lessThan">
      <formula>0.05</formula>
    </cfRule>
    <cfRule type="cellIs" dxfId="5955" priority="5953" stopIfTrue="1" operator="lessThan">
      <formula>0</formula>
    </cfRule>
  </conditionalFormatting>
  <conditionalFormatting sqref="H233:H242">
    <cfRule type="cellIs" dxfId="5954" priority="5950" stopIfTrue="1" operator="lessThan">
      <formula>0</formula>
    </cfRule>
    <cfRule type="cellIs" dxfId="5953" priority="5951" stopIfTrue="1" operator="lessThan">
      <formula>0</formula>
    </cfRule>
  </conditionalFormatting>
  <conditionalFormatting sqref="H233:H242">
    <cfRule type="cellIs" dxfId="5952" priority="5948" stopIfTrue="1" operator="lessThan">
      <formula>0</formula>
    </cfRule>
    <cfRule type="cellIs" dxfId="5951" priority="5949" stopIfTrue="1" operator="lessThan">
      <formula>0</formula>
    </cfRule>
  </conditionalFormatting>
  <conditionalFormatting sqref="H233:H242">
    <cfRule type="cellIs" dxfId="5950" priority="5946" stopIfTrue="1" operator="lessThan">
      <formula>0.05</formula>
    </cfRule>
    <cfRule type="cellIs" dxfId="5949" priority="5947" stopIfTrue="1" operator="lessThan">
      <formula>0</formula>
    </cfRule>
  </conditionalFormatting>
  <conditionalFormatting sqref="H233:H242">
    <cfRule type="cellIs" dxfId="5948" priority="5944" stopIfTrue="1" operator="lessThan">
      <formula>0</formula>
    </cfRule>
    <cfRule type="cellIs" dxfId="5947" priority="5945" stopIfTrue="1" operator="lessThan">
      <formula>0</formula>
    </cfRule>
  </conditionalFormatting>
  <conditionalFormatting sqref="H233:H242">
    <cfRule type="cellIs" dxfId="5946" priority="5942" stopIfTrue="1" operator="lessThan">
      <formula>0</formula>
    </cfRule>
    <cfRule type="cellIs" dxfId="5945" priority="5943" stopIfTrue="1" operator="lessThan">
      <formula>0</formula>
    </cfRule>
  </conditionalFormatting>
  <conditionalFormatting sqref="H233:H242">
    <cfRule type="cellIs" dxfId="5944" priority="5940" stopIfTrue="1" operator="lessThan">
      <formula>0.05</formula>
    </cfRule>
    <cfRule type="cellIs" dxfId="5943" priority="5941" stopIfTrue="1" operator="lessThan">
      <formula>0</formula>
    </cfRule>
  </conditionalFormatting>
  <conditionalFormatting sqref="H233:H242">
    <cfRule type="cellIs" dxfId="5942" priority="5938" stopIfTrue="1" operator="lessThan">
      <formula>0</formula>
    </cfRule>
    <cfRule type="cellIs" dxfId="5941" priority="5939" stopIfTrue="1" operator="lessThan">
      <formula>0</formula>
    </cfRule>
  </conditionalFormatting>
  <conditionalFormatting sqref="H233:H242">
    <cfRule type="cellIs" dxfId="5940" priority="5936" stopIfTrue="1" operator="lessThan">
      <formula>0</formula>
    </cfRule>
    <cfRule type="cellIs" dxfId="5939" priority="5937" stopIfTrue="1" operator="lessThan">
      <formula>0</formula>
    </cfRule>
  </conditionalFormatting>
  <conditionalFormatting sqref="H233:H242">
    <cfRule type="cellIs" dxfId="5938" priority="5934" stopIfTrue="1" operator="lessThan">
      <formula>0.05</formula>
    </cfRule>
    <cfRule type="cellIs" dxfId="5937" priority="5935" stopIfTrue="1" operator="lessThan">
      <formula>0</formula>
    </cfRule>
  </conditionalFormatting>
  <conditionalFormatting sqref="H233:H242">
    <cfRule type="cellIs" dxfId="5936" priority="5932" stopIfTrue="1" operator="lessThan">
      <formula>0</formula>
    </cfRule>
    <cfRule type="cellIs" dxfId="5935" priority="5933" stopIfTrue="1" operator="lessThan">
      <formula>0</formula>
    </cfRule>
  </conditionalFormatting>
  <conditionalFormatting sqref="H233:H242">
    <cfRule type="cellIs" dxfId="5934" priority="5930" stopIfTrue="1" operator="lessThan">
      <formula>0</formula>
    </cfRule>
    <cfRule type="cellIs" dxfId="5933" priority="5931" stopIfTrue="1" operator="lessThan">
      <formula>0</formula>
    </cfRule>
  </conditionalFormatting>
  <conditionalFormatting sqref="H233:H242">
    <cfRule type="cellIs" dxfId="5932" priority="5928" stopIfTrue="1" operator="lessThan">
      <formula>0.05</formula>
    </cfRule>
    <cfRule type="cellIs" dxfId="5931" priority="5929" stopIfTrue="1" operator="lessThan">
      <formula>0</formula>
    </cfRule>
  </conditionalFormatting>
  <conditionalFormatting sqref="H233:H242">
    <cfRule type="cellIs" dxfId="5930" priority="5926" stopIfTrue="1" operator="lessThan">
      <formula>0</formula>
    </cfRule>
    <cfRule type="cellIs" dxfId="5929" priority="5927" stopIfTrue="1" operator="lessThan">
      <formula>0</formula>
    </cfRule>
  </conditionalFormatting>
  <conditionalFormatting sqref="H233:H242">
    <cfRule type="cellIs" dxfId="5928" priority="5924" stopIfTrue="1" operator="lessThan">
      <formula>0</formula>
    </cfRule>
    <cfRule type="cellIs" dxfId="5927" priority="5925" stopIfTrue="1" operator="lessThan">
      <formula>0</formula>
    </cfRule>
  </conditionalFormatting>
  <conditionalFormatting sqref="H233:H242">
    <cfRule type="cellIs" dxfId="5926" priority="5922" stopIfTrue="1" operator="lessThan">
      <formula>0.05</formula>
    </cfRule>
    <cfRule type="cellIs" dxfId="5925" priority="5923" stopIfTrue="1" operator="lessThan">
      <formula>0</formula>
    </cfRule>
  </conditionalFormatting>
  <conditionalFormatting sqref="H233:H242">
    <cfRule type="cellIs" dxfId="5924" priority="5920" stopIfTrue="1" operator="lessThan">
      <formula>0</formula>
    </cfRule>
    <cfRule type="cellIs" dxfId="5923" priority="5921" stopIfTrue="1" operator="lessThan">
      <formula>0</formula>
    </cfRule>
  </conditionalFormatting>
  <conditionalFormatting sqref="H233:H242">
    <cfRule type="cellIs" dxfId="5922" priority="5918" stopIfTrue="1" operator="lessThan">
      <formula>0</formula>
    </cfRule>
    <cfRule type="cellIs" dxfId="5921" priority="5919" stopIfTrue="1" operator="lessThan">
      <formula>0</formula>
    </cfRule>
  </conditionalFormatting>
  <conditionalFormatting sqref="H233:H242">
    <cfRule type="cellIs" dxfId="5920" priority="5916" stopIfTrue="1" operator="lessThan">
      <formula>0.05</formula>
    </cfRule>
    <cfRule type="cellIs" dxfId="5919" priority="5917" stopIfTrue="1" operator="lessThan">
      <formula>0</formula>
    </cfRule>
  </conditionalFormatting>
  <conditionalFormatting sqref="H233:H242">
    <cfRule type="cellIs" dxfId="5918" priority="5914" stopIfTrue="1" operator="lessThan">
      <formula>0</formula>
    </cfRule>
    <cfRule type="cellIs" dxfId="5917" priority="5915" stopIfTrue="1" operator="lessThan">
      <formula>0</formula>
    </cfRule>
  </conditionalFormatting>
  <conditionalFormatting sqref="H233:H242">
    <cfRule type="cellIs" dxfId="5916" priority="5912" stopIfTrue="1" operator="lessThan">
      <formula>0</formula>
    </cfRule>
    <cfRule type="cellIs" dxfId="5915" priority="5913" stopIfTrue="1" operator="lessThan">
      <formula>0</formula>
    </cfRule>
  </conditionalFormatting>
  <conditionalFormatting sqref="H233:H242">
    <cfRule type="cellIs" dxfId="5914" priority="5910" stopIfTrue="1" operator="lessThan">
      <formula>0.05</formula>
    </cfRule>
    <cfRule type="cellIs" dxfId="5913" priority="5911" stopIfTrue="1" operator="lessThan">
      <formula>0</formula>
    </cfRule>
  </conditionalFormatting>
  <conditionalFormatting sqref="H233:H242">
    <cfRule type="cellIs" dxfId="5912" priority="5908" stopIfTrue="1" operator="lessThan">
      <formula>0</formula>
    </cfRule>
    <cfRule type="cellIs" dxfId="5911" priority="5909" stopIfTrue="1" operator="lessThan">
      <formula>0</formula>
    </cfRule>
  </conditionalFormatting>
  <conditionalFormatting sqref="H233:H242">
    <cfRule type="cellIs" dxfId="5910" priority="5906" stopIfTrue="1" operator="lessThan">
      <formula>0</formula>
    </cfRule>
    <cfRule type="cellIs" dxfId="5909" priority="5907" stopIfTrue="1" operator="lessThan">
      <formula>0</formula>
    </cfRule>
  </conditionalFormatting>
  <conditionalFormatting sqref="H233:H242">
    <cfRule type="cellIs" dxfId="5908" priority="5904" stopIfTrue="1" operator="lessThan">
      <formula>0.05</formula>
    </cfRule>
    <cfRule type="cellIs" dxfId="5907" priority="5905" stopIfTrue="1" operator="lessThan">
      <formula>0</formula>
    </cfRule>
  </conditionalFormatting>
  <conditionalFormatting sqref="H233:H242">
    <cfRule type="cellIs" dxfId="5906" priority="5902" stopIfTrue="1" operator="lessThan">
      <formula>0</formula>
    </cfRule>
    <cfRule type="cellIs" dxfId="5905" priority="5903" stopIfTrue="1" operator="lessThan">
      <formula>0</formula>
    </cfRule>
  </conditionalFormatting>
  <conditionalFormatting sqref="H233:H242">
    <cfRule type="cellIs" dxfId="5904" priority="5900" stopIfTrue="1" operator="lessThan">
      <formula>0.05</formula>
    </cfRule>
    <cfRule type="cellIs" dxfId="5903" priority="5901" stopIfTrue="1" operator="lessThan">
      <formula>0</formula>
    </cfRule>
  </conditionalFormatting>
  <conditionalFormatting sqref="H233:H242">
    <cfRule type="cellIs" dxfId="5902" priority="5898" stopIfTrue="1" operator="lessThan">
      <formula>0</formula>
    </cfRule>
    <cfRule type="cellIs" dxfId="5901" priority="5899" stopIfTrue="1" operator="lessThan">
      <formula>0</formula>
    </cfRule>
  </conditionalFormatting>
  <conditionalFormatting sqref="H233:H242">
    <cfRule type="cellIs" dxfId="5900" priority="5896" stopIfTrue="1" operator="lessThan">
      <formula>0.05</formula>
    </cfRule>
    <cfRule type="cellIs" dxfId="5899" priority="5897" stopIfTrue="1" operator="lessThan">
      <formula>0</formula>
    </cfRule>
  </conditionalFormatting>
  <conditionalFormatting sqref="H233:H242">
    <cfRule type="cellIs" dxfId="5898" priority="5894" stopIfTrue="1" operator="lessThan">
      <formula>0</formula>
    </cfRule>
    <cfRule type="cellIs" dxfId="5897" priority="5895" stopIfTrue="1" operator="lessThan">
      <formula>0</formula>
    </cfRule>
  </conditionalFormatting>
  <conditionalFormatting sqref="H233:H242">
    <cfRule type="cellIs" dxfId="5896" priority="5892" stopIfTrue="1" operator="lessThan">
      <formula>0</formula>
    </cfRule>
    <cfRule type="cellIs" dxfId="5895" priority="5893" stopIfTrue="1" operator="lessThan">
      <formula>0</formula>
    </cfRule>
  </conditionalFormatting>
  <conditionalFormatting sqref="H233:H242">
    <cfRule type="cellIs" dxfId="5894" priority="5890" stopIfTrue="1" operator="lessThan">
      <formula>0</formula>
    </cfRule>
    <cfRule type="cellIs" dxfId="5893" priority="5891" stopIfTrue="1" operator="lessThan">
      <formula>0</formula>
    </cfRule>
  </conditionalFormatting>
  <conditionalFormatting sqref="H233:H242">
    <cfRule type="cellIs" dxfId="5892" priority="5888" stopIfTrue="1" operator="lessThan">
      <formula>0.05</formula>
    </cfRule>
    <cfRule type="cellIs" dxfId="5891" priority="5889" stopIfTrue="1" operator="lessThan">
      <formula>0</formula>
    </cfRule>
  </conditionalFormatting>
  <conditionalFormatting sqref="H233:H242">
    <cfRule type="cellIs" dxfId="5890" priority="5886" stopIfTrue="1" operator="lessThan">
      <formula>0</formula>
    </cfRule>
    <cfRule type="cellIs" dxfId="5889" priority="5887" stopIfTrue="1" operator="lessThan">
      <formula>0</formula>
    </cfRule>
  </conditionalFormatting>
  <conditionalFormatting sqref="H233:H242">
    <cfRule type="cellIs" dxfId="5888" priority="5884" stopIfTrue="1" operator="lessThan">
      <formula>0.05</formula>
    </cfRule>
    <cfRule type="cellIs" dxfId="5887" priority="5885" stopIfTrue="1" operator="lessThan">
      <formula>0</formula>
    </cfRule>
  </conditionalFormatting>
  <conditionalFormatting sqref="H233:H242">
    <cfRule type="cellIs" dxfId="5886" priority="5882" stopIfTrue="1" operator="lessThan">
      <formula>0</formula>
    </cfRule>
    <cfRule type="cellIs" dxfId="5885" priority="5883" stopIfTrue="1" operator="lessThan">
      <formula>0</formula>
    </cfRule>
  </conditionalFormatting>
  <conditionalFormatting sqref="H233:H242">
    <cfRule type="cellIs" dxfId="5884" priority="5880" stopIfTrue="1" operator="lessThan">
      <formula>0.05</formula>
    </cfRule>
    <cfRule type="cellIs" dxfId="5883" priority="5881" stopIfTrue="1" operator="lessThan">
      <formula>0</formula>
    </cfRule>
  </conditionalFormatting>
  <conditionalFormatting sqref="H233:H242">
    <cfRule type="cellIs" dxfId="5882" priority="5878" stopIfTrue="1" operator="lessThan">
      <formula>0</formula>
    </cfRule>
    <cfRule type="cellIs" dxfId="5881" priority="5879" stopIfTrue="1" operator="lessThan">
      <formula>0</formula>
    </cfRule>
  </conditionalFormatting>
  <conditionalFormatting sqref="H233:H242">
    <cfRule type="cellIs" dxfId="5880" priority="5877" stopIfTrue="1" operator="lessThan">
      <formula>0.05</formula>
    </cfRule>
  </conditionalFormatting>
  <conditionalFormatting sqref="H246:H255">
    <cfRule type="cellIs" dxfId="5879" priority="5875" stopIfTrue="1" operator="lessThan">
      <formula>0</formula>
    </cfRule>
    <cfRule type="cellIs" dxfId="5878" priority="5876" stopIfTrue="1" operator="lessThan">
      <formula>0</formula>
    </cfRule>
  </conditionalFormatting>
  <conditionalFormatting sqref="H246:H255">
    <cfRule type="cellIs" dxfId="5877" priority="5873" stopIfTrue="1" operator="lessThan">
      <formula>0</formula>
    </cfRule>
    <cfRule type="cellIs" dxfId="5876" priority="5874" stopIfTrue="1" operator="lessThan">
      <formula>0</formula>
    </cfRule>
  </conditionalFormatting>
  <conditionalFormatting sqref="H246:H255">
    <cfRule type="cellIs" dxfId="5875" priority="5871" stopIfTrue="1" operator="lessThan">
      <formula>0.05</formula>
    </cfRule>
    <cfRule type="cellIs" dxfId="5874" priority="5872" stopIfTrue="1" operator="lessThan">
      <formula>0</formula>
    </cfRule>
  </conditionalFormatting>
  <conditionalFormatting sqref="H246:H255">
    <cfRule type="cellIs" dxfId="5873" priority="5869" stopIfTrue="1" operator="lessThan">
      <formula>0</formula>
    </cfRule>
    <cfRule type="cellIs" dxfId="5872" priority="5870" stopIfTrue="1" operator="lessThan">
      <formula>0</formula>
    </cfRule>
  </conditionalFormatting>
  <conditionalFormatting sqref="H246:H255">
    <cfRule type="cellIs" dxfId="5871" priority="5867" stopIfTrue="1" operator="lessThan">
      <formula>0.05</formula>
    </cfRule>
    <cfRule type="cellIs" dxfId="5870" priority="5868" stopIfTrue="1" operator="lessThan">
      <formula>0</formula>
    </cfRule>
  </conditionalFormatting>
  <conditionalFormatting sqref="H246:H255">
    <cfRule type="cellIs" dxfId="5869" priority="5865" stopIfTrue="1" operator="lessThan">
      <formula>0</formula>
    </cfRule>
    <cfRule type="cellIs" dxfId="5868" priority="5866" stopIfTrue="1" operator="lessThan">
      <formula>0</formula>
    </cfRule>
  </conditionalFormatting>
  <conditionalFormatting sqref="H246:H255">
    <cfRule type="cellIs" dxfId="5867" priority="5863" stopIfTrue="1" operator="lessThan">
      <formula>0.05</formula>
    </cfRule>
    <cfRule type="cellIs" dxfId="5866" priority="5864" stopIfTrue="1" operator="lessThan">
      <formula>0</formula>
    </cfRule>
  </conditionalFormatting>
  <conditionalFormatting sqref="H246:H255">
    <cfRule type="cellIs" dxfId="5865" priority="5861" stopIfTrue="1" operator="lessThan">
      <formula>0</formula>
    </cfRule>
    <cfRule type="cellIs" dxfId="5864" priority="5862" stopIfTrue="1" operator="lessThan">
      <formula>0</formula>
    </cfRule>
  </conditionalFormatting>
  <conditionalFormatting sqref="H246:H255">
    <cfRule type="cellIs" dxfId="5863" priority="5859" stopIfTrue="1" operator="lessThan">
      <formula>0</formula>
    </cfRule>
    <cfRule type="cellIs" dxfId="5862" priority="5860" stopIfTrue="1" operator="lessThan">
      <formula>0</formula>
    </cfRule>
  </conditionalFormatting>
  <conditionalFormatting sqref="H246:H255">
    <cfRule type="cellIs" dxfId="5861" priority="5857" stopIfTrue="1" operator="lessThan">
      <formula>0</formula>
    </cfRule>
    <cfRule type="cellIs" dxfId="5860" priority="5858" stopIfTrue="1" operator="lessThan">
      <formula>0</formula>
    </cfRule>
  </conditionalFormatting>
  <conditionalFormatting sqref="H246:H255">
    <cfRule type="cellIs" dxfId="5859" priority="5855" stopIfTrue="1" operator="lessThan">
      <formula>0.05</formula>
    </cfRule>
    <cfRule type="cellIs" dxfId="5858" priority="5856" stopIfTrue="1" operator="lessThan">
      <formula>0</formula>
    </cfRule>
  </conditionalFormatting>
  <conditionalFormatting sqref="H246:H255">
    <cfRule type="cellIs" dxfId="5857" priority="5853" stopIfTrue="1" operator="lessThan">
      <formula>0</formula>
    </cfRule>
    <cfRule type="cellIs" dxfId="5856" priority="5854" stopIfTrue="1" operator="lessThan">
      <formula>0</formula>
    </cfRule>
  </conditionalFormatting>
  <conditionalFormatting sqref="H246:H255">
    <cfRule type="cellIs" dxfId="5855" priority="5851" stopIfTrue="1" operator="lessThan">
      <formula>0.05</formula>
    </cfRule>
    <cfRule type="cellIs" dxfId="5854" priority="5852" stopIfTrue="1" operator="lessThan">
      <formula>0</formula>
    </cfRule>
  </conditionalFormatting>
  <conditionalFormatting sqref="H246:H255">
    <cfRule type="cellIs" dxfId="5853" priority="5849" stopIfTrue="1" operator="lessThan">
      <formula>0</formula>
    </cfRule>
    <cfRule type="cellIs" dxfId="5852" priority="5850" stopIfTrue="1" operator="lessThan">
      <formula>0</formula>
    </cfRule>
  </conditionalFormatting>
  <conditionalFormatting sqref="H246:H255">
    <cfRule type="cellIs" dxfId="5851" priority="5847" stopIfTrue="1" operator="lessThan">
      <formula>0.05</formula>
    </cfRule>
    <cfRule type="cellIs" dxfId="5850" priority="5848" stopIfTrue="1" operator="lessThan">
      <formula>0</formula>
    </cfRule>
  </conditionalFormatting>
  <conditionalFormatting sqref="H246:H255">
    <cfRule type="cellIs" dxfId="5849" priority="5845" stopIfTrue="1" operator="lessThan">
      <formula>0</formula>
    </cfRule>
    <cfRule type="cellIs" dxfId="5848" priority="5846" stopIfTrue="1" operator="lessThan">
      <formula>0</formula>
    </cfRule>
  </conditionalFormatting>
  <conditionalFormatting sqref="H246:H255">
    <cfRule type="cellIs" dxfId="5847" priority="5843" stopIfTrue="1" operator="lessThan">
      <formula>0</formula>
    </cfRule>
    <cfRule type="cellIs" dxfId="5846" priority="5844" stopIfTrue="1" operator="lessThan">
      <formula>0</formula>
    </cfRule>
  </conditionalFormatting>
  <conditionalFormatting sqref="H246:H255">
    <cfRule type="cellIs" dxfId="5845" priority="5841" stopIfTrue="1" operator="lessThan">
      <formula>0</formula>
    </cfRule>
    <cfRule type="cellIs" dxfId="5844" priority="5842" stopIfTrue="1" operator="lessThan">
      <formula>0</formula>
    </cfRule>
  </conditionalFormatting>
  <conditionalFormatting sqref="H246:H255">
    <cfRule type="cellIs" dxfId="5843" priority="5839" stopIfTrue="1" operator="lessThan">
      <formula>0.05</formula>
    </cfRule>
    <cfRule type="cellIs" dxfId="5842" priority="5840" stopIfTrue="1" operator="lessThan">
      <formula>0</formula>
    </cfRule>
  </conditionalFormatting>
  <conditionalFormatting sqref="H246:H255">
    <cfRule type="cellIs" dxfId="5841" priority="5837" stopIfTrue="1" operator="lessThan">
      <formula>0</formula>
    </cfRule>
    <cfRule type="cellIs" dxfId="5840" priority="5838" stopIfTrue="1" operator="lessThan">
      <formula>0</formula>
    </cfRule>
  </conditionalFormatting>
  <conditionalFormatting sqref="H246:H255">
    <cfRule type="cellIs" dxfId="5839" priority="5835" stopIfTrue="1" operator="lessThan">
      <formula>0.05</formula>
    </cfRule>
    <cfRule type="cellIs" dxfId="5838" priority="5836" stopIfTrue="1" operator="lessThan">
      <formula>0</formula>
    </cfRule>
  </conditionalFormatting>
  <conditionalFormatting sqref="H246:H255">
    <cfRule type="cellIs" dxfId="5837" priority="5833" stopIfTrue="1" operator="lessThan">
      <formula>0</formula>
    </cfRule>
    <cfRule type="cellIs" dxfId="5836" priority="5834" stopIfTrue="1" operator="lessThan">
      <formula>0</formula>
    </cfRule>
  </conditionalFormatting>
  <conditionalFormatting sqref="H246:H255">
    <cfRule type="cellIs" dxfId="5835" priority="5831" stopIfTrue="1" operator="lessThan">
      <formula>0.05</formula>
    </cfRule>
    <cfRule type="cellIs" dxfId="5834" priority="5832" stopIfTrue="1" operator="lessThan">
      <formula>0</formula>
    </cfRule>
  </conditionalFormatting>
  <conditionalFormatting sqref="H246:H255">
    <cfRule type="cellIs" dxfId="5833" priority="5829" stopIfTrue="1" operator="lessThan">
      <formula>0</formula>
    </cfRule>
    <cfRule type="cellIs" dxfId="5832" priority="5830" stopIfTrue="1" operator="lessThan">
      <formula>0</formula>
    </cfRule>
  </conditionalFormatting>
  <conditionalFormatting sqref="H246:H255">
    <cfRule type="cellIs" dxfId="5831" priority="5827" stopIfTrue="1" operator="lessThan">
      <formula>0</formula>
    </cfRule>
    <cfRule type="cellIs" dxfId="5830" priority="5828" stopIfTrue="1" operator="lessThan">
      <formula>0</formula>
    </cfRule>
  </conditionalFormatting>
  <conditionalFormatting sqref="H246:H255">
    <cfRule type="cellIs" dxfId="5829" priority="5825" stopIfTrue="1" operator="lessThan">
      <formula>0</formula>
    </cfRule>
    <cfRule type="cellIs" dxfId="5828" priority="5826" stopIfTrue="1" operator="lessThan">
      <formula>0</formula>
    </cfRule>
  </conditionalFormatting>
  <conditionalFormatting sqref="H246:H255">
    <cfRule type="cellIs" dxfId="5827" priority="5823" stopIfTrue="1" operator="lessThan">
      <formula>0.05</formula>
    </cfRule>
    <cfRule type="cellIs" dxfId="5826" priority="5824" stopIfTrue="1" operator="lessThan">
      <formula>0</formula>
    </cfRule>
  </conditionalFormatting>
  <conditionalFormatting sqref="H246:H255">
    <cfRule type="cellIs" dxfId="5825" priority="5821" stopIfTrue="1" operator="lessThan">
      <formula>0</formula>
    </cfRule>
    <cfRule type="cellIs" dxfId="5824" priority="5822" stopIfTrue="1" operator="lessThan">
      <formula>0</formula>
    </cfRule>
  </conditionalFormatting>
  <conditionalFormatting sqref="H246:H255">
    <cfRule type="cellIs" dxfId="5823" priority="5819" stopIfTrue="1" operator="lessThan">
      <formula>0.05</formula>
    </cfRule>
    <cfRule type="cellIs" dxfId="5822" priority="5820" stopIfTrue="1" operator="lessThan">
      <formula>0</formula>
    </cfRule>
  </conditionalFormatting>
  <conditionalFormatting sqref="H246:H255">
    <cfRule type="cellIs" dxfId="5821" priority="5817" stopIfTrue="1" operator="lessThan">
      <formula>0</formula>
    </cfRule>
    <cfRule type="cellIs" dxfId="5820" priority="5818" stopIfTrue="1" operator="lessThan">
      <formula>0</formula>
    </cfRule>
  </conditionalFormatting>
  <conditionalFormatting sqref="H246:H255">
    <cfRule type="cellIs" dxfId="5819" priority="5815" stopIfTrue="1" operator="lessThan">
      <formula>0.05</formula>
    </cfRule>
    <cfRule type="cellIs" dxfId="5818" priority="5816" stopIfTrue="1" operator="lessThan">
      <formula>0</formula>
    </cfRule>
  </conditionalFormatting>
  <conditionalFormatting sqref="H246:H255">
    <cfRule type="cellIs" dxfId="5817" priority="5813" stopIfTrue="1" operator="lessThan">
      <formula>0</formula>
    </cfRule>
    <cfRule type="cellIs" dxfId="5816" priority="5814" stopIfTrue="1" operator="lessThan">
      <formula>0</formula>
    </cfRule>
  </conditionalFormatting>
  <conditionalFormatting sqref="H246:H255">
    <cfRule type="cellIs" dxfId="5815" priority="5811" stopIfTrue="1" operator="lessThan">
      <formula>0</formula>
    </cfRule>
    <cfRule type="cellIs" dxfId="5814" priority="5812" stopIfTrue="1" operator="lessThan">
      <formula>0</formula>
    </cfRule>
  </conditionalFormatting>
  <conditionalFormatting sqref="H246:H255">
    <cfRule type="cellIs" dxfId="5813" priority="5809" stopIfTrue="1" operator="lessThan">
      <formula>0.05</formula>
    </cfRule>
    <cfRule type="cellIs" dxfId="5812" priority="5810" stopIfTrue="1" operator="lessThan">
      <formula>0</formula>
    </cfRule>
  </conditionalFormatting>
  <conditionalFormatting sqref="H246:H255">
    <cfRule type="cellIs" dxfId="5811" priority="5807" stopIfTrue="1" operator="lessThan">
      <formula>0</formula>
    </cfRule>
    <cfRule type="cellIs" dxfId="5810" priority="5808" stopIfTrue="1" operator="lessThan">
      <formula>0</formula>
    </cfRule>
  </conditionalFormatting>
  <conditionalFormatting sqref="H246:H255">
    <cfRule type="cellIs" dxfId="5809" priority="5805" stopIfTrue="1" operator="lessThan">
      <formula>0</formula>
    </cfRule>
    <cfRule type="cellIs" dxfId="5808" priority="5806" stopIfTrue="1" operator="lessThan">
      <formula>0</formula>
    </cfRule>
  </conditionalFormatting>
  <conditionalFormatting sqref="H246:H255">
    <cfRule type="cellIs" dxfId="5807" priority="5803" stopIfTrue="1" operator="lessThan">
      <formula>0.05</formula>
    </cfRule>
    <cfRule type="cellIs" dxfId="5806" priority="5804" stopIfTrue="1" operator="lessThan">
      <formula>0</formula>
    </cfRule>
  </conditionalFormatting>
  <conditionalFormatting sqref="H246:H255">
    <cfRule type="cellIs" dxfId="5805" priority="5801" stopIfTrue="1" operator="lessThan">
      <formula>0</formula>
    </cfRule>
    <cfRule type="cellIs" dxfId="5804" priority="5802" stopIfTrue="1" operator="lessThan">
      <formula>0</formula>
    </cfRule>
  </conditionalFormatting>
  <conditionalFormatting sqref="H246:H255">
    <cfRule type="cellIs" dxfId="5803" priority="5799" stopIfTrue="1" operator="lessThan">
      <formula>0</formula>
    </cfRule>
    <cfRule type="cellIs" dxfId="5802" priority="5800" stopIfTrue="1" operator="lessThan">
      <formula>0</formula>
    </cfRule>
  </conditionalFormatting>
  <conditionalFormatting sqref="H246:H255">
    <cfRule type="cellIs" dxfId="5801" priority="5797" stopIfTrue="1" operator="lessThan">
      <formula>0.05</formula>
    </cfRule>
    <cfRule type="cellIs" dxfId="5800" priority="5798" stopIfTrue="1" operator="lessThan">
      <formula>0</formula>
    </cfRule>
  </conditionalFormatting>
  <conditionalFormatting sqref="H246:H255">
    <cfRule type="cellIs" dxfId="5799" priority="5795" stopIfTrue="1" operator="lessThan">
      <formula>0</formula>
    </cfRule>
    <cfRule type="cellIs" dxfId="5798" priority="5796" stopIfTrue="1" operator="lessThan">
      <formula>0</formula>
    </cfRule>
  </conditionalFormatting>
  <conditionalFormatting sqref="H246:H255">
    <cfRule type="cellIs" dxfId="5797" priority="5793" stopIfTrue="1" operator="lessThan">
      <formula>0</formula>
    </cfRule>
    <cfRule type="cellIs" dxfId="5796" priority="5794" stopIfTrue="1" operator="lessThan">
      <formula>0</formula>
    </cfRule>
  </conditionalFormatting>
  <conditionalFormatting sqref="H246:H255">
    <cfRule type="cellIs" dxfId="5795" priority="5791" stopIfTrue="1" operator="lessThan">
      <formula>0.05</formula>
    </cfRule>
    <cfRule type="cellIs" dxfId="5794" priority="5792" stopIfTrue="1" operator="lessThan">
      <formula>0</formula>
    </cfRule>
  </conditionalFormatting>
  <conditionalFormatting sqref="H246:H255">
    <cfRule type="cellIs" dxfId="5793" priority="5789" stopIfTrue="1" operator="lessThan">
      <formula>0</formula>
    </cfRule>
    <cfRule type="cellIs" dxfId="5792" priority="5790" stopIfTrue="1" operator="lessThan">
      <formula>0</formula>
    </cfRule>
  </conditionalFormatting>
  <conditionalFormatting sqref="H246:H255">
    <cfRule type="cellIs" dxfId="5791" priority="5787" stopIfTrue="1" operator="lessThan">
      <formula>0</formula>
    </cfRule>
    <cfRule type="cellIs" dxfId="5790" priority="5788" stopIfTrue="1" operator="lessThan">
      <formula>0</formula>
    </cfRule>
  </conditionalFormatting>
  <conditionalFormatting sqref="H246:H255">
    <cfRule type="cellIs" dxfId="5789" priority="5785" stopIfTrue="1" operator="lessThan">
      <formula>0.05</formula>
    </cfRule>
    <cfRule type="cellIs" dxfId="5788" priority="5786" stopIfTrue="1" operator="lessThan">
      <formula>0</formula>
    </cfRule>
  </conditionalFormatting>
  <conditionalFormatting sqref="H246:H255">
    <cfRule type="cellIs" dxfId="5787" priority="5783" stopIfTrue="1" operator="lessThan">
      <formula>0</formula>
    </cfRule>
    <cfRule type="cellIs" dxfId="5786" priority="5784" stopIfTrue="1" operator="lessThan">
      <formula>0</formula>
    </cfRule>
  </conditionalFormatting>
  <conditionalFormatting sqref="H246:H255">
    <cfRule type="cellIs" dxfId="5785" priority="5781" stopIfTrue="1" operator="lessThan">
      <formula>0</formula>
    </cfRule>
    <cfRule type="cellIs" dxfId="5784" priority="5782" stopIfTrue="1" operator="lessThan">
      <formula>0</formula>
    </cfRule>
  </conditionalFormatting>
  <conditionalFormatting sqref="H246:H255">
    <cfRule type="cellIs" dxfId="5783" priority="5779" stopIfTrue="1" operator="lessThan">
      <formula>0.05</formula>
    </cfRule>
    <cfRule type="cellIs" dxfId="5782" priority="5780" stopIfTrue="1" operator="lessThan">
      <formula>0</formula>
    </cfRule>
  </conditionalFormatting>
  <conditionalFormatting sqref="H246:H255">
    <cfRule type="cellIs" dxfId="5781" priority="5777" stopIfTrue="1" operator="lessThan">
      <formula>0</formula>
    </cfRule>
    <cfRule type="cellIs" dxfId="5780" priority="5778" stopIfTrue="1" operator="lessThan">
      <formula>0</formula>
    </cfRule>
  </conditionalFormatting>
  <conditionalFormatting sqref="H246:H255">
    <cfRule type="cellIs" dxfId="5779" priority="5775" stopIfTrue="1" operator="lessThan">
      <formula>0</formula>
    </cfRule>
    <cfRule type="cellIs" dxfId="5778" priority="5776" stopIfTrue="1" operator="lessThan">
      <formula>0</formula>
    </cfRule>
  </conditionalFormatting>
  <conditionalFormatting sqref="H246:H255">
    <cfRule type="cellIs" dxfId="5777" priority="5773" stopIfTrue="1" operator="lessThan">
      <formula>0.05</formula>
    </cfRule>
    <cfRule type="cellIs" dxfId="5776" priority="5774" stopIfTrue="1" operator="lessThan">
      <formula>0</formula>
    </cfRule>
  </conditionalFormatting>
  <conditionalFormatting sqref="H246:H255">
    <cfRule type="cellIs" dxfId="5775" priority="5771" stopIfTrue="1" operator="lessThan">
      <formula>0</formula>
    </cfRule>
    <cfRule type="cellIs" dxfId="5774" priority="5772" stopIfTrue="1" operator="lessThan">
      <formula>0</formula>
    </cfRule>
  </conditionalFormatting>
  <conditionalFormatting sqref="H246:H255">
    <cfRule type="cellIs" dxfId="5773" priority="5769" stopIfTrue="1" operator="lessThan">
      <formula>0</formula>
    </cfRule>
    <cfRule type="cellIs" dxfId="5772" priority="5770" stopIfTrue="1" operator="lessThan">
      <formula>0</formula>
    </cfRule>
  </conditionalFormatting>
  <conditionalFormatting sqref="H246:H255">
    <cfRule type="cellIs" dxfId="5771" priority="5767" stopIfTrue="1" operator="lessThan">
      <formula>0.05</formula>
    </cfRule>
    <cfRule type="cellIs" dxfId="5770" priority="5768" stopIfTrue="1" operator="lessThan">
      <formula>0</formula>
    </cfRule>
  </conditionalFormatting>
  <conditionalFormatting sqref="H246:H255">
    <cfRule type="cellIs" dxfId="5769" priority="5765" stopIfTrue="1" operator="lessThan">
      <formula>0</formula>
    </cfRule>
    <cfRule type="cellIs" dxfId="5768" priority="5766" stopIfTrue="1" operator="lessThan">
      <formula>0</formula>
    </cfRule>
  </conditionalFormatting>
  <conditionalFormatting sqref="H246:H255">
    <cfRule type="cellIs" dxfId="5767" priority="5763" stopIfTrue="1" operator="lessThan">
      <formula>0</formula>
    </cfRule>
    <cfRule type="cellIs" dxfId="5766" priority="5764" stopIfTrue="1" operator="lessThan">
      <formula>0</formula>
    </cfRule>
  </conditionalFormatting>
  <conditionalFormatting sqref="H246:H255">
    <cfRule type="cellIs" dxfId="5765" priority="5761" stopIfTrue="1" operator="lessThan">
      <formula>0.05</formula>
    </cfRule>
    <cfRule type="cellIs" dxfId="5764" priority="5762" stopIfTrue="1" operator="lessThan">
      <formula>0</formula>
    </cfRule>
  </conditionalFormatting>
  <conditionalFormatting sqref="H246:H255">
    <cfRule type="cellIs" dxfId="5763" priority="5759" stopIfTrue="1" operator="lessThan">
      <formula>0</formula>
    </cfRule>
    <cfRule type="cellIs" dxfId="5762" priority="5760" stopIfTrue="1" operator="lessThan">
      <formula>0</formula>
    </cfRule>
  </conditionalFormatting>
  <conditionalFormatting sqref="H246:H255">
    <cfRule type="cellIs" dxfId="5761" priority="5757" stopIfTrue="1" operator="lessThan">
      <formula>0</formula>
    </cfRule>
    <cfRule type="cellIs" dxfId="5760" priority="5758" stopIfTrue="1" operator="lessThan">
      <formula>0</formula>
    </cfRule>
  </conditionalFormatting>
  <conditionalFormatting sqref="H246:H255">
    <cfRule type="cellIs" dxfId="5759" priority="5755" stopIfTrue="1" operator="lessThan">
      <formula>0.05</formula>
    </cfRule>
    <cfRule type="cellIs" dxfId="5758" priority="5756" stopIfTrue="1" operator="lessThan">
      <formula>0</formula>
    </cfRule>
  </conditionalFormatting>
  <conditionalFormatting sqref="H246:H255">
    <cfRule type="cellIs" dxfId="5757" priority="5753" stopIfTrue="1" operator="lessThan">
      <formula>0</formula>
    </cfRule>
    <cfRule type="cellIs" dxfId="5756" priority="5754" stopIfTrue="1" operator="lessThan">
      <formula>0</formula>
    </cfRule>
  </conditionalFormatting>
  <conditionalFormatting sqref="H246:H255">
    <cfRule type="cellIs" dxfId="5755" priority="5751" stopIfTrue="1" operator="lessThan">
      <formula>0</formula>
    </cfRule>
    <cfRule type="cellIs" dxfId="5754" priority="5752" stopIfTrue="1" operator="lessThan">
      <formula>0</formula>
    </cfRule>
  </conditionalFormatting>
  <conditionalFormatting sqref="H246:H255">
    <cfRule type="cellIs" dxfId="5753" priority="5749" stopIfTrue="1" operator="lessThan">
      <formula>0.05</formula>
    </cfRule>
    <cfRule type="cellIs" dxfId="5752" priority="5750" stopIfTrue="1" operator="lessThan">
      <formula>0</formula>
    </cfRule>
  </conditionalFormatting>
  <conditionalFormatting sqref="H246:H255">
    <cfRule type="cellIs" dxfId="5751" priority="5747" stopIfTrue="1" operator="lessThan">
      <formula>0</formula>
    </cfRule>
    <cfRule type="cellIs" dxfId="5750" priority="5748" stopIfTrue="1" operator="lessThan">
      <formula>0</formula>
    </cfRule>
  </conditionalFormatting>
  <conditionalFormatting sqref="H246:H255">
    <cfRule type="cellIs" dxfId="5749" priority="5745" stopIfTrue="1" operator="lessThan">
      <formula>0</formula>
    </cfRule>
    <cfRule type="cellIs" dxfId="5748" priority="5746" stopIfTrue="1" operator="lessThan">
      <formula>0</formula>
    </cfRule>
  </conditionalFormatting>
  <conditionalFormatting sqref="H246:H255">
    <cfRule type="cellIs" dxfId="5747" priority="5743" stopIfTrue="1" operator="lessThan">
      <formula>0.05</formula>
    </cfRule>
    <cfRule type="cellIs" dxfId="5746" priority="5744" stopIfTrue="1" operator="lessThan">
      <formula>0</formula>
    </cfRule>
  </conditionalFormatting>
  <conditionalFormatting sqref="H246:H255">
    <cfRule type="cellIs" dxfId="5745" priority="5741" stopIfTrue="1" operator="lessThan">
      <formula>0</formula>
    </cfRule>
    <cfRule type="cellIs" dxfId="5744" priority="5742" stopIfTrue="1" operator="lessThan">
      <formula>0</formula>
    </cfRule>
  </conditionalFormatting>
  <conditionalFormatting sqref="H246:H255">
    <cfRule type="cellIs" dxfId="5743" priority="5739" stopIfTrue="1" operator="lessThan">
      <formula>0</formula>
    </cfRule>
    <cfRule type="cellIs" dxfId="5742" priority="5740" stopIfTrue="1" operator="lessThan">
      <formula>0</formula>
    </cfRule>
  </conditionalFormatting>
  <conditionalFormatting sqref="H246:H255">
    <cfRule type="cellIs" dxfId="5741" priority="5737" stopIfTrue="1" operator="lessThan">
      <formula>0.05</formula>
    </cfRule>
    <cfRule type="cellIs" dxfId="5740" priority="5738" stopIfTrue="1" operator="lessThan">
      <formula>0</formula>
    </cfRule>
  </conditionalFormatting>
  <conditionalFormatting sqref="H246:H255">
    <cfRule type="cellIs" dxfId="5739" priority="5735" stopIfTrue="1" operator="lessThan">
      <formula>0</formula>
    </cfRule>
    <cfRule type="cellIs" dxfId="5738" priority="5736" stopIfTrue="1" operator="lessThan">
      <formula>0</formula>
    </cfRule>
  </conditionalFormatting>
  <conditionalFormatting sqref="H246:H255">
    <cfRule type="cellIs" dxfId="5737" priority="5733" stopIfTrue="1" operator="lessThan">
      <formula>0</formula>
    </cfRule>
    <cfRule type="cellIs" dxfId="5736" priority="5734" stopIfTrue="1" operator="lessThan">
      <formula>0</formula>
    </cfRule>
  </conditionalFormatting>
  <conditionalFormatting sqref="H246:H255">
    <cfRule type="cellIs" dxfId="5735" priority="5731" stopIfTrue="1" operator="lessThan">
      <formula>0.05</formula>
    </cfRule>
    <cfRule type="cellIs" dxfId="5734" priority="5732" stopIfTrue="1" operator="lessThan">
      <formula>0</formula>
    </cfRule>
  </conditionalFormatting>
  <conditionalFormatting sqref="H246:H255">
    <cfRule type="cellIs" dxfId="5733" priority="5729" stopIfTrue="1" operator="lessThan">
      <formula>0</formula>
    </cfRule>
    <cfRule type="cellIs" dxfId="5732" priority="5730" stopIfTrue="1" operator="lessThan">
      <formula>0</formula>
    </cfRule>
  </conditionalFormatting>
  <conditionalFormatting sqref="H246:H255">
    <cfRule type="cellIs" dxfId="5731" priority="5727" stopIfTrue="1" operator="lessThan">
      <formula>0</formula>
    </cfRule>
    <cfRule type="cellIs" dxfId="5730" priority="5728" stopIfTrue="1" operator="lessThan">
      <formula>0</formula>
    </cfRule>
  </conditionalFormatting>
  <conditionalFormatting sqref="H246:H255">
    <cfRule type="cellIs" dxfId="5729" priority="5725" stopIfTrue="1" operator="lessThan">
      <formula>0.05</formula>
    </cfRule>
    <cfRule type="cellIs" dxfId="5728" priority="5726" stopIfTrue="1" operator="lessThan">
      <formula>0</formula>
    </cfRule>
  </conditionalFormatting>
  <conditionalFormatting sqref="H246:H255">
    <cfRule type="cellIs" dxfId="5727" priority="5723" stopIfTrue="1" operator="lessThan">
      <formula>0</formula>
    </cfRule>
    <cfRule type="cellIs" dxfId="5726" priority="5724" stopIfTrue="1" operator="lessThan">
      <formula>0</formula>
    </cfRule>
  </conditionalFormatting>
  <conditionalFormatting sqref="H246:H255">
    <cfRule type="cellIs" dxfId="5725" priority="5721" stopIfTrue="1" operator="lessThan">
      <formula>0</formula>
    </cfRule>
    <cfRule type="cellIs" dxfId="5724" priority="5722" stopIfTrue="1" operator="lessThan">
      <formula>0</formula>
    </cfRule>
  </conditionalFormatting>
  <conditionalFormatting sqref="H246:H255">
    <cfRule type="cellIs" dxfId="5723" priority="5719" stopIfTrue="1" operator="lessThan">
      <formula>0.05</formula>
    </cfRule>
    <cfRule type="cellIs" dxfId="5722" priority="5720" stopIfTrue="1" operator="lessThan">
      <formula>0</formula>
    </cfRule>
  </conditionalFormatting>
  <conditionalFormatting sqref="H246:H255">
    <cfRule type="cellIs" dxfId="5721" priority="5717" stopIfTrue="1" operator="lessThan">
      <formula>0</formula>
    </cfRule>
    <cfRule type="cellIs" dxfId="5720" priority="5718" stopIfTrue="1" operator="lessThan">
      <formula>0</formula>
    </cfRule>
  </conditionalFormatting>
  <conditionalFormatting sqref="H246:H255">
    <cfRule type="cellIs" dxfId="5719" priority="5715" stopIfTrue="1" operator="lessThan">
      <formula>0.05</formula>
    </cfRule>
    <cfRule type="cellIs" dxfId="5718" priority="5716" stopIfTrue="1" operator="lessThan">
      <formula>0</formula>
    </cfRule>
  </conditionalFormatting>
  <conditionalFormatting sqref="H246:H255">
    <cfRule type="cellIs" dxfId="5717" priority="5713" stopIfTrue="1" operator="lessThan">
      <formula>0</formula>
    </cfRule>
    <cfRule type="cellIs" dxfId="5716" priority="5714" stopIfTrue="1" operator="lessThan">
      <formula>0</formula>
    </cfRule>
  </conditionalFormatting>
  <conditionalFormatting sqref="H246:H255">
    <cfRule type="cellIs" dxfId="5715" priority="5711" stopIfTrue="1" operator="lessThan">
      <formula>0.05</formula>
    </cfRule>
    <cfRule type="cellIs" dxfId="5714" priority="5712" stopIfTrue="1" operator="lessThan">
      <formula>0</formula>
    </cfRule>
  </conditionalFormatting>
  <conditionalFormatting sqref="H246:H255">
    <cfRule type="cellIs" dxfId="5713" priority="5709" stopIfTrue="1" operator="lessThan">
      <formula>0</formula>
    </cfRule>
    <cfRule type="cellIs" dxfId="5712" priority="5710" stopIfTrue="1" operator="lessThan">
      <formula>0</formula>
    </cfRule>
  </conditionalFormatting>
  <conditionalFormatting sqref="H246:H255">
    <cfRule type="cellIs" dxfId="5711" priority="5707" stopIfTrue="1" operator="lessThan">
      <formula>0</formula>
    </cfRule>
    <cfRule type="cellIs" dxfId="5710" priority="5708" stopIfTrue="1" operator="lessThan">
      <formula>0</formula>
    </cfRule>
  </conditionalFormatting>
  <conditionalFormatting sqref="H246:H255">
    <cfRule type="cellIs" dxfId="5709" priority="5705" stopIfTrue="1" operator="lessThan">
      <formula>0</formula>
    </cfRule>
    <cfRule type="cellIs" dxfId="5708" priority="5706" stopIfTrue="1" operator="lessThan">
      <formula>0</formula>
    </cfRule>
  </conditionalFormatting>
  <conditionalFormatting sqref="H246:H255">
    <cfRule type="cellIs" dxfId="5707" priority="5703" stopIfTrue="1" operator="lessThan">
      <formula>0.05</formula>
    </cfRule>
    <cfRule type="cellIs" dxfId="5706" priority="5704" stopIfTrue="1" operator="lessThan">
      <formula>0</formula>
    </cfRule>
  </conditionalFormatting>
  <conditionalFormatting sqref="H246:H255">
    <cfRule type="cellIs" dxfId="5705" priority="5701" stopIfTrue="1" operator="lessThan">
      <formula>0</formula>
    </cfRule>
    <cfRule type="cellIs" dxfId="5704" priority="5702" stopIfTrue="1" operator="lessThan">
      <formula>0</formula>
    </cfRule>
  </conditionalFormatting>
  <conditionalFormatting sqref="H246:H255">
    <cfRule type="cellIs" dxfId="5703" priority="5699" stopIfTrue="1" operator="lessThan">
      <formula>0.05</formula>
    </cfRule>
    <cfRule type="cellIs" dxfId="5702" priority="5700" stopIfTrue="1" operator="lessThan">
      <formula>0</formula>
    </cfRule>
  </conditionalFormatting>
  <conditionalFormatting sqref="H246:H255">
    <cfRule type="cellIs" dxfId="5701" priority="5697" stopIfTrue="1" operator="lessThan">
      <formula>0</formula>
    </cfRule>
    <cfRule type="cellIs" dxfId="5700" priority="5698" stopIfTrue="1" operator="lessThan">
      <formula>0</formula>
    </cfRule>
  </conditionalFormatting>
  <conditionalFormatting sqref="H246:H255">
    <cfRule type="cellIs" dxfId="5699" priority="5695" stopIfTrue="1" operator="lessThan">
      <formula>0.05</formula>
    </cfRule>
    <cfRule type="cellIs" dxfId="5698" priority="5696" stopIfTrue="1" operator="lessThan">
      <formula>0</formula>
    </cfRule>
  </conditionalFormatting>
  <conditionalFormatting sqref="H246:H255">
    <cfRule type="cellIs" dxfId="5697" priority="5693" stopIfTrue="1" operator="lessThan">
      <formula>0</formula>
    </cfRule>
    <cfRule type="cellIs" dxfId="5696" priority="5694" stopIfTrue="1" operator="lessThan">
      <formula>0</formula>
    </cfRule>
  </conditionalFormatting>
  <conditionalFormatting sqref="H246:H255">
    <cfRule type="cellIs" dxfId="5695" priority="5691" stopIfTrue="1" operator="lessThan">
      <formula>0</formula>
    </cfRule>
    <cfRule type="cellIs" dxfId="5694" priority="5692" stopIfTrue="1" operator="lessThan">
      <formula>0</formula>
    </cfRule>
  </conditionalFormatting>
  <conditionalFormatting sqref="H246:H255">
    <cfRule type="cellIs" dxfId="5693" priority="5689" stopIfTrue="1" operator="lessThan">
      <formula>0.05</formula>
    </cfRule>
    <cfRule type="cellIs" dxfId="5692" priority="5690" stopIfTrue="1" operator="lessThan">
      <formula>0</formula>
    </cfRule>
  </conditionalFormatting>
  <conditionalFormatting sqref="H246:H255">
    <cfRule type="cellIs" dxfId="5691" priority="5687" stopIfTrue="1" operator="lessThan">
      <formula>0</formula>
    </cfRule>
    <cfRule type="cellIs" dxfId="5690" priority="5688" stopIfTrue="1" operator="lessThan">
      <formula>0</formula>
    </cfRule>
  </conditionalFormatting>
  <conditionalFormatting sqref="H246:H255">
    <cfRule type="cellIs" dxfId="5689" priority="5685" stopIfTrue="1" operator="lessThan">
      <formula>0</formula>
    </cfRule>
    <cfRule type="cellIs" dxfId="5688" priority="5686" stopIfTrue="1" operator="lessThan">
      <formula>0</formula>
    </cfRule>
  </conditionalFormatting>
  <conditionalFormatting sqref="H246:H255">
    <cfRule type="cellIs" dxfId="5687" priority="5683" stopIfTrue="1" operator="lessThan">
      <formula>0.05</formula>
    </cfRule>
    <cfRule type="cellIs" dxfId="5686" priority="5684" stopIfTrue="1" operator="lessThan">
      <formula>0</formula>
    </cfRule>
  </conditionalFormatting>
  <conditionalFormatting sqref="H246:H255">
    <cfRule type="cellIs" dxfId="5685" priority="5681" stopIfTrue="1" operator="lessThan">
      <formula>0</formula>
    </cfRule>
    <cfRule type="cellIs" dxfId="5684" priority="5682" stopIfTrue="1" operator="lessThan">
      <formula>0</formula>
    </cfRule>
  </conditionalFormatting>
  <conditionalFormatting sqref="H246:H255">
    <cfRule type="cellIs" dxfId="5683" priority="5679" stopIfTrue="1" operator="lessThan">
      <formula>0</formula>
    </cfRule>
    <cfRule type="cellIs" dxfId="5682" priority="5680" stopIfTrue="1" operator="lessThan">
      <formula>0</formula>
    </cfRule>
  </conditionalFormatting>
  <conditionalFormatting sqref="H246:H255">
    <cfRule type="cellIs" dxfId="5681" priority="5677" stopIfTrue="1" operator="lessThan">
      <formula>0.05</formula>
    </cfRule>
    <cfRule type="cellIs" dxfId="5680" priority="5678" stopIfTrue="1" operator="lessThan">
      <formula>0</formula>
    </cfRule>
  </conditionalFormatting>
  <conditionalFormatting sqref="H246:H255">
    <cfRule type="cellIs" dxfId="5679" priority="5675" stopIfTrue="1" operator="lessThan">
      <formula>0</formula>
    </cfRule>
    <cfRule type="cellIs" dxfId="5678" priority="5676" stopIfTrue="1" operator="lessThan">
      <formula>0</formula>
    </cfRule>
  </conditionalFormatting>
  <conditionalFormatting sqref="H246:H255">
    <cfRule type="cellIs" dxfId="5677" priority="5673" stopIfTrue="1" operator="lessThan">
      <formula>0</formula>
    </cfRule>
    <cfRule type="cellIs" dxfId="5676" priority="5674" stopIfTrue="1" operator="lessThan">
      <formula>0</formula>
    </cfRule>
  </conditionalFormatting>
  <conditionalFormatting sqref="H246:H255">
    <cfRule type="cellIs" dxfId="5675" priority="5671" stopIfTrue="1" operator="lessThan">
      <formula>0.05</formula>
    </cfRule>
    <cfRule type="cellIs" dxfId="5674" priority="5672" stopIfTrue="1" operator="lessThan">
      <formula>0</formula>
    </cfRule>
  </conditionalFormatting>
  <conditionalFormatting sqref="H246:H255">
    <cfRule type="cellIs" dxfId="5673" priority="5669" stopIfTrue="1" operator="lessThan">
      <formula>0</formula>
    </cfRule>
    <cfRule type="cellIs" dxfId="5672" priority="5670" stopIfTrue="1" operator="lessThan">
      <formula>0</formula>
    </cfRule>
  </conditionalFormatting>
  <conditionalFormatting sqref="H246:H255">
    <cfRule type="cellIs" dxfId="5671" priority="5667" stopIfTrue="1" operator="lessThan">
      <formula>0</formula>
    </cfRule>
    <cfRule type="cellIs" dxfId="5670" priority="5668" stopIfTrue="1" operator="lessThan">
      <formula>0</formula>
    </cfRule>
  </conditionalFormatting>
  <conditionalFormatting sqref="H246:H255">
    <cfRule type="cellIs" dxfId="5669" priority="5665" stopIfTrue="1" operator="lessThan">
      <formula>0.05</formula>
    </cfRule>
    <cfRule type="cellIs" dxfId="5668" priority="5666" stopIfTrue="1" operator="lessThan">
      <formula>0</formula>
    </cfRule>
  </conditionalFormatting>
  <conditionalFormatting sqref="H246:H255">
    <cfRule type="cellIs" dxfId="5667" priority="5663" stopIfTrue="1" operator="lessThan">
      <formula>0</formula>
    </cfRule>
    <cfRule type="cellIs" dxfId="5666" priority="5664" stopIfTrue="1" operator="lessThan">
      <formula>0</formula>
    </cfRule>
  </conditionalFormatting>
  <conditionalFormatting sqref="H246:H255">
    <cfRule type="cellIs" dxfId="5665" priority="5661" stopIfTrue="1" operator="lessThan">
      <formula>0</formula>
    </cfRule>
    <cfRule type="cellIs" dxfId="5664" priority="5662" stopIfTrue="1" operator="lessThan">
      <formula>0</formula>
    </cfRule>
  </conditionalFormatting>
  <conditionalFormatting sqref="H246:H255">
    <cfRule type="cellIs" dxfId="5663" priority="5659" stopIfTrue="1" operator="lessThan">
      <formula>0.05</formula>
    </cfRule>
    <cfRule type="cellIs" dxfId="5662" priority="5660" stopIfTrue="1" operator="lessThan">
      <formula>0</formula>
    </cfRule>
  </conditionalFormatting>
  <conditionalFormatting sqref="H246:H255">
    <cfRule type="cellIs" dxfId="5661" priority="5657" stopIfTrue="1" operator="lessThan">
      <formula>0</formula>
    </cfRule>
    <cfRule type="cellIs" dxfId="5660" priority="5658" stopIfTrue="1" operator="lessThan">
      <formula>0</formula>
    </cfRule>
  </conditionalFormatting>
  <conditionalFormatting sqref="H246:H255">
    <cfRule type="cellIs" dxfId="5659" priority="5655" stopIfTrue="1" operator="lessThan">
      <formula>0</formula>
    </cfRule>
    <cfRule type="cellIs" dxfId="5658" priority="5656" stopIfTrue="1" operator="lessThan">
      <formula>0</formula>
    </cfRule>
  </conditionalFormatting>
  <conditionalFormatting sqref="H246:H255">
    <cfRule type="cellIs" dxfId="5657" priority="5653" stopIfTrue="1" operator="lessThan">
      <formula>0.05</formula>
    </cfRule>
    <cfRule type="cellIs" dxfId="5656" priority="5654" stopIfTrue="1" operator="lessThan">
      <formula>0</formula>
    </cfRule>
  </conditionalFormatting>
  <conditionalFormatting sqref="H246:H255">
    <cfRule type="cellIs" dxfId="5655" priority="5651" stopIfTrue="1" operator="lessThan">
      <formula>0</formula>
    </cfRule>
    <cfRule type="cellIs" dxfId="5654" priority="5652" stopIfTrue="1" operator="lessThan">
      <formula>0</formula>
    </cfRule>
  </conditionalFormatting>
  <conditionalFormatting sqref="H246:H255">
    <cfRule type="cellIs" dxfId="5653" priority="5649" stopIfTrue="1" operator="lessThan">
      <formula>0</formula>
    </cfRule>
    <cfRule type="cellIs" dxfId="5652" priority="5650" stopIfTrue="1" operator="lessThan">
      <formula>0</formula>
    </cfRule>
  </conditionalFormatting>
  <conditionalFormatting sqref="H246:H255">
    <cfRule type="cellIs" dxfId="5651" priority="5647" stopIfTrue="1" operator="lessThan">
      <formula>0.05</formula>
    </cfRule>
    <cfRule type="cellIs" dxfId="5650" priority="5648" stopIfTrue="1" operator="lessThan">
      <formula>0</formula>
    </cfRule>
  </conditionalFormatting>
  <conditionalFormatting sqref="H246:H255">
    <cfRule type="cellIs" dxfId="5649" priority="5645" stopIfTrue="1" operator="lessThan">
      <formula>0</formula>
    </cfRule>
    <cfRule type="cellIs" dxfId="5648" priority="5646" stopIfTrue="1" operator="lessThan">
      <formula>0</formula>
    </cfRule>
  </conditionalFormatting>
  <conditionalFormatting sqref="H246:H255">
    <cfRule type="cellIs" dxfId="5647" priority="5643" stopIfTrue="1" operator="lessThan">
      <formula>0</formula>
    </cfRule>
    <cfRule type="cellIs" dxfId="5646" priority="5644" stopIfTrue="1" operator="lessThan">
      <formula>0</formula>
    </cfRule>
  </conditionalFormatting>
  <conditionalFormatting sqref="H246:H255">
    <cfRule type="cellIs" dxfId="5645" priority="5641" stopIfTrue="1" operator="lessThan">
      <formula>0.05</formula>
    </cfRule>
    <cfRule type="cellIs" dxfId="5644" priority="5642" stopIfTrue="1" operator="lessThan">
      <formula>0</formula>
    </cfRule>
  </conditionalFormatting>
  <conditionalFormatting sqref="H246:H255">
    <cfRule type="cellIs" dxfId="5643" priority="5639" stopIfTrue="1" operator="lessThan">
      <formula>0</formula>
    </cfRule>
    <cfRule type="cellIs" dxfId="5642" priority="5640" stopIfTrue="1" operator="lessThan">
      <formula>0</formula>
    </cfRule>
  </conditionalFormatting>
  <conditionalFormatting sqref="H246:H255">
    <cfRule type="cellIs" dxfId="5641" priority="5637" stopIfTrue="1" operator="lessThan">
      <formula>0</formula>
    </cfRule>
    <cfRule type="cellIs" dxfId="5640" priority="5638" stopIfTrue="1" operator="lessThan">
      <formula>0</formula>
    </cfRule>
  </conditionalFormatting>
  <conditionalFormatting sqref="H246:H255">
    <cfRule type="cellIs" dxfId="5639" priority="5635" stopIfTrue="1" operator="lessThan">
      <formula>0.05</formula>
    </cfRule>
    <cfRule type="cellIs" dxfId="5638" priority="5636" stopIfTrue="1" operator="lessThan">
      <formula>0</formula>
    </cfRule>
  </conditionalFormatting>
  <conditionalFormatting sqref="H246:H255">
    <cfRule type="cellIs" dxfId="5637" priority="5633" stopIfTrue="1" operator="lessThan">
      <formula>0</formula>
    </cfRule>
    <cfRule type="cellIs" dxfId="5636" priority="5634" stopIfTrue="1" operator="lessThan">
      <formula>0</formula>
    </cfRule>
  </conditionalFormatting>
  <conditionalFormatting sqref="H246:H255">
    <cfRule type="cellIs" dxfId="5635" priority="5631" stopIfTrue="1" operator="lessThan">
      <formula>0</formula>
    </cfRule>
    <cfRule type="cellIs" dxfId="5634" priority="5632" stopIfTrue="1" operator="lessThan">
      <formula>0</formula>
    </cfRule>
  </conditionalFormatting>
  <conditionalFormatting sqref="H246:H255">
    <cfRule type="cellIs" dxfId="5633" priority="5629" stopIfTrue="1" operator="lessThan">
      <formula>0.05</formula>
    </cfRule>
    <cfRule type="cellIs" dxfId="5632" priority="5630" stopIfTrue="1" operator="lessThan">
      <formula>0</formula>
    </cfRule>
  </conditionalFormatting>
  <conditionalFormatting sqref="H246:H255">
    <cfRule type="cellIs" dxfId="5631" priority="5627" stopIfTrue="1" operator="lessThan">
      <formula>0</formula>
    </cfRule>
    <cfRule type="cellIs" dxfId="5630" priority="5628" stopIfTrue="1" operator="lessThan">
      <formula>0</formula>
    </cfRule>
  </conditionalFormatting>
  <conditionalFormatting sqref="H246:H255">
    <cfRule type="cellIs" dxfId="5629" priority="5625" stopIfTrue="1" operator="lessThan">
      <formula>0</formula>
    </cfRule>
    <cfRule type="cellIs" dxfId="5628" priority="5626" stopIfTrue="1" operator="lessThan">
      <formula>0</formula>
    </cfRule>
  </conditionalFormatting>
  <conditionalFormatting sqref="H246:H255">
    <cfRule type="cellIs" dxfId="5627" priority="5623" stopIfTrue="1" operator="lessThan">
      <formula>0.05</formula>
    </cfRule>
    <cfRule type="cellIs" dxfId="5626" priority="5624" stopIfTrue="1" operator="lessThan">
      <formula>0</formula>
    </cfRule>
  </conditionalFormatting>
  <conditionalFormatting sqref="H246:H255">
    <cfRule type="cellIs" dxfId="5625" priority="5621" stopIfTrue="1" operator="lessThan">
      <formula>0</formula>
    </cfRule>
    <cfRule type="cellIs" dxfId="5624" priority="5622" stopIfTrue="1" operator="lessThan">
      <formula>0</formula>
    </cfRule>
  </conditionalFormatting>
  <conditionalFormatting sqref="H246:H255">
    <cfRule type="cellIs" dxfId="5623" priority="5619" stopIfTrue="1" operator="lessThan">
      <formula>0.05</formula>
    </cfRule>
    <cfRule type="cellIs" dxfId="5622" priority="5620" stopIfTrue="1" operator="lessThan">
      <formula>0</formula>
    </cfRule>
  </conditionalFormatting>
  <conditionalFormatting sqref="H246:H255">
    <cfRule type="cellIs" dxfId="5621" priority="5617" stopIfTrue="1" operator="lessThan">
      <formula>0</formula>
    </cfRule>
    <cfRule type="cellIs" dxfId="5620" priority="5618" stopIfTrue="1" operator="lessThan">
      <formula>0</formula>
    </cfRule>
  </conditionalFormatting>
  <conditionalFormatting sqref="H246:H255">
    <cfRule type="cellIs" dxfId="5619" priority="5615" stopIfTrue="1" operator="lessThan">
      <formula>0.05</formula>
    </cfRule>
    <cfRule type="cellIs" dxfId="5618" priority="5616" stopIfTrue="1" operator="lessThan">
      <formula>0</formula>
    </cfRule>
  </conditionalFormatting>
  <conditionalFormatting sqref="H246:H255">
    <cfRule type="cellIs" dxfId="5617" priority="5613" stopIfTrue="1" operator="lessThan">
      <formula>0</formula>
    </cfRule>
    <cfRule type="cellIs" dxfId="5616" priority="5614" stopIfTrue="1" operator="lessThan">
      <formula>0</formula>
    </cfRule>
  </conditionalFormatting>
  <conditionalFormatting sqref="H246:H255">
    <cfRule type="cellIs" dxfId="5615" priority="5611" stopIfTrue="1" operator="lessThan">
      <formula>0</formula>
    </cfRule>
    <cfRule type="cellIs" dxfId="5614" priority="5612" stopIfTrue="1" operator="lessThan">
      <formula>0</formula>
    </cfRule>
  </conditionalFormatting>
  <conditionalFormatting sqref="H246:H255">
    <cfRule type="cellIs" dxfId="5613" priority="5609" stopIfTrue="1" operator="lessThan">
      <formula>0</formula>
    </cfRule>
    <cfRule type="cellIs" dxfId="5612" priority="5610" stopIfTrue="1" operator="lessThan">
      <formula>0</formula>
    </cfRule>
  </conditionalFormatting>
  <conditionalFormatting sqref="H246:H255">
    <cfRule type="cellIs" dxfId="5611" priority="5607" stopIfTrue="1" operator="lessThan">
      <formula>0.05</formula>
    </cfRule>
    <cfRule type="cellIs" dxfId="5610" priority="5608" stopIfTrue="1" operator="lessThan">
      <formula>0</formula>
    </cfRule>
  </conditionalFormatting>
  <conditionalFormatting sqref="H246:H255">
    <cfRule type="cellIs" dxfId="5609" priority="5605" stopIfTrue="1" operator="lessThan">
      <formula>0</formula>
    </cfRule>
    <cfRule type="cellIs" dxfId="5608" priority="5606" stopIfTrue="1" operator="lessThan">
      <formula>0</formula>
    </cfRule>
  </conditionalFormatting>
  <conditionalFormatting sqref="H246:H255">
    <cfRule type="cellIs" dxfId="5607" priority="5603" stopIfTrue="1" operator="lessThan">
      <formula>0.05</formula>
    </cfRule>
    <cfRule type="cellIs" dxfId="5606" priority="5604" stopIfTrue="1" operator="lessThan">
      <formula>0</formula>
    </cfRule>
  </conditionalFormatting>
  <conditionalFormatting sqref="H246:H255">
    <cfRule type="cellIs" dxfId="5605" priority="5601" stopIfTrue="1" operator="lessThan">
      <formula>0</formula>
    </cfRule>
    <cfRule type="cellIs" dxfId="5604" priority="5602" stopIfTrue="1" operator="lessThan">
      <formula>0</formula>
    </cfRule>
  </conditionalFormatting>
  <conditionalFormatting sqref="H246:H255">
    <cfRule type="cellIs" dxfId="5603" priority="5599" stopIfTrue="1" operator="lessThan">
      <formula>0.05</formula>
    </cfRule>
    <cfRule type="cellIs" dxfId="5602" priority="5600" stopIfTrue="1" operator="lessThan">
      <formula>0</formula>
    </cfRule>
  </conditionalFormatting>
  <conditionalFormatting sqref="H246:H255">
    <cfRule type="cellIs" dxfId="5601" priority="5597" stopIfTrue="1" operator="lessThan">
      <formula>0</formula>
    </cfRule>
    <cfRule type="cellIs" dxfId="5600" priority="5598" stopIfTrue="1" operator="lessThan">
      <formula>0</formula>
    </cfRule>
  </conditionalFormatting>
  <conditionalFormatting sqref="H246:H255">
    <cfRule type="cellIs" dxfId="5599" priority="5595" stopIfTrue="1" operator="lessThan">
      <formula>0</formula>
    </cfRule>
    <cfRule type="cellIs" dxfId="5598" priority="5596" stopIfTrue="1" operator="lessThan">
      <formula>0</formula>
    </cfRule>
  </conditionalFormatting>
  <conditionalFormatting sqref="H246:H255">
    <cfRule type="cellIs" dxfId="5597" priority="5593" stopIfTrue="1" operator="lessThan">
      <formula>0.05</formula>
    </cfRule>
    <cfRule type="cellIs" dxfId="5596" priority="5594" stopIfTrue="1" operator="lessThan">
      <formula>0</formula>
    </cfRule>
  </conditionalFormatting>
  <conditionalFormatting sqref="H246:H255">
    <cfRule type="cellIs" dxfId="5595" priority="5591" stopIfTrue="1" operator="lessThan">
      <formula>0</formula>
    </cfRule>
    <cfRule type="cellIs" dxfId="5594" priority="5592" stopIfTrue="1" operator="lessThan">
      <formula>0</formula>
    </cfRule>
  </conditionalFormatting>
  <conditionalFormatting sqref="H246:H255">
    <cfRule type="cellIs" dxfId="5593" priority="5589" stopIfTrue="1" operator="lessThan">
      <formula>0</formula>
    </cfRule>
    <cfRule type="cellIs" dxfId="5592" priority="5590" stopIfTrue="1" operator="lessThan">
      <formula>0</formula>
    </cfRule>
  </conditionalFormatting>
  <conditionalFormatting sqref="H246:H255">
    <cfRule type="cellIs" dxfId="5591" priority="5587" stopIfTrue="1" operator="lessThan">
      <formula>0.05</formula>
    </cfRule>
    <cfRule type="cellIs" dxfId="5590" priority="5588" stopIfTrue="1" operator="lessThan">
      <formula>0</formula>
    </cfRule>
  </conditionalFormatting>
  <conditionalFormatting sqref="H246:H255">
    <cfRule type="cellIs" dxfId="5589" priority="5585" stopIfTrue="1" operator="lessThan">
      <formula>0</formula>
    </cfRule>
    <cfRule type="cellIs" dxfId="5588" priority="5586" stopIfTrue="1" operator="lessThan">
      <formula>0</formula>
    </cfRule>
  </conditionalFormatting>
  <conditionalFormatting sqref="H246:H255">
    <cfRule type="cellIs" dxfId="5587" priority="5583" stopIfTrue="1" operator="lessThan">
      <formula>0</formula>
    </cfRule>
    <cfRule type="cellIs" dxfId="5586" priority="5584" stopIfTrue="1" operator="lessThan">
      <formula>0</formula>
    </cfRule>
  </conditionalFormatting>
  <conditionalFormatting sqref="H246:H255">
    <cfRule type="cellIs" dxfId="5585" priority="5581" stopIfTrue="1" operator="lessThan">
      <formula>0.05</formula>
    </cfRule>
    <cfRule type="cellIs" dxfId="5584" priority="5582" stopIfTrue="1" operator="lessThan">
      <formula>0</formula>
    </cfRule>
  </conditionalFormatting>
  <conditionalFormatting sqref="H246:H255">
    <cfRule type="cellIs" dxfId="5583" priority="5579" stopIfTrue="1" operator="lessThan">
      <formula>0</formula>
    </cfRule>
    <cfRule type="cellIs" dxfId="5582" priority="5580" stopIfTrue="1" operator="lessThan">
      <formula>0</formula>
    </cfRule>
  </conditionalFormatting>
  <conditionalFormatting sqref="H246:H255">
    <cfRule type="cellIs" dxfId="5581" priority="5577" stopIfTrue="1" operator="lessThan">
      <formula>0</formula>
    </cfRule>
    <cfRule type="cellIs" dxfId="5580" priority="5578" stopIfTrue="1" operator="lessThan">
      <formula>0</formula>
    </cfRule>
  </conditionalFormatting>
  <conditionalFormatting sqref="H246:H255">
    <cfRule type="cellIs" dxfId="5579" priority="5575" stopIfTrue="1" operator="lessThan">
      <formula>0.05</formula>
    </cfRule>
    <cfRule type="cellIs" dxfId="5578" priority="5576" stopIfTrue="1" operator="lessThan">
      <formula>0</formula>
    </cfRule>
  </conditionalFormatting>
  <conditionalFormatting sqref="H246:H255">
    <cfRule type="cellIs" dxfId="5577" priority="5573" stopIfTrue="1" operator="lessThan">
      <formula>0</formula>
    </cfRule>
    <cfRule type="cellIs" dxfId="5576" priority="5574" stopIfTrue="1" operator="lessThan">
      <formula>0</formula>
    </cfRule>
  </conditionalFormatting>
  <conditionalFormatting sqref="H246:H255">
    <cfRule type="cellIs" dxfId="5575" priority="5571" stopIfTrue="1" operator="lessThan">
      <formula>0</formula>
    </cfRule>
    <cfRule type="cellIs" dxfId="5574" priority="5572" stopIfTrue="1" operator="lessThan">
      <formula>0</formula>
    </cfRule>
  </conditionalFormatting>
  <conditionalFormatting sqref="H246:H255">
    <cfRule type="cellIs" dxfId="5573" priority="5569" stopIfTrue="1" operator="lessThan">
      <formula>0.05</formula>
    </cfRule>
    <cfRule type="cellIs" dxfId="5572" priority="5570" stopIfTrue="1" operator="lessThan">
      <formula>0</formula>
    </cfRule>
  </conditionalFormatting>
  <conditionalFormatting sqref="H246:H255">
    <cfRule type="cellIs" dxfId="5571" priority="5567" stopIfTrue="1" operator="lessThan">
      <formula>0</formula>
    </cfRule>
    <cfRule type="cellIs" dxfId="5570" priority="5568" stopIfTrue="1" operator="lessThan">
      <formula>0</formula>
    </cfRule>
  </conditionalFormatting>
  <conditionalFormatting sqref="H246:H255">
    <cfRule type="cellIs" dxfId="5569" priority="5565" stopIfTrue="1" operator="lessThan">
      <formula>0</formula>
    </cfRule>
    <cfRule type="cellIs" dxfId="5568" priority="5566" stopIfTrue="1" operator="lessThan">
      <formula>0</formula>
    </cfRule>
  </conditionalFormatting>
  <conditionalFormatting sqref="H246:H255">
    <cfRule type="cellIs" dxfId="5567" priority="5563" stopIfTrue="1" operator="lessThan">
      <formula>0.05</formula>
    </cfRule>
    <cfRule type="cellIs" dxfId="5566" priority="5564" stopIfTrue="1" operator="lessThan">
      <formula>0</formula>
    </cfRule>
  </conditionalFormatting>
  <conditionalFormatting sqref="H246:H255">
    <cfRule type="cellIs" dxfId="5565" priority="5561" stopIfTrue="1" operator="lessThan">
      <formula>0</formula>
    </cfRule>
    <cfRule type="cellIs" dxfId="5564" priority="5562" stopIfTrue="1" operator="lessThan">
      <formula>0</formula>
    </cfRule>
  </conditionalFormatting>
  <conditionalFormatting sqref="H246:H255">
    <cfRule type="cellIs" dxfId="5563" priority="5559" stopIfTrue="1" operator="lessThan">
      <formula>0</formula>
    </cfRule>
    <cfRule type="cellIs" dxfId="5562" priority="5560" stopIfTrue="1" operator="lessThan">
      <formula>0</formula>
    </cfRule>
  </conditionalFormatting>
  <conditionalFormatting sqref="H246:H255">
    <cfRule type="cellIs" dxfId="5561" priority="5557" stopIfTrue="1" operator="lessThan">
      <formula>0.05</formula>
    </cfRule>
    <cfRule type="cellIs" dxfId="5560" priority="5558" stopIfTrue="1" operator="lessThan">
      <formula>0</formula>
    </cfRule>
  </conditionalFormatting>
  <conditionalFormatting sqref="H246:H255">
    <cfRule type="cellIs" dxfId="5559" priority="5555" stopIfTrue="1" operator="lessThan">
      <formula>0</formula>
    </cfRule>
    <cfRule type="cellIs" dxfId="5558" priority="5556" stopIfTrue="1" operator="lessThan">
      <formula>0</formula>
    </cfRule>
  </conditionalFormatting>
  <conditionalFormatting sqref="H246:H255">
    <cfRule type="cellIs" dxfId="5557" priority="5553" stopIfTrue="1" operator="lessThan">
      <formula>0</formula>
    </cfRule>
    <cfRule type="cellIs" dxfId="5556" priority="5554" stopIfTrue="1" operator="lessThan">
      <formula>0</formula>
    </cfRule>
  </conditionalFormatting>
  <conditionalFormatting sqref="H246:H255">
    <cfRule type="cellIs" dxfId="5555" priority="5551" stopIfTrue="1" operator="lessThan">
      <formula>0.05</formula>
    </cfRule>
    <cfRule type="cellIs" dxfId="5554" priority="5552" stopIfTrue="1" operator="lessThan">
      <formula>0</formula>
    </cfRule>
  </conditionalFormatting>
  <conditionalFormatting sqref="H246:H255">
    <cfRule type="cellIs" dxfId="5553" priority="5549" stopIfTrue="1" operator="lessThan">
      <formula>0</formula>
    </cfRule>
    <cfRule type="cellIs" dxfId="5552" priority="5550" stopIfTrue="1" operator="lessThan">
      <formula>0</formula>
    </cfRule>
  </conditionalFormatting>
  <conditionalFormatting sqref="H246:H255">
    <cfRule type="cellIs" dxfId="5551" priority="5547" stopIfTrue="1" operator="lessThan">
      <formula>0</formula>
    </cfRule>
    <cfRule type="cellIs" dxfId="5550" priority="5548" stopIfTrue="1" operator="lessThan">
      <formula>0</formula>
    </cfRule>
  </conditionalFormatting>
  <conditionalFormatting sqref="H246:H255">
    <cfRule type="cellIs" dxfId="5549" priority="5545" stopIfTrue="1" operator="lessThan">
      <formula>0.05</formula>
    </cfRule>
    <cfRule type="cellIs" dxfId="5548" priority="5546" stopIfTrue="1" operator="lessThan">
      <formula>0</formula>
    </cfRule>
  </conditionalFormatting>
  <conditionalFormatting sqref="H246:H255">
    <cfRule type="cellIs" dxfId="5547" priority="5543" stopIfTrue="1" operator="lessThan">
      <formula>0</formula>
    </cfRule>
    <cfRule type="cellIs" dxfId="5546" priority="5544" stopIfTrue="1" operator="lessThan">
      <formula>0</formula>
    </cfRule>
  </conditionalFormatting>
  <conditionalFormatting sqref="H246:H255">
    <cfRule type="cellIs" dxfId="5545" priority="5541" stopIfTrue="1" operator="lessThan">
      <formula>0</formula>
    </cfRule>
    <cfRule type="cellIs" dxfId="5544" priority="5542" stopIfTrue="1" operator="lessThan">
      <formula>0</formula>
    </cfRule>
  </conditionalFormatting>
  <conditionalFormatting sqref="H246:H255">
    <cfRule type="cellIs" dxfId="5543" priority="5539" stopIfTrue="1" operator="lessThan">
      <formula>0.05</formula>
    </cfRule>
    <cfRule type="cellIs" dxfId="5542" priority="5540" stopIfTrue="1" operator="lessThan">
      <formula>0</formula>
    </cfRule>
  </conditionalFormatting>
  <conditionalFormatting sqref="H246:H255">
    <cfRule type="cellIs" dxfId="5541" priority="5537" stopIfTrue="1" operator="lessThan">
      <formula>0</formula>
    </cfRule>
    <cfRule type="cellIs" dxfId="5540" priority="5538" stopIfTrue="1" operator="lessThan">
      <formula>0</formula>
    </cfRule>
  </conditionalFormatting>
  <conditionalFormatting sqref="H246:H255">
    <cfRule type="cellIs" dxfId="5539" priority="5535" stopIfTrue="1" operator="lessThan">
      <formula>0</formula>
    </cfRule>
    <cfRule type="cellIs" dxfId="5538" priority="5536" stopIfTrue="1" operator="lessThan">
      <formula>0</formula>
    </cfRule>
  </conditionalFormatting>
  <conditionalFormatting sqref="H246:H255">
    <cfRule type="cellIs" dxfId="5537" priority="5533" stopIfTrue="1" operator="lessThan">
      <formula>0.05</formula>
    </cfRule>
    <cfRule type="cellIs" dxfId="5536" priority="5534" stopIfTrue="1" operator="lessThan">
      <formula>0</formula>
    </cfRule>
  </conditionalFormatting>
  <conditionalFormatting sqref="H246:H255">
    <cfRule type="cellIs" dxfId="5535" priority="5531" stopIfTrue="1" operator="lessThan">
      <formula>0</formula>
    </cfRule>
    <cfRule type="cellIs" dxfId="5534" priority="5532" stopIfTrue="1" operator="lessThan">
      <formula>0</formula>
    </cfRule>
  </conditionalFormatting>
  <conditionalFormatting sqref="H246:H255">
    <cfRule type="cellIs" dxfId="5533" priority="5529" stopIfTrue="1" operator="lessThan">
      <formula>0</formula>
    </cfRule>
    <cfRule type="cellIs" dxfId="5532" priority="5530" stopIfTrue="1" operator="lessThan">
      <formula>0</formula>
    </cfRule>
  </conditionalFormatting>
  <conditionalFormatting sqref="H246:H255">
    <cfRule type="cellIs" dxfId="5531" priority="5527" stopIfTrue="1" operator="lessThan">
      <formula>0.05</formula>
    </cfRule>
    <cfRule type="cellIs" dxfId="5530" priority="5528" stopIfTrue="1" operator="lessThan">
      <formula>0</formula>
    </cfRule>
  </conditionalFormatting>
  <conditionalFormatting sqref="H246:H255">
    <cfRule type="cellIs" dxfId="5529" priority="5525" stopIfTrue="1" operator="lessThan">
      <formula>0</formula>
    </cfRule>
    <cfRule type="cellIs" dxfId="5528" priority="5526" stopIfTrue="1" operator="lessThan">
      <formula>0</formula>
    </cfRule>
  </conditionalFormatting>
  <conditionalFormatting sqref="H246:H255">
    <cfRule type="cellIs" dxfId="5527" priority="5523" stopIfTrue="1" operator="lessThan">
      <formula>0</formula>
    </cfRule>
    <cfRule type="cellIs" dxfId="5526" priority="5524" stopIfTrue="1" operator="lessThan">
      <formula>0</formula>
    </cfRule>
  </conditionalFormatting>
  <conditionalFormatting sqref="H246:H255">
    <cfRule type="cellIs" dxfId="5525" priority="5521" stopIfTrue="1" operator="lessThan">
      <formula>0.05</formula>
    </cfRule>
    <cfRule type="cellIs" dxfId="5524" priority="5522" stopIfTrue="1" operator="lessThan">
      <formula>0</formula>
    </cfRule>
  </conditionalFormatting>
  <conditionalFormatting sqref="H246:H255">
    <cfRule type="cellIs" dxfId="5523" priority="5519" stopIfTrue="1" operator="lessThan">
      <formula>0</formula>
    </cfRule>
    <cfRule type="cellIs" dxfId="5522" priority="5520" stopIfTrue="1" operator="lessThan">
      <formula>0</formula>
    </cfRule>
  </conditionalFormatting>
  <conditionalFormatting sqref="H246:H255">
    <cfRule type="cellIs" dxfId="5521" priority="5517" stopIfTrue="1" operator="lessThan">
      <formula>0</formula>
    </cfRule>
    <cfRule type="cellIs" dxfId="5520" priority="5518" stopIfTrue="1" operator="lessThan">
      <formula>0</formula>
    </cfRule>
  </conditionalFormatting>
  <conditionalFormatting sqref="H246:H255">
    <cfRule type="cellIs" dxfId="5519" priority="5515" stopIfTrue="1" operator="lessThan">
      <formula>0.05</formula>
    </cfRule>
    <cfRule type="cellIs" dxfId="5518" priority="5516" stopIfTrue="1" operator="lessThan">
      <formula>0</formula>
    </cfRule>
  </conditionalFormatting>
  <conditionalFormatting sqref="H246:H255">
    <cfRule type="cellIs" dxfId="5517" priority="5513" stopIfTrue="1" operator="lessThan">
      <formula>0</formula>
    </cfRule>
    <cfRule type="cellIs" dxfId="5516" priority="5514" stopIfTrue="1" operator="lessThan">
      <formula>0</formula>
    </cfRule>
  </conditionalFormatting>
  <conditionalFormatting sqref="H246:H255">
    <cfRule type="cellIs" dxfId="5515" priority="5511" stopIfTrue="1" operator="lessThan">
      <formula>0.05</formula>
    </cfRule>
    <cfRule type="cellIs" dxfId="5514" priority="5512" stopIfTrue="1" operator="lessThan">
      <formula>0</formula>
    </cfRule>
  </conditionalFormatting>
  <conditionalFormatting sqref="H246:H255">
    <cfRule type="cellIs" dxfId="5513" priority="5509" stopIfTrue="1" operator="lessThan">
      <formula>0</formula>
    </cfRule>
    <cfRule type="cellIs" dxfId="5512" priority="5510" stopIfTrue="1" operator="lessThan">
      <formula>0</formula>
    </cfRule>
  </conditionalFormatting>
  <conditionalFormatting sqref="H246:H255">
    <cfRule type="cellIs" dxfId="5511" priority="5507" stopIfTrue="1" operator="lessThan">
      <formula>0.05</formula>
    </cfRule>
    <cfRule type="cellIs" dxfId="5510" priority="5508" stopIfTrue="1" operator="lessThan">
      <formula>0</formula>
    </cfRule>
  </conditionalFormatting>
  <conditionalFormatting sqref="H246:H255">
    <cfRule type="cellIs" dxfId="5509" priority="5505" stopIfTrue="1" operator="lessThan">
      <formula>0</formula>
    </cfRule>
    <cfRule type="cellIs" dxfId="5508" priority="5506" stopIfTrue="1" operator="lessThan">
      <formula>0</formula>
    </cfRule>
  </conditionalFormatting>
  <conditionalFormatting sqref="H246:H255">
    <cfRule type="cellIs" dxfId="5507" priority="5503" stopIfTrue="1" operator="lessThan">
      <formula>0</formula>
    </cfRule>
    <cfRule type="cellIs" dxfId="5506" priority="5504" stopIfTrue="1" operator="lessThan">
      <formula>0</formula>
    </cfRule>
  </conditionalFormatting>
  <conditionalFormatting sqref="H246:H255">
    <cfRule type="cellIs" dxfId="5505" priority="5501" stopIfTrue="1" operator="lessThan">
      <formula>0</formula>
    </cfRule>
    <cfRule type="cellIs" dxfId="5504" priority="5502" stopIfTrue="1" operator="lessThan">
      <formula>0</formula>
    </cfRule>
  </conditionalFormatting>
  <conditionalFormatting sqref="H246:H255">
    <cfRule type="cellIs" dxfId="5503" priority="5499" stopIfTrue="1" operator="lessThan">
      <formula>0.05</formula>
    </cfRule>
    <cfRule type="cellIs" dxfId="5502" priority="5500" stopIfTrue="1" operator="lessThan">
      <formula>0</formula>
    </cfRule>
  </conditionalFormatting>
  <conditionalFormatting sqref="H246:H255">
    <cfRule type="cellIs" dxfId="5501" priority="5497" stopIfTrue="1" operator="lessThan">
      <formula>0</formula>
    </cfRule>
    <cfRule type="cellIs" dxfId="5500" priority="5498" stopIfTrue="1" operator="lessThan">
      <formula>0</formula>
    </cfRule>
  </conditionalFormatting>
  <conditionalFormatting sqref="H246:H255">
    <cfRule type="cellIs" dxfId="5499" priority="5495" stopIfTrue="1" operator="lessThan">
      <formula>0.05</formula>
    </cfRule>
    <cfRule type="cellIs" dxfId="5498" priority="5496" stopIfTrue="1" operator="lessThan">
      <formula>0</formula>
    </cfRule>
  </conditionalFormatting>
  <conditionalFormatting sqref="H246:H255">
    <cfRule type="cellIs" dxfId="5497" priority="5493" stopIfTrue="1" operator="lessThan">
      <formula>0</formula>
    </cfRule>
    <cfRule type="cellIs" dxfId="5496" priority="5494" stopIfTrue="1" operator="lessThan">
      <formula>0</formula>
    </cfRule>
  </conditionalFormatting>
  <conditionalFormatting sqref="H246:H255">
    <cfRule type="cellIs" dxfId="5495" priority="5491" stopIfTrue="1" operator="lessThan">
      <formula>0.05</formula>
    </cfRule>
    <cfRule type="cellIs" dxfId="5494" priority="5492" stopIfTrue="1" operator="lessThan">
      <formula>0</formula>
    </cfRule>
  </conditionalFormatting>
  <conditionalFormatting sqref="H246:H255">
    <cfRule type="cellIs" dxfId="5493" priority="5489" stopIfTrue="1" operator="lessThan">
      <formula>0</formula>
    </cfRule>
    <cfRule type="cellIs" dxfId="5492" priority="5490" stopIfTrue="1" operator="lessThan">
      <formula>0</formula>
    </cfRule>
  </conditionalFormatting>
  <conditionalFormatting sqref="H246:H255">
    <cfRule type="cellIs" dxfId="5491" priority="5488" stopIfTrue="1" operator="lessThan">
      <formula>0.05</formula>
    </cfRule>
  </conditionalFormatting>
  <conditionalFormatting sqref="H246:H255">
    <cfRule type="cellIs" dxfId="5490" priority="5486" stopIfTrue="1" operator="lessThan">
      <formula>0</formula>
    </cfRule>
    <cfRule type="cellIs" dxfId="5489" priority="5487" stopIfTrue="1" operator="lessThan">
      <formula>0</formula>
    </cfRule>
  </conditionalFormatting>
  <conditionalFormatting sqref="H246:H255">
    <cfRule type="cellIs" dxfId="5488" priority="5484" stopIfTrue="1" operator="lessThan">
      <formula>0</formula>
    </cfRule>
    <cfRule type="cellIs" dxfId="5487" priority="5485" stopIfTrue="1" operator="lessThan">
      <formula>0</formula>
    </cfRule>
  </conditionalFormatting>
  <conditionalFormatting sqref="H246:H255">
    <cfRule type="cellIs" dxfId="5486" priority="5482" stopIfTrue="1" operator="lessThan">
      <formula>0.05</formula>
    </cfRule>
    <cfRule type="cellIs" dxfId="5485" priority="5483" stopIfTrue="1" operator="lessThan">
      <formula>0</formula>
    </cfRule>
  </conditionalFormatting>
  <conditionalFormatting sqref="H246:H255">
    <cfRule type="cellIs" dxfId="5484" priority="5480" stopIfTrue="1" operator="lessThan">
      <formula>0</formula>
    </cfRule>
    <cfRule type="cellIs" dxfId="5483" priority="5481" stopIfTrue="1" operator="lessThan">
      <formula>0</formula>
    </cfRule>
  </conditionalFormatting>
  <conditionalFormatting sqref="H246:H255">
    <cfRule type="cellIs" dxfId="5482" priority="5478" stopIfTrue="1" operator="lessThan">
      <formula>0.05</formula>
    </cfRule>
    <cfRule type="cellIs" dxfId="5481" priority="5479" stopIfTrue="1" operator="lessThan">
      <formula>0</formula>
    </cfRule>
  </conditionalFormatting>
  <conditionalFormatting sqref="H246:H255">
    <cfRule type="cellIs" dxfId="5480" priority="5476" stopIfTrue="1" operator="lessThan">
      <formula>0</formula>
    </cfRule>
    <cfRule type="cellIs" dxfId="5479" priority="5477" stopIfTrue="1" operator="lessThan">
      <formula>0</formula>
    </cfRule>
  </conditionalFormatting>
  <conditionalFormatting sqref="H246:H255">
    <cfRule type="cellIs" dxfId="5478" priority="5474" stopIfTrue="1" operator="lessThan">
      <formula>0.05</formula>
    </cfRule>
    <cfRule type="cellIs" dxfId="5477" priority="5475" stopIfTrue="1" operator="lessThan">
      <formula>0</formula>
    </cfRule>
  </conditionalFormatting>
  <conditionalFormatting sqref="H246:H255">
    <cfRule type="cellIs" dxfId="5476" priority="5472" stopIfTrue="1" operator="lessThan">
      <formula>0</formula>
    </cfRule>
    <cfRule type="cellIs" dxfId="5475" priority="5473" stopIfTrue="1" operator="lessThan">
      <formula>0</formula>
    </cfRule>
  </conditionalFormatting>
  <conditionalFormatting sqref="H246:H255">
    <cfRule type="cellIs" dxfId="5474" priority="5470" stopIfTrue="1" operator="lessThan">
      <formula>0</formula>
    </cfRule>
    <cfRule type="cellIs" dxfId="5473" priority="5471" stopIfTrue="1" operator="lessThan">
      <formula>0</formula>
    </cfRule>
  </conditionalFormatting>
  <conditionalFormatting sqref="H246:H255">
    <cfRule type="cellIs" dxfId="5472" priority="5468" stopIfTrue="1" operator="lessThan">
      <formula>0</formula>
    </cfRule>
    <cfRule type="cellIs" dxfId="5471" priority="5469" stopIfTrue="1" operator="lessThan">
      <formula>0</formula>
    </cfRule>
  </conditionalFormatting>
  <conditionalFormatting sqref="H246:H255">
    <cfRule type="cellIs" dxfId="5470" priority="5466" stopIfTrue="1" operator="lessThan">
      <formula>0.05</formula>
    </cfRule>
    <cfRule type="cellIs" dxfId="5469" priority="5467" stopIfTrue="1" operator="lessThan">
      <formula>0</formula>
    </cfRule>
  </conditionalFormatting>
  <conditionalFormatting sqref="H246:H255">
    <cfRule type="cellIs" dxfId="5468" priority="5464" stopIfTrue="1" operator="lessThan">
      <formula>0</formula>
    </cfRule>
    <cfRule type="cellIs" dxfId="5467" priority="5465" stopIfTrue="1" operator="lessThan">
      <formula>0</formula>
    </cfRule>
  </conditionalFormatting>
  <conditionalFormatting sqref="H246:H255">
    <cfRule type="cellIs" dxfId="5466" priority="5462" stopIfTrue="1" operator="lessThan">
      <formula>0.05</formula>
    </cfRule>
    <cfRule type="cellIs" dxfId="5465" priority="5463" stopIfTrue="1" operator="lessThan">
      <formula>0</formula>
    </cfRule>
  </conditionalFormatting>
  <conditionalFormatting sqref="H246:H255">
    <cfRule type="cellIs" dxfId="5464" priority="5460" stopIfTrue="1" operator="lessThan">
      <formula>0</formula>
    </cfRule>
    <cfRule type="cellIs" dxfId="5463" priority="5461" stopIfTrue="1" operator="lessThan">
      <formula>0</formula>
    </cfRule>
  </conditionalFormatting>
  <conditionalFormatting sqref="H246:H255">
    <cfRule type="cellIs" dxfId="5462" priority="5458" stopIfTrue="1" operator="lessThan">
      <formula>0.05</formula>
    </cfRule>
    <cfRule type="cellIs" dxfId="5461" priority="5459" stopIfTrue="1" operator="lessThan">
      <formula>0</formula>
    </cfRule>
  </conditionalFormatting>
  <conditionalFormatting sqref="H246:H255">
    <cfRule type="cellIs" dxfId="5460" priority="5456" stopIfTrue="1" operator="lessThan">
      <formula>0</formula>
    </cfRule>
    <cfRule type="cellIs" dxfId="5459" priority="5457" stopIfTrue="1" operator="lessThan">
      <formula>0</formula>
    </cfRule>
  </conditionalFormatting>
  <conditionalFormatting sqref="H246:H255">
    <cfRule type="cellIs" dxfId="5458" priority="5454" stopIfTrue="1" operator="lessThan">
      <formula>0</formula>
    </cfRule>
    <cfRule type="cellIs" dxfId="5457" priority="5455" stopIfTrue="1" operator="lessThan">
      <formula>0</formula>
    </cfRule>
  </conditionalFormatting>
  <conditionalFormatting sqref="H246:H255">
    <cfRule type="cellIs" dxfId="5456" priority="5452" stopIfTrue="1" operator="lessThan">
      <formula>0</formula>
    </cfRule>
    <cfRule type="cellIs" dxfId="5455" priority="5453" stopIfTrue="1" operator="lessThan">
      <formula>0</formula>
    </cfRule>
  </conditionalFormatting>
  <conditionalFormatting sqref="H246:H255">
    <cfRule type="cellIs" dxfId="5454" priority="5450" stopIfTrue="1" operator="lessThan">
      <formula>0.05</formula>
    </cfRule>
    <cfRule type="cellIs" dxfId="5453" priority="5451" stopIfTrue="1" operator="lessThan">
      <formula>0</formula>
    </cfRule>
  </conditionalFormatting>
  <conditionalFormatting sqref="H246:H255">
    <cfRule type="cellIs" dxfId="5452" priority="5448" stopIfTrue="1" operator="lessThan">
      <formula>0</formula>
    </cfRule>
    <cfRule type="cellIs" dxfId="5451" priority="5449" stopIfTrue="1" operator="lessThan">
      <formula>0</formula>
    </cfRule>
  </conditionalFormatting>
  <conditionalFormatting sqref="H246:H255">
    <cfRule type="cellIs" dxfId="5450" priority="5446" stopIfTrue="1" operator="lessThan">
      <formula>0.05</formula>
    </cfRule>
    <cfRule type="cellIs" dxfId="5449" priority="5447" stopIfTrue="1" operator="lessThan">
      <formula>0</formula>
    </cfRule>
  </conditionalFormatting>
  <conditionalFormatting sqref="H246:H255">
    <cfRule type="cellIs" dxfId="5448" priority="5444" stopIfTrue="1" operator="lessThan">
      <formula>0</formula>
    </cfRule>
    <cfRule type="cellIs" dxfId="5447" priority="5445" stopIfTrue="1" operator="lessThan">
      <formula>0</formula>
    </cfRule>
  </conditionalFormatting>
  <conditionalFormatting sqref="H246:H255">
    <cfRule type="cellIs" dxfId="5446" priority="5442" stopIfTrue="1" operator="lessThan">
      <formula>0.05</formula>
    </cfRule>
    <cfRule type="cellIs" dxfId="5445" priority="5443" stopIfTrue="1" operator="lessThan">
      <formula>0</formula>
    </cfRule>
  </conditionalFormatting>
  <conditionalFormatting sqref="H246:H255">
    <cfRule type="cellIs" dxfId="5444" priority="5440" stopIfTrue="1" operator="lessThan">
      <formula>0</formula>
    </cfRule>
    <cfRule type="cellIs" dxfId="5443" priority="5441" stopIfTrue="1" operator="lessThan">
      <formula>0</formula>
    </cfRule>
  </conditionalFormatting>
  <conditionalFormatting sqref="H246:H255">
    <cfRule type="cellIs" dxfId="5442" priority="5438" stopIfTrue="1" operator="lessThan">
      <formula>0</formula>
    </cfRule>
    <cfRule type="cellIs" dxfId="5441" priority="5439" stopIfTrue="1" operator="lessThan">
      <formula>0</formula>
    </cfRule>
  </conditionalFormatting>
  <conditionalFormatting sqref="H246:H255">
    <cfRule type="cellIs" dxfId="5440" priority="5436" stopIfTrue="1" operator="lessThan">
      <formula>0</formula>
    </cfRule>
    <cfRule type="cellIs" dxfId="5439" priority="5437" stopIfTrue="1" operator="lessThan">
      <formula>0</formula>
    </cfRule>
  </conditionalFormatting>
  <conditionalFormatting sqref="H246:H255">
    <cfRule type="cellIs" dxfId="5438" priority="5434" stopIfTrue="1" operator="lessThan">
      <formula>0.05</formula>
    </cfRule>
    <cfRule type="cellIs" dxfId="5437" priority="5435" stopIfTrue="1" operator="lessThan">
      <formula>0</formula>
    </cfRule>
  </conditionalFormatting>
  <conditionalFormatting sqref="H246:H255">
    <cfRule type="cellIs" dxfId="5436" priority="5432" stopIfTrue="1" operator="lessThan">
      <formula>0</formula>
    </cfRule>
    <cfRule type="cellIs" dxfId="5435" priority="5433" stopIfTrue="1" operator="lessThan">
      <formula>0</formula>
    </cfRule>
  </conditionalFormatting>
  <conditionalFormatting sqref="H246:H255">
    <cfRule type="cellIs" dxfId="5434" priority="5430" stopIfTrue="1" operator="lessThan">
      <formula>0.05</formula>
    </cfRule>
    <cfRule type="cellIs" dxfId="5433" priority="5431" stopIfTrue="1" operator="lessThan">
      <formula>0</formula>
    </cfRule>
  </conditionalFormatting>
  <conditionalFormatting sqref="H246:H255">
    <cfRule type="cellIs" dxfId="5432" priority="5428" stopIfTrue="1" operator="lessThan">
      <formula>0</formula>
    </cfRule>
    <cfRule type="cellIs" dxfId="5431" priority="5429" stopIfTrue="1" operator="lessThan">
      <formula>0</formula>
    </cfRule>
  </conditionalFormatting>
  <conditionalFormatting sqref="H246:H255">
    <cfRule type="cellIs" dxfId="5430" priority="5426" stopIfTrue="1" operator="lessThan">
      <formula>0.05</formula>
    </cfRule>
    <cfRule type="cellIs" dxfId="5429" priority="5427" stopIfTrue="1" operator="lessThan">
      <formula>0</formula>
    </cfRule>
  </conditionalFormatting>
  <conditionalFormatting sqref="H246:H255">
    <cfRule type="cellIs" dxfId="5428" priority="5424" stopIfTrue="1" operator="lessThan">
      <formula>0</formula>
    </cfRule>
    <cfRule type="cellIs" dxfId="5427" priority="5425" stopIfTrue="1" operator="lessThan">
      <formula>0</formula>
    </cfRule>
  </conditionalFormatting>
  <conditionalFormatting sqref="H246:H255">
    <cfRule type="cellIs" dxfId="5426" priority="5422" stopIfTrue="1" operator="lessThan">
      <formula>0</formula>
    </cfRule>
    <cfRule type="cellIs" dxfId="5425" priority="5423" stopIfTrue="1" operator="lessThan">
      <formula>0</formula>
    </cfRule>
  </conditionalFormatting>
  <conditionalFormatting sqref="H246:H255">
    <cfRule type="cellIs" dxfId="5424" priority="5420" stopIfTrue="1" operator="lessThan">
      <formula>0.05</formula>
    </cfRule>
    <cfRule type="cellIs" dxfId="5423" priority="5421" stopIfTrue="1" operator="lessThan">
      <formula>0</formula>
    </cfRule>
  </conditionalFormatting>
  <conditionalFormatting sqref="H246:H255">
    <cfRule type="cellIs" dxfId="5422" priority="5418" stopIfTrue="1" operator="lessThan">
      <formula>0</formula>
    </cfRule>
    <cfRule type="cellIs" dxfId="5421" priority="5419" stopIfTrue="1" operator="lessThan">
      <formula>0</formula>
    </cfRule>
  </conditionalFormatting>
  <conditionalFormatting sqref="H246:H255">
    <cfRule type="cellIs" dxfId="5420" priority="5416" stopIfTrue="1" operator="lessThan">
      <formula>0</formula>
    </cfRule>
    <cfRule type="cellIs" dxfId="5419" priority="5417" stopIfTrue="1" operator="lessThan">
      <formula>0</formula>
    </cfRule>
  </conditionalFormatting>
  <conditionalFormatting sqref="H246:H255">
    <cfRule type="cellIs" dxfId="5418" priority="5414" stopIfTrue="1" operator="lessThan">
      <formula>0.05</formula>
    </cfRule>
    <cfRule type="cellIs" dxfId="5417" priority="5415" stopIfTrue="1" operator="lessThan">
      <formula>0</formula>
    </cfRule>
  </conditionalFormatting>
  <conditionalFormatting sqref="H246:H255">
    <cfRule type="cellIs" dxfId="5416" priority="5412" stopIfTrue="1" operator="lessThan">
      <formula>0</formula>
    </cfRule>
    <cfRule type="cellIs" dxfId="5415" priority="5413" stopIfTrue="1" operator="lessThan">
      <formula>0</formula>
    </cfRule>
  </conditionalFormatting>
  <conditionalFormatting sqref="H246:H255">
    <cfRule type="cellIs" dxfId="5414" priority="5410" stopIfTrue="1" operator="lessThan">
      <formula>0</formula>
    </cfRule>
    <cfRule type="cellIs" dxfId="5413" priority="5411" stopIfTrue="1" operator="lessThan">
      <formula>0</formula>
    </cfRule>
  </conditionalFormatting>
  <conditionalFormatting sqref="H246:H255">
    <cfRule type="cellIs" dxfId="5412" priority="5408" stopIfTrue="1" operator="lessThan">
      <formula>0.05</formula>
    </cfRule>
    <cfRule type="cellIs" dxfId="5411" priority="5409" stopIfTrue="1" operator="lessThan">
      <formula>0</formula>
    </cfRule>
  </conditionalFormatting>
  <conditionalFormatting sqref="H246:H255">
    <cfRule type="cellIs" dxfId="5410" priority="5406" stopIfTrue="1" operator="lessThan">
      <formula>0</formula>
    </cfRule>
    <cfRule type="cellIs" dxfId="5409" priority="5407" stopIfTrue="1" operator="lessThan">
      <formula>0</formula>
    </cfRule>
  </conditionalFormatting>
  <conditionalFormatting sqref="H246:H255">
    <cfRule type="cellIs" dxfId="5408" priority="5404" stopIfTrue="1" operator="lessThan">
      <formula>0</formula>
    </cfRule>
    <cfRule type="cellIs" dxfId="5407" priority="5405" stopIfTrue="1" operator="lessThan">
      <formula>0</formula>
    </cfRule>
  </conditionalFormatting>
  <conditionalFormatting sqref="H246:H255">
    <cfRule type="cellIs" dxfId="5406" priority="5402" stopIfTrue="1" operator="lessThan">
      <formula>0.05</formula>
    </cfRule>
    <cfRule type="cellIs" dxfId="5405" priority="5403" stopIfTrue="1" operator="lessThan">
      <formula>0</formula>
    </cfRule>
  </conditionalFormatting>
  <conditionalFormatting sqref="H246:H255">
    <cfRule type="cellIs" dxfId="5404" priority="5400" stopIfTrue="1" operator="lessThan">
      <formula>0</formula>
    </cfRule>
    <cfRule type="cellIs" dxfId="5403" priority="5401" stopIfTrue="1" operator="lessThan">
      <formula>0</formula>
    </cfRule>
  </conditionalFormatting>
  <conditionalFormatting sqref="H246:H255">
    <cfRule type="cellIs" dxfId="5402" priority="5398" stopIfTrue="1" operator="lessThan">
      <formula>0</formula>
    </cfRule>
    <cfRule type="cellIs" dxfId="5401" priority="5399" stopIfTrue="1" operator="lessThan">
      <formula>0</formula>
    </cfRule>
  </conditionalFormatting>
  <conditionalFormatting sqref="H246:H255">
    <cfRule type="cellIs" dxfId="5400" priority="5396" stopIfTrue="1" operator="lessThan">
      <formula>0.05</formula>
    </cfRule>
    <cfRule type="cellIs" dxfId="5399" priority="5397" stopIfTrue="1" operator="lessThan">
      <formula>0</formula>
    </cfRule>
  </conditionalFormatting>
  <conditionalFormatting sqref="H246:H255">
    <cfRule type="cellIs" dxfId="5398" priority="5394" stopIfTrue="1" operator="lessThan">
      <formula>0</formula>
    </cfRule>
    <cfRule type="cellIs" dxfId="5397" priority="5395" stopIfTrue="1" operator="lessThan">
      <formula>0</formula>
    </cfRule>
  </conditionalFormatting>
  <conditionalFormatting sqref="H246:H255">
    <cfRule type="cellIs" dxfId="5396" priority="5392" stopIfTrue="1" operator="lessThan">
      <formula>0</formula>
    </cfRule>
    <cfRule type="cellIs" dxfId="5395" priority="5393" stopIfTrue="1" operator="lessThan">
      <formula>0</formula>
    </cfRule>
  </conditionalFormatting>
  <conditionalFormatting sqref="H246:H255">
    <cfRule type="cellIs" dxfId="5394" priority="5390" stopIfTrue="1" operator="lessThan">
      <formula>0.05</formula>
    </cfRule>
    <cfRule type="cellIs" dxfId="5393" priority="5391" stopIfTrue="1" operator="lessThan">
      <formula>0</formula>
    </cfRule>
  </conditionalFormatting>
  <conditionalFormatting sqref="H246:H255">
    <cfRule type="cellIs" dxfId="5392" priority="5388" stopIfTrue="1" operator="lessThan">
      <formula>0</formula>
    </cfRule>
    <cfRule type="cellIs" dxfId="5391" priority="5389" stopIfTrue="1" operator="lessThan">
      <formula>0</formula>
    </cfRule>
  </conditionalFormatting>
  <conditionalFormatting sqref="H246:H255">
    <cfRule type="cellIs" dxfId="5390" priority="5386" stopIfTrue="1" operator="lessThan">
      <formula>0</formula>
    </cfRule>
    <cfRule type="cellIs" dxfId="5389" priority="5387" stopIfTrue="1" operator="lessThan">
      <formula>0</formula>
    </cfRule>
  </conditionalFormatting>
  <conditionalFormatting sqref="H246:H255">
    <cfRule type="cellIs" dxfId="5388" priority="5384" stopIfTrue="1" operator="lessThan">
      <formula>0.05</formula>
    </cfRule>
    <cfRule type="cellIs" dxfId="5387" priority="5385" stopIfTrue="1" operator="lessThan">
      <formula>0</formula>
    </cfRule>
  </conditionalFormatting>
  <conditionalFormatting sqref="H246:H255">
    <cfRule type="cellIs" dxfId="5386" priority="5382" stopIfTrue="1" operator="lessThan">
      <formula>0</formula>
    </cfRule>
    <cfRule type="cellIs" dxfId="5385" priority="5383" stopIfTrue="1" operator="lessThan">
      <formula>0</formula>
    </cfRule>
  </conditionalFormatting>
  <conditionalFormatting sqref="H246:H255">
    <cfRule type="cellIs" dxfId="5384" priority="5380" stopIfTrue="1" operator="lessThan">
      <formula>0</formula>
    </cfRule>
    <cfRule type="cellIs" dxfId="5383" priority="5381" stopIfTrue="1" operator="lessThan">
      <formula>0</formula>
    </cfRule>
  </conditionalFormatting>
  <conditionalFormatting sqref="H246:H255">
    <cfRule type="cellIs" dxfId="5382" priority="5378" stopIfTrue="1" operator="lessThan">
      <formula>0.05</formula>
    </cfRule>
    <cfRule type="cellIs" dxfId="5381" priority="5379" stopIfTrue="1" operator="lessThan">
      <formula>0</formula>
    </cfRule>
  </conditionalFormatting>
  <conditionalFormatting sqref="H246:H255">
    <cfRule type="cellIs" dxfId="5380" priority="5376" stopIfTrue="1" operator="lessThan">
      <formula>0</formula>
    </cfRule>
    <cfRule type="cellIs" dxfId="5379" priority="5377" stopIfTrue="1" operator="lessThan">
      <formula>0</formula>
    </cfRule>
  </conditionalFormatting>
  <conditionalFormatting sqref="H246:H255">
    <cfRule type="cellIs" dxfId="5378" priority="5374" stopIfTrue="1" operator="lessThan">
      <formula>0</formula>
    </cfRule>
    <cfRule type="cellIs" dxfId="5377" priority="5375" stopIfTrue="1" operator="lessThan">
      <formula>0</formula>
    </cfRule>
  </conditionalFormatting>
  <conditionalFormatting sqref="H246:H255">
    <cfRule type="cellIs" dxfId="5376" priority="5372" stopIfTrue="1" operator="lessThan">
      <formula>0.05</formula>
    </cfRule>
    <cfRule type="cellIs" dxfId="5375" priority="5373" stopIfTrue="1" operator="lessThan">
      <formula>0</formula>
    </cfRule>
  </conditionalFormatting>
  <conditionalFormatting sqref="H246:H255">
    <cfRule type="cellIs" dxfId="5374" priority="5370" stopIfTrue="1" operator="lessThan">
      <formula>0</formula>
    </cfRule>
    <cfRule type="cellIs" dxfId="5373" priority="5371" stopIfTrue="1" operator="lessThan">
      <formula>0</formula>
    </cfRule>
  </conditionalFormatting>
  <conditionalFormatting sqref="H246:H255">
    <cfRule type="cellIs" dxfId="5372" priority="5368" stopIfTrue="1" operator="lessThan">
      <formula>0</formula>
    </cfRule>
    <cfRule type="cellIs" dxfId="5371" priority="5369" stopIfTrue="1" operator="lessThan">
      <formula>0</formula>
    </cfRule>
  </conditionalFormatting>
  <conditionalFormatting sqref="H246:H255">
    <cfRule type="cellIs" dxfId="5370" priority="5366" stopIfTrue="1" operator="lessThan">
      <formula>0.05</formula>
    </cfRule>
    <cfRule type="cellIs" dxfId="5369" priority="5367" stopIfTrue="1" operator="lessThan">
      <formula>0</formula>
    </cfRule>
  </conditionalFormatting>
  <conditionalFormatting sqref="H246:H255">
    <cfRule type="cellIs" dxfId="5368" priority="5364" stopIfTrue="1" operator="lessThan">
      <formula>0</formula>
    </cfRule>
    <cfRule type="cellIs" dxfId="5367" priority="5365" stopIfTrue="1" operator="lessThan">
      <formula>0</formula>
    </cfRule>
  </conditionalFormatting>
  <conditionalFormatting sqref="H246:H255">
    <cfRule type="cellIs" dxfId="5366" priority="5362" stopIfTrue="1" operator="lessThan">
      <formula>0</formula>
    </cfRule>
    <cfRule type="cellIs" dxfId="5365" priority="5363" stopIfTrue="1" operator="lessThan">
      <formula>0</formula>
    </cfRule>
  </conditionalFormatting>
  <conditionalFormatting sqref="H246:H255">
    <cfRule type="cellIs" dxfId="5364" priority="5360" stopIfTrue="1" operator="lessThan">
      <formula>0.05</formula>
    </cfRule>
    <cfRule type="cellIs" dxfId="5363" priority="5361" stopIfTrue="1" operator="lessThan">
      <formula>0</formula>
    </cfRule>
  </conditionalFormatting>
  <conditionalFormatting sqref="H246:H255">
    <cfRule type="cellIs" dxfId="5362" priority="5358" stopIfTrue="1" operator="lessThan">
      <formula>0</formula>
    </cfRule>
    <cfRule type="cellIs" dxfId="5361" priority="5359" stopIfTrue="1" operator="lessThan">
      <formula>0</formula>
    </cfRule>
  </conditionalFormatting>
  <conditionalFormatting sqref="H246:H255">
    <cfRule type="cellIs" dxfId="5360" priority="5356" stopIfTrue="1" operator="lessThan">
      <formula>0</formula>
    </cfRule>
    <cfRule type="cellIs" dxfId="5359" priority="5357" stopIfTrue="1" operator="lessThan">
      <formula>0</formula>
    </cfRule>
  </conditionalFormatting>
  <conditionalFormatting sqref="H246:H255">
    <cfRule type="cellIs" dxfId="5358" priority="5354" stopIfTrue="1" operator="lessThan">
      <formula>0.05</formula>
    </cfRule>
    <cfRule type="cellIs" dxfId="5357" priority="5355" stopIfTrue="1" operator="lessThan">
      <formula>0</formula>
    </cfRule>
  </conditionalFormatting>
  <conditionalFormatting sqref="H246:H255">
    <cfRule type="cellIs" dxfId="5356" priority="5352" stopIfTrue="1" operator="lessThan">
      <formula>0</formula>
    </cfRule>
    <cfRule type="cellIs" dxfId="5355" priority="5353" stopIfTrue="1" operator="lessThan">
      <formula>0</formula>
    </cfRule>
  </conditionalFormatting>
  <conditionalFormatting sqref="H246:H255">
    <cfRule type="cellIs" dxfId="5354" priority="5350" stopIfTrue="1" operator="lessThan">
      <formula>0</formula>
    </cfRule>
    <cfRule type="cellIs" dxfId="5353" priority="5351" stopIfTrue="1" operator="lessThan">
      <formula>0</formula>
    </cfRule>
  </conditionalFormatting>
  <conditionalFormatting sqref="H246:H255">
    <cfRule type="cellIs" dxfId="5352" priority="5348" stopIfTrue="1" operator="lessThan">
      <formula>0.05</formula>
    </cfRule>
    <cfRule type="cellIs" dxfId="5351" priority="5349" stopIfTrue="1" operator="lessThan">
      <formula>0</formula>
    </cfRule>
  </conditionalFormatting>
  <conditionalFormatting sqref="H246:H255">
    <cfRule type="cellIs" dxfId="5350" priority="5346" stopIfTrue="1" operator="lessThan">
      <formula>0</formula>
    </cfRule>
    <cfRule type="cellIs" dxfId="5349" priority="5347" stopIfTrue="1" operator="lessThan">
      <formula>0</formula>
    </cfRule>
  </conditionalFormatting>
  <conditionalFormatting sqref="H246:H255">
    <cfRule type="cellIs" dxfId="5348" priority="5344" stopIfTrue="1" operator="lessThan">
      <formula>0</formula>
    </cfRule>
    <cfRule type="cellIs" dxfId="5347" priority="5345" stopIfTrue="1" operator="lessThan">
      <formula>0</formula>
    </cfRule>
  </conditionalFormatting>
  <conditionalFormatting sqref="H246:H255">
    <cfRule type="cellIs" dxfId="5346" priority="5342" stopIfTrue="1" operator="lessThan">
      <formula>0.05</formula>
    </cfRule>
    <cfRule type="cellIs" dxfId="5345" priority="5343" stopIfTrue="1" operator="lessThan">
      <formula>0</formula>
    </cfRule>
  </conditionalFormatting>
  <conditionalFormatting sqref="H246:H255">
    <cfRule type="cellIs" dxfId="5344" priority="5340" stopIfTrue="1" operator="lessThan">
      <formula>0</formula>
    </cfRule>
    <cfRule type="cellIs" dxfId="5343" priority="5341" stopIfTrue="1" operator="lessThan">
      <formula>0</formula>
    </cfRule>
  </conditionalFormatting>
  <conditionalFormatting sqref="H246:H255">
    <cfRule type="cellIs" dxfId="5342" priority="5338" stopIfTrue="1" operator="lessThan">
      <formula>0</formula>
    </cfRule>
    <cfRule type="cellIs" dxfId="5341" priority="5339" stopIfTrue="1" operator="lessThan">
      <formula>0</formula>
    </cfRule>
  </conditionalFormatting>
  <conditionalFormatting sqref="H246:H255">
    <cfRule type="cellIs" dxfId="5340" priority="5336" stopIfTrue="1" operator="lessThan">
      <formula>0.05</formula>
    </cfRule>
    <cfRule type="cellIs" dxfId="5339" priority="5337" stopIfTrue="1" operator="lessThan">
      <formula>0</formula>
    </cfRule>
  </conditionalFormatting>
  <conditionalFormatting sqref="H246:H255">
    <cfRule type="cellIs" dxfId="5338" priority="5334" stopIfTrue="1" operator="lessThan">
      <formula>0</formula>
    </cfRule>
    <cfRule type="cellIs" dxfId="5337" priority="5335" stopIfTrue="1" operator="lessThan">
      <formula>0</formula>
    </cfRule>
  </conditionalFormatting>
  <conditionalFormatting sqref="H246:H255">
    <cfRule type="cellIs" dxfId="5336" priority="5332" stopIfTrue="1" operator="lessThan">
      <formula>0</formula>
    </cfRule>
    <cfRule type="cellIs" dxfId="5335" priority="5333" stopIfTrue="1" operator="lessThan">
      <formula>0</formula>
    </cfRule>
  </conditionalFormatting>
  <conditionalFormatting sqref="H246:H255">
    <cfRule type="cellIs" dxfId="5334" priority="5330" stopIfTrue="1" operator="lessThan">
      <formula>0.05</formula>
    </cfRule>
    <cfRule type="cellIs" dxfId="5333" priority="5331" stopIfTrue="1" operator="lessThan">
      <formula>0</formula>
    </cfRule>
  </conditionalFormatting>
  <conditionalFormatting sqref="H246:H255">
    <cfRule type="cellIs" dxfId="5332" priority="5328" stopIfTrue="1" operator="lessThan">
      <formula>0</formula>
    </cfRule>
    <cfRule type="cellIs" dxfId="5331" priority="5329" stopIfTrue="1" operator="lessThan">
      <formula>0</formula>
    </cfRule>
  </conditionalFormatting>
  <conditionalFormatting sqref="H246:H255">
    <cfRule type="cellIs" dxfId="5330" priority="5326" stopIfTrue="1" operator="lessThan">
      <formula>0.05</formula>
    </cfRule>
    <cfRule type="cellIs" dxfId="5329" priority="5327" stopIfTrue="1" operator="lessThan">
      <formula>0</formula>
    </cfRule>
  </conditionalFormatting>
  <conditionalFormatting sqref="H246:H255">
    <cfRule type="cellIs" dxfId="5328" priority="5324" stopIfTrue="1" operator="lessThan">
      <formula>0</formula>
    </cfRule>
    <cfRule type="cellIs" dxfId="5327" priority="5325" stopIfTrue="1" operator="lessThan">
      <formula>0</formula>
    </cfRule>
  </conditionalFormatting>
  <conditionalFormatting sqref="H246:H255">
    <cfRule type="cellIs" dxfId="5326" priority="5322" stopIfTrue="1" operator="lessThan">
      <formula>0.05</formula>
    </cfRule>
    <cfRule type="cellIs" dxfId="5325" priority="5323" stopIfTrue="1" operator="lessThan">
      <formula>0</formula>
    </cfRule>
  </conditionalFormatting>
  <conditionalFormatting sqref="H246:H255">
    <cfRule type="cellIs" dxfId="5324" priority="5320" stopIfTrue="1" operator="lessThan">
      <formula>0</formula>
    </cfRule>
    <cfRule type="cellIs" dxfId="5323" priority="5321" stopIfTrue="1" operator="lessThan">
      <formula>0</formula>
    </cfRule>
  </conditionalFormatting>
  <conditionalFormatting sqref="H246:H255">
    <cfRule type="cellIs" dxfId="5322" priority="5318" stopIfTrue="1" operator="lessThan">
      <formula>0</formula>
    </cfRule>
    <cfRule type="cellIs" dxfId="5321" priority="5319" stopIfTrue="1" operator="lessThan">
      <formula>0</formula>
    </cfRule>
  </conditionalFormatting>
  <conditionalFormatting sqref="H246:H255">
    <cfRule type="cellIs" dxfId="5320" priority="5316" stopIfTrue="1" operator="lessThan">
      <formula>0</formula>
    </cfRule>
    <cfRule type="cellIs" dxfId="5319" priority="5317" stopIfTrue="1" operator="lessThan">
      <formula>0</formula>
    </cfRule>
  </conditionalFormatting>
  <conditionalFormatting sqref="H246:H255">
    <cfRule type="cellIs" dxfId="5318" priority="5314" stopIfTrue="1" operator="lessThan">
      <formula>0.05</formula>
    </cfRule>
    <cfRule type="cellIs" dxfId="5317" priority="5315" stopIfTrue="1" operator="lessThan">
      <formula>0</formula>
    </cfRule>
  </conditionalFormatting>
  <conditionalFormatting sqref="H246:H255">
    <cfRule type="cellIs" dxfId="5316" priority="5312" stopIfTrue="1" operator="lessThan">
      <formula>0</formula>
    </cfRule>
    <cfRule type="cellIs" dxfId="5315" priority="5313" stopIfTrue="1" operator="lessThan">
      <formula>0</formula>
    </cfRule>
  </conditionalFormatting>
  <conditionalFormatting sqref="H246:H255">
    <cfRule type="cellIs" dxfId="5314" priority="5310" stopIfTrue="1" operator="lessThan">
      <formula>0.05</formula>
    </cfRule>
    <cfRule type="cellIs" dxfId="5313" priority="5311" stopIfTrue="1" operator="lessThan">
      <formula>0</formula>
    </cfRule>
  </conditionalFormatting>
  <conditionalFormatting sqref="H246:H255">
    <cfRule type="cellIs" dxfId="5312" priority="5308" stopIfTrue="1" operator="lessThan">
      <formula>0</formula>
    </cfRule>
    <cfRule type="cellIs" dxfId="5311" priority="5309" stopIfTrue="1" operator="lessThan">
      <formula>0</formula>
    </cfRule>
  </conditionalFormatting>
  <conditionalFormatting sqref="H246:H255">
    <cfRule type="cellIs" dxfId="5310" priority="5306" stopIfTrue="1" operator="lessThan">
      <formula>0.05</formula>
    </cfRule>
    <cfRule type="cellIs" dxfId="5309" priority="5307" stopIfTrue="1" operator="lessThan">
      <formula>0</formula>
    </cfRule>
  </conditionalFormatting>
  <conditionalFormatting sqref="H246:H255">
    <cfRule type="cellIs" dxfId="5308" priority="5304" stopIfTrue="1" operator="lessThan">
      <formula>0</formula>
    </cfRule>
    <cfRule type="cellIs" dxfId="5307" priority="5305" stopIfTrue="1" operator="lessThan">
      <formula>0</formula>
    </cfRule>
  </conditionalFormatting>
  <conditionalFormatting sqref="H246:H255">
    <cfRule type="cellIs" dxfId="5306" priority="5302" stopIfTrue="1" operator="lessThan">
      <formula>0</formula>
    </cfRule>
    <cfRule type="cellIs" dxfId="5305" priority="5303" stopIfTrue="1" operator="lessThan">
      <formula>0</formula>
    </cfRule>
  </conditionalFormatting>
  <conditionalFormatting sqref="H246:H255">
    <cfRule type="cellIs" dxfId="5304" priority="5300" stopIfTrue="1" operator="lessThan">
      <formula>0.05</formula>
    </cfRule>
    <cfRule type="cellIs" dxfId="5303" priority="5301" stopIfTrue="1" operator="lessThan">
      <formula>0</formula>
    </cfRule>
  </conditionalFormatting>
  <conditionalFormatting sqref="H246:H255">
    <cfRule type="cellIs" dxfId="5302" priority="5298" stopIfTrue="1" operator="lessThan">
      <formula>0</formula>
    </cfRule>
    <cfRule type="cellIs" dxfId="5301" priority="5299" stopIfTrue="1" operator="lessThan">
      <formula>0</formula>
    </cfRule>
  </conditionalFormatting>
  <conditionalFormatting sqref="H246:H255">
    <cfRule type="cellIs" dxfId="5300" priority="5296" stopIfTrue="1" operator="lessThan">
      <formula>0</formula>
    </cfRule>
    <cfRule type="cellIs" dxfId="5299" priority="5297" stopIfTrue="1" operator="lessThan">
      <formula>0</formula>
    </cfRule>
  </conditionalFormatting>
  <conditionalFormatting sqref="H246:H255">
    <cfRule type="cellIs" dxfId="5298" priority="5294" stopIfTrue="1" operator="lessThan">
      <formula>0.05</formula>
    </cfRule>
    <cfRule type="cellIs" dxfId="5297" priority="5295" stopIfTrue="1" operator="lessThan">
      <formula>0</formula>
    </cfRule>
  </conditionalFormatting>
  <conditionalFormatting sqref="H246:H255">
    <cfRule type="cellIs" dxfId="5296" priority="5292" stopIfTrue="1" operator="lessThan">
      <formula>0</formula>
    </cfRule>
    <cfRule type="cellIs" dxfId="5295" priority="5293" stopIfTrue="1" operator="lessThan">
      <formula>0</formula>
    </cfRule>
  </conditionalFormatting>
  <conditionalFormatting sqref="H246:H255">
    <cfRule type="cellIs" dxfId="5294" priority="5290" stopIfTrue="1" operator="lessThan">
      <formula>0</formula>
    </cfRule>
    <cfRule type="cellIs" dxfId="5293" priority="5291" stopIfTrue="1" operator="lessThan">
      <formula>0</formula>
    </cfRule>
  </conditionalFormatting>
  <conditionalFormatting sqref="H246:H255">
    <cfRule type="cellIs" dxfId="5292" priority="5288" stopIfTrue="1" operator="lessThan">
      <formula>0.05</formula>
    </cfRule>
    <cfRule type="cellIs" dxfId="5291" priority="5289" stopIfTrue="1" operator="lessThan">
      <formula>0</formula>
    </cfRule>
  </conditionalFormatting>
  <conditionalFormatting sqref="H246:H255">
    <cfRule type="cellIs" dxfId="5290" priority="5286" stopIfTrue="1" operator="lessThan">
      <formula>0</formula>
    </cfRule>
    <cfRule type="cellIs" dxfId="5289" priority="5287" stopIfTrue="1" operator="lessThan">
      <formula>0</formula>
    </cfRule>
  </conditionalFormatting>
  <conditionalFormatting sqref="H246:H255">
    <cfRule type="cellIs" dxfId="5288" priority="5284" stopIfTrue="1" operator="lessThan">
      <formula>0</formula>
    </cfRule>
    <cfRule type="cellIs" dxfId="5287" priority="5285" stopIfTrue="1" operator="lessThan">
      <formula>0</formula>
    </cfRule>
  </conditionalFormatting>
  <conditionalFormatting sqref="H246:H255">
    <cfRule type="cellIs" dxfId="5286" priority="5282" stopIfTrue="1" operator="lessThan">
      <formula>0.05</formula>
    </cfRule>
    <cfRule type="cellIs" dxfId="5285" priority="5283" stopIfTrue="1" operator="lessThan">
      <formula>0</formula>
    </cfRule>
  </conditionalFormatting>
  <conditionalFormatting sqref="H246:H255">
    <cfRule type="cellIs" dxfId="5284" priority="5280" stopIfTrue="1" operator="lessThan">
      <formula>0</formula>
    </cfRule>
    <cfRule type="cellIs" dxfId="5283" priority="5281" stopIfTrue="1" operator="lessThan">
      <formula>0</formula>
    </cfRule>
  </conditionalFormatting>
  <conditionalFormatting sqref="H246:H255">
    <cfRule type="cellIs" dxfId="5282" priority="5278" stopIfTrue="1" operator="lessThan">
      <formula>0</formula>
    </cfRule>
    <cfRule type="cellIs" dxfId="5281" priority="5279" stopIfTrue="1" operator="lessThan">
      <formula>0</formula>
    </cfRule>
  </conditionalFormatting>
  <conditionalFormatting sqref="H246:H255">
    <cfRule type="cellIs" dxfId="5280" priority="5276" stopIfTrue="1" operator="lessThan">
      <formula>0.05</formula>
    </cfRule>
    <cfRule type="cellIs" dxfId="5279" priority="5277" stopIfTrue="1" operator="lessThan">
      <formula>0</formula>
    </cfRule>
  </conditionalFormatting>
  <conditionalFormatting sqref="H246:H255">
    <cfRule type="cellIs" dxfId="5278" priority="5274" stopIfTrue="1" operator="lessThan">
      <formula>0</formula>
    </cfRule>
    <cfRule type="cellIs" dxfId="5277" priority="5275" stopIfTrue="1" operator="lessThan">
      <formula>0</formula>
    </cfRule>
  </conditionalFormatting>
  <conditionalFormatting sqref="H246:H255">
    <cfRule type="cellIs" dxfId="5276" priority="5272" stopIfTrue="1" operator="lessThan">
      <formula>0</formula>
    </cfRule>
    <cfRule type="cellIs" dxfId="5275" priority="5273" stopIfTrue="1" operator="lessThan">
      <formula>0</formula>
    </cfRule>
  </conditionalFormatting>
  <conditionalFormatting sqref="H246:H255">
    <cfRule type="cellIs" dxfId="5274" priority="5270" stopIfTrue="1" operator="lessThan">
      <formula>0.05</formula>
    </cfRule>
    <cfRule type="cellIs" dxfId="5273" priority="5271" stopIfTrue="1" operator="lessThan">
      <formula>0</formula>
    </cfRule>
  </conditionalFormatting>
  <conditionalFormatting sqref="H246:H255">
    <cfRule type="cellIs" dxfId="5272" priority="5268" stopIfTrue="1" operator="lessThan">
      <formula>0</formula>
    </cfRule>
    <cfRule type="cellIs" dxfId="5271" priority="5269" stopIfTrue="1" operator="lessThan">
      <formula>0</formula>
    </cfRule>
  </conditionalFormatting>
  <conditionalFormatting sqref="H246:H255">
    <cfRule type="cellIs" dxfId="5270" priority="5266" stopIfTrue="1" operator="lessThan">
      <formula>0</formula>
    </cfRule>
    <cfRule type="cellIs" dxfId="5269" priority="5267" stopIfTrue="1" operator="lessThan">
      <formula>0</formula>
    </cfRule>
  </conditionalFormatting>
  <conditionalFormatting sqref="H246:H255">
    <cfRule type="cellIs" dxfId="5268" priority="5264" stopIfTrue="1" operator="lessThan">
      <formula>0.05</formula>
    </cfRule>
    <cfRule type="cellIs" dxfId="5267" priority="5265" stopIfTrue="1" operator="lessThan">
      <formula>0</formula>
    </cfRule>
  </conditionalFormatting>
  <conditionalFormatting sqref="H246:H255">
    <cfRule type="cellIs" dxfId="5266" priority="5262" stopIfTrue="1" operator="lessThan">
      <formula>0</formula>
    </cfRule>
    <cfRule type="cellIs" dxfId="5265" priority="5263" stopIfTrue="1" operator="lessThan">
      <formula>0</formula>
    </cfRule>
  </conditionalFormatting>
  <conditionalFormatting sqref="H246:H255">
    <cfRule type="cellIs" dxfId="5264" priority="5260" stopIfTrue="1" operator="lessThan">
      <formula>0</formula>
    </cfRule>
    <cfRule type="cellIs" dxfId="5263" priority="5261" stopIfTrue="1" operator="lessThan">
      <formula>0</formula>
    </cfRule>
  </conditionalFormatting>
  <conditionalFormatting sqref="H246:H255">
    <cfRule type="cellIs" dxfId="5262" priority="5258" stopIfTrue="1" operator="lessThan">
      <formula>0.05</formula>
    </cfRule>
    <cfRule type="cellIs" dxfId="5261" priority="5259" stopIfTrue="1" operator="lessThan">
      <formula>0</formula>
    </cfRule>
  </conditionalFormatting>
  <conditionalFormatting sqref="H246:H255">
    <cfRule type="cellIs" dxfId="5260" priority="5256" stopIfTrue="1" operator="lessThan">
      <formula>0</formula>
    </cfRule>
    <cfRule type="cellIs" dxfId="5259" priority="5257" stopIfTrue="1" operator="lessThan">
      <formula>0</formula>
    </cfRule>
  </conditionalFormatting>
  <conditionalFormatting sqref="H246:H255">
    <cfRule type="cellIs" dxfId="5258" priority="5254" stopIfTrue="1" operator="lessThan">
      <formula>0</formula>
    </cfRule>
    <cfRule type="cellIs" dxfId="5257" priority="5255" stopIfTrue="1" operator="lessThan">
      <formula>0</formula>
    </cfRule>
  </conditionalFormatting>
  <conditionalFormatting sqref="H246:H255">
    <cfRule type="cellIs" dxfId="5256" priority="5252" stopIfTrue="1" operator="lessThan">
      <formula>0.05</formula>
    </cfRule>
    <cfRule type="cellIs" dxfId="5255" priority="5253" stopIfTrue="1" operator="lessThan">
      <formula>0</formula>
    </cfRule>
  </conditionalFormatting>
  <conditionalFormatting sqref="H246:H255">
    <cfRule type="cellIs" dxfId="5254" priority="5250" stopIfTrue="1" operator="lessThan">
      <formula>0</formula>
    </cfRule>
    <cfRule type="cellIs" dxfId="5253" priority="5251" stopIfTrue="1" operator="lessThan">
      <formula>0</formula>
    </cfRule>
  </conditionalFormatting>
  <conditionalFormatting sqref="H246:H255">
    <cfRule type="cellIs" dxfId="5252" priority="5248" stopIfTrue="1" operator="lessThan">
      <formula>0</formula>
    </cfRule>
    <cfRule type="cellIs" dxfId="5251" priority="5249" stopIfTrue="1" operator="lessThan">
      <formula>0</formula>
    </cfRule>
  </conditionalFormatting>
  <conditionalFormatting sqref="H246:H255">
    <cfRule type="cellIs" dxfId="5250" priority="5246" stopIfTrue="1" operator="lessThan">
      <formula>0.05</formula>
    </cfRule>
    <cfRule type="cellIs" dxfId="5249" priority="5247" stopIfTrue="1" operator="lessThan">
      <formula>0</formula>
    </cfRule>
  </conditionalFormatting>
  <conditionalFormatting sqref="H246:H255">
    <cfRule type="cellIs" dxfId="5248" priority="5244" stopIfTrue="1" operator="lessThan">
      <formula>0</formula>
    </cfRule>
    <cfRule type="cellIs" dxfId="5247" priority="5245" stopIfTrue="1" operator="lessThan">
      <formula>0</formula>
    </cfRule>
  </conditionalFormatting>
  <conditionalFormatting sqref="H246:H255">
    <cfRule type="cellIs" dxfId="5246" priority="5242" stopIfTrue="1" operator="lessThan">
      <formula>0</formula>
    </cfRule>
    <cfRule type="cellIs" dxfId="5245" priority="5243" stopIfTrue="1" operator="lessThan">
      <formula>0</formula>
    </cfRule>
  </conditionalFormatting>
  <conditionalFormatting sqref="H246:H255">
    <cfRule type="cellIs" dxfId="5244" priority="5240" stopIfTrue="1" operator="lessThan">
      <formula>0.05</formula>
    </cfRule>
    <cfRule type="cellIs" dxfId="5243" priority="5241" stopIfTrue="1" operator="lessThan">
      <formula>0</formula>
    </cfRule>
  </conditionalFormatting>
  <conditionalFormatting sqref="H246:H255">
    <cfRule type="cellIs" dxfId="5242" priority="5238" stopIfTrue="1" operator="lessThan">
      <formula>0</formula>
    </cfRule>
    <cfRule type="cellIs" dxfId="5241" priority="5239" stopIfTrue="1" operator="lessThan">
      <formula>0</formula>
    </cfRule>
  </conditionalFormatting>
  <conditionalFormatting sqref="H246:H255">
    <cfRule type="cellIs" dxfId="5240" priority="5236" stopIfTrue="1" operator="lessThan">
      <formula>0</formula>
    </cfRule>
    <cfRule type="cellIs" dxfId="5239" priority="5237" stopIfTrue="1" operator="lessThan">
      <formula>0</formula>
    </cfRule>
  </conditionalFormatting>
  <conditionalFormatting sqref="H246:H255">
    <cfRule type="cellIs" dxfId="5238" priority="5234" stopIfTrue="1" operator="lessThan">
      <formula>0.05</formula>
    </cfRule>
    <cfRule type="cellIs" dxfId="5237" priority="5235" stopIfTrue="1" operator="lessThan">
      <formula>0</formula>
    </cfRule>
  </conditionalFormatting>
  <conditionalFormatting sqref="H246:H255">
    <cfRule type="cellIs" dxfId="5236" priority="5232" stopIfTrue="1" operator="lessThan">
      <formula>0</formula>
    </cfRule>
    <cfRule type="cellIs" dxfId="5235" priority="5233" stopIfTrue="1" operator="lessThan">
      <formula>0</formula>
    </cfRule>
  </conditionalFormatting>
  <conditionalFormatting sqref="H246:H255">
    <cfRule type="cellIs" dxfId="5234" priority="5230" stopIfTrue="1" operator="lessThan">
      <formula>0.05</formula>
    </cfRule>
    <cfRule type="cellIs" dxfId="5233" priority="5231" stopIfTrue="1" operator="lessThan">
      <formula>0</formula>
    </cfRule>
  </conditionalFormatting>
  <conditionalFormatting sqref="H246:H255">
    <cfRule type="cellIs" dxfId="5232" priority="5228" stopIfTrue="1" operator="lessThan">
      <formula>0</formula>
    </cfRule>
    <cfRule type="cellIs" dxfId="5231" priority="5229" stopIfTrue="1" operator="lessThan">
      <formula>0</formula>
    </cfRule>
  </conditionalFormatting>
  <conditionalFormatting sqref="H246:H255">
    <cfRule type="cellIs" dxfId="5230" priority="5226" stopIfTrue="1" operator="lessThan">
      <formula>0.05</formula>
    </cfRule>
    <cfRule type="cellIs" dxfId="5229" priority="5227" stopIfTrue="1" operator="lessThan">
      <formula>0</formula>
    </cfRule>
  </conditionalFormatting>
  <conditionalFormatting sqref="H246:H255">
    <cfRule type="cellIs" dxfId="5228" priority="5224" stopIfTrue="1" operator="lessThan">
      <formula>0</formula>
    </cfRule>
    <cfRule type="cellIs" dxfId="5227" priority="5225" stopIfTrue="1" operator="lessThan">
      <formula>0</formula>
    </cfRule>
  </conditionalFormatting>
  <conditionalFormatting sqref="H246:H255">
    <cfRule type="cellIs" dxfId="5226" priority="5222" stopIfTrue="1" operator="lessThan">
      <formula>0</formula>
    </cfRule>
    <cfRule type="cellIs" dxfId="5225" priority="5223" stopIfTrue="1" operator="lessThan">
      <formula>0</formula>
    </cfRule>
  </conditionalFormatting>
  <conditionalFormatting sqref="H246:H255">
    <cfRule type="cellIs" dxfId="5224" priority="5220" stopIfTrue="1" operator="lessThan">
      <formula>0</formula>
    </cfRule>
    <cfRule type="cellIs" dxfId="5223" priority="5221" stopIfTrue="1" operator="lessThan">
      <formula>0</formula>
    </cfRule>
  </conditionalFormatting>
  <conditionalFormatting sqref="H246:H255">
    <cfRule type="cellIs" dxfId="5222" priority="5218" stopIfTrue="1" operator="lessThan">
      <formula>0.05</formula>
    </cfRule>
    <cfRule type="cellIs" dxfId="5221" priority="5219" stopIfTrue="1" operator="lessThan">
      <formula>0</formula>
    </cfRule>
  </conditionalFormatting>
  <conditionalFormatting sqref="H246:H255">
    <cfRule type="cellIs" dxfId="5220" priority="5216" stopIfTrue="1" operator="lessThan">
      <formula>0</formula>
    </cfRule>
    <cfRule type="cellIs" dxfId="5219" priority="5217" stopIfTrue="1" operator="lessThan">
      <formula>0</formula>
    </cfRule>
  </conditionalFormatting>
  <conditionalFormatting sqref="H246:H255">
    <cfRule type="cellIs" dxfId="5218" priority="5214" stopIfTrue="1" operator="lessThan">
      <formula>0.05</formula>
    </cfRule>
    <cfRule type="cellIs" dxfId="5217" priority="5215" stopIfTrue="1" operator="lessThan">
      <formula>0</formula>
    </cfRule>
  </conditionalFormatting>
  <conditionalFormatting sqref="H246:H255">
    <cfRule type="cellIs" dxfId="5216" priority="5212" stopIfTrue="1" operator="lessThan">
      <formula>0</formula>
    </cfRule>
    <cfRule type="cellIs" dxfId="5215" priority="5213" stopIfTrue="1" operator="lessThan">
      <formula>0</formula>
    </cfRule>
  </conditionalFormatting>
  <conditionalFormatting sqref="H246:H255">
    <cfRule type="cellIs" dxfId="5214" priority="5210" stopIfTrue="1" operator="lessThan">
      <formula>0.05</formula>
    </cfRule>
    <cfRule type="cellIs" dxfId="5213" priority="5211" stopIfTrue="1" operator="lessThan">
      <formula>0</formula>
    </cfRule>
  </conditionalFormatting>
  <conditionalFormatting sqref="H246:H255">
    <cfRule type="cellIs" dxfId="5212" priority="5208" stopIfTrue="1" operator="lessThan">
      <formula>0</formula>
    </cfRule>
    <cfRule type="cellIs" dxfId="5211" priority="5209" stopIfTrue="1" operator="lessThan">
      <formula>0</formula>
    </cfRule>
  </conditionalFormatting>
  <conditionalFormatting sqref="H246:H255">
    <cfRule type="cellIs" dxfId="5210" priority="5206" stopIfTrue="1" operator="lessThan">
      <formula>0</formula>
    </cfRule>
    <cfRule type="cellIs" dxfId="5209" priority="5207" stopIfTrue="1" operator="lessThan">
      <formula>0</formula>
    </cfRule>
  </conditionalFormatting>
  <conditionalFormatting sqref="H246:H255">
    <cfRule type="cellIs" dxfId="5208" priority="5204" stopIfTrue="1" operator="lessThan">
      <formula>0.05</formula>
    </cfRule>
    <cfRule type="cellIs" dxfId="5207" priority="5205" stopIfTrue="1" operator="lessThan">
      <formula>0</formula>
    </cfRule>
  </conditionalFormatting>
  <conditionalFormatting sqref="H246:H255">
    <cfRule type="cellIs" dxfId="5206" priority="5202" stopIfTrue="1" operator="lessThan">
      <formula>0</formula>
    </cfRule>
    <cfRule type="cellIs" dxfId="5205" priority="5203" stopIfTrue="1" operator="lessThan">
      <formula>0</formula>
    </cfRule>
  </conditionalFormatting>
  <conditionalFormatting sqref="H246:H255">
    <cfRule type="cellIs" dxfId="5204" priority="5200" stopIfTrue="1" operator="lessThan">
      <formula>0</formula>
    </cfRule>
    <cfRule type="cellIs" dxfId="5203" priority="5201" stopIfTrue="1" operator="lessThan">
      <formula>0</formula>
    </cfRule>
  </conditionalFormatting>
  <conditionalFormatting sqref="H246:H255">
    <cfRule type="cellIs" dxfId="5202" priority="5198" stopIfTrue="1" operator="lessThan">
      <formula>0.05</formula>
    </cfRule>
    <cfRule type="cellIs" dxfId="5201" priority="5199" stopIfTrue="1" operator="lessThan">
      <formula>0</formula>
    </cfRule>
  </conditionalFormatting>
  <conditionalFormatting sqref="H246:H255">
    <cfRule type="cellIs" dxfId="5200" priority="5196" stopIfTrue="1" operator="lessThan">
      <formula>0</formula>
    </cfRule>
    <cfRule type="cellIs" dxfId="5199" priority="5197" stopIfTrue="1" operator="lessThan">
      <formula>0</formula>
    </cfRule>
  </conditionalFormatting>
  <conditionalFormatting sqref="H246:H255">
    <cfRule type="cellIs" dxfId="5198" priority="5194" stopIfTrue="1" operator="lessThan">
      <formula>0</formula>
    </cfRule>
    <cfRule type="cellIs" dxfId="5197" priority="5195" stopIfTrue="1" operator="lessThan">
      <formula>0</formula>
    </cfRule>
  </conditionalFormatting>
  <conditionalFormatting sqref="H246:H255">
    <cfRule type="cellIs" dxfId="5196" priority="5192" stopIfTrue="1" operator="lessThan">
      <formula>0.05</formula>
    </cfRule>
    <cfRule type="cellIs" dxfId="5195" priority="5193" stopIfTrue="1" operator="lessThan">
      <formula>0</formula>
    </cfRule>
  </conditionalFormatting>
  <conditionalFormatting sqref="H246:H255">
    <cfRule type="cellIs" dxfId="5194" priority="5190" stopIfTrue="1" operator="lessThan">
      <formula>0</formula>
    </cfRule>
    <cfRule type="cellIs" dxfId="5193" priority="5191" stopIfTrue="1" operator="lessThan">
      <formula>0</formula>
    </cfRule>
  </conditionalFormatting>
  <conditionalFormatting sqref="H246:H255">
    <cfRule type="cellIs" dxfId="5192" priority="5188" stopIfTrue="1" operator="lessThan">
      <formula>0</formula>
    </cfRule>
    <cfRule type="cellIs" dxfId="5191" priority="5189" stopIfTrue="1" operator="lessThan">
      <formula>0</formula>
    </cfRule>
  </conditionalFormatting>
  <conditionalFormatting sqref="H246:H255">
    <cfRule type="cellIs" dxfId="5190" priority="5186" stopIfTrue="1" operator="lessThan">
      <formula>0.05</formula>
    </cfRule>
    <cfRule type="cellIs" dxfId="5189" priority="5187" stopIfTrue="1" operator="lessThan">
      <formula>0</formula>
    </cfRule>
  </conditionalFormatting>
  <conditionalFormatting sqref="H246:H255">
    <cfRule type="cellIs" dxfId="5188" priority="5184" stopIfTrue="1" operator="lessThan">
      <formula>0</formula>
    </cfRule>
    <cfRule type="cellIs" dxfId="5187" priority="5185" stopIfTrue="1" operator="lessThan">
      <formula>0</formula>
    </cfRule>
  </conditionalFormatting>
  <conditionalFormatting sqref="H246:H255">
    <cfRule type="cellIs" dxfId="5186" priority="5182" stopIfTrue="1" operator="lessThan">
      <formula>0</formula>
    </cfRule>
    <cfRule type="cellIs" dxfId="5185" priority="5183" stopIfTrue="1" operator="lessThan">
      <formula>0</formula>
    </cfRule>
  </conditionalFormatting>
  <conditionalFormatting sqref="H246:H255">
    <cfRule type="cellIs" dxfId="5184" priority="5180" stopIfTrue="1" operator="lessThan">
      <formula>0.05</formula>
    </cfRule>
    <cfRule type="cellIs" dxfId="5183" priority="5181" stopIfTrue="1" operator="lessThan">
      <formula>0</formula>
    </cfRule>
  </conditionalFormatting>
  <conditionalFormatting sqref="H246:H255">
    <cfRule type="cellIs" dxfId="5182" priority="5178" stopIfTrue="1" operator="lessThan">
      <formula>0</formula>
    </cfRule>
    <cfRule type="cellIs" dxfId="5181" priority="5179" stopIfTrue="1" operator="lessThan">
      <formula>0</formula>
    </cfRule>
  </conditionalFormatting>
  <conditionalFormatting sqref="H246:H255">
    <cfRule type="cellIs" dxfId="5180" priority="5176" stopIfTrue="1" operator="lessThan">
      <formula>0</formula>
    </cfRule>
    <cfRule type="cellIs" dxfId="5179" priority="5177" stopIfTrue="1" operator="lessThan">
      <formula>0</formula>
    </cfRule>
  </conditionalFormatting>
  <conditionalFormatting sqref="H246:H255">
    <cfRule type="cellIs" dxfId="5178" priority="5174" stopIfTrue="1" operator="lessThan">
      <formula>0.05</formula>
    </cfRule>
    <cfRule type="cellIs" dxfId="5177" priority="5175" stopIfTrue="1" operator="lessThan">
      <formula>0</formula>
    </cfRule>
  </conditionalFormatting>
  <conditionalFormatting sqref="H246:H255">
    <cfRule type="cellIs" dxfId="5176" priority="5172" stopIfTrue="1" operator="lessThan">
      <formula>0</formula>
    </cfRule>
    <cfRule type="cellIs" dxfId="5175" priority="5173" stopIfTrue="1" operator="lessThan">
      <formula>0</formula>
    </cfRule>
  </conditionalFormatting>
  <conditionalFormatting sqref="H246:H255">
    <cfRule type="cellIs" dxfId="5174" priority="5170" stopIfTrue="1" operator="lessThan">
      <formula>0</formula>
    </cfRule>
    <cfRule type="cellIs" dxfId="5173" priority="5171" stopIfTrue="1" operator="lessThan">
      <formula>0</formula>
    </cfRule>
  </conditionalFormatting>
  <conditionalFormatting sqref="H246:H255">
    <cfRule type="cellIs" dxfId="5172" priority="5168" stopIfTrue="1" operator="lessThan">
      <formula>0.05</formula>
    </cfRule>
    <cfRule type="cellIs" dxfId="5171" priority="5169" stopIfTrue="1" operator="lessThan">
      <formula>0</formula>
    </cfRule>
  </conditionalFormatting>
  <conditionalFormatting sqref="H246:H255">
    <cfRule type="cellIs" dxfId="5170" priority="5166" stopIfTrue="1" operator="lessThan">
      <formula>0</formula>
    </cfRule>
    <cfRule type="cellIs" dxfId="5169" priority="5167" stopIfTrue="1" operator="lessThan">
      <formula>0</formula>
    </cfRule>
  </conditionalFormatting>
  <conditionalFormatting sqref="H246:H255">
    <cfRule type="cellIs" dxfId="5168" priority="5164" stopIfTrue="1" operator="lessThan">
      <formula>0</formula>
    </cfRule>
    <cfRule type="cellIs" dxfId="5167" priority="5165" stopIfTrue="1" operator="lessThan">
      <formula>0</formula>
    </cfRule>
  </conditionalFormatting>
  <conditionalFormatting sqref="H246:H255">
    <cfRule type="cellIs" dxfId="5166" priority="5162" stopIfTrue="1" operator="lessThan">
      <formula>0.05</formula>
    </cfRule>
    <cfRule type="cellIs" dxfId="5165" priority="5163" stopIfTrue="1" operator="lessThan">
      <formula>0</formula>
    </cfRule>
  </conditionalFormatting>
  <conditionalFormatting sqref="H246:H255">
    <cfRule type="cellIs" dxfId="5164" priority="5160" stopIfTrue="1" operator="lessThan">
      <formula>0</formula>
    </cfRule>
    <cfRule type="cellIs" dxfId="5163" priority="5161" stopIfTrue="1" operator="lessThan">
      <formula>0</formula>
    </cfRule>
  </conditionalFormatting>
  <conditionalFormatting sqref="H246:H255">
    <cfRule type="cellIs" dxfId="5162" priority="5158" stopIfTrue="1" operator="lessThan">
      <formula>0</formula>
    </cfRule>
    <cfRule type="cellIs" dxfId="5161" priority="5159" stopIfTrue="1" operator="lessThan">
      <formula>0</formula>
    </cfRule>
  </conditionalFormatting>
  <conditionalFormatting sqref="H246:H255">
    <cfRule type="cellIs" dxfId="5160" priority="5156" stopIfTrue="1" operator="lessThan">
      <formula>0.05</formula>
    </cfRule>
    <cfRule type="cellIs" dxfId="5159" priority="5157" stopIfTrue="1" operator="lessThan">
      <formula>0</formula>
    </cfRule>
  </conditionalFormatting>
  <conditionalFormatting sqref="H246:H255">
    <cfRule type="cellIs" dxfId="5158" priority="5154" stopIfTrue="1" operator="lessThan">
      <formula>0</formula>
    </cfRule>
    <cfRule type="cellIs" dxfId="5157" priority="5155" stopIfTrue="1" operator="lessThan">
      <formula>0</formula>
    </cfRule>
  </conditionalFormatting>
  <conditionalFormatting sqref="H246:H255">
    <cfRule type="cellIs" dxfId="5156" priority="5152" stopIfTrue="1" operator="lessThan">
      <formula>0</formula>
    </cfRule>
    <cfRule type="cellIs" dxfId="5155" priority="5153" stopIfTrue="1" operator="lessThan">
      <formula>0</formula>
    </cfRule>
  </conditionalFormatting>
  <conditionalFormatting sqref="H246:H255">
    <cfRule type="cellIs" dxfId="5154" priority="5150" stopIfTrue="1" operator="lessThan">
      <formula>0.05</formula>
    </cfRule>
    <cfRule type="cellIs" dxfId="5153" priority="5151" stopIfTrue="1" operator="lessThan">
      <formula>0</formula>
    </cfRule>
  </conditionalFormatting>
  <conditionalFormatting sqref="H246:H255">
    <cfRule type="cellIs" dxfId="5152" priority="5148" stopIfTrue="1" operator="lessThan">
      <formula>0</formula>
    </cfRule>
    <cfRule type="cellIs" dxfId="5151" priority="5149" stopIfTrue="1" operator="lessThan">
      <formula>0</formula>
    </cfRule>
  </conditionalFormatting>
  <conditionalFormatting sqref="H246:H255">
    <cfRule type="cellIs" dxfId="5150" priority="5146" stopIfTrue="1" operator="lessThan">
      <formula>0</formula>
    </cfRule>
    <cfRule type="cellIs" dxfId="5149" priority="5147" stopIfTrue="1" operator="lessThan">
      <formula>0</formula>
    </cfRule>
  </conditionalFormatting>
  <conditionalFormatting sqref="H246:H255">
    <cfRule type="cellIs" dxfId="5148" priority="5144" stopIfTrue="1" operator="lessThan">
      <formula>0.05</formula>
    </cfRule>
    <cfRule type="cellIs" dxfId="5147" priority="5145" stopIfTrue="1" operator="lessThan">
      <formula>0</formula>
    </cfRule>
  </conditionalFormatting>
  <conditionalFormatting sqref="H246:H255">
    <cfRule type="cellIs" dxfId="5146" priority="5142" stopIfTrue="1" operator="lessThan">
      <formula>0</formula>
    </cfRule>
    <cfRule type="cellIs" dxfId="5145" priority="5143" stopIfTrue="1" operator="lessThan">
      <formula>0</formula>
    </cfRule>
  </conditionalFormatting>
  <conditionalFormatting sqref="H246:H255">
    <cfRule type="cellIs" dxfId="5144" priority="5140" stopIfTrue="1" operator="lessThan">
      <formula>0</formula>
    </cfRule>
    <cfRule type="cellIs" dxfId="5143" priority="5141" stopIfTrue="1" operator="lessThan">
      <formula>0</formula>
    </cfRule>
  </conditionalFormatting>
  <conditionalFormatting sqref="H246:H255">
    <cfRule type="cellIs" dxfId="5142" priority="5138" stopIfTrue="1" operator="lessThan">
      <formula>0.05</formula>
    </cfRule>
    <cfRule type="cellIs" dxfId="5141" priority="5139" stopIfTrue="1" operator="lessThan">
      <formula>0</formula>
    </cfRule>
  </conditionalFormatting>
  <conditionalFormatting sqref="H246:H255">
    <cfRule type="cellIs" dxfId="5140" priority="5136" stopIfTrue="1" operator="lessThan">
      <formula>0</formula>
    </cfRule>
    <cfRule type="cellIs" dxfId="5139" priority="5137" stopIfTrue="1" operator="lessThan">
      <formula>0</formula>
    </cfRule>
  </conditionalFormatting>
  <conditionalFormatting sqref="H246:H255">
    <cfRule type="cellIs" dxfId="5138" priority="5134" stopIfTrue="1" operator="lessThan">
      <formula>0</formula>
    </cfRule>
    <cfRule type="cellIs" dxfId="5137" priority="5135" stopIfTrue="1" operator="lessThan">
      <formula>0</formula>
    </cfRule>
  </conditionalFormatting>
  <conditionalFormatting sqref="H246:H255">
    <cfRule type="cellIs" dxfId="5136" priority="5132" stopIfTrue="1" operator="lessThan">
      <formula>0.05</formula>
    </cfRule>
    <cfRule type="cellIs" dxfId="5135" priority="5133" stopIfTrue="1" operator="lessThan">
      <formula>0</formula>
    </cfRule>
  </conditionalFormatting>
  <conditionalFormatting sqref="H246:H255">
    <cfRule type="cellIs" dxfId="5134" priority="5130" stopIfTrue="1" operator="lessThan">
      <formula>0</formula>
    </cfRule>
    <cfRule type="cellIs" dxfId="5133" priority="5131" stopIfTrue="1" operator="lessThan">
      <formula>0</formula>
    </cfRule>
  </conditionalFormatting>
  <conditionalFormatting sqref="H246:H255">
    <cfRule type="cellIs" dxfId="5132" priority="5128" stopIfTrue="1" operator="lessThan">
      <formula>0</formula>
    </cfRule>
    <cfRule type="cellIs" dxfId="5131" priority="5129" stopIfTrue="1" operator="lessThan">
      <formula>0</formula>
    </cfRule>
  </conditionalFormatting>
  <conditionalFormatting sqref="H246:H255">
    <cfRule type="cellIs" dxfId="5130" priority="5126" stopIfTrue="1" operator="lessThan">
      <formula>0.05</formula>
    </cfRule>
    <cfRule type="cellIs" dxfId="5129" priority="5127" stopIfTrue="1" operator="lessThan">
      <formula>0</formula>
    </cfRule>
  </conditionalFormatting>
  <conditionalFormatting sqref="H246:H255">
    <cfRule type="cellIs" dxfId="5128" priority="5124" stopIfTrue="1" operator="lessThan">
      <formula>0</formula>
    </cfRule>
    <cfRule type="cellIs" dxfId="5127" priority="5125" stopIfTrue="1" operator="lessThan">
      <formula>0</formula>
    </cfRule>
  </conditionalFormatting>
  <conditionalFormatting sqref="H246:H255">
    <cfRule type="cellIs" dxfId="5126" priority="5122" stopIfTrue="1" operator="lessThan">
      <formula>0.05</formula>
    </cfRule>
    <cfRule type="cellIs" dxfId="5125" priority="5123" stopIfTrue="1" operator="lessThan">
      <formula>0</formula>
    </cfRule>
  </conditionalFormatting>
  <conditionalFormatting sqref="H246:H255">
    <cfRule type="cellIs" dxfId="5124" priority="5120" stopIfTrue="1" operator="lessThan">
      <formula>0</formula>
    </cfRule>
    <cfRule type="cellIs" dxfId="5123" priority="5121" stopIfTrue="1" operator="lessThan">
      <formula>0</formula>
    </cfRule>
  </conditionalFormatting>
  <conditionalFormatting sqref="H246:H255">
    <cfRule type="cellIs" dxfId="5122" priority="5118" stopIfTrue="1" operator="lessThan">
      <formula>0.05</formula>
    </cfRule>
    <cfRule type="cellIs" dxfId="5121" priority="5119" stopIfTrue="1" operator="lessThan">
      <formula>0</formula>
    </cfRule>
  </conditionalFormatting>
  <conditionalFormatting sqref="H246:H255">
    <cfRule type="cellIs" dxfId="5120" priority="5116" stopIfTrue="1" operator="lessThan">
      <formula>0</formula>
    </cfRule>
    <cfRule type="cellIs" dxfId="5119" priority="5117" stopIfTrue="1" operator="lessThan">
      <formula>0</formula>
    </cfRule>
  </conditionalFormatting>
  <conditionalFormatting sqref="H246:H255">
    <cfRule type="cellIs" dxfId="5118" priority="5114" stopIfTrue="1" operator="lessThan">
      <formula>0</formula>
    </cfRule>
    <cfRule type="cellIs" dxfId="5117" priority="5115" stopIfTrue="1" operator="lessThan">
      <formula>0</formula>
    </cfRule>
  </conditionalFormatting>
  <conditionalFormatting sqref="H246:H255">
    <cfRule type="cellIs" dxfId="5116" priority="5112" stopIfTrue="1" operator="lessThan">
      <formula>0</formula>
    </cfRule>
    <cfRule type="cellIs" dxfId="5115" priority="5113" stopIfTrue="1" operator="lessThan">
      <formula>0</formula>
    </cfRule>
  </conditionalFormatting>
  <conditionalFormatting sqref="H246:H255">
    <cfRule type="cellIs" dxfId="5114" priority="5110" stopIfTrue="1" operator="lessThan">
      <formula>0.05</formula>
    </cfRule>
    <cfRule type="cellIs" dxfId="5113" priority="5111" stopIfTrue="1" operator="lessThan">
      <formula>0</formula>
    </cfRule>
  </conditionalFormatting>
  <conditionalFormatting sqref="H246:H255">
    <cfRule type="cellIs" dxfId="5112" priority="5108" stopIfTrue="1" operator="lessThan">
      <formula>0</formula>
    </cfRule>
    <cfRule type="cellIs" dxfId="5111" priority="5109" stopIfTrue="1" operator="lessThan">
      <formula>0</formula>
    </cfRule>
  </conditionalFormatting>
  <conditionalFormatting sqref="H246:H255">
    <cfRule type="cellIs" dxfId="5110" priority="5106" stopIfTrue="1" operator="lessThan">
      <formula>0.05</formula>
    </cfRule>
    <cfRule type="cellIs" dxfId="5109" priority="5107" stopIfTrue="1" operator="lessThan">
      <formula>0</formula>
    </cfRule>
  </conditionalFormatting>
  <conditionalFormatting sqref="H246:H255">
    <cfRule type="cellIs" dxfId="5108" priority="5104" stopIfTrue="1" operator="lessThan">
      <formula>0</formula>
    </cfRule>
    <cfRule type="cellIs" dxfId="5107" priority="5105" stopIfTrue="1" operator="lessThan">
      <formula>0</formula>
    </cfRule>
  </conditionalFormatting>
  <conditionalFormatting sqref="H246:H255">
    <cfRule type="cellIs" dxfId="5106" priority="5102" stopIfTrue="1" operator="lessThan">
      <formula>0.05</formula>
    </cfRule>
    <cfRule type="cellIs" dxfId="5105" priority="5103" stopIfTrue="1" operator="lessThan">
      <formula>0</formula>
    </cfRule>
  </conditionalFormatting>
  <conditionalFormatting sqref="H246:H255">
    <cfRule type="cellIs" dxfId="5104" priority="5100" stopIfTrue="1" operator="lessThan">
      <formula>0</formula>
    </cfRule>
    <cfRule type="cellIs" dxfId="5103" priority="5101" stopIfTrue="1" operator="lessThan">
      <formula>0</formula>
    </cfRule>
  </conditionalFormatting>
  <conditionalFormatting sqref="H246:H255">
    <cfRule type="cellIs" dxfId="5102" priority="5099" stopIfTrue="1" operator="lessThan">
      <formula>0.05</formula>
    </cfRule>
  </conditionalFormatting>
  <conditionalFormatting sqref="H246:H255">
    <cfRule type="cellIs" dxfId="5101" priority="5097" stopIfTrue="1" operator="lessThan">
      <formula>0</formula>
    </cfRule>
    <cfRule type="cellIs" dxfId="5100" priority="5098" stopIfTrue="1" operator="lessThan">
      <formula>0</formula>
    </cfRule>
  </conditionalFormatting>
  <conditionalFormatting sqref="H246:H255">
    <cfRule type="cellIs" dxfId="5099" priority="5095" stopIfTrue="1" operator="lessThan">
      <formula>0</formula>
    </cfRule>
    <cfRule type="cellIs" dxfId="5098" priority="5096" stopIfTrue="1" operator="lessThan">
      <formula>0</formula>
    </cfRule>
  </conditionalFormatting>
  <conditionalFormatting sqref="H246:H255">
    <cfRule type="cellIs" dxfId="5097" priority="5093" stopIfTrue="1" operator="lessThan">
      <formula>0.05</formula>
    </cfRule>
    <cfRule type="cellIs" dxfId="5096" priority="5094" stopIfTrue="1" operator="lessThan">
      <formula>0</formula>
    </cfRule>
  </conditionalFormatting>
  <conditionalFormatting sqref="H246:H255">
    <cfRule type="cellIs" dxfId="5095" priority="5091" stopIfTrue="1" operator="lessThan">
      <formula>0</formula>
    </cfRule>
    <cfRule type="cellIs" dxfId="5094" priority="5092" stopIfTrue="1" operator="lessThan">
      <formula>0</formula>
    </cfRule>
  </conditionalFormatting>
  <conditionalFormatting sqref="H246:H255">
    <cfRule type="cellIs" dxfId="5093" priority="5089" stopIfTrue="1" operator="lessThan">
      <formula>0.05</formula>
    </cfRule>
    <cfRule type="cellIs" dxfId="5092" priority="5090" stopIfTrue="1" operator="lessThan">
      <formula>0</formula>
    </cfRule>
  </conditionalFormatting>
  <conditionalFormatting sqref="H246:H255">
    <cfRule type="cellIs" dxfId="5091" priority="5087" stopIfTrue="1" operator="lessThan">
      <formula>0</formula>
    </cfRule>
    <cfRule type="cellIs" dxfId="5090" priority="5088" stopIfTrue="1" operator="lessThan">
      <formula>0</formula>
    </cfRule>
  </conditionalFormatting>
  <conditionalFormatting sqref="H246:H255">
    <cfRule type="cellIs" dxfId="5089" priority="5085" stopIfTrue="1" operator="lessThan">
      <formula>0.05</formula>
    </cfRule>
    <cfRule type="cellIs" dxfId="5088" priority="5086" stopIfTrue="1" operator="lessThan">
      <formula>0</formula>
    </cfRule>
  </conditionalFormatting>
  <conditionalFormatting sqref="H246:H255">
    <cfRule type="cellIs" dxfId="5087" priority="5083" stopIfTrue="1" operator="lessThan">
      <formula>0</formula>
    </cfRule>
    <cfRule type="cellIs" dxfId="5086" priority="5084" stopIfTrue="1" operator="lessThan">
      <formula>0</formula>
    </cfRule>
  </conditionalFormatting>
  <conditionalFormatting sqref="H246:H255">
    <cfRule type="cellIs" dxfId="5085" priority="5081" stopIfTrue="1" operator="lessThan">
      <formula>0</formula>
    </cfRule>
    <cfRule type="cellIs" dxfId="5084" priority="5082" stopIfTrue="1" operator="lessThan">
      <formula>0</formula>
    </cfRule>
  </conditionalFormatting>
  <conditionalFormatting sqref="H246:H255">
    <cfRule type="cellIs" dxfId="5083" priority="5079" stopIfTrue="1" operator="lessThan">
      <formula>0</formula>
    </cfRule>
    <cfRule type="cellIs" dxfId="5082" priority="5080" stopIfTrue="1" operator="lessThan">
      <formula>0</formula>
    </cfRule>
  </conditionalFormatting>
  <conditionalFormatting sqref="H246:H255">
    <cfRule type="cellIs" dxfId="5081" priority="5077" stopIfTrue="1" operator="lessThan">
      <formula>0.05</formula>
    </cfRule>
    <cfRule type="cellIs" dxfId="5080" priority="5078" stopIfTrue="1" operator="lessThan">
      <formula>0</formula>
    </cfRule>
  </conditionalFormatting>
  <conditionalFormatting sqref="H246:H255">
    <cfRule type="cellIs" dxfId="5079" priority="5075" stopIfTrue="1" operator="lessThan">
      <formula>0</formula>
    </cfRule>
    <cfRule type="cellIs" dxfId="5078" priority="5076" stopIfTrue="1" operator="lessThan">
      <formula>0</formula>
    </cfRule>
  </conditionalFormatting>
  <conditionalFormatting sqref="H246:H255">
    <cfRule type="cellIs" dxfId="5077" priority="5073" stopIfTrue="1" operator="lessThan">
      <formula>0.05</formula>
    </cfRule>
    <cfRule type="cellIs" dxfId="5076" priority="5074" stopIfTrue="1" operator="lessThan">
      <formula>0</formula>
    </cfRule>
  </conditionalFormatting>
  <conditionalFormatting sqref="H246:H255">
    <cfRule type="cellIs" dxfId="5075" priority="5071" stopIfTrue="1" operator="lessThan">
      <formula>0</formula>
    </cfRule>
    <cfRule type="cellIs" dxfId="5074" priority="5072" stopIfTrue="1" operator="lessThan">
      <formula>0</formula>
    </cfRule>
  </conditionalFormatting>
  <conditionalFormatting sqref="H246:H255">
    <cfRule type="cellIs" dxfId="5073" priority="5069" stopIfTrue="1" operator="lessThan">
      <formula>0.05</formula>
    </cfRule>
    <cfRule type="cellIs" dxfId="5072" priority="5070" stopIfTrue="1" operator="lessThan">
      <formula>0</formula>
    </cfRule>
  </conditionalFormatting>
  <conditionalFormatting sqref="H246:H255">
    <cfRule type="cellIs" dxfId="5071" priority="5067" stopIfTrue="1" operator="lessThan">
      <formula>0</formula>
    </cfRule>
    <cfRule type="cellIs" dxfId="5070" priority="5068" stopIfTrue="1" operator="lessThan">
      <formula>0</formula>
    </cfRule>
  </conditionalFormatting>
  <conditionalFormatting sqref="H246:H255">
    <cfRule type="cellIs" dxfId="5069" priority="5065" stopIfTrue="1" operator="lessThan">
      <formula>0</formula>
    </cfRule>
    <cfRule type="cellIs" dxfId="5068" priority="5066" stopIfTrue="1" operator="lessThan">
      <formula>0</formula>
    </cfRule>
  </conditionalFormatting>
  <conditionalFormatting sqref="H246:H255">
    <cfRule type="cellIs" dxfId="5067" priority="5063" stopIfTrue="1" operator="lessThan">
      <formula>0</formula>
    </cfRule>
    <cfRule type="cellIs" dxfId="5066" priority="5064" stopIfTrue="1" operator="lessThan">
      <formula>0</formula>
    </cfRule>
  </conditionalFormatting>
  <conditionalFormatting sqref="H246:H255">
    <cfRule type="cellIs" dxfId="5065" priority="5061" stopIfTrue="1" operator="lessThan">
      <formula>0.05</formula>
    </cfRule>
    <cfRule type="cellIs" dxfId="5064" priority="5062" stopIfTrue="1" operator="lessThan">
      <formula>0</formula>
    </cfRule>
  </conditionalFormatting>
  <conditionalFormatting sqref="H246:H255">
    <cfRule type="cellIs" dxfId="5063" priority="5059" stopIfTrue="1" operator="lessThan">
      <formula>0</formula>
    </cfRule>
    <cfRule type="cellIs" dxfId="5062" priority="5060" stopIfTrue="1" operator="lessThan">
      <formula>0</formula>
    </cfRule>
  </conditionalFormatting>
  <conditionalFormatting sqref="H246:H255">
    <cfRule type="cellIs" dxfId="5061" priority="5057" stopIfTrue="1" operator="lessThan">
      <formula>0.05</formula>
    </cfRule>
    <cfRule type="cellIs" dxfId="5060" priority="5058" stopIfTrue="1" operator="lessThan">
      <formula>0</formula>
    </cfRule>
  </conditionalFormatting>
  <conditionalFormatting sqref="H246:H255">
    <cfRule type="cellIs" dxfId="5059" priority="5055" stopIfTrue="1" operator="lessThan">
      <formula>0</formula>
    </cfRule>
    <cfRule type="cellIs" dxfId="5058" priority="5056" stopIfTrue="1" operator="lessThan">
      <formula>0</formula>
    </cfRule>
  </conditionalFormatting>
  <conditionalFormatting sqref="H246:H255">
    <cfRule type="cellIs" dxfId="5057" priority="5053" stopIfTrue="1" operator="lessThan">
      <formula>0.05</formula>
    </cfRule>
    <cfRule type="cellIs" dxfId="5056" priority="5054" stopIfTrue="1" operator="lessThan">
      <formula>0</formula>
    </cfRule>
  </conditionalFormatting>
  <conditionalFormatting sqref="H246:H255">
    <cfRule type="cellIs" dxfId="5055" priority="5051" stopIfTrue="1" operator="lessThan">
      <formula>0</formula>
    </cfRule>
    <cfRule type="cellIs" dxfId="5054" priority="5052" stopIfTrue="1" operator="lessThan">
      <formula>0</formula>
    </cfRule>
  </conditionalFormatting>
  <conditionalFormatting sqref="H246:H255">
    <cfRule type="cellIs" dxfId="5053" priority="5049" stopIfTrue="1" operator="lessThan">
      <formula>0</formula>
    </cfRule>
    <cfRule type="cellIs" dxfId="5052" priority="5050" stopIfTrue="1" operator="lessThan">
      <formula>0</formula>
    </cfRule>
  </conditionalFormatting>
  <conditionalFormatting sqref="H246:H255">
    <cfRule type="cellIs" dxfId="5051" priority="5047" stopIfTrue="1" operator="lessThan">
      <formula>0</formula>
    </cfRule>
    <cfRule type="cellIs" dxfId="5050" priority="5048" stopIfTrue="1" operator="lessThan">
      <formula>0</formula>
    </cfRule>
  </conditionalFormatting>
  <conditionalFormatting sqref="H246:H255">
    <cfRule type="cellIs" dxfId="5049" priority="5045" stopIfTrue="1" operator="lessThan">
      <formula>0.05</formula>
    </cfRule>
    <cfRule type="cellIs" dxfId="5048" priority="5046" stopIfTrue="1" operator="lessThan">
      <formula>0</formula>
    </cfRule>
  </conditionalFormatting>
  <conditionalFormatting sqref="H246:H255">
    <cfRule type="cellIs" dxfId="5047" priority="5043" stopIfTrue="1" operator="lessThan">
      <formula>0</formula>
    </cfRule>
    <cfRule type="cellIs" dxfId="5046" priority="5044" stopIfTrue="1" operator="lessThan">
      <formula>0</formula>
    </cfRule>
  </conditionalFormatting>
  <conditionalFormatting sqref="H246:H255">
    <cfRule type="cellIs" dxfId="5045" priority="5041" stopIfTrue="1" operator="lessThan">
      <formula>0.05</formula>
    </cfRule>
    <cfRule type="cellIs" dxfId="5044" priority="5042" stopIfTrue="1" operator="lessThan">
      <formula>0</formula>
    </cfRule>
  </conditionalFormatting>
  <conditionalFormatting sqref="H246:H255">
    <cfRule type="cellIs" dxfId="5043" priority="5039" stopIfTrue="1" operator="lessThan">
      <formula>0</formula>
    </cfRule>
    <cfRule type="cellIs" dxfId="5042" priority="5040" stopIfTrue="1" operator="lessThan">
      <formula>0</formula>
    </cfRule>
  </conditionalFormatting>
  <conditionalFormatting sqref="H246:H255">
    <cfRule type="cellIs" dxfId="5041" priority="5037" stopIfTrue="1" operator="lessThan">
      <formula>0.05</formula>
    </cfRule>
    <cfRule type="cellIs" dxfId="5040" priority="5038" stopIfTrue="1" operator="lessThan">
      <formula>0</formula>
    </cfRule>
  </conditionalFormatting>
  <conditionalFormatting sqref="H246:H255">
    <cfRule type="cellIs" dxfId="5039" priority="5035" stopIfTrue="1" operator="lessThan">
      <formula>0</formula>
    </cfRule>
    <cfRule type="cellIs" dxfId="5038" priority="5036" stopIfTrue="1" operator="lessThan">
      <formula>0</formula>
    </cfRule>
  </conditionalFormatting>
  <conditionalFormatting sqref="H246:H255">
    <cfRule type="cellIs" dxfId="5037" priority="5033" stopIfTrue="1" operator="lessThan">
      <formula>0</formula>
    </cfRule>
    <cfRule type="cellIs" dxfId="5036" priority="5034" stopIfTrue="1" operator="lessThan">
      <formula>0</formula>
    </cfRule>
  </conditionalFormatting>
  <conditionalFormatting sqref="H246:H255">
    <cfRule type="cellIs" dxfId="5035" priority="5031" stopIfTrue="1" operator="lessThan">
      <formula>0.05</formula>
    </cfRule>
    <cfRule type="cellIs" dxfId="5034" priority="5032" stopIfTrue="1" operator="lessThan">
      <formula>0</formula>
    </cfRule>
  </conditionalFormatting>
  <conditionalFormatting sqref="H246:H255">
    <cfRule type="cellIs" dxfId="5033" priority="5029" stopIfTrue="1" operator="lessThan">
      <formula>0</formula>
    </cfRule>
    <cfRule type="cellIs" dxfId="5032" priority="5030" stopIfTrue="1" operator="lessThan">
      <formula>0</formula>
    </cfRule>
  </conditionalFormatting>
  <conditionalFormatting sqref="H246:H255">
    <cfRule type="cellIs" dxfId="5031" priority="5027" stopIfTrue="1" operator="lessThan">
      <formula>0</formula>
    </cfRule>
    <cfRule type="cellIs" dxfId="5030" priority="5028" stopIfTrue="1" operator="lessThan">
      <formula>0</formula>
    </cfRule>
  </conditionalFormatting>
  <conditionalFormatting sqref="H246:H255">
    <cfRule type="cellIs" dxfId="5029" priority="5025" stopIfTrue="1" operator="lessThan">
      <formula>0.05</formula>
    </cfRule>
    <cfRule type="cellIs" dxfId="5028" priority="5026" stopIfTrue="1" operator="lessThan">
      <formula>0</formula>
    </cfRule>
  </conditionalFormatting>
  <conditionalFormatting sqref="H246:H255">
    <cfRule type="cellIs" dxfId="5027" priority="5023" stopIfTrue="1" operator="lessThan">
      <formula>0</formula>
    </cfRule>
    <cfRule type="cellIs" dxfId="5026" priority="5024" stopIfTrue="1" operator="lessThan">
      <formula>0</formula>
    </cfRule>
  </conditionalFormatting>
  <conditionalFormatting sqref="H246:H255">
    <cfRule type="cellIs" dxfId="5025" priority="5021" stopIfTrue="1" operator="lessThan">
      <formula>0</formula>
    </cfRule>
    <cfRule type="cellIs" dxfId="5024" priority="5022" stopIfTrue="1" operator="lessThan">
      <formula>0</formula>
    </cfRule>
  </conditionalFormatting>
  <conditionalFormatting sqref="H246:H255">
    <cfRule type="cellIs" dxfId="5023" priority="5019" stopIfTrue="1" operator="lessThan">
      <formula>0.05</formula>
    </cfRule>
    <cfRule type="cellIs" dxfId="5022" priority="5020" stopIfTrue="1" operator="lessThan">
      <formula>0</formula>
    </cfRule>
  </conditionalFormatting>
  <conditionalFormatting sqref="H246:H255">
    <cfRule type="cellIs" dxfId="5021" priority="5017" stopIfTrue="1" operator="lessThan">
      <formula>0</formula>
    </cfRule>
    <cfRule type="cellIs" dxfId="5020" priority="5018" stopIfTrue="1" operator="lessThan">
      <formula>0</formula>
    </cfRule>
  </conditionalFormatting>
  <conditionalFormatting sqref="H246:H255">
    <cfRule type="cellIs" dxfId="5019" priority="5015" stopIfTrue="1" operator="lessThan">
      <formula>0</formula>
    </cfRule>
    <cfRule type="cellIs" dxfId="5018" priority="5016" stopIfTrue="1" operator="lessThan">
      <formula>0</formula>
    </cfRule>
  </conditionalFormatting>
  <conditionalFormatting sqref="H246:H255">
    <cfRule type="cellIs" dxfId="5017" priority="5013" stopIfTrue="1" operator="lessThan">
      <formula>0.05</formula>
    </cfRule>
    <cfRule type="cellIs" dxfId="5016" priority="5014" stopIfTrue="1" operator="lessThan">
      <formula>0</formula>
    </cfRule>
  </conditionalFormatting>
  <conditionalFormatting sqref="H246:H255">
    <cfRule type="cellIs" dxfId="5015" priority="5011" stopIfTrue="1" operator="lessThan">
      <formula>0</formula>
    </cfRule>
    <cfRule type="cellIs" dxfId="5014" priority="5012" stopIfTrue="1" operator="lessThan">
      <formula>0</formula>
    </cfRule>
  </conditionalFormatting>
  <conditionalFormatting sqref="H246:H255">
    <cfRule type="cellIs" dxfId="5013" priority="5009" stopIfTrue="1" operator="lessThan">
      <formula>0</formula>
    </cfRule>
    <cfRule type="cellIs" dxfId="5012" priority="5010" stopIfTrue="1" operator="lessThan">
      <formula>0</formula>
    </cfRule>
  </conditionalFormatting>
  <conditionalFormatting sqref="H246:H255">
    <cfRule type="cellIs" dxfId="5011" priority="5007" stopIfTrue="1" operator="lessThan">
      <formula>0.05</formula>
    </cfRule>
    <cfRule type="cellIs" dxfId="5010" priority="5008" stopIfTrue="1" operator="lessThan">
      <formula>0</formula>
    </cfRule>
  </conditionalFormatting>
  <conditionalFormatting sqref="H246:H255">
    <cfRule type="cellIs" dxfId="5009" priority="5005" stopIfTrue="1" operator="lessThan">
      <formula>0</formula>
    </cfRule>
    <cfRule type="cellIs" dxfId="5008" priority="5006" stopIfTrue="1" operator="lessThan">
      <formula>0</formula>
    </cfRule>
  </conditionalFormatting>
  <conditionalFormatting sqref="H246:H255">
    <cfRule type="cellIs" dxfId="5007" priority="5003" stopIfTrue="1" operator="lessThan">
      <formula>0</formula>
    </cfRule>
    <cfRule type="cellIs" dxfId="5006" priority="5004" stopIfTrue="1" operator="lessThan">
      <formula>0</formula>
    </cfRule>
  </conditionalFormatting>
  <conditionalFormatting sqref="H246:H255">
    <cfRule type="cellIs" dxfId="5005" priority="5001" stopIfTrue="1" operator="lessThan">
      <formula>0.05</formula>
    </cfRule>
    <cfRule type="cellIs" dxfId="5004" priority="5002" stopIfTrue="1" operator="lessThan">
      <formula>0</formula>
    </cfRule>
  </conditionalFormatting>
  <conditionalFormatting sqref="H246:H255">
    <cfRule type="cellIs" dxfId="5003" priority="4999" stopIfTrue="1" operator="lessThan">
      <formula>0</formula>
    </cfRule>
    <cfRule type="cellIs" dxfId="5002" priority="5000" stopIfTrue="1" operator="lessThan">
      <formula>0</formula>
    </cfRule>
  </conditionalFormatting>
  <conditionalFormatting sqref="H246:H255">
    <cfRule type="cellIs" dxfId="5001" priority="4997" stopIfTrue="1" operator="lessThan">
      <formula>0</formula>
    </cfRule>
    <cfRule type="cellIs" dxfId="5000" priority="4998" stopIfTrue="1" operator="lessThan">
      <formula>0</formula>
    </cfRule>
  </conditionalFormatting>
  <conditionalFormatting sqref="H246:H255">
    <cfRule type="cellIs" dxfId="4999" priority="4995" stopIfTrue="1" operator="lessThan">
      <formula>0.05</formula>
    </cfRule>
    <cfRule type="cellIs" dxfId="4998" priority="4996" stopIfTrue="1" operator="lessThan">
      <formula>0</formula>
    </cfRule>
  </conditionalFormatting>
  <conditionalFormatting sqref="H246:H255">
    <cfRule type="cellIs" dxfId="4997" priority="4993" stopIfTrue="1" operator="lessThan">
      <formula>0</formula>
    </cfRule>
    <cfRule type="cellIs" dxfId="4996" priority="4994" stopIfTrue="1" operator="lessThan">
      <formula>0</formula>
    </cfRule>
  </conditionalFormatting>
  <conditionalFormatting sqref="H246:H255">
    <cfRule type="cellIs" dxfId="4995" priority="4991" stopIfTrue="1" operator="lessThan">
      <formula>0</formula>
    </cfRule>
    <cfRule type="cellIs" dxfId="4994" priority="4992" stopIfTrue="1" operator="lessThan">
      <formula>0</formula>
    </cfRule>
  </conditionalFormatting>
  <conditionalFormatting sqref="H246:H255">
    <cfRule type="cellIs" dxfId="4993" priority="4989" stopIfTrue="1" operator="lessThan">
      <formula>0.05</formula>
    </cfRule>
    <cfRule type="cellIs" dxfId="4992" priority="4990" stopIfTrue="1" operator="lessThan">
      <formula>0</formula>
    </cfRule>
  </conditionalFormatting>
  <conditionalFormatting sqref="H246:H255">
    <cfRule type="cellIs" dxfId="4991" priority="4987" stopIfTrue="1" operator="lessThan">
      <formula>0</formula>
    </cfRule>
    <cfRule type="cellIs" dxfId="4990" priority="4988" stopIfTrue="1" operator="lessThan">
      <formula>0</formula>
    </cfRule>
  </conditionalFormatting>
  <conditionalFormatting sqref="H246:H255">
    <cfRule type="cellIs" dxfId="4989" priority="4985" stopIfTrue="1" operator="lessThan">
      <formula>0</formula>
    </cfRule>
    <cfRule type="cellIs" dxfId="4988" priority="4986" stopIfTrue="1" operator="lessThan">
      <formula>0</formula>
    </cfRule>
  </conditionalFormatting>
  <conditionalFormatting sqref="H246:H255">
    <cfRule type="cellIs" dxfId="4987" priority="4983" stopIfTrue="1" operator="lessThan">
      <formula>0.05</formula>
    </cfRule>
    <cfRule type="cellIs" dxfId="4986" priority="4984" stopIfTrue="1" operator="lessThan">
      <formula>0</formula>
    </cfRule>
  </conditionalFormatting>
  <conditionalFormatting sqref="H246:H255">
    <cfRule type="cellIs" dxfId="4985" priority="4981" stopIfTrue="1" operator="lessThan">
      <formula>0</formula>
    </cfRule>
    <cfRule type="cellIs" dxfId="4984" priority="4982" stopIfTrue="1" operator="lessThan">
      <formula>0</formula>
    </cfRule>
  </conditionalFormatting>
  <conditionalFormatting sqref="H246:H255">
    <cfRule type="cellIs" dxfId="4983" priority="4979" stopIfTrue="1" operator="lessThan">
      <formula>0</formula>
    </cfRule>
    <cfRule type="cellIs" dxfId="4982" priority="4980" stopIfTrue="1" operator="lessThan">
      <formula>0</formula>
    </cfRule>
  </conditionalFormatting>
  <conditionalFormatting sqref="H246:H255">
    <cfRule type="cellIs" dxfId="4981" priority="4977" stopIfTrue="1" operator="lessThan">
      <formula>0.05</formula>
    </cfRule>
    <cfRule type="cellIs" dxfId="4980" priority="4978" stopIfTrue="1" operator="lessThan">
      <formula>0</formula>
    </cfRule>
  </conditionalFormatting>
  <conditionalFormatting sqref="H246:H255">
    <cfRule type="cellIs" dxfId="4979" priority="4975" stopIfTrue="1" operator="lessThan">
      <formula>0</formula>
    </cfRule>
    <cfRule type="cellIs" dxfId="4978" priority="4976" stopIfTrue="1" operator="lessThan">
      <formula>0</formula>
    </cfRule>
  </conditionalFormatting>
  <conditionalFormatting sqref="H246:H255">
    <cfRule type="cellIs" dxfId="4977" priority="4973" stopIfTrue="1" operator="lessThan">
      <formula>0</formula>
    </cfRule>
    <cfRule type="cellIs" dxfId="4976" priority="4974" stopIfTrue="1" operator="lessThan">
      <formula>0</formula>
    </cfRule>
  </conditionalFormatting>
  <conditionalFormatting sqref="H246:H255">
    <cfRule type="cellIs" dxfId="4975" priority="4971" stopIfTrue="1" operator="lessThan">
      <formula>0.05</formula>
    </cfRule>
    <cfRule type="cellIs" dxfId="4974" priority="4972" stopIfTrue="1" operator="lessThan">
      <formula>0</formula>
    </cfRule>
  </conditionalFormatting>
  <conditionalFormatting sqref="H246:H255">
    <cfRule type="cellIs" dxfId="4973" priority="4969" stopIfTrue="1" operator="lessThan">
      <formula>0</formula>
    </cfRule>
    <cfRule type="cellIs" dxfId="4972" priority="4970" stopIfTrue="1" operator="lessThan">
      <formula>0</formula>
    </cfRule>
  </conditionalFormatting>
  <conditionalFormatting sqref="H246:H255">
    <cfRule type="cellIs" dxfId="4971" priority="4967" stopIfTrue="1" operator="lessThan">
      <formula>0</formula>
    </cfRule>
    <cfRule type="cellIs" dxfId="4970" priority="4968" stopIfTrue="1" operator="lessThan">
      <formula>0</formula>
    </cfRule>
  </conditionalFormatting>
  <conditionalFormatting sqref="H246:H255">
    <cfRule type="cellIs" dxfId="4969" priority="4965" stopIfTrue="1" operator="lessThan">
      <formula>0.05</formula>
    </cfRule>
    <cfRule type="cellIs" dxfId="4968" priority="4966" stopIfTrue="1" operator="lessThan">
      <formula>0</formula>
    </cfRule>
  </conditionalFormatting>
  <conditionalFormatting sqref="H246:H255">
    <cfRule type="cellIs" dxfId="4967" priority="4963" stopIfTrue="1" operator="lessThan">
      <formula>0</formula>
    </cfRule>
    <cfRule type="cellIs" dxfId="4966" priority="4964" stopIfTrue="1" operator="lessThan">
      <formula>0</formula>
    </cfRule>
  </conditionalFormatting>
  <conditionalFormatting sqref="H246:H255">
    <cfRule type="cellIs" dxfId="4965" priority="4961" stopIfTrue="1" operator="lessThan">
      <formula>0</formula>
    </cfRule>
    <cfRule type="cellIs" dxfId="4964" priority="4962" stopIfTrue="1" operator="lessThan">
      <formula>0</formula>
    </cfRule>
  </conditionalFormatting>
  <conditionalFormatting sqref="H246:H255">
    <cfRule type="cellIs" dxfId="4963" priority="4959" stopIfTrue="1" operator="lessThan">
      <formula>0.05</formula>
    </cfRule>
    <cfRule type="cellIs" dxfId="4962" priority="4960" stopIfTrue="1" operator="lessThan">
      <formula>0</formula>
    </cfRule>
  </conditionalFormatting>
  <conditionalFormatting sqref="H246:H255">
    <cfRule type="cellIs" dxfId="4961" priority="4957" stopIfTrue="1" operator="lessThan">
      <formula>0</formula>
    </cfRule>
    <cfRule type="cellIs" dxfId="4960" priority="4958" stopIfTrue="1" operator="lessThan">
      <formula>0</formula>
    </cfRule>
  </conditionalFormatting>
  <conditionalFormatting sqref="H246:H255">
    <cfRule type="cellIs" dxfId="4959" priority="4955" stopIfTrue="1" operator="lessThan">
      <formula>0</formula>
    </cfRule>
    <cfRule type="cellIs" dxfId="4958" priority="4956" stopIfTrue="1" operator="lessThan">
      <formula>0</formula>
    </cfRule>
  </conditionalFormatting>
  <conditionalFormatting sqref="H246:H255">
    <cfRule type="cellIs" dxfId="4957" priority="4953" stopIfTrue="1" operator="lessThan">
      <formula>0.05</formula>
    </cfRule>
    <cfRule type="cellIs" dxfId="4956" priority="4954" stopIfTrue="1" operator="lessThan">
      <formula>0</formula>
    </cfRule>
  </conditionalFormatting>
  <conditionalFormatting sqref="H246:H255">
    <cfRule type="cellIs" dxfId="4955" priority="4951" stopIfTrue="1" operator="lessThan">
      <formula>0</formula>
    </cfRule>
    <cfRule type="cellIs" dxfId="4954" priority="4952" stopIfTrue="1" operator="lessThan">
      <formula>0</formula>
    </cfRule>
  </conditionalFormatting>
  <conditionalFormatting sqref="H246:H255">
    <cfRule type="cellIs" dxfId="4953" priority="4949" stopIfTrue="1" operator="lessThan">
      <formula>0</formula>
    </cfRule>
    <cfRule type="cellIs" dxfId="4952" priority="4950" stopIfTrue="1" operator="lessThan">
      <formula>0</formula>
    </cfRule>
  </conditionalFormatting>
  <conditionalFormatting sqref="H246:H255">
    <cfRule type="cellIs" dxfId="4951" priority="4947" stopIfTrue="1" operator="lessThan">
      <formula>0.05</formula>
    </cfRule>
    <cfRule type="cellIs" dxfId="4950" priority="4948" stopIfTrue="1" operator="lessThan">
      <formula>0</formula>
    </cfRule>
  </conditionalFormatting>
  <conditionalFormatting sqref="H246:H255">
    <cfRule type="cellIs" dxfId="4949" priority="4945" stopIfTrue="1" operator="lessThan">
      <formula>0</formula>
    </cfRule>
    <cfRule type="cellIs" dxfId="4948" priority="4946" stopIfTrue="1" operator="lessThan">
      <formula>0</formula>
    </cfRule>
  </conditionalFormatting>
  <conditionalFormatting sqref="H246:H255">
    <cfRule type="cellIs" dxfId="4947" priority="4943" stopIfTrue="1" operator="lessThan">
      <formula>0</formula>
    </cfRule>
    <cfRule type="cellIs" dxfId="4946" priority="4944" stopIfTrue="1" operator="lessThan">
      <formula>0</formula>
    </cfRule>
  </conditionalFormatting>
  <conditionalFormatting sqref="H246:H255">
    <cfRule type="cellIs" dxfId="4945" priority="4941" stopIfTrue="1" operator="lessThan">
      <formula>0.05</formula>
    </cfRule>
    <cfRule type="cellIs" dxfId="4944" priority="4942" stopIfTrue="1" operator="lessThan">
      <formula>0</formula>
    </cfRule>
  </conditionalFormatting>
  <conditionalFormatting sqref="H246:H255">
    <cfRule type="cellIs" dxfId="4943" priority="4939" stopIfTrue="1" operator="lessThan">
      <formula>0</formula>
    </cfRule>
    <cfRule type="cellIs" dxfId="4942" priority="4940" stopIfTrue="1" operator="lessThan">
      <formula>0</formula>
    </cfRule>
  </conditionalFormatting>
  <conditionalFormatting sqref="H246:H255">
    <cfRule type="cellIs" dxfId="4941" priority="4937" stopIfTrue="1" operator="lessThan">
      <formula>0.05</formula>
    </cfRule>
    <cfRule type="cellIs" dxfId="4940" priority="4938" stopIfTrue="1" operator="lessThan">
      <formula>0</formula>
    </cfRule>
  </conditionalFormatting>
  <conditionalFormatting sqref="H246:H255">
    <cfRule type="cellIs" dxfId="4939" priority="4935" stopIfTrue="1" operator="lessThan">
      <formula>0</formula>
    </cfRule>
    <cfRule type="cellIs" dxfId="4938" priority="4936" stopIfTrue="1" operator="lessThan">
      <formula>0</formula>
    </cfRule>
  </conditionalFormatting>
  <conditionalFormatting sqref="H246:H255">
    <cfRule type="cellIs" dxfId="4937" priority="4933" stopIfTrue="1" operator="lessThan">
      <formula>0.05</formula>
    </cfRule>
    <cfRule type="cellIs" dxfId="4936" priority="4934" stopIfTrue="1" operator="lessThan">
      <formula>0</formula>
    </cfRule>
  </conditionalFormatting>
  <conditionalFormatting sqref="H246:H255">
    <cfRule type="cellIs" dxfId="4935" priority="4931" stopIfTrue="1" operator="lessThan">
      <formula>0</formula>
    </cfRule>
    <cfRule type="cellIs" dxfId="4934" priority="4932" stopIfTrue="1" operator="lessThan">
      <formula>0</formula>
    </cfRule>
  </conditionalFormatting>
  <conditionalFormatting sqref="H246:H255">
    <cfRule type="cellIs" dxfId="4933" priority="4929" stopIfTrue="1" operator="lessThan">
      <formula>0</formula>
    </cfRule>
    <cfRule type="cellIs" dxfId="4932" priority="4930" stopIfTrue="1" operator="lessThan">
      <formula>0</formula>
    </cfRule>
  </conditionalFormatting>
  <conditionalFormatting sqref="H246:H255">
    <cfRule type="cellIs" dxfId="4931" priority="4927" stopIfTrue="1" operator="lessThan">
      <formula>0</formula>
    </cfRule>
    <cfRule type="cellIs" dxfId="4930" priority="4928" stopIfTrue="1" operator="lessThan">
      <formula>0</formula>
    </cfRule>
  </conditionalFormatting>
  <conditionalFormatting sqref="H246:H255">
    <cfRule type="cellIs" dxfId="4929" priority="4925" stopIfTrue="1" operator="lessThan">
      <formula>0.05</formula>
    </cfRule>
    <cfRule type="cellIs" dxfId="4928" priority="4926" stopIfTrue="1" operator="lessThan">
      <formula>0</formula>
    </cfRule>
  </conditionalFormatting>
  <conditionalFormatting sqref="H246:H255">
    <cfRule type="cellIs" dxfId="4927" priority="4923" stopIfTrue="1" operator="lessThan">
      <formula>0</formula>
    </cfRule>
    <cfRule type="cellIs" dxfId="4926" priority="4924" stopIfTrue="1" operator="lessThan">
      <formula>0</formula>
    </cfRule>
  </conditionalFormatting>
  <conditionalFormatting sqref="H246:H255">
    <cfRule type="cellIs" dxfId="4925" priority="4921" stopIfTrue="1" operator="lessThan">
      <formula>0.05</formula>
    </cfRule>
    <cfRule type="cellIs" dxfId="4924" priority="4922" stopIfTrue="1" operator="lessThan">
      <formula>0</formula>
    </cfRule>
  </conditionalFormatting>
  <conditionalFormatting sqref="H246:H255">
    <cfRule type="cellIs" dxfId="4923" priority="4919" stopIfTrue="1" operator="lessThan">
      <formula>0</formula>
    </cfRule>
    <cfRule type="cellIs" dxfId="4922" priority="4920" stopIfTrue="1" operator="lessThan">
      <formula>0</formula>
    </cfRule>
  </conditionalFormatting>
  <conditionalFormatting sqref="H246:H255">
    <cfRule type="cellIs" dxfId="4921" priority="4917" stopIfTrue="1" operator="lessThan">
      <formula>0.05</formula>
    </cfRule>
    <cfRule type="cellIs" dxfId="4920" priority="4918" stopIfTrue="1" operator="lessThan">
      <formula>0</formula>
    </cfRule>
  </conditionalFormatting>
  <conditionalFormatting sqref="H246:H255">
    <cfRule type="cellIs" dxfId="4919" priority="4915" stopIfTrue="1" operator="lessThan">
      <formula>0</formula>
    </cfRule>
    <cfRule type="cellIs" dxfId="4918" priority="4916" stopIfTrue="1" operator="lessThan">
      <formula>0</formula>
    </cfRule>
  </conditionalFormatting>
  <conditionalFormatting sqref="H246:H255">
    <cfRule type="cellIs" dxfId="4917" priority="4913" stopIfTrue="1" operator="lessThan">
      <formula>0</formula>
    </cfRule>
    <cfRule type="cellIs" dxfId="4916" priority="4914" stopIfTrue="1" operator="lessThan">
      <formula>0</formula>
    </cfRule>
  </conditionalFormatting>
  <conditionalFormatting sqref="H246:H255">
    <cfRule type="cellIs" dxfId="4915" priority="4911" stopIfTrue="1" operator="lessThan">
      <formula>0.05</formula>
    </cfRule>
    <cfRule type="cellIs" dxfId="4914" priority="4912" stopIfTrue="1" operator="lessThan">
      <formula>0</formula>
    </cfRule>
  </conditionalFormatting>
  <conditionalFormatting sqref="H246:H255">
    <cfRule type="cellIs" dxfId="4913" priority="4909" stopIfTrue="1" operator="lessThan">
      <formula>0</formula>
    </cfRule>
    <cfRule type="cellIs" dxfId="4912" priority="4910" stopIfTrue="1" operator="lessThan">
      <formula>0</formula>
    </cfRule>
  </conditionalFormatting>
  <conditionalFormatting sqref="H246:H255">
    <cfRule type="cellIs" dxfId="4911" priority="4907" stopIfTrue="1" operator="lessThan">
      <formula>0</formula>
    </cfRule>
    <cfRule type="cellIs" dxfId="4910" priority="4908" stopIfTrue="1" operator="lessThan">
      <formula>0</formula>
    </cfRule>
  </conditionalFormatting>
  <conditionalFormatting sqref="H246:H255">
    <cfRule type="cellIs" dxfId="4909" priority="4905" stopIfTrue="1" operator="lessThan">
      <formula>0.05</formula>
    </cfRule>
    <cfRule type="cellIs" dxfId="4908" priority="4906" stopIfTrue="1" operator="lessThan">
      <formula>0</formula>
    </cfRule>
  </conditionalFormatting>
  <conditionalFormatting sqref="H246:H255">
    <cfRule type="cellIs" dxfId="4907" priority="4903" stopIfTrue="1" operator="lessThan">
      <formula>0</formula>
    </cfRule>
    <cfRule type="cellIs" dxfId="4906" priority="4904" stopIfTrue="1" operator="lessThan">
      <formula>0</formula>
    </cfRule>
  </conditionalFormatting>
  <conditionalFormatting sqref="H246:H255">
    <cfRule type="cellIs" dxfId="4905" priority="4901" stopIfTrue="1" operator="lessThan">
      <formula>0</formula>
    </cfRule>
    <cfRule type="cellIs" dxfId="4904" priority="4902" stopIfTrue="1" operator="lessThan">
      <formula>0</formula>
    </cfRule>
  </conditionalFormatting>
  <conditionalFormatting sqref="H246:H255">
    <cfRule type="cellIs" dxfId="4903" priority="4899" stopIfTrue="1" operator="lessThan">
      <formula>0.05</formula>
    </cfRule>
    <cfRule type="cellIs" dxfId="4902" priority="4900" stopIfTrue="1" operator="lessThan">
      <formula>0</formula>
    </cfRule>
  </conditionalFormatting>
  <conditionalFormatting sqref="H246:H255">
    <cfRule type="cellIs" dxfId="4901" priority="4897" stopIfTrue="1" operator="lessThan">
      <formula>0</formula>
    </cfRule>
    <cfRule type="cellIs" dxfId="4900" priority="4898" stopIfTrue="1" operator="lessThan">
      <formula>0</formula>
    </cfRule>
  </conditionalFormatting>
  <conditionalFormatting sqref="H246:H255">
    <cfRule type="cellIs" dxfId="4899" priority="4895" stopIfTrue="1" operator="lessThan">
      <formula>0</formula>
    </cfRule>
    <cfRule type="cellIs" dxfId="4898" priority="4896" stopIfTrue="1" operator="lessThan">
      <formula>0</formula>
    </cfRule>
  </conditionalFormatting>
  <conditionalFormatting sqref="H246:H255">
    <cfRule type="cellIs" dxfId="4897" priority="4893" stopIfTrue="1" operator="lessThan">
      <formula>0.05</formula>
    </cfRule>
    <cfRule type="cellIs" dxfId="4896" priority="4894" stopIfTrue="1" operator="lessThan">
      <formula>0</formula>
    </cfRule>
  </conditionalFormatting>
  <conditionalFormatting sqref="H246:H255">
    <cfRule type="cellIs" dxfId="4895" priority="4891" stopIfTrue="1" operator="lessThan">
      <formula>0</formula>
    </cfRule>
    <cfRule type="cellIs" dxfId="4894" priority="4892" stopIfTrue="1" operator="lessThan">
      <formula>0</formula>
    </cfRule>
  </conditionalFormatting>
  <conditionalFormatting sqref="H246:H255">
    <cfRule type="cellIs" dxfId="4893" priority="4889" stopIfTrue="1" operator="lessThan">
      <formula>0</formula>
    </cfRule>
    <cfRule type="cellIs" dxfId="4892" priority="4890" stopIfTrue="1" operator="lessThan">
      <formula>0</formula>
    </cfRule>
  </conditionalFormatting>
  <conditionalFormatting sqref="H246:H255">
    <cfRule type="cellIs" dxfId="4891" priority="4887" stopIfTrue="1" operator="lessThan">
      <formula>0.05</formula>
    </cfRule>
    <cfRule type="cellIs" dxfId="4890" priority="4888" stopIfTrue="1" operator="lessThan">
      <formula>0</formula>
    </cfRule>
  </conditionalFormatting>
  <conditionalFormatting sqref="H246:H255">
    <cfRule type="cellIs" dxfId="4889" priority="4885" stopIfTrue="1" operator="lessThan">
      <formula>0</formula>
    </cfRule>
    <cfRule type="cellIs" dxfId="4888" priority="4886" stopIfTrue="1" operator="lessThan">
      <formula>0</formula>
    </cfRule>
  </conditionalFormatting>
  <conditionalFormatting sqref="H246:H255">
    <cfRule type="cellIs" dxfId="4887" priority="4883" stopIfTrue="1" operator="lessThan">
      <formula>0</formula>
    </cfRule>
    <cfRule type="cellIs" dxfId="4886" priority="4884" stopIfTrue="1" operator="lessThan">
      <formula>0</formula>
    </cfRule>
  </conditionalFormatting>
  <conditionalFormatting sqref="H246:H255">
    <cfRule type="cellIs" dxfId="4885" priority="4881" stopIfTrue="1" operator="lessThan">
      <formula>0.05</formula>
    </cfRule>
    <cfRule type="cellIs" dxfId="4884" priority="4882" stopIfTrue="1" operator="lessThan">
      <formula>0</formula>
    </cfRule>
  </conditionalFormatting>
  <conditionalFormatting sqref="H246:H255">
    <cfRule type="cellIs" dxfId="4883" priority="4879" stopIfTrue="1" operator="lessThan">
      <formula>0</formula>
    </cfRule>
    <cfRule type="cellIs" dxfId="4882" priority="4880" stopIfTrue="1" operator="lessThan">
      <formula>0</formula>
    </cfRule>
  </conditionalFormatting>
  <conditionalFormatting sqref="H246:H255">
    <cfRule type="cellIs" dxfId="4881" priority="4877" stopIfTrue="1" operator="lessThan">
      <formula>0</formula>
    </cfRule>
    <cfRule type="cellIs" dxfId="4880" priority="4878" stopIfTrue="1" operator="lessThan">
      <formula>0</formula>
    </cfRule>
  </conditionalFormatting>
  <conditionalFormatting sqref="H246:H255">
    <cfRule type="cellIs" dxfId="4879" priority="4875" stopIfTrue="1" operator="lessThan">
      <formula>0.05</formula>
    </cfRule>
    <cfRule type="cellIs" dxfId="4878" priority="4876" stopIfTrue="1" operator="lessThan">
      <formula>0</formula>
    </cfRule>
  </conditionalFormatting>
  <conditionalFormatting sqref="H246:H255">
    <cfRule type="cellIs" dxfId="4877" priority="4873" stopIfTrue="1" operator="lessThan">
      <formula>0</formula>
    </cfRule>
    <cfRule type="cellIs" dxfId="4876" priority="4874" stopIfTrue="1" operator="lessThan">
      <formula>0</formula>
    </cfRule>
  </conditionalFormatting>
  <conditionalFormatting sqref="H246:H255">
    <cfRule type="cellIs" dxfId="4875" priority="4871" stopIfTrue="1" operator="lessThan">
      <formula>0</formula>
    </cfRule>
    <cfRule type="cellIs" dxfId="4874" priority="4872" stopIfTrue="1" operator="lessThan">
      <formula>0</formula>
    </cfRule>
  </conditionalFormatting>
  <conditionalFormatting sqref="H246:H255">
    <cfRule type="cellIs" dxfId="4873" priority="4869" stopIfTrue="1" operator="lessThan">
      <formula>0.05</formula>
    </cfRule>
    <cfRule type="cellIs" dxfId="4872" priority="4870" stopIfTrue="1" operator="lessThan">
      <formula>0</formula>
    </cfRule>
  </conditionalFormatting>
  <conditionalFormatting sqref="H246:H255">
    <cfRule type="cellIs" dxfId="4871" priority="4867" stopIfTrue="1" operator="lessThan">
      <formula>0</formula>
    </cfRule>
    <cfRule type="cellIs" dxfId="4870" priority="4868" stopIfTrue="1" operator="lessThan">
      <formula>0</formula>
    </cfRule>
  </conditionalFormatting>
  <conditionalFormatting sqref="H246:H255">
    <cfRule type="cellIs" dxfId="4869" priority="4865" stopIfTrue="1" operator="lessThan">
      <formula>0</formula>
    </cfRule>
    <cfRule type="cellIs" dxfId="4868" priority="4866" stopIfTrue="1" operator="lessThan">
      <formula>0</formula>
    </cfRule>
  </conditionalFormatting>
  <conditionalFormatting sqref="H246:H255">
    <cfRule type="cellIs" dxfId="4867" priority="4863" stopIfTrue="1" operator="lessThan">
      <formula>0.05</formula>
    </cfRule>
    <cfRule type="cellIs" dxfId="4866" priority="4864" stopIfTrue="1" operator="lessThan">
      <formula>0</formula>
    </cfRule>
  </conditionalFormatting>
  <conditionalFormatting sqref="H246:H255">
    <cfRule type="cellIs" dxfId="4865" priority="4861" stopIfTrue="1" operator="lessThan">
      <formula>0</formula>
    </cfRule>
    <cfRule type="cellIs" dxfId="4864" priority="4862" stopIfTrue="1" operator="lessThan">
      <formula>0</formula>
    </cfRule>
  </conditionalFormatting>
  <conditionalFormatting sqref="H246:H255">
    <cfRule type="cellIs" dxfId="4863" priority="4859" stopIfTrue="1" operator="lessThan">
      <formula>0</formula>
    </cfRule>
    <cfRule type="cellIs" dxfId="4862" priority="4860" stopIfTrue="1" operator="lessThan">
      <formula>0</formula>
    </cfRule>
  </conditionalFormatting>
  <conditionalFormatting sqref="H246:H255">
    <cfRule type="cellIs" dxfId="4861" priority="4857" stopIfTrue="1" operator="lessThan">
      <formula>0.05</formula>
    </cfRule>
    <cfRule type="cellIs" dxfId="4860" priority="4858" stopIfTrue="1" operator="lessThan">
      <formula>0</formula>
    </cfRule>
  </conditionalFormatting>
  <conditionalFormatting sqref="H246:H255">
    <cfRule type="cellIs" dxfId="4859" priority="4855" stopIfTrue="1" operator="lessThan">
      <formula>0</formula>
    </cfRule>
    <cfRule type="cellIs" dxfId="4858" priority="4856" stopIfTrue="1" operator="lessThan">
      <formula>0</formula>
    </cfRule>
  </conditionalFormatting>
  <conditionalFormatting sqref="H246:H255">
    <cfRule type="cellIs" dxfId="4857" priority="4853" stopIfTrue="1" operator="lessThan">
      <formula>0</formula>
    </cfRule>
    <cfRule type="cellIs" dxfId="4856" priority="4854" stopIfTrue="1" operator="lessThan">
      <formula>0</formula>
    </cfRule>
  </conditionalFormatting>
  <conditionalFormatting sqref="H246:H255">
    <cfRule type="cellIs" dxfId="4855" priority="4851" stopIfTrue="1" operator="lessThan">
      <formula>0.05</formula>
    </cfRule>
    <cfRule type="cellIs" dxfId="4854" priority="4852" stopIfTrue="1" operator="lessThan">
      <formula>0</formula>
    </cfRule>
  </conditionalFormatting>
  <conditionalFormatting sqref="H246:H255">
    <cfRule type="cellIs" dxfId="4853" priority="4849" stopIfTrue="1" operator="lessThan">
      <formula>0</formula>
    </cfRule>
    <cfRule type="cellIs" dxfId="4852" priority="4850" stopIfTrue="1" operator="lessThan">
      <formula>0</formula>
    </cfRule>
  </conditionalFormatting>
  <conditionalFormatting sqref="H246:H255">
    <cfRule type="cellIs" dxfId="4851" priority="4847" stopIfTrue="1" operator="lessThan">
      <formula>0</formula>
    </cfRule>
    <cfRule type="cellIs" dxfId="4850" priority="4848" stopIfTrue="1" operator="lessThan">
      <formula>0</formula>
    </cfRule>
  </conditionalFormatting>
  <conditionalFormatting sqref="H246:H255">
    <cfRule type="cellIs" dxfId="4849" priority="4845" stopIfTrue="1" operator="lessThan">
      <formula>0.05</formula>
    </cfRule>
    <cfRule type="cellIs" dxfId="4848" priority="4846" stopIfTrue="1" operator="lessThan">
      <formula>0</formula>
    </cfRule>
  </conditionalFormatting>
  <conditionalFormatting sqref="H246:H255">
    <cfRule type="cellIs" dxfId="4847" priority="4843" stopIfTrue="1" operator="lessThan">
      <formula>0</formula>
    </cfRule>
    <cfRule type="cellIs" dxfId="4846" priority="4844" stopIfTrue="1" operator="lessThan">
      <formula>0</formula>
    </cfRule>
  </conditionalFormatting>
  <conditionalFormatting sqref="H246:H255">
    <cfRule type="cellIs" dxfId="4845" priority="4841" stopIfTrue="1" operator="lessThan">
      <formula>0.05</formula>
    </cfRule>
    <cfRule type="cellIs" dxfId="4844" priority="4842" stopIfTrue="1" operator="lessThan">
      <formula>0</formula>
    </cfRule>
  </conditionalFormatting>
  <conditionalFormatting sqref="H246:H255">
    <cfRule type="cellIs" dxfId="4843" priority="4839" stopIfTrue="1" operator="lessThan">
      <formula>0</formula>
    </cfRule>
    <cfRule type="cellIs" dxfId="4842" priority="4840" stopIfTrue="1" operator="lessThan">
      <formula>0</formula>
    </cfRule>
  </conditionalFormatting>
  <conditionalFormatting sqref="H246:H255">
    <cfRule type="cellIs" dxfId="4841" priority="4837" stopIfTrue="1" operator="lessThan">
      <formula>0.05</formula>
    </cfRule>
    <cfRule type="cellIs" dxfId="4840" priority="4838" stopIfTrue="1" operator="lessThan">
      <formula>0</formula>
    </cfRule>
  </conditionalFormatting>
  <conditionalFormatting sqref="H246:H255">
    <cfRule type="cellIs" dxfId="4839" priority="4835" stopIfTrue="1" operator="lessThan">
      <formula>0</formula>
    </cfRule>
    <cfRule type="cellIs" dxfId="4838" priority="4836" stopIfTrue="1" operator="lessThan">
      <formula>0</formula>
    </cfRule>
  </conditionalFormatting>
  <conditionalFormatting sqref="H246:H255">
    <cfRule type="cellIs" dxfId="4837" priority="4833" stopIfTrue="1" operator="lessThan">
      <formula>0</formula>
    </cfRule>
    <cfRule type="cellIs" dxfId="4836" priority="4834" stopIfTrue="1" operator="lessThan">
      <formula>0</formula>
    </cfRule>
  </conditionalFormatting>
  <conditionalFormatting sqref="H246:H255">
    <cfRule type="cellIs" dxfId="4835" priority="4831" stopIfTrue="1" operator="lessThan">
      <formula>0</formula>
    </cfRule>
    <cfRule type="cellIs" dxfId="4834" priority="4832" stopIfTrue="1" operator="lessThan">
      <formula>0</formula>
    </cfRule>
  </conditionalFormatting>
  <conditionalFormatting sqref="H246:H255">
    <cfRule type="cellIs" dxfId="4833" priority="4829" stopIfTrue="1" operator="lessThan">
      <formula>0.05</formula>
    </cfRule>
    <cfRule type="cellIs" dxfId="4832" priority="4830" stopIfTrue="1" operator="lessThan">
      <formula>0</formula>
    </cfRule>
  </conditionalFormatting>
  <conditionalFormatting sqref="H246:H255">
    <cfRule type="cellIs" dxfId="4831" priority="4827" stopIfTrue="1" operator="lessThan">
      <formula>0</formula>
    </cfRule>
    <cfRule type="cellIs" dxfId="4830" priority="4828" stopIfTrue="1" operator="lessThan">
      <formula>0</formula>
    </cfRule>
  </conditionalFormatting>
  <conditionalFormatting sqref="H246:H255">
    <cfRule type="cellIs" dxfId="4829" priority="4825" stopIfTrue="1" operator="lessThan">
      <formula>0.05</formula>
    </cfRule>
    <cfRule type="cellIs" dxfId="4828" priority="4826" stopIfTrue="1" operator="lessThan">
      <formula>0</formula>
    </cfRule>
  </conditionalFormatting>
  <conditionalFormatting sqref="H246:H255">
    <cfRule type="cellIs" dxfId="4827" priority="4823" stopIfTrue="1" operator="lessThan">
      <formula>0</formula>
    </cfRule>
    <cfRule type="cellIs" dxfId="4826" priority="4824" stopIfTrue="1" operator="lessThan">
      <formula>0</formula>
    </cfRule>
  </conditionalFormatting>
  <conditionalFormatting sqref="H246:H255">
    <cfRule type="cellIs" dxfId="4825" priority="4821" stopIfTrue="1" operator="lessThan">
      <formula>0.05</formula>
    </cfRule>
    <cfRule type="cellIs" dxfId="4824" priority="4822" stopIfTrue="1" operator="lessThan">
      <formula>0</formula>
    </cfRule>
  </conditionalFormatting>
  <conditionalFormatting sqref="H246:H255">
    <cfRule type="cellIs" dxfId="4823" priority="4819" stopIfTrue="1" operator="lessThan">
      <formula>0</formula>
    </cfRule>
    <cfRule type="cellIs" dxfId="4822" priority="4820" stopIfTrue="1" operator="lessThan">
      <formula>0</formula>
    </cfRule>
  </conditionalFormatting>
  <conditionalFormatting sqref="H246:H255">
    <cfRule type="cellIs" dxfId="4821" priority="4817" stopIfTrue="1" operator="lessThan">
      <formula>0</formula>
    </cfRule>
    <cfRule type="cellIs" dxfId="4820" priority="4818" stopIfTrue="1" operator="lessThan">
      <formula>0</formula>
    </cfRule>
  </conditionalFormatting>
  <conditionalFormatting sqref="H246:H255">
    <cfRule type="cellIs" dxfId="4819" priority="4815" stopIfTrue="1" operator="lessThan">
      <formula>0.05</formula>
    </cfRule>
    <cfRule type="cellIs" dxfId="4818" priority="4816" stopIfTrue="1" operator="lessThan">
      <formula>0</formula>
    </cfRule>
  </conditionalFormatting>
  <conditionalFormatting sqref="H246:H255">
    <cfRule type="cellIs" dxfId="4817" priority="4813" stopIfTrue="1" operator="lessThan">
      <formula>0</formula>
    </cfRule>
    <cfRule type="cellIs" dxfId="4816" priority="4814" stopIfTrue="1" operator="lessThan">
      <formula>0</formula>
    </cfRule>
  </conditionalFormatting>
  <conditionalFormatting sqref="H246:H255">
    <cfRule type="cellIs" dxfId="4815" priority="4811" stopIfTrue="1" operator="lessThan">
      <formula>0</formula>
    </cfRule>
    <cfRule type="cellIs" dxfId="4814" priority="4812" stopIfTrue="1" operator="lessThan">
      <formula>0</formula>
    </cfRule>
  </conditionalFormatting>
  <conditionalFormatting sqref="H246:H255">
    <cfRule type="cellIs" dxfId="4813" priority="4809" stopIfTrue="1" operator="lessThan">
      <formula>0.05</formula>
    </cfRule>
    <cfRule type="cellIs" dxfId="4812" priority="4810" stopIfTrue="1" operator="lessThan">
      <formula>0</formula>
    </cfRule>
  </conditionalFormatting>
  <conditionalFormatting sqref="H246:H255">
    <cfRule type="cellIs" dxfId="4811" priority="4807" stopIfTrue="1" operator="lessThan">
      <formula>0</formula>
    </cfRule>
    <cfRule type="cellIs" dxfId="4810" priority="4808" stopIfTrue="1" operator="lessThan">
      <formula>0</formula>
    </cfRule>
  </conditionalFormatting>
  <conditionalFormatting sqref="H246:H255">
    <cfRule type="cellIs" dxfId="4809" priority="4805" stopIfTrue="1" operator="lessThan">
      <formula>0</formula>
    </cfRule>
    <cfRule type="cellIs" dxfId="4808" priority="4806" stopIfTrue="1" operator="lessThan">
      <formula>0</formula>
    </cfRule>
  </conditionalFormatting>
  <conditionalFormatting sqref="H246:H255">
    <cfRule type="cellIs" dxfId="4807" priority="4803" stopIfTrue="1" operator="lessThan">
      <formula>0.05</formula>
    </cfRule>
    <cfRule type="cellIs" dxfId="4806" priority="4804" stopIfTrue="1" operator="lessThan">
      <formula>0</formula>
    </cfRule>
  </conditionalFormatting>
  <conditionalFormatting sqref="H246:H255">
    <cfRule type="cellIs" dxfId="4805" priority="4801" stopIfTrue="1" operator="lessThan">
      <formula>0</formula>
    </cfRule>
    <cfRule type="cellIs" dxfId="4804" priority="4802" stopIfTrue="1" operator="lessThan">
      <formula>0</formula>
    </cfRule>
  </conditionalFormatting>
  <conditionalFormatting sqref="H246:H255">
    <cfRule type="cellIs" dxfId="4803" priority="4799" stopIfTrue="1" operator="lessThan">
      <formula>0</formula>
    </cfRule>
    <cfRule type="cellIs" dxfId="4802" priority="4800" stopIfTrue="1" operator="lessThan">
      <formula>0</formula>
    </cfRule>
  </conditionalFormatting>
  <conditionalFormatting sqref="H246:H255">
    <cfRule type="cellIs" dxfId="4801" priority="4797" stopIfTrue="1" operator="lessThan">
      <formula>0.05</formula>
    </cfRule>
    <cfRule type="cellIs" dxfId="4800" priority="4798" stopIfTrue="1" operator="lessThan">
      <formula>0</formula>
    </cfRule>
  </conditionalFormatting>
  <conditionalFormatting sqref="H246:H255">
    <cfRule type="cellIs" dxfId="4799" priority="4795" stopIfTrue="1" operator="lessThan">
      <formula>0</formula>
    </cfRule>
    <cfRule type="cellIs" dxfId="4798" priority="4796" stopIfTrue="1" operator="lessThan">
      <formula>0</formula>
    </cfRule>
  </conditionalFormatting>
  <conditionalFormatting sqref="H246:H255">
    <cfRule type="cellIs" dxfId="4797" priority="4793" stopIfTrue="1" operator="lessThan">
      <formula>0</formula>
    </cfRule>
    <cfRule type="cellIs" dxfId="4796" priority="4794" stopIfTrue="1" operator="lessThan">
      <formula>0</formula>
    </cfRule>
  </conditionalFormatting>
  <conditionalFormatting sqref="H246:H255">
    <cfRule type="cellIs" dxfId="4795" priority="4791" stopIfTrue="1" operator="lessThan">
      <formula>0.05</formula>
    </cfRule>
    <cfRule type="cellIs" dxfId="4794" priority="4792" stopIfTrue="1" operator="lessThan">
      <formula>0</formula>
    </cfRule>
  </conditionalFormatting>
  <conditionalFormatting sqref="H246:H255">
    <cfRule type="cellIs" dxfId="4793" priority="4789" stopIfTrue="1" operator="lessThan">
      <formula>0</formula>
    </cfRule>
    <cfRule type="cellIs" dxfId="4792" priority="4790" stopIfTrue="1" operator="lessThan">
      <formula>0</formula>
    </cfRule>
  </conditionalFormatting>
  <conditionalFormatting sqref="H246:H255">
    <cfRule type="cellIs" dxfId="4791" priority="4787" stopIfTrue="1" operator="lessThan">
      <formula>0</formula>
    </cfRule>
    <cfRule type="cellIs" dxfId="4790" priority="4788" stopIfTrue="1" operator="lessThan">
      <formula>0</formula>
    </cfRule>
  </conditionalFormatting>
  <conditionalFormatting sqref="H246:H255">
    <cfRule type="cellIs" dxfId="4789" priority="4785" stopIfTrue="1" operator="lessThan">
      <formula>0.05</formula>
    </cfRule>
    <cfRule type="cellIs" dxfId="4788" priority="4786" stopIfTrue="1" operator="lessThan">
      <formula>0</formula>
    </cfRule>
  </conditionalFormatting>
  <conditionalFormatting sqref="H246:H255">
    <cfRule type="cellIs" dxfId="4787" priority="4783" stopIfTrue="1" operator="lessThan">
      <formula>0</formula>
    </cfRule>
    <cfRule type="cellIs" dxfId="4786" priority="4784" stopIfTrue="1" operator="lessThan">
      <formula>0</formula>
    </cfRule>
  </conditionalFormatting>
  <conditionalFormatting sqref="H246:H255">
    <cfRule type="cellIs" dxfId="4785" priority="4781" stopIfTrue="1" operator="lessThan">
      <formula>0</formula>
    </cfRule>
    <cfRule type="cellIs" dxfId="4784" priority="4782" stopIfTrue="1" operator="lessThan">
      <formula>0</formula>
    </cfRule>
  </conditionalFormatting>
  <conditionalFormatting sqref="H246:H255">
    <cfRule type="cellIs" dxfId="4783" priority="4779" stopIfTrue="1" operator="lessThan">
      <formula>0.05</formula>
    </cfRule>
    <cfRule type="cellIs" dxfId="4782" priority="4780" stopIfTrue="1" operator="lessThan">
      <formula>0</formula>
    </cfRule>
  </conditionalFormatting>
  <conditionalFormatting sqref="H246:H255">
    <cfRule type="cellIs" dxfId="4781" priority="4777" stopIfTrue="1" operator="lessThan">
      <formula>0</formula>
    </cfRule>
    <cfRule type="cellIs" dxfId="4780" priority="4778" stopIfTrue="1" operator="lessThan">
      <formula>0</formula>
    </cfRule>
  </conditionalFormatting>
  <conditionalFormatting sqref="H246:H255">
    <cfRule type="cellIs" dxfId="4779" priority="4775" stopIfTrue="1" operator="lessThan">
      <formula>0</formula>
    </cfRule>
    <cfRule type="cellIs" dxfId="4778" priority="4776" stopIfTrue="1" operator="lessThan">
      <formula>0</formula>
    </cfRule>
  </conditionalFormatting>
  <conditionalFormatting sqref="H246:H255">
    <cfRule type="cellIs" dxfId="4777" priority="4773" stopIfTrue="1" operator="lessThan">
      <formula>0.05</formula>
    </cfRule>
    <cfRule type="cellIs" dxfId="4776" priority="4774" stopIfTrue="1" operator="lessThan">
      <formula>0</formula>
    </cfRule>
  </conditionalFormatting>
  <conditionalFormatting sqref="H246:H255">
    <cfRule type="cellIs" dxfId="4775" priority="4771" stopIfTrue="1" operator="lessThan">
      <formula>0</formula>
    </cfRule>
    <cfRule type="cellIs" dxfId="4774" priority="4772" stopIfTrue="1" operator="lessThan">
      <formula>0</formula>
    </cfRule>
  </conditionalFormatting>
  <conditionalFormatting sqref="H246:H255">
    <cfRule type="cellIs" dxfId="4773" priority="4769" stopIfTrue="1" operator="lessThan">
      <formula>0</formula>
    </cfRule>
    <cfRule type="cellIs" dxfId="4772" priority="4770" stopIfTrue="1" operator="lessThan">
      <formula>0</formula>
    </cfRule>
  </conditionalFormatting>
  <conditionalFormatting sqref="H246:H255">
    <cfRule type="cellIs" dxfId="4771" priority="4767" stopIfTrue="1" operator="lessThan">
      <formula>0.05</formula>
    </cfRule>
    <cfRule type="cellIs" dxfId="4770" priority="4768" stopIfTrue="1" operator="lessThan">
      <formula>0</formula>
    </cfRule>
  </conditionalFormatting>
  <conditionalFormatting sqref="H246:H255">
    <cfRule type="cellIs" dxfId="4769" priority="4765" stopIfTrue="1" operator="lessThan">
      <formula>0</formula>
    </cfRule>
    <cfRule type="cellIs" dxfId="4768" priority="4766" stopIfTrue="1" operator="lessThan">
      <formula>0</formula>
    </cfRule>
  </conditionalFormatting>
  <conditionalFormatting sqref="H246:H255">
    <cfRule type="cellIs" dxfId="4767" priority="4763" stopIfTrue="1" operator="lessThan">
      <formula>0</formula>
    </cfRule>
    <cfRule type="cellIs" dxfId="4766" priority="4764" stopIfTrue="1" operator="lessThan">
      <formula>0</formula>
    </cfRule>
  </conditionalFormatting>
  <conditionalFormatting sqref="H246:H255">
    <cfRule type="cellIs" dxfId="4765" priority="4761" stopIfTrue="1" operator="lessThan">
      <formula>0.05</formula>
    </cfRule>
    <cfRule type="cellIs" dxfId="4764" priority="4762" stopIfTrue="1" operator="lessThan">
      <formula>0</formula>
    </cfRule>
  </conditionalFormatting>
  <conditionalFormatting sqref="H246:H255">
    <cfRule type="cellIs" dxfId="4763" priority="4759" stopIfTrue="1" operator="lessThan">
      <formula>0</formula>
    </cfRule>
    <cfRule type="cellIs" dxfId="4762" priority="4760" stopIfTrue="1" operator="lessThan">
      <formula>0</formula>
    </cfRule>
  </conditionalFormatting>
  <conditionalFormatting sqref="H246:H255">
    <cfRule type="cellIs" dxfId="4761" priority="4757" stopIfTrue="1" operator="lessThan">
      <formula>0</formula>
    </cfRule>
    <cfRule type="cellIs" dxfId="4760" priority="4758" stopIfTrue="1" operator="lessThan">
      <formula>0</formula>
    </cfRule>
  </conditionalFormatting>
  <conditionalFormatting sqref="H246:H255">
    <cfRule type="cellIs" dxfId="4759" priority="4755" stopIfTrue="1" operator="lessThan">
      <formula>0.05</formula>
    </cfRule>
    <cfRule type="cellIs" dxfId="4758" priority="4756" stopIfTrue="1" operator="lessThan">
      <formula>0</formula>
    </cfRule>
  </conditionalFormatting>
  <conditionalFormatting sqref="H246:H255">
    <cfRule type="cellIs" dxfId="4757" priority="4753" stopIfTrue="1" operator="lessThan">
      <formula>0</formula>
    </cfRule>
    <cfRule type="cellIs" dxfId="4756" priority="4754" stopIfTrue="1" operator="lessThan">
      <formula>0</formula>
    </cfRule>
  </conditionalFormatting>
  <conditionalFormatting sqref="H246:H255">
    <cfRule type="cellIs" dxfId="4755" priority="4751" stopIfTrue="1" operator="lessThan">
      <formula>0</formula>
    </cfRule>
    <cfRule type="cellIs" dxfId="4754" priority="4752" stopIfTrue="1" operator="lessThan">
      <formula>0</formula>
    </cfRule>
  </conditionalFormatting>
  <conditionalFormatting sqref="H246:H255">
    <cfRule type="cellIs" dxfId="4753" priority="4749" stopIfTrue="1" operator="lessThan">
      <formula>0.05</formula>
    </cfRule>
    <cfRule type="cellIs" dxfId="4752" priority="4750" stopIfTrue="1" operator="lessThan">
      <formula>0</formula>
    </cfRule>
  </conditionalFormatting>
  <conditionalFormatting sqref="H246:H255">
    <cfRule type="cellIs" dxfId="4751" priority="4747" stopIfTrue="1" operator="lessThan">
      <formula>0</formula>
    </cfRule>
    <cfRule type="cellIs" dxfId="4750" priority="4748" stopIfTrue="1" operator="lessThan">
      <formula>0</formula>
    </cfRule>
  </conditionalFormatting>
  <conditionalFormatting sqref="H246:H255">
    <cfRule type="cellIs" dxfId="4749" priority="4745" stopIfTrue="1" operator="lessThan">
      <formula>0</formula>
    </cfRule>
    <cfRule type="cellIs" dxfId="4748" priority="4746" stopIfTrue="1" operator="lessThan">
      <formula>0</formula>
    </cfRule>
  </conditionalFormatting>
  <conditionalFormatting sqref="H246:H255">
    <cfRule type="cellIs" dxfId="4747" priority="4743" stopIfTrue="1" operator="lessThan">
      <formula>0.05</formula>
    </cfRule>
    <cfRule type="cellIs" dxfId="4746" priority="4744" stopIfTrue="1" operator="lessThan">
      <formula>0</formula>
    </cfRule>
  </conditionalFormatting>
  <conditionalFormatting sqref="H246:H255">
    <cfRule type="cellIs" dxfId="4745" priority="4741" stopIfTrue="1" operator="lessThan">
      <formula>0</formula>
    </cfRule>
    <cfRule type="cellIs" dxfId="4744" priority="4742" stopIfTrue="1" operator="lessThan">
      <formula>0</formula>
    </cfRule>
  </conditionalFormatting>
  <conditionalFormatting sqref="H246:H255">
    <cfRule type="cellIs" dxfId="4743" priority="4739" stopIfTrue="1" operator="lessThan">
      <formula>0</formula>
    </cfRule>
    <cfRule type="cellIs" dxfId="4742" priority="4740" stopIfTrue="1" operator="lessThan">
      <formula>0</formula>
    </cfRule>
  </conditionalFormatting>
  <conditionalFormatting sqref="H246:H255">
    <cfRule type="cellIs" dxfId="4741" priority="4737" stopIfTrue="1" operator="lessThan">
      <formula>0.05</formula>
    </cfRule>
    <cfRule type="cellIs" dxfId="4740" priority="4738" stopIfTrue="1" operator="lessThan">
      <formula>0</formula>
    </cfRule>
  </conditionalFormatting>
  <conditionalFormatting sqref="H246:H255">
    <cfRule type="cellIs" dxfId="4739" priority="4735" stopIfTrue="1" operator="lessThan">
      <formula>0</formula>
    </cfRule>
    <cfRule type="cellIs" dxfId="4738" priority="4736" stopIfTrue="1" operator="lessThan">
      <formula>0</formula>
    </cfRule>
  </conditionalFormatting>
  <conditionalFormatting sqref="H246:H255">
    <cfRule type="cellIs" dxfId="4737" priority="4733" stopIfTrue="1" operator="lessThan">
      <formula>0.05</formula>
    </cfRule>
    <cfRule type="cellIs" dxfId="4736" priority="4734" stopIfTrue="1" operator="lessThan">
      <formula>0</formula>
    </cfRule>
  </conditionalFormatting>
  <conditionalFormatting sqref="H246:H255">
    <cfRule type="cellIs" dxfId="4735" priority="4731" stopIfTrue="1" operator="lessThan">
      <formula>0</formula>
    </cfRule>
    <cfRule type="cellIs" dxfId="4734" priority="4732" stopIfTrue="1" operator="lessThan">
      <formula>0</formula>
    </cfRule>
  </conditionalFormatting>
  <conditionalFormatting sqref="H246:H255">
    <cfRule type="cellIs" dxfId="4733" priority="4729" stopIfTrue="1" operator="lessThan">
      <formula>0.05</formula>
    </cfRule>
    <cfRule type="cellIs" dxfId="4732" priority="4730" stopIfTrue="1" operator="lessThan">
      <formula>0</formula>
    </cfRule>
  </conditionalFormatting>
  <conditionalFormatting sqref="H246:H255">
    <cfRule type="cellIs" dxfId="4731" priority="4727" stopIfTrue="1" operator="lessThan">
      <formula>0</formula>
    </cfRule>
    <cfRule type="cellIs" dxfId="4730" priority="4728" stopIfTrue="1" operator="lessThan">
      <formula>0</formula>
    </cfRule>
  </conditionalFormatting>
  <conditionalFormatting sqref="H246:H255">
    <cfRule type="cellIs" dxfId="4729" priority="4725" stopIfTrue="1" operator="lessThan">
      <formula>0</formula>
    </cfRule>
    <cfRule type="cellIs" dxfId="4728" priority="4726" stopIfTrue="1" operator="lessThan">
      <formula>0</formula>
    </cfRule>
  </conditionalFormatting>
  <conditionalFormatting sqref="H246:H255">
    <cfRule type="cellIs" dxfId="4727" priority="4723" stopIfTrue="1" operator="lessThan">
      <formula>0</formula>
    </cfRule>
    <cfRule type="cellIs" dxfId="4726" priority="4724" stopIfTrue="1" operator="lessThan">
      <formula>0</formula>
    </cfRule>
  </conditionalFormatting>
  <conditionalFormatting sqref="H246:H255">
    <cfRule type="cellIs" dxfId="4725" priority="4721" stopIfTrue="1" operator="lessThan">
      <formula>0.05</formula>
    </cfRule>
    <cfRule type="cellIs" dxfId="4724" priority="4722" stopIfTrue="1" operator="lessThan">
      <formula>0</formula>
    </cfRule>
  </conditionalFormatting>
  <conditionalFormatting sqref="H246:H255">
    <cfRule type="cellIs" dxfId="4723" priority="4719" stopIfTrue="1" operator="lessThan">
      <formula>0</formula>
    </cfRule>
    <cfRule type="cellIs" dxfId="4722" priority="4720" stopIfTrue="1" operator="lessThan">
      <formula>0</formula>
    </cfRule>
  </conditionalFormatting>
  <conditionalFormatting sqref="H246:H255">
    <cfRule type="cellIs" dxfId="4721" priority="4717" stopIfTrue="1" operator="lessThan">
      <formula>0.05</formula>
    </cfRule>
    <cfRule type="cellIs" dxfId="4720" priority="4718" stopIfTrue="1" operator="lessThan">
      <formula>0</formula>
    </cfRule>
  </conditionalFormatting>
  <conditionalFormatting sqref="H246:H255">
    <cfRule type="cellIs" dxfId="4719" priority="4715" stopIfTrue="1" operator="lessThan">
      <formula>0</formula>
    </cfRule>
    <cfRule type="cellIs" dxfId="4718" priority="4716" stopIfTrue="1" operator="lessThan">
      <formula>0</formula>
    </cfRule>
  </conditionalFormatting>
  <conditionalFormatting sqref="H246:H255">
    <cfRule type="cellIs" dxfId="4717" priority="4713" stopIfTrue="1" operator="lessThan">
      <formula>0.05</formula>
    </cfRule>
    <cfRule type="cellIs" dxfId="4716" priority="4714" stopIfTrue="1" operator="lessThan">
      <formula>0</formula>
    </cfRule>
  </conditionalFormatting>
  <conditionalFormatting sqref="H246:H255">
    <cfRule type="cellIs" dxfId="4715" priority="4711" stopIfTrue="1" operator="lessThan">
      <formula>0</formula>
    </cfRule>
    <cfRule type="cellIs" dxfId="4714" priority="4712" stopIfTrue="1" operator="lessThan">
      <formula>0</formula>
    </cfRule>
  </conditionalFormatting>
  <conditionalFormatting sqref="H246:H255">
    <cfRule type="cellIs" dxfId="4713" priority="4710" stopIfTrue="1" operator="lessThan">
      <formula>0.05</formula>
    </cfRule>
  </conditionalFormatting>
  <conditionalFormatting sqref="H246:H255">
    <cfRule type="cellIs" dxfId="4712" priority="4708" stopIfTrue="1" operator="lessThan">
      <formula>0</formula>
    </cfRule>
    <cfRule type="cellIs" dxfId="4711" priority="4709" stopIfTrue="1" operator="lessThan">
      <formula>0</formula>
    </cfRule>
  </conditionalFormatting>
  <conditionalFormatting sqref="H246:H255">
    <cfRule type="cellIs" dxfId="4710" priority="4706" stopIfTrue="1" operator="lessThan">
      <formula>0</formula>
    </cfRule>
    <cfRule type="cellIs" dxfId="4709" priority="4707" stopIfTrue="1" operator="lessThan">
      <formula>0</formula>
    </cfRule>
  </conditionalFormatting>
  <conditionalFormatting sqref="H246:H255">
    <cfRule type="cellIs" dxfId="4708" priority="4704" stopIfTrue="1" operator="lessThan">
      <formula>0.05</formula>
    </cfRule>
    <cfRule type="cellIs" dxfId="4707" priority="4705" stopIfTrue="1" operator="lessThan">
      <formula>0</formula>
    </cfRule>
  </conditionalFormatting>
  <conditionalFormatting sqref="H246:H255">
    <cfRule type="cellIs" dxfId="4706" priority="4702" stopIfTrue="1" operator="lessThan">
      <formula>0</formula>
    </cfRule>
    <cfRule type="cellIs" dxfId="4705" priority="4703" stopIfTrue="1" operator="lessThan">
      <formula>0</formula>
    </cfRule>
  </conditionalFormatting>
  <conditionalFormatting sqref="H246:H255">
    <cfRule type="cellIs" dxfId="4704" priority="4700" stopIfTrue="1" operator="lessThan">
      <formula>0.05</formula>
    </cfRule>
    <cfRule type="cellIs" dxfId="4703" priority="4701" stopIfTrue="1" operator="lessThan">
      <formula>0</formula>
    </cfRule>
  </conditionalFormatting>
  <conditionalFormatting sqref="H246:H255">
    <cfRule type="cellIs" dxfId="4702" priority="4698" stopIfTrue="1" operator="lessThan">
      <formula>0</formula>
    </cfRule>
    <cfRule type="cellIs" dxfId="4701" priority="4699" stopIfTrue="1" operator="lessThan">
      <formula>0</formula>
    </cfRule>
  </conditionalFormatting>
  <conditionalFormatting sqref="H246:H255">
    <cfRule type="cellIs" dxfId="4700" priority="4696" stopIfTrue="1" operator="lessThan">
      <formula>0.05</formula>
    </cfRule>
    <cfRule type="cellIs" dxfId="4699" priority="4697" stopIfTrue="1" operator="lessThan">
      <formula>0</formula>
    </cfRule>
  </conditionalFormatting>
  <conditionalFormatting sqref="H246:H255">
    <cfRule type="cellIs" dxfId="4698" priority="4694" stopIfTrue="1" operator="lessThan">
      <formula>0</formula>
    </cfRule>
    <cfRule type="cellIs" dxfId="4697" priority="4695" stopIfTrue="1" operator="lessThan">
      <formula>0</formula>
    </cfRule>
  </conditionalFormatting>
  <conditionalFormatting sqref="H246:H255">
    <cfRule type="cellIs" dxfId="4696" priority="4692" stopIfTrue="1" operator="lessThan">
      <formula>0</formula>
    </cfRule>
    <cfRule type="cellIs" dxfId="4695" priority="4693" stopIfTrue="1" operator="lessThan">
      <formula>0</formula>
    </cfRule>
  </conditionalFormatting>
  <conditionalFormatting sqref="H246:H255">
    <cfRule type="cellIs" dxfId="4694" priority="4690" stopIfTrue="1" operator="lessThan">
      <formula>0</formula>
    </cfRule>
    <cfRule type="cellIs" dxfId="4693" priority="4691" stopIfTrue="1" operator="lessThan">
      <formula>0</formula>
    </cfRule>
  </conditionalFormatting>
  <conditionalFormatting sqref="H246:H255">
    <cfRule type="cellIs" dxfId="4692" priority="4688" stopIfTrue="1" operator="lessThan">
      <formula>0.05</formula>
    </cfRule>
    <cfRule type="cellIs" dxfId="4691" priority="4689" stopIfTrue="1" operator="lessThan">
      <formula>0</formula>
    </cfRule>
  </conditionalFormatting>
  <conditionalFormatting sqref="H246:H255">
    <cfRule type="cellIs" dxfId="4690" priority="4686" stopIfTrue="1" operator="lessThan">
      <formula>0</formula>
    </cfRule>
    <cfRule type="cellIs" dxfId="4689" priority="4687" stopIfTrue="1" operator="lessThan">
      <formula>0</formula>
    </cfRule>
  </conditionalFormatting>
  <conditionalFormatting sqref="H246:H255">
    <cfRule type="cellIs" dxfId="4688" priority="4684" stopIfTrue="1" operator="lessThan">
      <formula>0.05</formula>
    </cfRule>
    <cfRule type="cellIs" dxfId="4687" priority="4685" stopIfTrue="1" operator="lessThan">
      <formula>0</formula>
    </cfRule>
  </conditionalFormatting>
  <conditionalFormatting sqref="H246:H255">
    <cfRule type="cellIs" dxfId="4686" priority="4682" stopIfTrue="1" operator="lessThan">
      <formula>0</formula>
    </cfRule>
    <cfRule type="cellIs" dxfId="4685" priority="4683" stopIfTrue="1" operator="lessThan">
      <formula>0</formula>
    </cfRule>
  </conditionalFormatting>
  <conditionalFormatting sqref="H246:H255">
    <cfRule type="cellIs" dxfId="4684" priority="4680" stopIfTrue="1" operator="lessThan">
      <formula>0.05</formula>
    </cfRule>
    <cfRule type="cellIs" dxfId="4683" priority="4681" stopIfTrue="1" operator="lessThan">
      <formula>0</formula>
    </cfRule>
  </conditionalFormatting>
  <conditionalFormatting sqref="H246:H255">
    <cfRule type="cellIs" dxfId="4682" priority="4678" stopIfTrue="1" operator="lessThan">
      <formula>0</formula>
    </cfRule>
    <cfRule type="cellIs" dxfId="4681" priority="4679" stopIfTrue="1" operator="lessThan">
      <formula>0</formula>
    </cfRule>
  </conditionalFormatting>
  <conditionalFormatting sqref="H246:H255">
    <cfRule type="cellIs" dxfId="4680" priority="4676" stopIfTrue="1" operator="lessThan">
      <formula>0</formula>
    </cfRule>
    <cfRule type="cellIs" dxfId="4679" priority="4677" stopIfTrue="1" operator="lessThan">
      <formula>0</formula>
    </cfRule>
  </conditionalFormatting>
  <conditionalFormatting sqref="H246:H255">
    <cfRule type="cellIs" dxfId="4678" priority="4674" stopIfTrue="1" operator="lessThan">
      <formula>0</formula>
    </cfRule>
    <cfRule type="cellIs" dxfId="4677" priority="4675" stopIfTrue="1" operator="lessThan">
      <formula>0</formula>
    </cfRule>
  </conditionalFormatting>
  <conditionalFormatting sqref="H246:H255">
    <cfRule type="cellIs" dxfId="4676" priority="4672" stopIfTrue="1" operator="lessThan">
      <formula>0.05</formula>
    </cfRule>
    <cfRule type="cellIs" dxfId="4675" priority="4673" stopIfTrue="1" operator="lessThan">
      <formula>0</formula>
    </cfRule>
  </conditionalFormatting>
  <conditionalFormatting sqref="H246:H255">
    <cfRule type="cellIs" dxfId="4674" priority="4670" stopIfTrue="1" operator="lessThan">
      <formula>0</formula>
    </cfRule>
    <cfRule type="cellIs" dxfId="4673" priority="4671" stopIfTrue="1" operator="lessThan">
      <formula>0</formula>
    </cfRule>
  </conditionalFormatting>
  <conditionalFormatting sqref="H246:H255">
    <cfRule type="cellIs" dxfId="4672" priority="4668" stopIfTrue="1" operator="lessThan">
      <formula>0.05</formula>
    </cfRule>
    <cfRule type="cellIs" dxfId="4671" priority="4669" stopIfTrue="1" operator="lessThan">
      <formula>0</formula>
    </cfRule>
  </conditionalFormatting>
  <conditionalFormatting sqref="H246:H255">
    <cfRule type="cellIs" dxfId="4670" priority="4666" stopIfTrue="1" operator="lessThan">
      <formula>0</formula>
    </cfRule>
    <cfRule type="cellIs" dxfId="4669" priority="4667" stopIfTrue="1" operator="lessThan">
      <formula>0</formula>
    </cfRule>
  </conditionalFormatting>
  <conditionalFormatting sqref="H246:H255">
    <cfRule type="cellIs" dxfId="4668" priority="4664" stopIfTrue="1" operator="lessThan">
      <formula>0.05</formula>
    </cfRule>
    <cfRule type="cellIs" dxfId="4667" priority="4665" stopIfTrue="1" operator="lessThan">
      <formula>0</formula>
    </cfRule>
  </conditionalFormatting>
  <conditionalFormatting sqref="H246:H255">
    <cfRule type="cellIs" dxfId="4666" priority="4662" stopIfTrue="1" operator="lessThan">
      <formula>0</formula>
    </cfRule>
    <cfRule type="cellIs" dxfId="4665" priority="4663" stopIfTrue="1" operator="lessThan">
      <formula>0</formula>
    </cfRule>
  </conditionalFormatting>
  <conditionalFormatting sqref="H246:H255">
    <cfRule type="cellIs" dxfId="4664" priority="4660" stopIfTrue="1" operator="lessThan">
      <formula>0</formula>
    </cfRule>
    <cfRule type="cellIs" dxfId="4663" priority="4661" stopIfTrue="1" operator="lessThan">
      <formula>0</formula>
    </cfRule>
  </conditionalFormatting>
  <conditionalFormatting sqref="H246:H255">
    <cfRule type="cellIs" dxfId="4662" priority="4658" stopIfTrue="1" operator="lessThan">
      <formula>0</formula>
    </cfRule>
    <cfRule type="cellIs" dxfId="4661" priority="4659" stopIfTrue="1" operator="lessThan">
      <formula>0</formula>
    </cfRule>
  </conditionalFormatting>
  <conditionalFormatting sqref="H246:H255">
    <cfRule type="cellIs" dxfId="4660" priority="4656" stopIfTrue="1" operator="lessThan">
      <formula>0.05</formula>
    </cfRule>
    <cfRule type="cellIs" dxfId="4659" priority="4657" stopIfTrue="1" operator="lessThan">
      <formula>0</formula>
    </cfRule>
  </conditionalFormatting>
  <conditionalFormatting sqref="H246:H255">
    <cfRule type="cellIs" dxfId="4658" priority="4654" stopIfTrue="1" operator="lessThan">
      <formula>0</formula>
    </cfRule>
    <cfRule type="cellIs" dxfId="4657" priority="4655" stopIfTrue="1" operator="lessThan">
      <formula>0</formula>
    </cfRule>
  </conditionalFormatting>
  <conditionalFormatting sqref="H246:H255">
    <cfRule type="cellIs" dxfId="4656" priority="4652" stopIfTrue="1" operator="lessThan">
      <formula>0.05</formula>
    </cfRule>
    <cfRule type="cellIs" dxfId="4655" priority="4653" stopIfTrue="1" operator="lessThan">
      <formula>0</formula>
    </cfRule>
  </conditionalFormatting>
  <conditionalFormatting sqref="H246:H255">
    <cfRule type="cellIs" dxfId="4654" priority="4650" stopIfTrue="1" operator="lessThan">
      <formula>0</formula>
    </cfRule>
    <cfRule type="cellIs" dxfId="4653" priority="4651" stopIfTrue="1" operator="lessThan">
      <formula>0</formula>
    </cfRule>
  </conditionalFormatting>
  <conditionalFormatting sqref="H246:H255">
    <cfRule type="cellIs" dxfId="4652" priority="4648" stopIfTrue="1" operator="lessThan">
      <formula>0.05</formula>
    </cfRule>
    <cfRule type="cellIs" dxfId="4651" priority="4649" stopIfTrue="1" operator="lessThan">
      <formula>0</formula>
    </cfRule>
  </conditionalFormatting>
  <conditionalFormatting sqref="H246:H255">
    <cfRule type="cellIs" dxfId="4650" priority="4646" stopIfTrue="1" operator="lessThan">
      <formula>0</formula>
    </cfRule>
    <cfRule type="cellIs" dxfId="4649" priority="4647" stopIfTrue="1" operator="lessThan">
      <formula>0</formula>
    </cfRule>
  </conditionalFormatting>
  <conditionalFormatting sqref="H246:H255">
    <cfRule type="cellIs" dxfId="4648" priority="4644" stopIfTrue="1" operator="lessThan">
      <formula>0</formula>
    </cfRule>
    <cfRule type="cellIs" dxfId="4647" priority="4645" stopIfTrue="1" operator="lessThan">
      <formula>0</formula>
    </cfRule>
  </conditionalFormatting>
  <conditionalFormatting sqref="H246:H255">
    <cfRule type="cellIs" dxfId="4646" priority="4642" stopIfTrue="1" operator="lessThan">
      <formula>0.05</formula>
    </cfRule>
    <cfRule type="cellIs" dxfId="4645" priority="4643" stopIfTrue="1" operator="lessThan">
      <formula>0</formula>
    </cfRule>
  </conditionalFormatting>
  <conditionalFormatting sqref="H246:H255">
    <cfRule type="cellIs" dxfId="4644" priority="4640" stopIfTrue="1" operator="lessThan">
      <formula>0</formula>
    </cfRule>
    <cfRule type="cellIs" dxfId="4643" priority="4641" stopIfTrue="1" operator="lessThan">
      <formula>0</formula>
    </cfRule>
  </conditionalFormatting>
  <conditionalFormatting sqref="H246:H255">
    <cfRule type="cellIs" dxfId="4642" priority="4638" stopIfTrue="1" operator="lessThan">
      <formula>0</formula>
    </cfRule>
    <cfRule type="cellIs" dxfId="4641" priority="4639" stopIfTrue="1" operator="lessThan">
      <formula>0</formula>
    </cfRule>
  </conditionalFormatting>
  <conditionalFormatting sqref="H246:H255">
    <cfRule type="cellIs" dxfId="4640" priority="4636" stopIfTrue="1" operator="lessThan">
      <formula>0.05</formula>
    </cfRule>
    <cfRule type="cellIs" dxfId="4639" priority="4637" stopIfTrue="1" operator="lessThan">
      <formula>0</formula>
    </cfRule>
  </conditionalFormatting>
  <conditionalFormatting sqref="H246:H255">
    <cfRule type="cellIs" dxfId="4638" priority="4634" stopIfTrue="1" operator="lessThan">
      <formula>0</formula>
    </cfRule>
    <cfRule type="cellIs" dxfId="4637" priority="4635" stopIfTrue="1" operator="lessThan">
      <formula>0</formula>
    </cfRule>
  </conditionalFormatting>
  <conditionalFormatting sqref="H246:H255">
    <cfRule type="cellIs" dxfId="4636" priority="4632" stopIfTrue="1" operator="lessThan">
      <formula>0</formula>
    </cfRule>
    <cfRule type="cellIs" dxfId="4635" priority="4633" stopIfTrue="1" operator="lessThan">
      <formula>0</formula>
    </cfRule>
  </conditionalFormatting>
  <conditionalFormatting sqref="H246:H255">
    <cfRule type="cellIs" dxfId="4634" priority="4630" stopIfTrue="1" operator="lessThan">
      <formula>0.05</formula>
    </cfRule>
    <cfRule type="cellIs" dxfId="4633" priority="4631" stopIfTrue="1" operator="lessThan">
      <formula>0</formula>
    </cfRule>
  </conditionalFormatting>
  <conditionalFormatting sqref="H246:H255">
    <cfRule type="cellIs" dxfId="4632" priority="4628" stopIfTrue="1" operator="lessThan">
      <formula>0</formula>
    </cfRule>
    <cfRule type="cellIs" dxfId="4631" priority="4629" stopIfTrue="1" operator="lessThan">
      <formula>0</formula>
    </cfRule>
  </conditionalFormatting>
  <conditionalFormatting sqref="H246:H255">
    <cfRule type="cellIs" dxfId="4630" priority="4626" stopIfTrue="1" operator="lessThan">
      <formula>0</formula>
    </cfRule>
    <cfRule type="cellIs" dxfId="4629" priority="4627" stopIfTrue="1" operator="lessThan">
      <formula>0</formula>
    </cfRule>
  </conditionalFormatting>
  <conditionalFormatting sqref="H246:H255">
    <cfRule type="cellIs" dxfId="4628" priority="4624" stopIfTrue="1" operator="lessThan">
      <formula>0.05</formula>
    </cfRule>
    <cfRule type="cellIs" dxfId="4627" priority="4625" stopIfTrue="1" operator="lessThan">
      <formula>0</formula>
    </cfRule>
  </conditionalFormatting>
  <conditionalFormatting sqref="H246:H255">
    <cfRule type="cellIs" dxfId="4626" priority="4622" stopIfTrue="1" operator="lessThan">
      <formula>0</formula>
    </cfRule>
    <cfRule type="cellIs" dxfId="4625" priority="4623" stopIfTrue="1" operator="lessThan">
      <formula>0</formula>
    </cfRule>
  </conditionalFormatting>
  <conditionalFormatting sqref="H246:H255">
    <cfRule type="cellIs" dxfId="4624" priority="4620" stopIfTrue="1" operator="lessThan">
      <formula>0</formula>
    </cfRule>
    <cfRule type="cellIs" dxfId="4623" priority="4621" stopIfTrue="1" operator="lessThan">
      <formula>0</formula>
    </cfRule>
  </conditionalFormatting>
  <conditionalFormatting sqref="H246:H255">
    <cfRule type="cellIs" dxfId="4622" priority="4618" stopIfTrue="1" operator="lessThan">
      <formula>0.05</formula>
    </cfRule>
    <cfRule type="cellIs" dxfId="4621" priority="4619" stopIfTrue="1" operator="lessThan">
      <formula>0</formula>
    </cfRule>
  </conditionalFormatting>
  <conditionalFormatting sqref="H246:H255">
    <cfRule type="cellIs" dxfId="4620" priority="4616" stopIfTrue="1" operator="lessThan">
      <formula>0</formula>
    </cfRule>
    <cfRule type="cellIs" dxfId="4619" priority="4617" stopIfTrue="1" operator="lessThan">
      <formula>0</formula>
    </cfRule>
  </conditionalFormatting>
  <conditionalFormatting sqref="H246:H255">
    <cfRule type="cellIs" dxfId="4618" priority="4614" stopIfTrue="1" operator="lessThan">
      <formula>0</formula>
    </cfRule>
    <cfRule type="cellIs" dxfId="4617" priority="4615" stopIfTrue="1" operator="lessThan">
      <formula>0</formula>
    </cfRule>
  </conditionalFormatting>
  <conditionalFormatting sqref="H246:H255">
    <cfRule type="cellIs" dxfId="4616" priority="4612" stopIfTrue="1" operator="lessThan">
      <formula>0.05</formula>
    </cfRule>
    <cfRule type="cellIs" dxfId="4615" priority="4613" stopIfTrue="1" operator="lessThan">
      <formula>0</formula>
    </cfRule>
  </conditionalFormatting>
  <conditionalFormatting sqref="H246:H255">
    <cfRule type="cellIs" dxfId="4614" priority="4610" stopIfTrue="1" operator="lessThan">
      <formula>0</formula>
    </cfRule>
    <cfRule type="cellIs" dxfId="4613" priority="4611" stopIfTrue="1" operator="lessThan">
      <formula>0</formula>
    </cfRule>
  </conditionalFormatting>
  <conditionalFormatting sqref="H246:H255">
    <cfRule type="cellIs" dxfId="4612" priority="4608" stopIfTrue="1" operator="lessThan">
      <formula>0</formula>
    </cfRule>
    <cfRule type="cellIs" dxfId="4611" priority="4609" stopIfTrue="1" operator="lessThan">
      <formula>0</formula>
    </cfRule>
  </conditionalFormatting>
  <conditionalFormatting sqref="H246:H255">
    <cfRule type="cellIs" dxfId="4610" priority="4606" stopIfTrue="1" operator="lessThan">
      <formula>0.05</formula>
    </cfRule>
    <cfRule type="cellIs" dxfId="4609" priority="4607" stopIfTrue="1" operator="lessThan">
      <formula>0</formula>
    </cfRule>
  </conditionalFormatting>
  <conditionalFormatting sqref="H246:H255">
    <cfRule type="cellIs" dxfId="4608" priority="4604" stopIfTrue="1" operator="lessThan">
      <formula>0</formula>
    </cfRule>
    <cfRule type="cellIs" dxfId="4607" priority="4605" stopIfTrue="1" operator="lessThan">
      <formula>0</formula>
    </cfRule>
  </conditionalFormatting>
  <conditionalFormatting sqref="H246:H255">
    <cfRule type="cellIs" dxfId="4606" priority="4602" stopIfTrue="1" operator="lessThan">
      <formula>0</formula>
    </cfRule>
    <cfRule type="cellIs" dxfId="4605" priority="4603" stopIfTrue="1" operator="lessThan">
      <formula>0</formula>
    </cfRule>
  </conditionalFormatting>
  <conditionalFormatting sqref="H246:H255">
    <cfRule type="cellIs" dxfId="4604" priority="4600" stopIfTrue="1" operator="lessThan">
      <formula>0.05</formula>
    </cfRule>
    <cfRule type="cellIs" dxfId="4603" priority="4601" stopIfTrue="1" operator="lessThan">
      <formula>0</formula>
    </cfRule>
  </conditionalFormatting>
  <conditionalFormatting sqref="H246:H255">
    <cfRule type="cellIs" dxfId="4602" priority="4598" stopIfTrue="1" operator="lessThan">
      <formula>0</formula>
    </cfRule>
    <cfRule type="cellIs" dxfId="4601" priority="4599" stopIfTrue="1" operator="lessThan">
      <formula>0</formula>
    </cfRule>
  </conditionalFormatting>
  <conditionalFormatting sqref="H246:H255">
    <cfRule type="cellIs" dxfId="4600" priority="4596" stopIfTrue="1" operator="lessThan">
      <formula>0</formula>
    </cfRule>
    <cfRule type="cellIs" dxfId="4599" priority="4597" stopIfTrue="1" operator="lessThan">
      <formula>0</formula>
    </cfRule>
  </conditionalFormatting>
  <conditionalFormatting sqref="H246:H255">
    <cfRule type="cellIs" dxfId="4598" priority="4594" stopIfTrue="1" operator="lessThan">
      <formula>0.05</formula>
    </cfRule>
    <cfRule type="cellIs" dxfId="4597" priority="4595" stopIfTrue="1" operator="lessThan">
      <formula>0</formula>
    </cfRule>
  </conditionalFormatting>
  <conditionalFormatting sqref="H246:H255">
    <cfRule type="cellIs" dxfId="4596" priority="4592" stopIfTrue="1" operator="lessThan">
      <formula>0</formula>
    </cfRule>
    <cfRule type="cellIs" dxfId="4595" priority="4593" stopIfTrue="1" operator="lessThan">
      <formula>0</formula>
    </cfRule>
  </conditionalFormatting>
  <conditionalFormatting sqref="H246:H255">
    <cfRule type="cellIs" dxfId="4594" priority="4590" stopIfTrue="1" operator="lessThan">
      <formula>0</formula>
    </cfRule>
    <cfRule type="cellIs" dxfId="4593" priority="4591" stopIfTrue="1" operator="lessThan">
      <formula>0</formula>
    </cfRule>
  </conditionalFormatting>
  <conditionalFormatting sqref="H246:H255">
    <cfRule type="cellIs" dxfId="4592" priority="4588" stopIfTrue="1" operator="lessThan">
      <formula>0.05</formula>
    </cfRule>
    <cfRule type="cellIs" dxfId="4591" priority="4589" stopIfTrue="1" operator="lessThan">
      <formula>0</formula>
    </cfRule>
  </conditionalFormatting>
  <conditionalFormatting sqref="H246:H255">
    <cfRule type="cellIs" dxfId="4590" priority="4586" stopIfTrue="1" operator="lessThan">
      <formula>0</formula>
    </cfRule>
    <cfRule type="cellIs" dxfId="4589" priority="4587" stopIfTrue="1" operator="lessThan">
      <formula>0</formula>
    </cfRule>
  </conditionalFormatting>
  <conditionalFormatting sqref="H246:H255">
    <cfRule type="cellIs" dxfId="4588" priority="4584" stopIfTrue="1" operator="lessThan">
      <formula>0</formula>
    </cfRule>
    <cfRule type="cellIs" dxfId="4587" priority="4585" stopIfTrue="1" operator="lessThan">
      <formula>0</formula>
    </cfRule>
  </conditionalFormatting>
  <conditionalFormatting sqref="H246:H255">
    <cfRule type="cellIs" dxfId="4586" priority="4582" stopIfTrue="1" operator="lessThan">
      <formula>0.05</formula>
    </cfRule>
    <cfRule type="cellIs" dxfId="4585" priority="4583" stopIfTrue="1" operator="lessThan">
      <formula>0</formula>
    </cfRule>
  </conditionalFormatting>
  <conditionalFormatting sqref="H246:H255">
    <cfRule type="cellIs" dxfId="4584" priority="4580" stopIfTrue="1" operator="lessThan">
      <formula>0</formula>
    </cfRule>
    <cfRule type="cellIs" dxfId="4583" priority="4581" stopIfTrue="1" operator="lessThan">
      <formula>0</formula>
    </cfRule>
  </conditionalFormatting>
  <conditionalFormatting sqref="H246:H255">
    <cfRule type="cellIs" dxfId="4582" priority="4578" stopIfTrue="1" operator="lessThan">
      <formula>0</formula>
    </cfRule>
    <cfRule type="cellIs" dxfId="4581" priority="4579" stopIfTrue="1" operator="lessThan">
      <formula>0</formula>
    </cfRule>
  </conditionalFormatting>
  <conditionalFormatting sqref="H246:H255">
    <cfRule type="cellIs" dxfId="4580" priority="4576" stopIfTrue="1" operator="lessThan">
      <formula>0.05</formula>
    </cfRule>
    <cfRule type="cellIs" dxfId="4579" priority="4577" stopIfTrue="1" operator="lessThan">
      <formula>0</formula>
    </cfRule>
  </conditionalFormatting>
  <conditionalFormatting sqref="H246:H255">
    <cfRule type="cellIs" dxfId="4578" priority="4574" stopIfTrue="1" operator="lessThan">
      <formula>0</formula>
    </cfRule>
    <cfRule type="cellIs" dxfId="4577" priority="4575" stopIfTrue="1" operator="lessThan">
      <formula>0</formula>
    </cfRule>
  </conditionalFormatting>
  <conditionalFormatting sqref="H246:H255">
    <cfRule type="cellIs" dxfId="4576" priority="4572" stopIfTrue="1" operator="lessThan">
      <formula>0</formula>
    </cfRule>
    <cfRule type="cellIs" dxfId="4575" priority="4573" stopIfTrue="1" operator="lessThan">
      <formula>0</formula>
    </cfRule>
  </conditionalFormatting>
  <conditionalFormatting sqref="H246:H255">
    <cfRule type="cellIs" dxfId="4574" priority="4570" stopIfTrue="1" operator="lessThan">
      <formula>0.05</formula>
    </cfRule>
    <cfRule type="cellIs" dxfId="4573" priority="4571" stopIfTrue="1" operator="lessThan">
      <formula>0</formula>
    </cfRule>
  </conditionalFormatting>
  <conditionalFormatting sqref="H246:H255">
    <cfRule type="cellIs" dxfId="4572" priority="4568" stopIfTrue="1" operator="lessThan">
      <formula>0</formula>
    </cfRule>
    <cfRule type="cellIs" dxfId="4571" priority="4569" stopIfTrue="1" operator="lessThan">
      <formula>0</formula>
    </cfRule>
  </conditionalFormatting>
  <conditionalFormatting sqref="H246:H255">
    <cfRule type="cellIs" dxfId="4570" priority="4566" stopIfTrue="1" operator="lessThan">
      <formula>0</formula>
    </cfRule>
    <cfRule type="cellIs" dxfId="4569" priority="4567" stopIfTrue="1" operator="lessThan">
      <formula>0</formula>
    </cfRule>
  </conditionalFormatting>
  <conditionalFormatting sqref="H246:H255">
    <cfRule type="cellIs" dxfId="4568" priority="4564" stopIfTrue="1" operator="lessThan">
      <formula>0.05</formula>
    </cfRule>
    <cfRule type="cellIs" dxfId="4567" priority="4565" stopIfTrue="1" operator="lessThan">
      <formula>0</formula>
    </cfRule>
  </conditionalFormatting>
  <conditionalFormatting sqref="H246:H255">
    <cfRule type="cellIs" dxfId="4566" priority="4562" stopIfTrue="1" operator="lessThan">
      <formula>0</formula>
    </cfRule>
    <cfRule type="cellIs" dxfId="4565" priority="4563" stopIfTrue="1" operator="lessThan">
      <formula>0</formula>
    </cfRule>
  </conditionalFormatting>
  <conditionalFormatting sqref="H246:H255">
    <cfRule type="cellIs" dxfId="4564" priority="4560" stopIfTrue="1" operator="lessThan">
      <formula>0</formula>
    </cfRule>
    <cfRule type="cellIs" dxfId="4563" priority="4561" stopIfTrue="1" operator="lessThan">
      <formula>0</formula>
    </cfRule>
  </conditionalFormatting>
  <conditionalFormatting sqref="H246:H255">
    <cfRule type="cellIs" dxfId="4562" priority="4558" stopIfTrue="1" operator="lessThan">
      <formula>0.05</formula>
    </cfRule>
    <cfRule type="cellIs" dxfId="4561" priority="4559" stopIfTrue="1" operator="lessThan">
      <formula>0</formula>
    </cfRule>
  </conditionalFormatting>
  <conditionalFormatting sqref="H246:H255">
    <cfRule type="cellIs" dxfId="4560" priority="4556" stopIfTrue="1" operator="lessThan">
      <formula>0</formula>
    </cfRule>
    <cfRule type="cellIs" dxfId="4559" priority="4557" stopIfTrue="1" operator="lessThan">
      <formula>0</formula>
    </cfRule>
  </conditionalFormatting>
  <conditionalFormatting sqref="H246:H255">
    <cfRule type="cellIs" dxfId="4558" priority="4554" stopIfTrue="1" operator="lessThan">
      <formula>0</formula>
    </cfRule>
    <cfRule type="cellIs" dxfId="4557" priority="4555" stopIfTrue="1" operator="lessThan">
      <formula>0</formula>
    </cfRule>
  </conditionalFormatting>
  <conditionalFormatting sqref="H246:H255">
    <cfRule type="cellIs" dxfId="4556" priority="4552" stopIfTrue="1" operator="lessThan">
      <formula>0.05</formula>
    </cfRule>
    <cfRule type="cellIs" dxfId="4555" priority="4553" stopIfTrue="1" operator="lessThan">
      <formula>0</formula>
    </cfRule>
  </conditionalFormatting>
  <conditionalFormatting sqref="H246:H255">
    <cfRule type="cellIs" dxfId="4554" priority="4550" stopIfTrue="1" operator="lessThan">
      <formula>0</formula>
    </cfRule>
    <cfRule type="cellIs" dxfId="4553" priority="4551" stopIfTrue="1" operator="lessThan">
      <formula>0</formula>
    </cfRule>
  </conditionalFormatting>
  <conditionalFormatting sqref="H246:H255">
    <cfRule type="cellIs" dxfId="4552" priority="4548" stopIfTrue="1" operator="lessThan">
      <formula>0.05</formula>
    </cfRule>
    <cfRule type="cellIs" dxfId="4551" priority="4549" stopIfTrue="1" operator="lessThan">
      <formula>0</formula>
    </cfRule>
  </conditionalFormatting>
  <conditionalFormatting sqref="H246:H255">
    <cfRule type="cellIs" dxfId="4550" priority="4546" stopIfTrue="1" operator="lessThan">
      <formula>0</formula>
    </cfRule>
    <cfRule type="cellIs" dxfId="4549" priority="4547" stopIfTrue="1" operator="lessThan">
      <formula>0</formula>
    </cfRule>
  </conditionalFormatting>
  <conditionalFormatting sqref="H246:H255">
    <cfRule type="cellIs" dxfId="4548" priority="4544" stopIfTrue="1" operator="lessThan">
      <formula>0.05</formula>
    </cfRule>
    <cfRule type="cellIs" dxfId="4547" priority="4545" stopIfTrue="1" operator="lessThan">
      <formula>0</formula>
    </cfRule>
  </conditionalFormatting>
  <conditionalFormatting sqref="H246:H255">
    <cfRule type="cellIs" dxfId="4546" priority="4542" stopIfTrue="1" operator="lessThan">
      <formula>0</formula>
    </cfRule>
    <cfRule type="cellIs" dxfId="4545" priority="4543" stopIfTrue="1" operator="lessThan">
      <formula>0</formula>
    </cfRule>
  </conditionalFormatting>
  <conditionalFormatting sqref="H246:H255">
    <cfRule type="cellIs" dxfId="4544" priority="4540" stopIfTrue="1" operator="lessThan">
      <formula>0</formula>
    </cfRule>
    <cfRule type="cellIs" dxfId="4543" priority="4541" stopIfTrue="1" operator="lessThan">
      <formula>0</formula>
    </cfRule>
  </conditionalFormatting>
  <conditionalFormatting sqref="H246:H255">
    <cfRule type="cellIs" dxfId="4542" priority="4538" stopIfTrue="1" operator="lessThan">
      <formula>0</formula>
    </cfRule>
    <cfRule type="cellIs" dxfId="4541" priority="4539" stopIfTrue="1" operator="lessThan">
      <formula>0</formula>
    </cfRule>
  </conditionalFormatting>
  <conditionalFormatting sqref="H246:H255">
    <cfRule type="cellIs" dxfId="4540" priority="4536" stopIfTrue="1" operator="lessThan">
      <formula>0.05</formula>
    </cfRule>
    <cfRule type="cellIs" dxfId="4539" priority="4537" stopIfTrue="1" operator="lessThan">
      <formula>0</formula>
    </cfRule>
  </conditionalFormatting>
  <conditionalFormatting sqref="H246:H255">
    <cfRule type="cellIs" dxfId="4538" priority="4534" stopIfTrue="1" operator="lessThan">
      <formula>0</formula>
    </cfRule>
    <cfRule type="cellIs" dxfId="4537" priority="4535" stopIfTrue="1" operator="lessThan">
      <formula>0</formula>
    </cfRule>
  </conditionalFormatting>
  <conditionalFormatting sqref="H246:H255">
    <cfRule type="cellIs" dxfId="4536" priority="4532" stopIfTrue="1" operator="lessThan">
      <formula>0.05</formula>
    </cfRule>
    <cfRule type="cellIs" dxfId="4535" priority="4533" stopIfTrue="1" operator="lessThan">
      <formula>0</formula>
    </cfRule>
  </conditionalFormatting>
  <conditionalFormatting sqref="H246:H255">
    <cfRule type="cellIs" dxfId="4534" priority="4530" stopIfTrue="1" operator="lessThan">
      <formula>0</formula>
    </cfRule>
    <cfRule type="cellIs" dxfId="4533" priority="4531" stopIfTrue="1" operator="lessThan">
      <formula>0</formula>
    </cfRule>
  </conditionalFormatting>
  <conditionalFormatting sqref="H246:H255">
    <cfRule type="cellIs" dxfId="4532" priority="4528" stopIfTrue="1" operator="lessThan">
      <formula>0.05</formula>
    </cfRule>
    <cfRule type="cellIs" dxfId="4531" priority="4529" stopIfTrue="1" operator="lessThan">
      <formula>0</formula>
    </cfRule>
  </conditionalFormatting>
  <conditionalFormatting sqref="H246:H255">
    <cfRule type="cellIs" dxfId="4530" priority="4526" stopIfTrue="1" operator="lessThan">
      <formula>0</formula>
    </cfRule>
    <cfRule type="cellIs" dxfId="4529" priority="4527" stopIfTrue="1" operator="lessThan">
      <formula>0</formula>
    </cfRule>
  </conditionalFormatting>
  <conditionalFormatting sqref="H246:H255">
    <cfRule type="cellIs" dxfId="4528" priority="4524" stopIfTrue="1" operator="lessThan">
      <formula>0</formula>
    </cfRule>
    <cfRule type="cellIs" dxfId="4527" priority="4525" stopIfTrue="1" operator="lessThan">
      <formula>0</formula>
    </cfRule>
  </conditionalFormatting>
  <conditionalFormatting sqref="H246:H255">
    <cfRule type="cellIs" dxfId="4526" priority="4522" stopIfTrue="1" operator="lessThan">
      <formula>0.05</formula>
    </cfRule>
    <cfRule type="cellIs" dxfId="4525" priority="4523" stopIfTrue="1" operator="lessThan">
      <formula>0</formula>
    </cfRule>
  </conditionalFormatting>
  <conditionalFormatting sqref="H246:H255">
    <cfRule type="cellIs" dxfId="4524" priority="4520" stopIfTrue="1" operator="lessThan">
      <formula>0</formula>
    </cfRule>
    <cfRule type="cellIs" dxfId="4523" priority="4521" stopIfTrue="1" operator="lessThan">
      <formula>0</formula>
    </cfRule>
  </conditionalFormatting>
  <conditionalFormatting sqref="H246:H255">
    <cfRule type="cellIs" dxfId="4522" priority="4518" stopIfTrue="1" operator="lessThan">
      <formula>0</formula>
    </cfRule>
    <cfRule type="cellIs" dxfId="4521" priority="4519" stopIfTrue="1" operator="lessThan">
      <formula>0</formula>
    </cfRule>
  </conditionalFormatting>
  <conditionalFormatting sqref="H246:H255">
    <cfRule type="cellIs" dxfId="4520" priority="4516" stopIfTrue="1" operator="lessThan">
      <formula>0.05</formula>
    </cfRule>
    <cfRule type="cellIs" dxfId="4519" priority="4517" stopIfTrue="1" operator="lessThan">
      <formula>0</formula>
    </cfRule>
  </conditionalFormatting>
  <conditionalFormatting sqref="H246:H255">
    <cfRule type="cellIs" dxfId="4518" priority="4514" stopIfTrue="1" operator="lessThan">
      <formula>0</formula>
    </cfRule>
    <cfRule type="cellIs" dxfId="4517" priority="4515" stopIfTrue="1" operator="lessThan">
      <formula>0</formula>
    </cfRule>
  </conditionalFormatting>
  <conditionalFormatting sqref="H246:H255">
    <cfRule type="cellIs" dxfId="4516" priority="4512" stopIfTrue="1" operator="lessThan">
      <formula>0</formula>
    </cfRule>
    <cfRule type="cellIs" dxfId="4515" priority="4513" stopIfTrue="1" operator="lessThan">
      <formula>0</formula>
    </cfRule>
  </conditionalFormatting>
  <conditionalFormatting sqref="H246:H255">
    <cfRule type="cellIs" dxfId="4514" priority="4510" stopIfTrue="1" operator="lessThan">
      <formula>0.05</formula>
    </cfRule>
    <cfRule type="cellIs" dxfId="4513" priority="4511" stopIfTrue="1" operator="lessThan">
      <formula>0</formula>
    </cfRule>
  </conditionalFormatting>
  <conditionalFormatting sqref="H246:H255">
    <cfRule type="cellIs" dxfId="4512" priority="4508" stopIfTrue="1" operator="lessThan">
      <formula>0</formula>
    </cfRule>
    <cfRule type="cellIs" dxfId="4511" priority="4509" stopIfTrue="1" operator="lessThan">
      <formula>0</formula>
    </cfRule>
  </conditionalFormatting>
  <conditionalFormatting sqref="H246:H255">
    <cfRule type="cellIs" dxfId="4510" priority="4506" stopIfTrue="1" operator="lessThan">
      <formula>0</formula>
    </cfRule>
    <cfRule type="cellIs" dxfId="4509" priority="4507" stopIfTrue="1" operator="lessThan">
      <formula>0</formula>
    </cfRule>
  </conditionalFormatting>
  <conditionalFormatting sqref="H246:H255">
    <cfRule type="cellIs" dxfId="4508" priority="4504" stopIfTrue="1" operator="lessThan">
      <formula>0.05</formula>
    </cfRule>
    <cfRule type="cellIs" dxfId="4507" priority="4505" stopIfTrue="1" operator="lessThan">
      <formula>0</formula>
    </cfRule>
  </conditionalFormatting>
  <conditionalFormatting sqref="H246:H255">
    <cfRule type="cellIs" dxfId="4506" priority="4502" stopIfTrue="1" operator="lessThan">
      <formula>0</formula>
    </cfRule>
    <cfRule type="cellIs" dxfId="4505" priority="4503" stopIfTrue="1" operator="lessThan">
      <formula>0</formula>
    </cfRule>
  </conditionalFormatting>
  <conditionalFormatting sqref="H246:H255">
    <cfRule type="cellIs" dxfId="4504" priority="4500" stopIfTrue="1" operator="lessThan">
      <formula>0</formula>
    </cfRule>
    <cfRule type="cellIs" dxfId="4503" priority="4501" stopIfTrue="1" operator="lessThan">
      <formula>0</formula>
    </cfRule>
  </conditionalFormatting>
  <conditionalFormatting sqref="H246:H255">
    <cfRule type="cellIs" dxfId="4502" priority="4498" stopIfTrue="1" operator="lessThan">
      <formula>0.05</formula>
    </cfRule>
    <cfRule type="cellIs" dxfId="4501" priority="4499" stopIfTrue="1" operator="lessThan">
      <formula>0</formula>
    </cfRule>
  </conditionalFormatting>
  <conditionalFormatting sqref="H246:H255">
    <cfRule type="cellIs" dxfId="4500" priority="4496" stopIfTrue="1" operator="lessThan">
      <formula>0</formula>
    </cfRule>
    <cfRule type="cellIs" dxfId="4499" priority="4497" stopIfTrue="1" operator="lessThan">
      <formula>0</formula>
    </cfRule>
  </conditionalFormatting>
  <conditionalFormatting sqref="H246:H255">
    <cfRule type="cellIs" dxfId="4498" priority="4494" stopIfTrue="1" operator="lessThan">
      <formula>0</formula>
    </cfRule>
    <cfRule type="cellIs" dxfId="4497" priority="4495" stopIfTrue="1" operator="lessThan">
      <formula>0</formula>
    </cfRule>
  </conditionalFormatting>
  <conditionalFormatting sqref="H246:H255">
    <cfRule type="cellIs" dxfId="4496" priority="4492" stopIfTrue="1" operator="lessThan">
      <formula>0.05</formula>
    </cfRule>
    <cfRule type="cellIs" dxfId="4495" priority="4493" stopIfTrue="1" operator="lessThan">
      <formula>0</formula>
    </cfRule>
  </conditionalFormatting>
  <conditionalFormatting sqref="H246:H255">
    <cfRule type="cellIs" dxfId="4494" priority="4490" stopIfTrue="1" operator="lessThan">
      <formula>0</formula>
    </cfRule>
    <cfRule type="cellIs" dxfId="4493" priority="4491" stopIfTrue="1" operator="lessThan">
      <formula>0</formula>
    </cfRule>
  </conditionalFormatting>
  <conditionalFormatting sqref="H246:H255">
    <cfRule type="cellIs" dxfId="4492" priority="4488" stopIfTrue="1" operator="lessThan">
      <formula>0</formula>
    </cfRule>
    <cfRule type="cellIs" dxfId="4491" priority="4489" stopIfTrue="1" operator="lessThan">
      <formula>0</formula>
    </cfRule>
  </conditionalFormatting>
  <conditionalFormatting sqref="H246:H255">
    <cfRule type="cellIs" dxfId="4490" priority="4486" stopIfTrue="1" operator="lessThan">
      <formula>0.05</formula>
    </cfRule>
    <cfRule type="cellIs" dxfId="4489" priority="4487" stopIfTrue="1" operator="lessThan">
      <formula>0</formula>
    </cfRule>
  </conditionalFormatting>
  <conditionalFormatting sqref="H246:H255">
    <cfRule type="cellIs" dxfId="4488" priority="4484" stopIfTrue="1" operator="lessThan">
      <formula>0</formula>
    </cfRule>
    <cfRule type="cellIs" dxfId="4487" priority="4485" stopIfTrue="1" operator="lessThan">
      <formula>0</formula>
    </cfRule>
  </conditionalFormatting>
  <conditionalFormatting sqref="H246:H255">
    <cfRule type="cellIs" dxfId="4486" priority="4482" stopIfTrue="1" operator="lessThan">
      <formula>0</formula>
    </cfRule>
    <cfRule type="cellIs" dxfId="4485" priority="4483" stopIfTrue="1" operator="lessThan">
      <formula>0</formula>
    </cfRule>
  </conditionalFormatting>
  <conditionalFormatting sqref="H246:H255">
    <cfRule type="cellIs" dxfId="4484" priority="4480" stopIfTrue="1" operator="lessThan">
      <formula>0.05</formula>
    </cfRule>
    <cfRule type="cellIs" dxfId="4483" priority="4481" stopIfTrue="1" operator="lessThan">
      <formula>0</formula>
    </cfRule>
  </conditionalFormatting>
  <conditionalFormatting sqref="H246:H255">
    <cfRule type="cellIs" dxfId="4482" priority="4478" stopIfTrue="1" operator="lessThan">
      <formula>0</formula>
    </cfRule>
    <cfRule type="cellIs" dxfId="4481" priority="4479" stopIfTrue="1" operator="lessThan">
      <formula>0</formula>
    </cfRule>
  </conditionalFormatting>
  <conditionalFormatting sqref="H246:H255">
    <cfRule type="cellIs" dxfId="4480" priority="4476" stopIfTrue="1" operator="lessThan">
      <formula>0</formula>
    </cfRule>
    <cfRule type="cellIs" dxfId="4479" priority="4477" stopIfTrue="1" operator="lessThan">
      <formula>0</formula>
    </cfRule>
  </conditionalFormatting>
  <conditionalFormatting sqref="H246:H255">
    <cfRule type="cellIs" dxfId="4478" priority="4474" stopIfTrue="1" operator="lessThan">
      <formula>0.05</formula>
    </cfRule>
    <cfRule type="cellIs" dxfId="4477" priority="4475" stopIfTrue="1" operator="lessThan">
      <formula>0</formula>
    </cfRule>
  </conditionalFormatting>
  <conditionalFormatting sqref="H246:H255">
    <cfRule type="cellIs" dxfId="4476" priority="4472" stopIfTrue="1" operator="lessThan">
      <formula>0</formula>
    </cfRule>
    <cfRule type="cellIs" dxfId="4475" priority="4473" stopIfTrue="1" operator="lessThan">
      <formula>0</formula>
    </cfRule>
  </conditionalFormatting>
  <conditionalFormatting sqref="H246:H255">
    <cfRule type="cellIs" dxfId="4474" priority="4470" stopIfTrue="1" operator="lessThan">
      <formula>0</formula>
    </cfRule>
    <cfRule type="cellIs" dxfId="4473" priority="4471" stopIfTrue="1" operator="lessThan">
      <formula>0</formula>
    </cfRule>
  </conditionalFormatting>
  <conditionalFormatting sqref="H246:H255">
    <cfRule type="cellIs" dxfId="4472" priority="4468" stopIfTrue="1" operator="lessThan">
      <formula>0.05</formula>
    </cfRule>
    <cfRule type="cellIs" dxfId="4471" priority="4469" stopIfTrue="1" operator="lessThan">
      <formula>0</formula>
    </cfRule>
  </conditionalFormatting>
  <conditionalFormatting sqref="H246:H255">
    <cfRule type="cellIs" dxfId="4470" priority="4466" stopIfTrue="1" operator="lessThan">
      <formula>0</formula>
    </cfRule>
    <cfRule type="cellIs" dxfId="4469" priority="4467" stopIfTrue="1" operator="lessThan">
      <formula>0</formula>
    </cfRule>
  </conditionalFormatting>
  <conditionalFormatting sqref="H246:H255">
    <cfRule type="cellIs" dxfId="4468" priority="4464" stopIfTrue="1" operator="lessThan">
      <formula>0</formula>
    </cfRule>
    <cfRule type="cellIs" dxfId="4467" priority="4465" stopIfTrue="1" operator="lessThan">
      <formula>0</formula>
    </cfRule>
  </conditionalFormatting>
  <conditionalFormatting sqref="H246:H255">
    <cfRule type="cellIs" dxfId="4466" priority="4462" stopIfTrue="1" operator="lessThan">
      <formula>0.05</formula>
    </cfRule>
    <cfRule type="cellIs" dxfId="4465" priority="4463" stopIfTrue="1" operator="lessThan">
      <formula>0</formula>
    </cfRule>
  </conditionalFormatting>
  <conditionalFormatting sqref="H246:H255">
    <cfRule type="cellIs" dxfId="4464" priority="4460" stopIfTrue="1" operator="lessThan">
      <formula>0</formula>
    </cfRule>
    <cfRule type="cellIs" dxfId="4463" priority="4461" stopIfTrue="1" operator="lessThan">
      <formula>0</formula>
    </cfRule>
  </conditionalFormatting>
  <conditionalFormatting sqref="H246:H255">
    <cfRule type="cellIs" dxfId="4462" priority="4458" stopIfTrue="1" operator="lessThan">
      <formula>0</formula>
    </cfRule>
    <cfRule type="cellIs" dxfId="4461" priority="4459" stopIfTrue="1" operator="lessThan">
      <formula>0</formula>
    </cfRule>
  </conditionalFormatting>
  <conditionalFormatting sqref="H246:H255">
    <cfRule type="cellIs" dxfId="4460" priority="4456" stopIfTrue="1" operator="lessThan">
      <formula>0.05</formula>
    </cfRule>
    <cfRule type="cellIs" dxfId="4459" priority="4457" stopIfTrue="1" operator="lessThan">
      <formula>0</formula>
    </cfRule>
  </conditionalFormatting>
  <conditionalFormatting sqref="H246:H255">
    <cfRule type="cellIs" dxfId="4458" priority="4454" stopIfTrue="1" operator="lessThan">
      <formula>0</formula>
    </cfRule>
    <cfRule type="cellIs" dxfId="4457" priority="4455" stopIfTrue="1" operator="lessThan">
      <formula>0</formula>
    </cfRule>
  </conditionalFormatting>
  <conditionalFormatting sqref="H246:H255">
    <cfRule type="cellIs" dxfId="4456" priority="4452" stopIfTrue="1" operator="lessThan">
      <formula>0.05</formula>
    </cfRule>
    <cfRule type="cellIs" dxfId="4455" priority="4453" stopIfTrue="1" operator="lessThan">
      <formula>0</formula>
    </cfRule>
  </conditionalFormatting>
  <conditionalFormatting sqref="H246:H255">
    <cfRule type="cellIs" dxfId="4454" priority="4450" stopIfTrue="1" operator="lessThan">
      <formula>0</formula>
    </cfRule>
    <cfRule type="cellIs" dxfId="4453" priority="4451" stopIfTrue="1" operator="lessThan">
      <formula>0</formula>
    </cfRule>
  </conditionalFormatting>
  <conditionalFormatting sqref="H246:H255">
    <cfRule type="cellIs" dxfId="4452" priority="4448" stopIfTrue="1" operator="lessThan">
      <formula>0.05</formula>
    </cfRule>
    <cfRule type="cellIs" dxfId="4451" priority="4449" stopIfTrue="1" operator="lessThan">
      <formula>0</formula>
    </cfRule>
  </conditionalFormatting>
  <conditionalFormatting sqref="H246:H255">
    <cfRule type="cellIs" dxfId="4450" priority="4446" stopIfTrue="1" operator="lessThan">
      <formula>0</formula>
    </cfRule>
    <cfRule type="cellIs" dxfId="4449" priority="4447" stopIfTrue="1" operator="lessThan">
      <formula>0</formula>
    </cfRule>
  </conditionalFormatting>
  <conditionalFormatting sqref="H246:H255">
    <cfRule type="cellIs" dxfId="4448" priority="4444" stopIfTrue="1" operator="lessThan">
      <formula>0</formula>
    </cfRule>
    <cfRule type="cellIs" dxfId="4447" priority="4445" stopIfTrue="1" operator="lessThan">
      <formula>0</formula>
    </cfRule>
  </conditionalFormatting>
  <conditionalFormatting sqref="H246:H255">
    <cfRule type="cellIs" dxfId="4446" priority="4442" stopIfTrue="1" operator="lessThan">
      <formula>0</formula>
    </cfRule>
    <cfRule type="cellIs" dxfId="4445" priority="4443" stopIfTrue="1" operator="lessThan">
      <formula>0</formula>
    </cfRule>
  </conditionalFormatting>
  <conditionalFormatting sqref="H246:H255">
    <cfRule type="cellIs" dxfId="4444" priority="4440" stopIfTrue="1" operator="lessThan">
      <formula>0.05</formula>
    </cfRule>
    <cfRule type="cellIs" dxfId="4443" priority="4441" stopIfTrue="1" operator="lessThan">
      <formula>0</formula>
    </cfRule>
  </conditionalFormatting>
  <conditionalFormatting sqref="H246:H255">
    <cfRule type="cellIs" dxfId="4442" priority="4438" stopIfTrue="1" operator="lessThan">
      <formula>0</formula>
    </cfRule>
    <cfRule type="cellIs" dxfId="4441" priority="4439" stopIfTrue="1" operator="lessThan">
      <formula>0</formula>
    </cfRule>
  </conditionalFormatting>
  <conditionalFormatting sqref="H246:H255">
    <cfRule type="cellIs" dxfId="4440" priority="4436" stopIfTrue="1" operator="lessThan">
      <formula>0.05</formula>
    </cfRule>
    <cfRule type="cellIs" dxfId="4439" priority="4437" stopIfTrue="1" operator="lessThan">
      <formula>0</formula>
    </cfRule>
  </conditionalFormatting>
  <conditionalFormatting sqref="H246:H255">
    <cfRule type="cellIs" dxfId="4438" priority="4434" stopIfTrue="1" operator="lessThan">
      <formula>0</formula>
    </cfRule>
    <cfRule type="cellIs" dxfId="4437" priority="4435" stopIfTrue="1" operator="lessThan">
      <formula>0</formula>
    </cfRule>
  </conditionalFormatting>
  <conditionalFormatting sqref="H246:H255">
    <cfRule type="cellIs" dxfId="4436" priority="4432" stopIfTrue="1" operator="lessThan">
      <formula>0.05</formula>
    </cfRule>
    <cfRule type="cellIs" dxfId="4435" priority="4433" stopIfTrue="1" operator="lessThan">
      <formula>0</formula>
    </cfRule>
  </conditionalFormatting>
  <conditionalFormatting sqref="H246:H255">
    <cfRule type="cellIs" dxfId="4434" priority="4430" stopIfTrue="1" operator="lessThan">
      <formula>0</formula>
    </cfRule>
    <cfRule type="cellIs" dxfId="4433" priority="4431" stopIfTrue="1" operator="lessThan">
      <formula>0</formula>
    </cfRule>
  </conditionalFormatting>
  <conditionalFormatting sqref="H246:H255">
    <cfRule type="cellIs" dxfId="4432" priority="4428" stopIfTrue="1" operator="lessThan">
      <formula>0</formula>
    </cfRule>
    <cfRule type="cellIs" dxfId="4431" priority="4429" stopIfTrue="1" operator="lessThan">
      <formula>0</formula>
    </cfRule>
  </conditionalFormatting>
  <conditionalFormatting sqref="H246:H255">
    <cfRule type="cellIs" dxfId="4430" priority="4426" stopIfTrue="1" operator="lessThan">
      <formula>0.05</formula>
    </cfRule>
    <cfRule type="cellIs" dxfId="4429" priority="4427" stopIfTrue="1" operator="lessThan">
      <formula>0</formula>
    </cfRule>
  </conditionalFormatting>
  <conditionalFormatting sqref="H246:H255">
    <cfRule type="cellIs" dxfId="4428" priority="4424" stopIfTrue="1" operator="lessThan">
      <formula>0</formula>
    </cfRule>
    <cfRule type="cellIs" dxfId="4427" priority="4425" stopIfTrue="1" operator="lessThan">
      <formula>0</formula>
    </cfRule>
  </conditionalFormatting>
  <conditionalFormatting sqref="H246:H255">
    <cfRule type="cellIs" dxfId="4426" priority="4422" stopIfTrue="1" operator="lessThan">
      <formula>0</formula>
    </cfRule>
    <cfRule type="cellIs" dxfId="4425" priority="4423" stopIfTrue="1" operator="lessThan">
      <formula>0</formula>
    </cfRule>
  </conditionalFormatting>
  <conditionalFormatting sqref="H246:H255">
    <cfRule type="cellIs" dxfId="4424" priority="4420" stopIfTrue="1" operator="lessThan">
      <formula>0.05</formula>
    </cfRule>
    <cfRule type="cellIs" dxfId="4423" priority="4421" stopIfTrue="1" operator="lessThan">
      <formula>0</formula>
    </cfRule>
  </conditionalFormatting>
  <conditionalFormatting sqref="H246:H255">
    <cfRule type="cellIs" dxfId="4422" priority="4418" stopIfTrue="1" operator="lessThan">
      <formula>0</formula>
    </cfRule>
    <cfRule type="cellIs" dxfId="4421" priority="4419" stopIfTrue="1" operator="lessThan">
      <formula>0</formula>
    </cfRule>
  </conditionalFormatting>
  <conditionalFormatting sqref="H246:H255">
    <cfRule type="cellIs" dxfId="4420" priority="4416" stopIfTrue="1" operator="lessThan">
      <formula>0</formula>
    </cfRule>
    <cfRule type="cellIs" dxfId="4419" priority="4417" stopIfTrue="1" operator="lessThan">
      <formula>0</formula>
    </cfRule>
  </conditionalFormatting>
  <conditionalFormatting sqref="H246:H255">
    <cfRule type="cellIs" dxfId="4418" priority="4414" stopIfTrue="1" operator="lessThan">
      <formula>0.05</formula>
    </cfRule>
    <cfRule type="cellIs" dxfId="4417" priority="4415" stopIfTrue="1" operator="lessThan">
      <formula>0</formula>
    </cfRule>
  </conditionalFormatting>
  <conditionalFormatting sqref="H246:H255">
    <cfRule type="cellIs" dxfId="4416" priority="4412" stopIfTrue="1" operator="lessThan">
      <formula>0</formula>
    </cfRule>
    <cfRule type="cellIs" dxfId="4415" priority="4413" stopIfTrue="1" operator="lessThan">
      <formula>0</formula>
    </cfRule>
  </conditionalFormatting>
  <conditionalFormatting sqref="H246:H255">
    <cfRule type="cellIs" dxfId="4414" priority="4410" stopIfTrue="1" operator="lessThan">
      <formula>0</formula>
    </cfRule>
    <cfRule type="cellIs" dxfId="4413" priority="4411" stopIfTrue="1" operator="lessThan">
      <formula>0</formula>
    </cfRule>
  </conditionalFormatting>
  <conditionalFormatting sqref="H246:H255">
    <cfRule type="cellIs" dxfId="4412" priority="4408" stopIfTrue="1" operator="lessThan">
      <formula>0.05</formula>
    </cfRule>
    <cfRule type="cellIs" dxfId="4411" priority="4409" stopIfTrue="1" operator="lessThan">
      <formula>0</formula>
    </cfRule>
  </conditionalFormatting>
  <conditionalFormatting sqref="H246:H255">
    <cfRule type="cellIs" dxfId="4410" priority="4406" stopIfTrue="1" operator="lessThan">
      <formula>0</formula>
    </cfRule>
    <cfRule type="cellIs" dxfId="4409" priority="4407" stopIfTrue="1" operator="lessThan">
      <formula>0</formula>
    </cfRule>
  </conditionalFormatting>
  <conditionalFormatting sqref="H246:H255">
    <cfRule type="cellIs" dxfId="4408" priority="4404" stopIfTrue="1" operator="lessThan">
      <formula>0</formula>
    </cfRule>
    <cfRule type="cellIs" dxfId="4407" priority="4405" stopIfTrue="1" operator="lessThan">
      <formula>0</formula>
    </cfRule>
  </conditionalFormatting>
  <conditionalFormatting sqref="H246:H255">
    <cfRule type="cellIs" dxfId="4406" priority="4402" stopIfTrue="1" operator="lessThan">
      <formula>0.05</formula>
    </cfRule>
    <cfRule type="cellIs" dxfId="4405" priority="4403" stopIfTrue="1" operator="lessThan">
      <formula>0</formula>
    </cfRule>
  </conditionalFormatting>
  <conditionalFormatting sqref="H246:H255">
    <cfRule type="cellIs" dxfId="4404" priority="4400" stopIfTrue="1" operator="lessThan">
      <formula>0</formula>
    </cfRule>
    <cfRule type="cellIs" dxfId="4403" priority="4401" stopIfTrue="1" operator="lessThan">
      <formula>0</formula>
    </cfRule>
  </conditionalFormatting>
  <conditionalFormatting sqref="H246:H255">
    <cfRule type="cellIs" dxfId="4402" priority="4398" stopIfTrue="1" operator="lessThan">
      <formula>0</formula>
    </cfRule>
    <cfRule type="cellIs" dxfId="4401" priority="4399" stopIfTrue="1" operator="lessThan">
      <formula>0</formula>
    </cfRule>
  </conditionalFormatting>
  <conditionalFormatting sqref="H246:H255">
    <cfRule type="cellIs" dxfId="4400" priority="4396" stopIfTrue="1" operator="lessThan">
      <formula>0.05</formula>
    </cfRule>
    <cfRule type="cellIs" dxfId="4399" priority="4397" stopIfTrue="1" operator="lessThan">
      <formula>0</formula>
    </cfRule>
  </conditionalFormatting>
  <conditionalFormatting sqref="H246:H255">
    <cfRule type="cellIs" dxfId="4398" priority="4394" stopIfTrue="1" operator="lessThan">
      <formula>0</formula>
    </cfRule>
    <cfRule type="cellIs" dxfId="4397" priority="4395" stopIfTrue="1" operator="lessThan">
      <formula>0</formula>
    </cfRule>
  </conditionalFormatting>
  <conditionalFormatting sqref="H246:H255">
    <cfRule type="cellIs" dxfId="4396" priority="4392" stopIfTrue="1" operator="lessThan">
      <formula>0</formula>
    </cfRule>
    <cfRule type="cellIs" dxfId="4395" priority="4393" stopIfTrue="1" operator="lessThan">
      <formula>0</formula>
    </cfRule>
  </conditionalFormatting>
  <conditionalFormatting sqref="H246:H255">
    <cfRule type="cellIs" dxfId="4394" priority="4390" stopIfTrue="1" operator="lessThan">
      <formula>0.05</formula>
    </cfRule>
    <cfRule type="cellIs" dxfId="4393" priority="4391" stopIfTrue="1" operator="lessThan">
      <formula>0</formula>
    </cfRule>
  </conditionalFormatting>
  <conditionalFormatting sqref="H246:H255">
    <cfRule type="cellIs" dxfId="4392" priority="4388" stopIfTrue="1" operator="lessThan">
      <formula>0</formula>
    </cfRule>
    <cfRule type="cellIs" dxfId="4391" priority="4389" stopIfTrue="1" operator="lessThan">
      <formula>0</formula>
    </cfRule>
  </conditionalFormatting>
  <conditionalFormatting sqref="H246:H255">
    <cfRule type="cellIs" dxfId="4390" priority="4386" stopIfTrue="1" operator="lessThan">
      <formula>0</formula>
    </cfRule>
    <cfRule type="cellIs" dxfId="4389" priority="4387" stopIfTrue="1" operator="lessThan">
      <formula>0</formula>
    </cfRule>
  </conditionalFormatting>
  <conditionalFormatting sqref="H246:H255">
    <cfRule type="cellIs" dxfId="4388" priority="4384" stopIfTrue="1" operator="lessThan">
      <formula>0.05</formula>
    </cfRule>
    <cfRule type="cellIs" dxfId="4387" priority="4385" stopIfTrue="1" operator="lessThan">
      <formula>0</formula>
    </cfRule>
  </conditionalFormatting>
  <conditionalFormatting sqref="H246:H255">
    <cfRule type="cellIs" dxfId="4386" priority="4382" stopIfTrue="1" operator="lessThan">
      <formula>0</formula>
    </cfRule>
    <cfRule type="cellIs" dxfId="4385" priority="4383" stopIfTrue="1" operator="lessThan">
      <formula>0</formula>
    </cfRule>
  </conditionalFormatting>
  <conditionalFormatting sqref="H246:H255">
    <cfRule type="cellIs" dxfId="4384" priority="4380" stopIfTrue="1" operator="lessThan">
      <formula>0</formula>
    </cfRule>
    <cfRule type="cellIs" dxfId="4383" priority="4381" stopIfTrue="1" operator="lessThan">
      <formula>0</formula>
    </cfRule>
  </conditionalFormatting>
  <conditionalFormatting sqref="H246:H255">
    <cfRule type="cellIs" dxfId="4382" priority="4378" stopIfTrue="1" operator="lessThan">
      <formula>0.05</formula>
    </cfRule>
    <cfRule type="cellIs" dxfId="4381" priority="4379" stopIfTrue="1" operator="lessThan">
      <formula>0</formula>
    </cfRule>
  </conditionalFormatting>
  <conditionalFormatting sqref="H246:H255">
    <cfRule type="cellIs" dxfId="4380" priority="4376" stopIfTrue="1" operator="lessThan">
      <formula>0</formula>
    </cfRule>
    <cfRule type="cellIs" dxfId="4379" priority="4377" stopIfTrue="1" operator="lessThan">
      <formula>0</formula>
    </cfRule>
  </conditionalFormatting>
  <conditionalFormatting sqref="H246:H255">
    <cfRule type="cellIs" dxfId="4378" priority="4374" stopIfTrue="1" operator="lessThan">
      <formula>0</formula>
    </cfRule>
    <cfRule type="cellIs" dxfId="4377" priority="4375" stopIfTrue="1" operator="lessThan">
      <formula>0</formula>
    </cfRule>
  </conditionalFormatting>
  <conditionalFormatting sqref="H246:H255">
    <cfRule type="cellIs" dxfId="4376" priority="4372" stopIfTrue="1" operator="lessThan">
      <formula>0.05</formula>
    </cfRule>
    <cfRule type="cellIs" dxfId="4375" priority="4373" stopIfTrue="1" operator="lessThan">
      <formula>0</formula>
    </cfRule>
  </conditionalFormatting>
  <conditionalFormatting sqref="H246:H255">
    <cfRule type="cellIs" dxfId="4374" priority="4370" stopIfTrue="1" operator="lessThan">
      <formula>0</formula>
    </cfRule>
    <cfRule type="cellIs" dxfId="4373" priority="4371" stopIfTrue="1" operator="lessThan">
      <formula>0</formula>
    </cfRule>
  </conditionalFormatting>
  <conditionalFormatting sqref="H246:H255">
    <cfRule type="cellIs" dxfId="4372" priority="4368" stopIfTrue="1" operator="lessThan">
      <formula>0</formula>
    </cfRule>
    <cfRule type="cellIs" dxfId="4371" priority="4369" stopIfTrue="1" operator="lessThan">
      <formula>0</formula>
    </cfRule>
  </conditionalFormatting>
  <conditionalFormatting sqref="H246:H255">
    <cfRule type="cellIs" dxfId="4370" priority="4366" stopIfTrue="1" operator="lessThan">
      <formula>0.05</formula>
    </cfRule>
    <cfRule type="cellIs" dxfId="4369" priority="4367" stopIfTrue="1" operator="lessThan">
      <formula>0</formula>
    </cfRule>
  </conditionalFormatting>
  <conditionalFormatting sqref="H246:H255">
    <cfRule type="cellIs" dxfId="4368" priority="4364" stopIfTrue="1" operator="lessThan">
      <formula>0</formula>
    </cfRule>
    <cfRule type="cellIs" dxfId="4367" priority="4365" stopIfTrue="1" operator="lessThan">
      <formula>0</formula>
    </cfRule>
  </conditionalFormatting>
  <conditionalFormatting sqref="H246:H255">
    <cfRule type="cellIs" dxfId="4366" priority="4362" stopIfTrue="1" operator="lessThan">
      <formula>0</formula>
    </cfRule>
    <cfRule type="cellIs" dxfId="4365" priority="4363" stopIfTrue="1" operator="lessThan">
      <formula>0</formula>
    </cfRule>
  </conditionalFormatting>
  <conditionalFormatting sqref="H246:H255">
    <cfRule type="cellIs" dxfId="4364" priority="4360" stopIfTrue="1" operator="lessThan">
      <formula>0.05</formula>
    </cfRule>
    <cfRule type="cellIs" dxfId="4363" priority="4361" stopIfTrue="1" operator="lessThan">
      <formula>0</formula>
    </cfRule>
  </conditionalFormatting>
  <conditionalFormatting sqref="H246:H255">
    <cfRule type="cellIs" dxfId="4362" priority="4358" stopIfTrue="1" operator="lessThan">
      <formula>0</formula>
    </cfRule>
    <cfRule type="cellIs" dxfId="4361" priority="4359" stopIfTrue="1" operator="lessThan">
      <formula>0</formula>
    </cfRule>
  </conditionalFormatting>
  <conditionalFormatting sqref="H246:H255">
    <cfRule type="cellIs" dxfId="4360" priority="4356" stopIfTrue="1" operator="lessThan">
      <formula>0</formula>
    </cfRule>
    <cfRule type="cellIs" dxfId="4359" priority="4357" stopIfTrue="1" operator="lessThan">
      <formula>0</formula>
    </cfRule>
  </conditionalFormatting>
  <conditionalFormatting sqref="H246:H255">
    <cfRule type="cellIs" dxfId="4358" priority="4354" stopIfTrue="1" operator="lessThan">
      <formula>0.05</formula>
    </cfRule>
    <cfRule type="cellIs" dxfId="4357" priority="4355" stopIfTrue="1" operator="lessThan">
      <formula>0</formula>
    </cfRule>
  </conditionalFormatting>
  <conditionalFormatting sqref="H246:H255">
    <cfRule type="cellIs" dxfId="4356" priority="4352" stopIfTrue="1" operator="lessThan">
      <formula>0</formula>
    </cfRule>
    <cfRule type="cellIs" dxfId="4355" priority="4353" stopIfTrue="1" operator="lessThan">
      <formula>0</formula>
    </cfRule>
  </conditionalFormatting>
  <conditionalFormatting sqref="H246:H255">
    <cfRule type="cellIs" dxfId="4354" priority="4350" stopIfTrue="1" operator="lessThan">
      <formula>0</formula>
    </cfRule>
    <cfRule type="cellIs" dxfId="4353" priority="4351" stopIfTrue="1" operator="lessThan">
      <formula>0</formula>
    </cfRule>
  </conditionalFormatting>
  <conditionalFormatting sqref="H246:H255">
    <cfRule type="cellIs" dxfId="4352" priority="4348" stopIfTrue="1" operator="lessThan">
      <formula>0.05</formula>
    </cfRule>
    <cfRule type="cellIs" dxfId="4351" priority="4349" stopIfTrue="1" operator="lessThan">
      <formula>0</formula>
    </cfRule>
  </conditionalFormatting>
  <conditionalFormatting sqref="H246:H255">
    <cfRule type="cellIs" dxfId="4350" priority="4346" stopIfTrue="1" operator="lessThan">
      <formula>0</formula>
    </cfRule>
    <cfRule type="cellIs" dxfId="4349" priority="4347" stopIfTrue="1" operator="lessThan">
      <formula>0</formula>
    </cfRule>
  </conditionalFormatting>
  <conditionalFormatting sqref="H246:H255">
    <cfRule type="cellIs" dxfId="4348" priority="4344" stopIfTrue="1" operator="lessThan">
      <formula>0.05</formula>
    </cfRule>
    <cfRule type="cellIs" dxfId="4347" priority="4345" stopIfTrue="1" operator="lessThan">
      <formula>0</formula>
    </cfRule>
  </conditionalFormatting>
  <conditionalFormatting sqref="H246:H255">
    <cfRule type="cellIs" dxfId="4346" priority="4342" stopIfTrue="1" operator="lessThan">
      <formula>0</formula>
    </cfRule>
    <cfRule type="cellIs" dxfId="4345" priority="4343" stopIfTrue="1" operator="lessThan">
      <formula>0</formula>
    </cfRule>
  </conditionalFormatting>
  <conditionalFormatting sqref="H246:H255">
    <cfRule type="cellIs" dxfId="4344" priority="4340" stopIfTrue="1" operator="lessThan">
      <formula>0.05</formula>
    </cfRule>
    <cfRule type="cellIs" dxfId="4343" priority="4341" stopIfTrue="1" operator="lessThan">
      <formula>0</formula>
    </cfRule>
  </conditionalFormatting>
  <conditionalFormatting sqref="H246:H255">
    <cfRule type="cellIs" dxfId="4342" priority="4338" stopIfTrue="1" operator="lessThan">
      <formula>0</formula>
    </cfRule>
    <cfRule type="cellIs" dxfId="4341" priority="4339" stopIfTrue="1" operator="lessThan">
      <formula>0</formula>
    </cfRule>
  </conditionalFormatting>
  <conditionalFormatting sqref="H246:H255">
    <cfRule type="cellIs" dxfId="4340" priority="4336" stopIfTrue="1" operator="lessThan">
      <formula>0</formula>
    </cfRule>
    <cfRule type="cellIs" dxfId="4339" priority="4337" stopIfTrue="1" operator="lessThan">
      <formula>0</formula>
    </cfRule>
  </conditionalFormatting>
  <conditionalFormatting sqref="H246:H255">
    <cfRule type="cellIs" dxfId="4338" priority="4334" stopIfTrue="1" operator="lessThan">
      <formula>0</formula>
    </cfRule>
    <cfRule type="cellIs" dxfId="4337" priority="4335" stopIfTrue="1" operator="lessThan">
      <formula>0</formula>
    </cfRule>
  </conditionalFormatting>
  <conditionalFormatting sqref="H246:H255">
    <cfRule type="cellIs" dxfId="4336" priority="4332" stopIfTrue="1" operator="lessThan">
      <formula>0.05</formula>
    </cfRule>
    <cfRule type="cellIs" dxfId="4335" priority="4333" stopIfTrue="1" operator="lessThan">
      <formula>0</formula>
    </cfRule>
  </conditionalFormatting>
  <conditionalFormatting sqref="H246:H255">
    <cfRule type="cellIs" dxfId="4334" priority="4330" stopIfTrue="1" operator="lessThan">
      <formula>0</formula>
    </cfRule>
    <cfRule type="cellIs" dxfId="4333" priority="4331" stopIfTrue="1" operator="lessThan">
      <formula>0</formula>
    </cfRule>
  </conditionalFormatting>
  <conditionalFormatting sqref="H246:H255">
    <cfRule type="cellIs" dxfId="4332" priority="4328" stopIfTrue="1" operator="lessThan">
      <formula>0.05</formula>
    </cfRule>
    <cfRule type="cellIs" dxfId="4331" priority="4329" stopIfTrue="1" operator="lessThan">
      <formula>0</formula>
    </cfRule>
  </conditionalFormatting>
  <conditionalFormatting sqref="H246:H255">
    <cfRule type="cellIs" dxfId="4330" priority="4326" stopIfTrue="1" operator="lessThan">
      <formula>0</formula>
    </cfRule>
    <cfRule type="cellIs" dxfId="4329" priority="4327" stopIfTrue="1" operator="lessThan">
      <formula>0</formula>
    </cfRule>
  </conditionalFormatting>
  <conditionalFormatting sqref="H246:H255">
    <cfRule type="cellIs" dxfId="4328" priority="4324" stopIfTrue="1" operator="lessThan">
      <formula>0.05</formula>
    </cfRule>
    <cfRule type="cellIs" dxfId="4327" priority="4325" stopIfTrue="1" operator="lessThan">
      <formula>0</formula>
    </cfRule>
  </conditionalFormatting>
  <conditionalFormatting sqref="H246:H255">
    <cfRule type="cellIs" dxfId="4326" priority="4322" stopIfTrue="1" operator="lessThan">
      <formula>0</formula>
    </cfRule>
    <cfRule type="cellIs" dxfId="4325" priority="4323" stopIfTrue="1" operator="lessThan">
      <formula>0</formula>
    </cfRule>
  </conditionalFormatting>
  <conditionalFormatting sqref="H246:H255">
    <cfRule type="cellIs" dxfId="4324" priority="4321" stopIfTrue="1" operator="lessThan">
      <formula>0.05</formula>
    </cfRule>
  </conditionalFormatting>
  <conditionalFormatting sqref="H191">
    <cfRule type="cellIs" dxfId="4323" priority="4319" stopIfTrue="1" operator="lessThan">
      <formula>0</formula>
    </cfRule>
    <cfRule type="cellIs" dxfId="4322" priority="4320" stopIfTrue="1" operator="lessThan">
      <formula>0</formula>
    </cfRule>
  </conditionalFormatting>
  <conditionalFormatting sqref="H191">
    <cfRule type="cellIs" dxfId="4321" priority="4317" stopIfTrue="1" operator="lessThan">
      <formula>0</formula>
    </cfRule>
    <cfRule type="cellIs" dxfId="4320" priority="4318" stopIfTrue="1" operator="lessThan">
      <formula>0</formula>
    </cfRule>
  </conditionalFormatting>
  <conditionalFormatting sqref="H191">
    <cfRule type="cellIs" dxfId="4319" priority="4315" stopIfTrue="1" operator="lessThan">
      <formula>0</formula>
    </cfRule>
    <cfRule type="cellIs" dxfId="4318" priority="4316" stopIfTrue="1" operator="lessThan">
      <formula>0</formula>
    </cfRule>
  </conditionalFormatting>
  <conditionalFormatting sqref="H191">
    <cfRule type="cellIs" dxfId="4317" priority="4313" stopIfTrue="1" operator="lessThan">
      <formula>0</formula>
    </cfRule>
    <cfRule type="cellIs" dxfId="4316" priority="4314" stopIfTrue="1" operator="lessThan">
      <formula>0</formula>
    </cfRule>
  </conditionalFormatting>
  <conditionalFormatting sqref="H191">
    <cfRule type="cellIs" dxfId="4315" priority="4311" stopIfTrue="1" operator="lessThan">
      <formula>0</formula>
    </cfRule>
    <cfRule type="cellIs" dxfId="4314" priority="4312" stopIfTrue="1" operator="lessThan">
      <formula>0</formula>
    </cfRule>
  </conditionalFormatting>
  <conditionalFormatting sqref="H191">
    <cfRule type="cellIs" dxfId="4313" priority="4309" stopIfTrue="1" operator="lessThan">
      <formula>0</formula>
    </cfRule>
    <cfRule type="cellIs" dxfId="4312" priority="4310" stopIfTrue="1" operator="lessThan">
      <formula>0</formula>
    </cfRule>
  </conditionalFormatting>
  <conditionalFormatting sqref="H191">
    <cfRule type="cellIs" dxfId="4311" priority="4307" stopIfTrue="1" operator="lessThan">
      <formula>0</formula>
    </cfRule>
    <cfRule type="cellIs" dxfId="4310" priority="4308" stopIfTrue="1" operator="lessThan">
      <formula>0</formula>
    </cfRule>
  </conditionalFormatting>
  <conditionalFormatting sqref="H191">
    <cfRule type="cellIs" dxfId="4309" priority="4305" stopIfTrue="1" operator="lessThan">
      <formula>0</formula>
    </cfRule>
    <cfRule type="cellIs" dxfId="4308" priority="4306" stopIfTrue="1" operator="lessThan">
      <formula>0</formula>
    </cfRule>
  </conditionalFormatting>
  <conditionalFormatting sqref="H191">
    <cfRule type="cellIs" dxfId="4307" priority="4303" stopIfTrue="1" operator="lessThan">
      <formula>0</formula>
    </cfRule>
    <cfRule type="cellIs" dxfId="4306" priority="4304" stopIfTrue="1" operator="lessThan">
      <formula>0</formula>
    </cfRule>
  </conditionalFormatting>
  <conditionalFormatting sqref="H191">
    <cfRule type="cellIs" dxfId="4305" priority="4301" stopIfTrue="1" operator="lessThan">
      <formula>0</formula>
    </cfRule>
    <cfRule type="cellIs" dxfId="4304" priority="4302" stopIfTrue="1" operator="lessThan">
      <formula>0</formula>
    </cfRule>
  </conditionalFormatting>
  <conditionalFormatting sqref="H191">
    <cfRule type="cellIs" dxfId="4303" priority="4299" stopIfTrue="1" operator="lessThan">
      <formula>0</formula>
    </cfRule>
    <cfRule type="cellIs" dxfId="4302" priority="4300" stopIfTrue="1" operator="lessThan">
      <formula>0</formula>
    </cfRule>
  </conditionalFormatting>
  <conditionalFormatting sqref="H191">
    <cfRule type="cellIs" dxfId="4301" priority="4297" stopIfTrue="1" operator="lessThan">
      <formula>0</formula>
    </cfRule>
    <cfRule type="cellIs" dxfId="4300" priority="4298" stopIfTrue="1" operator="lessThan">
      <formula>0</formula>
    </cfRule>
  </conditionalFormatting>
  <conditionalFormatting sqref="H191">
    <cfRule type="cellIs" dxfId="4299" priority="4296" stopIfTrue="1" operator="lessThan">
      <formula>0.05</formula>
    </cfRule>
  </conditionalFormatting>
  <conditionalFormatting sqref="H191">
    <cfRule type="cellIs" dxfId="4298" priority="4294" stopIfTrue="1" operator="lessThan">
      <formula>0</formula>
    </cfRule>
    <cfRule type="cellIs" dxfId="4297" priority="4295" stopIfTrue="1" operator="lessThan">
      <formula>0</formula>
    </cfRule>
  </conditionalFormatting>
  <conditionalFormatting sqref="H191">
    <cfRule type="cellIs" dxfId="4296" priority="4293" stopIfTrue="1" operator="lessThan">
      <formula>0.05</formula>
    </cfRule>
  </conditionalFormatting>
  <conditionalFormatting sqref="H191">
    <cfRule type="cellIs" dxfId="4295" priority="4291" stopIfTrue="1" operator="lessThan">
      <formula>0</formula>
    </cfRule>
    <cfRule type="cellIs" dxfId="4294" priority="4292" stopIfTrue="1" operator="lessThan">
      <formula>0</formula>
    </cfRule>
  </conditionalFormatting>
  <conditionalFormatting sqref="H191">
    <cfRule type="cellIs" dxfId="4293" priority="4290" stopIfTrue="1" operator="lessThan">
      <formula>0.05</formula>
    </cfRule>
  </conditionalFormatting>
  <conditionalFormatting sqref="H191">
    <cfRule type="cellIs" dxfId="4292" priority="4288" stopIfTrue="1" operator="lessThan">
      <formula>0</formula>
    </cfRule>
    <cfRule type="cellIs" dxfId="4291" priority="4289" stopIfTrue="1" operator="lessThan">
      <formula>0</formula>
    </cfRule>
  </conditionalFormatting>
  <conditionalFormatting sqref="H191">
    <cfRule type="cellIs" dxfId="4290" priority="4287" stopIfTrue="1" operator="lessThan">
      <formula>0.05</formula>
    </cfRule>
  </conditionalFormatting>
  <conditionalFormatting sqref="H191">
    <cfRule type="cellIs" dxfId="4289" priority="4285" stopIfTrue="1" operator="lessThan">
      <formula>0</formula>
    </cfRule>
    <cfRule type="cellIs" dxfId="4288" priority="4286" stopIfTrue="1" operator="lessThan">
      <formula>0</formula>
    </cfRule>
  </conditionalFormatting>
  <conditionalFormatting sqref="H191">
    <cfRule type="cellIs" dxfId="4287" priority="4284" stopIfTrue="1" operator="lessThan">
      <formula>0.05</formula>
    </cfRule>
  </conditionalFormatting>
  <conditionalFormatting sqref="H191">
    <cfRule type="cellIs" dxfId="4286" priority="4282" stopIfTrue="1" operator="lessThan">
      <formula>0</formula>
    </cfRule>
    <cfRule type="cellIs" dxfId="4285" priority="4283" stopIfTrue="1" operator="lessThan">
      <formula>0</formula>
    </cfRule>
  </conditionalFormatting>
  <conditionalFormatting sqref="H191">
    <cfRule type="cellIs" dxfId="4284" priority="4281" stopIfTrue="1" operator="lessThan">
      <formula>0.05</formula>
    </cfRule>
  </conditionalFormatting>
  <conditionalFormatting sqref="H191">
    <cfRule type="cellIs" dxfId="4283" priority="4279" stopIfTrue="1" operator="lessThan">
      <formula>0</formula>
    </cfRule>
    <cfRule type="cellIs" dxfId="4282" priority="4280" stopIfTrue="1" operator="lessThan">
      <formula>0</formula>
    </cfRule>
  </conditionalFormatting>
  <conditionalFormatting sqref="H191">
    <cfRule type="cellIs" dxfId="4281" priority="4278" stopIfTrue="1" operator="lessThan">
      <formula>0.05</formula>
    </cfRule>
  </conditionalFormatting>
  <conditionalFormatting sqref="H192:H193">
    <cfRule type="cellIs" dxfId="4280" priority="4276" stopIfTrue="1" operator="lessThan">
      <formula>0</formula>
    </cfRule>
    <cfRule type="cellIs" dxfId="4279" priority="4277" stopIfTrue="1" operator="lessThan">
      <formula>0</formula>
    </cfRule>
  </conditionalFormatting>
  <conditionalFormatting sqref="H192:H193">
    <cfRule type="cellIs" dxfId="4278" priority="4274" stopIfTrue="1" operator="lessThan">
      <formula>0</formula>
    </cfRule>
    <cfRule type="cellIs" dxfId="4277" priority="4275" stopIfTrue="1" operator="lessThan">
      <formula>0</formula>
    </cfRule>
  </conditionalFormatting>
  <conditionalFormatting sqref="H192:H193">
    <cfRule type="cellIs" dxfId="4276" priority="4272" stopIfTrue="1" operator="lessThan">
      <formula>0</formula>
    </cfRule>
    <cfRule type="cellIs" dxfId="4275" priority="4273" stopIfTrue="1" operator="lessThan">
      <formula>0</formula>
    </cfRule>
  </conditionalFormatting>
  <conditionalFormatting sqref="H192:H193">
    <cfRule type="cellIs" dxfId="4274" priority="4270" stopIfTrue="1" operator="lessThan">
      <formula>0</formula>
    </cfRule>
    <cfRule type="cellIs" dxfId="4273" priority="4271" stopIfTrue="1" operator="lessThan">
      <formula>0</formula>
    </cfRule>
  </conditionalFormatting>
  <conditionalFormatting sqref="H192:H193">
    <cfRule type="cellIs" dxfId="4272" priority="4268" stopIfTrue="1" operator="lessThan">
      <formula>0</formula>
    </cfRule>
    <cfRule type="cellIs" dxfId="4271" priority="4269" stopIfTrue="1" operator="lessThan">
      <formula>0</formula>
    </cfRule>
  </conditionalFormatting>
  <conditionalFormatting sqref="H192:H193">
    <cfRule type="cellIs" dxfId="4270" priority="4266" stopIfTrue="1" operator="lessThan">
      <formula>0</formula>
    </cfRule>
    <cfRule type="cellIs" dxfId="4269" priority="4267" stopIfTrue="1" operator="lessThan">
      <formula>0</formula>
    </cfRule>
  </conditionalFormatting>
  <conditionalFormatting sqref="H192:H193">
    <cfRule type="cellIs" dxfId="4268" priority="4264" stopIfTrue="1" operator="lessThan">
      <formula>0</formula>
    </cfRule>
    <cfRule type="cellIs" dxfId="4267" priority="4265" stopIfTrue="1" operator="lessThan">
      <formula>0</formula>
    </cfRule>
  </conditionalFormatting>
  <conditionalFormatting sqref="H192:H193">
    <cfRule type="cellIs" dxfId="4266" priority="4262" stopIfTrue="1" operator="lessThan">
      <formula>0</formula>
    </cfRule>
    <cfRule type="cellIs" dxfId="4265" priority="4263" stopIfTrue="1" operator="lessThan">
      <formula>0</formula>
    </cfRule>
  </conditionalFormatting>
  <conditionalFormatting sqref="H192:H193">
    <cfRule type="cellIs" dxfId="4264" priority="4260" stopIfTrue="1" operator="lessThan">
      <formula>0</formula>
    </cfRule>
    <cfRule type="cellIs" dxfId="4263" priority="4261" stopIfTrue="1" operator="lessThan">
      <formula>0</formula>
    </cfRule>
  </conditionalFormatting>
  <conditionalFormatting sqref="H192:H193">
    <cfRule type="cellIs" dxfId="4262" priority="4258" stopIfTrue="1" operator="lessThan">
      <formula>0</formula>
    </cfRule>
    <cfRule type="cellIs" dxfId="4261" priority="4259" stopIfTrue="1" operator="lessThan">
      <formula>0</formula>
    </cfRule>
  </conditionalFormatting>
  <conditionalFormatting sqref="H192:H193">
    <cfRule type="cellIs" dxfId="4260" priority="4256" stopIfTrue="1" operator="lessThan">
      <formula>0</formula>
    </cfRule>
    <cfRule type="cellIs" dxfId="4259" priority="4257" stopIfTrue="1" operator="lessThan">
      <formula>0</formula>
    </cfRule>
  </conditionalFormatting>
  <conditionalFormatting sqref="H192:H193">
    <cfRule type="cellIs" dxfId="4258" priority="4254" stopIfTrue="1" operator="lessThan">
      <formula>0</formula>
    </cfRule>
    <cfRule type="cellIs" dxfId="4257" priority="4255" stopIfTrue="1" operator="lessThan">
      <formula>0</formula>
    </cfRule>
  </conditionalFormatting>
  <conditionalFormatting sqref="H192:H193">
    <cfRule type="cellIs" dxfId="4256" priority="4253" stopIfTrue="1" operator="lessThan">
      <formula>0.05</formula>
    </cfRule>
  </conditionalFormatting>
  <conditionalFormatting sqref="H192:H193">
    <cfRule type="cellIs" dxfId="4255" priority="4251" stopIfTrue="1" operator="lessThan">
      <formula>0</formula>
    </cfRule>
    <cfRule type="cellIs" dxfId="4254" priority="4252" stopIfTrue="1" operator="lessThan">
      <formula>0</formula>
    </cfRule>
  </conditionalFormatting>
  <conditionalFormatting sqref="H192:H193">
    <cfRule type="cellIs" dxfId="4253" priority="4250" stopIfTrue="1" operator="lessThan">
      <formula>0.05</formula>
    </cfRule>
  </conditionalFormatting>
  <conditionalFormatting sqref="H192:H193">
    <cfRule type="cellIs" dxfId="4252" priority="4248" stopIfTrue="1" operator="lessThan">
      <formula>0</formula>
    </cfRule>
    <cfRule type="cellIs" dxfId="4251" priority="4249" stopIfTrue="1" operator="lessThan">
      <formula>0</formula>
    </cfRule>
  </conditionalFormatting>
  <conditionalFormatting sqref="H192:H193">
    <cfRule type="cellIs" dxfId="4250" priority="4247" stopIfTrue="1" operator="lessThan">
      <formula>0.05</formula>
    </cfRule>
  </conditionalFormatting>
  <conditionalFormatting sqref="H192:H193">
    <cfRule type="cellIs" dxfId="4249" priority="4245" stopIfTrue="1" operator="lessThan">
      <formula>0</formula>
    </cfRule>
    <cfRule type="cellIs" dxfId="4248" priority="4246" stopIfTrue="1" operator="lessThan">
      <formula>0</formula>
    </cfRule>
  </conditionalFormatting>
  <conditionalFormatting sqref="H192:H193">
    <cfRule type="cellIs" dxfId="4247" priority="4244" stopIfTrue="1" operator="lessThan">
      <formula>0.05</formula>
    </cfRule>
  </conditionalFormatting>
  <conditionalFormatting sqref="H192:H193">
    <cfRule type="cellIs" dxfId="4246" priority="4242" stopIfTrue="1" operator="lessThan">
      <formula>0</formula>
    </cfRule>
    <cfRule type="cellIs" dxfId="4245" priority="4243" stopIfTrue="1" operator="lessThan">
      <formula>0</formula>
    </cfRule>
  </conditionalFormatting>
  <conditionalFormatting sqref="H192:H193">
    <cfRule type="cellIs" dxfId="4244" priority="4241" stopIfTrue="1" operator="lessThan">
      <formula>0.05</formula>
    </cfRule>
  </conditionalFormatting>
  <conditionalFormatting sqref="H192:H193">
    <cfRule type="cellIs" dxfId="4243" priority="4239" stopIfTrue="1" operator="lessThan">
      <formula>0</formula>
    </cfRule>
    <cfRule type="cellIs" dxfId="4242" priority="4240" stopIfTrue="1" operator="lessThan">
      <formula>0</formula>
    </cfRule>
  </conditionalFormatting>
  <conditionalFormatting sqref="H192:H193">
    <cfRule type="cellIs" dxfId="4241" priority="4238" stopIfTrue="1" operator="lessThan">
      <formula>0.05</formula>
    </cfRule>
  </conditionalFormatting>
  <conditionalFormatting sqref="H192:H193">
    <cfRule type="cellIs" dxfId="4240" priority="4236" stopIfTrue="1" operator="lessThan">
      <formula>0</formula>
    </cfRule>
    <cfRule type="cellIs" dxfId="4239" priority="4237" stopIfTrue="1" operator="lessThan">
      <formula>0</formula>
    </cfRule>
  </conditionalFormatting>
  <conditionalFormatting sqref="H192:H193">
    <cfRule type="cellIs" dxfId="4238" priority="4235" stopIfTrue="1" operator="lessThan">
      <formula>0.05</formula>
    </cfRule>
  </conditionalFormatting>
  <conditionalFormatting sqref="H194:H207">
    <cfRule type="cellIs" dxfId="4237" priority="4233" stopIfTrue="1" operator="lessThan">
      <formula>0</formula>
    </cfRule>
    <cfRule type="cellIs" dxfId="4236" priority="4234" stopIfTrue="1" operator="lessThan">
      <formula>0</formula>
    </cfRule>
  </conditionalFormatting>
  <conditionalFormatting sqref="H194:H207">
    <cfRule type="cellIs" dxfId="4235" priority="4231" stopIfTrue="1" operator="lessThan">
      <formula>0</formula>
    </cfRule>
    <cfRule type="cellIs" dxfId="4234" priority="4232" stopIfTrue="1" operator="lessThan">
      <formula>0</formula>
    </cfRule>
  </conditionalFormatting>
  <conditionalFormatting sqref="H194:H207">
    <cfRule type="cellIs" dxfId="4233" priority="4229" stopIfTrue="1" operator="lessThan">
      <formula>0</formula>
    </cfRule>
    <cfRule type="cellIs" dxfId="4232" priority="4230" stopIfTrue="1" operator="lessThan">
      <formula>0</formula>
    </cfRule>
  </conditionalFormatting>
  <conditionalFormatting sqref="H194:H207">
    <cfRule type="cellIs" dxfId="4231" priority="4227" stopIfTrue="1" operator="lessThan">
      <formula>0</formula>
    </cfRule>
    <cfRule type="cellIs" dxfId="4230" priority="4228" stopIfTrue="1" operator="lessThan">
      <formula>0</formula>
    </cfRule>
  </conditionalFormatting>
  <conditionalFormatting sqref="H194:H207">
    <cfRule type="cellIs" dxfId="4229" priority="4225" stopIfTrue="1" operator="lessThan">
      <formula>0</formula>
    </cfRule>
    <cfRule type="cellIs" dxfId="4228" priority="4226" stopIfTrue="1" operator="lessThan">
      <formula>0</formula>
    </cfRule>
  </conditionalFormatting>
  <conditionalFormatting sqref="H194:H207">
    <cfRule type="cellIs" dxfId="4227" priority="4223" stopIfTrue="1" operator="lessThan">
      <formula>0</formula>
    </cfRule>
    <cfRule type="cellIs" dxfId="4226" priority="4224" stopIfTrue="1" operator="lessThan">
      <formula>0</formula>
    </cfRule>
  </conditionalFormatting>
  <conditionalFormatting sqref="H194:H207">
    <cfRule type="cellIs" dxfId="4225" priority="4221" stopIfTrue="1" operator="lessThan">
      <formula>0</formula>
    </cfRule>
    <cfRule type="cellIs" dxfId="4224" priority="4222" stopIfTrue="1" operator="lessThan">
      <formula>0</formula>
    </cfRule>
  </conditionalFormatting>
  <conditionalFormatting sqref="H194:H207">
    <cfRule type="cellIs" dxfId="4223" priority="4219" stopIfTrue="1" operator="lessThan">
      <formula>0</formula>
    </cfRule>
    <cfRule type="cellIs" dxfId="4222" priority="4220" stopIfTrue="1" operator="lessThan">
      <formula>0</formula>
    </cfRule>
  </conditionalFormatting>
  <conditionalFormatting sqref="H194:H207">
    <cfRule type="cellIs" dxfId="4221" priority="4217" stopIfTrue="1" operator="lessThan">
      <formula>0</formula>
    </cfRule>
    <cfRule type="cellIs" dxfId="4220" priority="4218" stopIfTrue="1" operator="lessThan">
      <formula>0</formula>
    </cfRule>
  </conditionalFormatting>
  <conditionalFormatting sqref="H194:H207">
    <cfRule type="cellIs" dxfId="4219" priority="4215" stopIfTrue="1" operator="lessThan">
      <formula>0</formula>
    </cfRule>
    <cfRule type="cellIs" dxfId="4218" priority="4216" stopIfTrue="1" operator="lessThan">
      <formula>0</formula>
    </cfRule>
  </conditionalFormatting>
  <conditionalFormatting sqref="H194:H207">
    <cfRule type="cellIs" dxfId="4217" priority="4213" stopIfTrue="1" operator="lessThan">
      <formula>0</formula>
    </cfRule>
    <cfRule type="cellIs" dxfId="4216" priority="4214" stopIfTrue="1" operator="lessThan">
      <formula>0</formula>
    </cfRule>
  </conditionalFormatting>
  <conditionalFormatting sqref="H194:H207">
    <cfRule type="cellIs" dxfId="4215" priority="4211" stopIfTrue="1" operator="lessThan">
      <formula>0</formula>
    </cfRule>
    <cfRule type="cellIs" dxfId="4214" priority="4212" stopIfTrue="1" operator="lessThan">
      <formula>0</formula>
    </cfRule>
  </conditionalFormatting>
  <conditionalFormatting sqref="H194:H207">
    <cfRule type="cellIs" dxfId="4213" priority="4210" stopIfTrue="1" operator="lessThan">
      <formula>0.05</formula>
    </cfRule>
  </conditionalFormatting>
  <conditionalFormatting sqref="H194:H207">
    <cfRule type="cellIs" dxfId="4212" priority="4208" stopIfTrue="1" operator="lessThan">
      <formula>0</formula>
    </cfRule>
    <cfRule type="cellIs" dxfId="4211" priority="4209" stopIfTrue="1" operator="lessThan">
      <formula>0</formula>
    </cfRule>
  </conditionalFormatting>
  <conditionalFormatting sqref="H194:H207">
    <cfRule type="cellIs" dxfId="4210" priority="4207" stopIfTrue="1" operator="lessThan">
      <formula>0.05</formula>
    </cfRule>
  </conditionalFormatting>
  <conditionalFormatting sqref="H194:H207">
    <cfRule type="cellIs" dxfId="4209" priority="4205" stopIfTrue="1" operator="lessThan">
      <formula>0</formula>
    </cfRule>
    <cfRule type="cellIs" dxfId="4208" priority="4206" stopIfTrue="1" operator="lessThan">
      <formula>0</formula>
    </cfRule>
  </conditionalFormatting>
  <conditionalFormatting sqref="H194:H207">
    <cfRule type="cellIs" dxfId="4207" priority="4204" stopIfTrue="1" operator="lessThan">
      <formula>0.05</formula>
    </cfRule>
  </conditionalFormatting>
  <conditionalFormatting sqref="H194:H207">
    <cfRule type="cellIs" dxfId="4206" priority="4202" stopIfTrue="1" operator="lessThan">
      <formula>0</formula>
    </cfRule>
    <cfRule type="cellIs" dxfId="4205" priority="4203" stopIfTrue="1" operator="lessThan">
      <formula>0</formula>
    </cfRule>
  </conditionalFormatting>
  <conditionalFormatting sqref="H194:H207">
    <cfRule type="cellIs" dxfId="4204" priority="4201" stopIfTrue="1" operator="lessThan">
      <formula>0.05</formula>
    </cfRule>
  </conditionalFormatting>
  <conditionalFormatting sqref="H194:H207">
    <cfRule type="cellIs" dxfId="4203" priority="4199" stopIfTrue="1" operator="lessThan">
      <formula>0</formula>
    </cfRule>
    <cfRule type="cellIs" dxfId="4202" priority="4200" stopIfTrue="1" operator="lessThan">
      <formula>0</formula>
    </cfRule>
  </conditionalFormatting>
  <conditionalFormatting sqref="H194:H207">
    <cfRule type="cellIs" dxfId="4201" priority="4198" stopIfTrue="1" operator="lessThan">
      <formula>0.05</formula>
    </cfRule>
  </conditionalFormatting>
  <conditionalFormatting sqref="H194:H207">
    <cfRule type="cellIs" dxfId="4200" priority="4196" stopIfTrue="1" operator="lessThan">
      <formula>0</formula>
    </cfRule>
    <cfRule type="cellIs" dxfId="4199" priority="4197" stopIfTrue="1" operator="lessThan">
      <formula>0</formula>
    </cfRule>
  </conditionalFormatting>
  <conditionalFormatting sqref="H194:H207">
    <cfRule type="cellIs" dxfId="4198" priority="4195" stopIfTrue="1" operator="lessThan">
      <formula>0.05</formula>
    </cfRule>
  </conditionalFormatting>
  <conditionalFormatting sqref="H194:H207">
    <cfRule type="cellIs" dxfId="4197" priority="4193" stopIfTrue="1" operator="lessThan">
      <formula>0</formula>
    </cfRule>
    <cfRule type="cellIs" dxfId="4196" priority="4194" stopIfTrue="1" operator="lessThan">
      <formula>0</formula>
    </cfRule>
  </conditionalFormatting>
  <conditionalFormatting sqref="H194:H207">
    <cfRule type="cellIs" dxfId="4195" priority="4192" stopIfTrue="1" operator="lessThan">
      <formula>0.05</formula>
    </cfRule>
  </conditionalFormatting>
  <conditionalFormatting sqref="H191:H207">
    <cfRule type="cellIs" dxfId="4194" priority="4190" stopIfTrue="1" operator="lessThan">
      <formula>0</formula>
    </cfRule>
    <cfRule type="cellIs" dxfId="4193" priority="4191" stopIfTrue="1" operator="lessThan">
      <formula>0</formula>
    </cfRule>
  </conditionalFormatting>
  <conditionalFormatting sqref="H191:H207">
    <cfRule type="cellIs" dxfId="4192" priority="4188" stopIfTrue="1" operator="lessThan">
      <formula>0</formula>
    </cfRule>
    <cfRule type="cellIs" dxfId="4191" priority="4189" stopIfTrue="1" operator="lessThan">
      <formula>0</formula>
    </cfRule>
  </conditionalFormatting>
  <conditionalFormatting sqref="H191:H207">
    <cfRule type="cellIs" dxfId="4190" priority="4186" stopIfTrue="1" operator="lessThan">
      <formula>0.05</formula>
    </cfRule>
    <cfRule type="cellIs" dxfId="4189" priority="4187" stopIfTrue="1" operator="lessThan">
      <formula>0</formula>
    </cfRule>
  </conditionalFormatting>
  <conditionalFormatting sqref="H191:H207">
    <cfRule type="cellIs" dxfId="4188" priority="4184" stopIfTrue="1" operator="lessThan">
      <formula>0</formula>
    </cfRule>
    <cfRule type="cellIs" dxfId="4187" priority="4185" stopIfTrue="1" operator="lessThan">
      <formula>0</formula>
    </cfRule>
  </conditionalFormatting>
  <conditionalFormatting sqref="H191:H207">
    <cfRule type="cellIs" dxfId="4186" priority="4182" stopIfTrue="1" operator="lessThan">
      <formula>0.05</formula>
    </cfRule>
    <cfRule type="cellIs" dxfId="4185" priority="4183" stopIfTrue="1" operator="lessThan">
      <formula>0</formula>
    </cfRule>
  </conditionalFormatting>
  <conditionalFormatting sqref="H191:H207">
    <cfRule type="cellIs" dxfId="4184" priority="4180" stopIfTrue="1" operator="lessThan">
      <formula>0</formula>
    </cfRule>
    <cfRule type="cellIs" dxfId="4183" priority="4181" stopIfTrue="1" operator="lessThan">
      <formula>0</formula>
    </cfRule>
  </conditionalFormatting>
  <conditionalFormatting sqref="H191:H207">
    <cfRule type="cellIs" dxfId="4182" priority="4178" stopIfTrue="1" operator="lessThan">
      <formula>0.05</formula>
    </cfRule>
    <cfRule type="cellIs" dxfId="4181" priority="4179" stopIfTrue="1" operator="lessThan">
      <formula>0</formula>
    </cfRule>
  </conditionalFormatting>
  <conditionalFormatting sqref="H191:H207">
    <cfRule type="cellIs" dxfId="4180" priority="4176" stopIfTrue="1" operator="lessThan">
      <formula>0</formula>
    </cfRule>
    <cfRule type="cellIs" dxfId="4179" priority="4177" stopIfTrue="1" operator="lessThan">
      <formula>0</formula>
    </cfRule>
  </conditionalFormatting>
  <conditionalFormatting sqref="H191:H207">
    <cfRule type="cellIs" dxfId="4178" priority="4174" stopIfTrue="1" operator="lessThan">
      <formula>0</formula>
    </cfRule>
    <cfRule type="cellIs" dxfId="4177" priority="4175" stopIfTrue="1" operator="lessThan">
      <formula>0</formula>
    </cfRule>
  </conditionalFormatting>
  <conditionalFormatting sqref="H191:H207">
    <cfRule type="cellIs" dxfId="4176" priority="4172" stopIfTrue="1" operator="lessThan">
      <formula>0</formula>
    </cfRule>
    <cfRule type="cellIs" dxfId="4175" priority="4173" stopIfTrue="1" operator="lessThan">
      <formula>0</formula>
    </cfRule>
  </conditionalFormatting>
  <conditionalFormatting sqref="H191:H207">
    <cfRule type="cellIs" dxfId="4174" priority="4170" stopIfTrue="1" operator="lessThan">
      <formula>0.05</formula>
    </cfRule>
    <cfRule type="cellIs" dxfId="4173" priority="4171" stopIfTrue="1" operator="lessThan">
      <formula>0</formula>
    </cfRule>
  </conditionalFormatting>
  <conditionalFormatting sqref="H191:H207">
    <cfRule type="cellIs" dxfId="4172" priority="4168" stopIfTrue="1" operator="lessThan">
      <formula>0</formula>
    </cfRule>
    <cfRule type="cellIs" dxfId="4171" priority="4169" stopIfTrue="1" operator="lessThan">
      <formula>0</formula>
    </cfRule>
  </conditionalFormatting>
  <conditionalFormatting sqref="H191:H207">
    <cfRule type="cellIs" dxfId="4170" priority="4166" stopIfTrue="1" operator="lessThan">
      <formula>0.05</formula>
    </cfRule>
    <cfRule type="cellIs" dxfId="4169" priority="4167" stopIfTrue="1" operator="lessThan">
      <formula>0</formula>
    </cfRule>
  </conditionalFormatting>
  <conditionalFormatting sqref="H191:H207">
    <cfRule type="cellIs" dxfId="4168" priority="4164" stopIfTrue="1" operator="lessThan">
      <formula>0</formula>
    </cfRule>
    <cfRule type="cellIs" dxfId="4167" priority="4165" stopIfTrue="1" operator="lessThan">
      <formula>0</formula>
    </cfRule>
  </conditionalFormatting>
  <conditionalFormatting sqref="H191:H207">
    <cfRule type="cellIs" dxfId="4166" priority="4162" stopIfTrue="1" operator="lessThan">
      <formula>0.05</formula>
    </cfRule>
    <cfRule type="cellIs" dxfId="4165" priority="4163" stopIfTrue="1" operator="lessThan">
      <formula>0</formula>
    </cfRule>
  </conditionalFormatting>
  <conditionalFormatting sqref="H191:H207">
    <cfRule type="cellIs" dxfId="4164" priority="4160" stopIfTrue="1" operator="lessThan">
      <formula>0</formula>
    </cfRule>
    <cfRule type="cellIs" dxfId="4163" priority="4161" stopIfTrue="1" operator="lessThan">
      <formula>0</formula>
    </cfRule>
  </conditionalFormatting>
  <conditionalFormatting sqref="H191:H207">
    <cfRule type="cellIs" dxfId="4162" priority="4158" stopIfTrue="1" operator="lessThan">
      <formula>0</formula>
    </cfRule>
    <cfRule type="cellIs" dxfId="4161" priority="4159" stopIfTrue="1" operator="lessThan">
      <formula>0</formula>
    </cfRule>
  </conditionalFormatting>
  <conditionalFormatting sqref="H191:H207">
    <cfRule type="cellIs" dxfId="4160" priority="4156" stopIfTrue="1" operator="lessThan">
      <formula>0</formula>
    </cfRule>
    <cfRule type="cellIs" dxfId="4159" priority="4157" stopIfTrue="1" operator="lessThan">
      <formula>0</formula>
    </cfRule>
  </conditionalFormatting>
  <conditionalFormatting sqref="H191:H207">
    <cfRule type="cellIs" dxfId="4158" priority="4154" stopIfTrue="1" operator="lessThan">
      <formula>0.05</formula>
    </cfRule>
    <cfRule type="cellIs" dxfId="4157" priority="4155" stopIfTrue="1" operator="lessThan">
      <formula>0</formula>
    </cfRule>
  </conditionalFormatting>
  <conditionalFormatting sqref="H191:H207">
    <cfRule type="cellIs" dxfId="4156" priority="4152" stopIfTrue="1" operator="lessThan">
      <formula>0</formula>
    </cfRule>
    <cfRule type="cellIs" dxfId="4155" priority="4153" stopIfTrue="1" operator="lessThan">
      <formula>0</formula>
    </cfRule>
  </conditionalFormatting>
  <conditionalFormatting sqref="H191:H207">
    <cfRule type="cellIs" dxfId="4154" priority="4150" stopIfTrue="1" operator="lessThan">
      <formula>0.05</formula>
    </cfRule>
    <cfRule type="cellIs" dxfId="4153" priority="4151" stopIfTrue="1" operator="lessThan">
      <formula>0</formula>
    </cfRule>
  </conditionalFormatting>
  <conditionalFormatting sqref="H191:H207">
    <cfRule type="cellIs" dxfId="4152" priority="4148" stopIfTrue="1" operator="lessThan">
      <formula>0</formula>
    </cfRule>
    <cfRule type="cellIs" dxfId="4151" priority="4149" stopIfTrue="1" operator="lessThan">
      <formula>0</formula>
    </cfRule>
  </conditionalFormatting>
  <conditionalFormatting sqref="H191:H207">
    <cfRule type="cellIs" dxfId="4150" priority="4146" stopIfTrue="1" operator="lessThan">
      <formula>0.05</formula>
    </cfRule>
    <cfRule type="cellIs" dxfId="4149" priority="4147" stopIfTrue="1" operator="lessThan">
      <formula>0</formula>
    </cfRule>
  </conditionalFormatting>
  <conditionalFormatting sqref="H191:H207">
    <cfRule type="cellIs" dxfId="4148" priority="4144" stopIfTrue="1" operator="lessThan">
      <formula>0</formula>
    </cfRule>
    <cfRule type="cellIs" dxfId="4147" priority="4145" stopIfTrue="1" operator="lessThan">
      <formula>0</formula>
    </cfRule>
  </conditionalFormatting>
  <conditionalFormatting sqref="H191:H207">
    <cfRule type="cellIs" dxfId="4146" priority="4142" stopIfTrue="1" operator="lessThan">
      <formula>0</formula>
    </cfRule>
    <cfRule type="cellIs" dxfId="4145" priority="4143" stopIfTrue="1" operator="lessThan">
      <formula>0</formula>
    </cfRule>
  </conditionalFormatting>
  <conditionalFormatting sqref="H191:H207">
    <cfRule type="cellIs" dxfId="4144" priority="4140" stopIfTrue="1" operator="lessThan">
      <formula>0</formula>
    </cfRule>
    <cfRule type="cellIs" dxfId="4143" priority="4141" stopIfTrue="1" operator="lessThan">
      <formula>0</formula>
    </cfRule>
  </conditionalFormatting>
  <conditionalFormatting sqref="H191:H207">
    <cfRule type="cellIs" dxfId="4142" priority="4138" stopIfTrue="1" operator="lessThan">
      <formula>0.05</formula>
    </cfRule>
    <cfRule type="cellIs" dxfId="4141" priority="4139" stopIfTrue="1" operator="lessThan">
      <formula>0</formula>
    </cfRule>
  </conditionalFormatting>
  <conditionalFormatting sqref="H191:H207">
    <cfRule type="cellIs" dxfId="4140" priority="4136" stopIfTrue="1" operator="lessThan">
      <formula>0</formula>
    </cfRule>
    <cfRule type="cellIs" dxfId="4139" priority="4137" stopIfTrue="1" operator="lessThan">
      <formula>0</formula>
    </cfRule>
  </conditionalFormatting>
  <conditionalFormatting sqref="H191:H207">
    <cfRule type="cellIs" dxfId="4138" priority="4134" stopIfTrue="1" operator="lessThan">
      <formula>0.05</formula>
    </cfRule>
    <cfRule type="cellIs" dxfId="4137" priority="4135" stopIfTrue="1" operator="lessThan">
      <formula>0</formula>
    </cfRule>
  </conditionalFormatting>
  <conditionalFormatting sqref="H191:H207">
    <cfRule type="cellIs" dxfId="4136" priority="4132" stopIfTrue="1" operator="lessThan">
      <formula>0</formula>
    </cfRule>
    <cfRule type="cellIs" dxfId="4135" priority="4133" stopIfTrue="1" operator="lessThan">
      <formula>0</formula>
    </cfRule>
  </conditionalFormatting>
  <conditionalFormatting sqref="H191:H207">
    <cfRule type="cellIs" dxfId="4134" priority="4130" stopIfTrue="1" operator="lessThan">
      <formula>0.05</formula>
    </cfRule>
    <cfRule type="cellIs" dxfId="4133" priority="4131" stopIfTrue="1" operator="lessThan">
      <formula>0</formula>
    </cfRule>
  </conditionalFormatting>
  <conditionalFormatting sqref="H191:H207">
    <cfRule type="cellIs" dxfId="4132" priority="4128" stopIfTrue="1" operator="lessThan">
      <formula>0</formula>
    </cfRule>
    <cfRule type="cellIs" dxfId="4131" priority="4129" stopIfTrue="1" operator="lessThan">
      <formula>0</formula>
    </cfRule>
  </conditionalFormatting>
  <conditionalFormatting sqref="H191:H207">
    <cfRule type="cellIs" dxfId="4130" priority="4126" stopIfTrue="1" operator="lessThan">
      <formula>0</formula>
    </cfRule>
    <cfRule type="cellIs" dxfId="4129" priority="4127" stopIfTrue="1" operator="lessThan">
      <formula>0</formula>
    </cfRule>
  </conditionalFormatting>
  <conditionalFormatting sqref="H191:H207">
    <cfRule type="cellIs" dxfId="4128" priority="4124" stopIfTrue="1" operator="lessThan">
      <formula>0.05</formula>
    </cfRule>
    <cfRule type="cellIs" dxfId="4127" priority="4125" stopIfTrue="1" operator="lessThan">
      <formula>0</formula>
    </cfRule>
  </conditionalFormatting>
  <conditionalFormatting sqref="H191:H207">
    <cfRule type="cellIs" dxfId="4126" priority="4122" stopIfTrue="1" operator="lessThan">
      <formula>0</formula>
    </cfRule>
    <cfRule type="cellIs" dxfId="4125" priority="4123" stopIfTrue="1" operator="lessThan">
      <formula>0</formula>
    </cfRule>
  </conditionalFormatting>
  <conditionalFormatting sqref="H191:H207">
    <cfRule type="cellIs" dxfId="4124" priority="4120" stopIfTrue="1" operator="lessThan">
      <formula>0</formula>
    </cfRule>
    <cfRule type="cellIs" dxfId="4123" priority="4121" stopIfTrue="1" operator="lessThan">
      <formula>0</formula>
    </cfRule>
  </conditionalFormatting>
  <conditionalFormatting sqref="H191:H207">
    <cfRule type="cellIs" dxfId="4122" priority="4118" stopIfTrue="1" operator="lessThan">
      <formula>0.05</formula>
    </cfRule>
    <cfRule type="cellIs" dxfId="4121" priority="4119" stopIfTrue="1" operator="lessThan">
      <formula>0</formula>
    </cfRule>
  </conditionalFormatting>
  <conditionalFormatting sqref="H191:H207">
    <cfRule type="cellIs" dxfId="4120" priority="4116" stopIfTrue="1" operator="lessThan">
      <formula>0</formula>
    </cfRule>
    <cfRule type="cellIs" dxfId="4119" priority="4117" stopIfTrue="1" operator="lessThan">
      <formula>0</formula>
    </cfRule>
  </conditionalFormatting>
  <conditionalFormatting sqref="H191:H207">
    <cfRule type="cellIs" dxfId="4118" priority="4114" stopIfTrue="1" operator="lessThan">
      <formula>0</formula>
    </cfRule>
    <cfRule type="cellIs" dxfId="4117" priority="4115" stopIfTrue="1" operator="lessThan">
      <formula>0</formula>
    </cfRule>
  </conditionalFormatting>
  <conditionalFormatting sqref="H191:H207">
    <cfRule type="cellIs" dxfId="4116" priority="4112" stopIfTrue="1" operator="lessThan">
      <formula>0.05</formula>
    </cfRule>
    <cfRule type="cellIs" dxfId="4115" priority="4113" stopIfTrue="1" operator="lessThan">
      <formula>0</formula>
    </cfRule>
  </conditionalFormatting>
  <conditionalFormatting sqref="H191:H207">
    <cfRule type="cellIs" dxfId="4114" priority="4110" stopIfTrue="1" operator="lessThan">
      <formula>0</formula>
    </cfRule>
    <cfRule type="cellIs" dxfId="4113" priority="4111" stopIfTrue="1" operator="lessThan">
      <formula>0</formula>
    </cfRule>
  </conditionalFormatting>
  <conditionalFormatting sqref="H191:H207">
    <cfRule type="cellIs" dxfId="4112" priority="4108" stopIfTrue="1" operator="lessThan">
      <formula>0</formula>
    </cfRule>
    <cfRule type="cellIs" dxfId="4111" priority="4109" stopIfTrue="1" operator="lessThan">
      <formula>0</formula>
    </cfRule>
  </conditionalFormatting>
  <conditionalFormatting sqref="H191:H207">
    <cfRule type="cellIs" dxfId="4110" priority="4106" stopIfTrue="1" operator="lessThan">
      <formula>0.05</formula>
    </cfRule>
    <cfRule type="cellIs" dxfId="4109" priority="4107" stopIfTrue="1" operator="lessThan">
      <formula>0</formula>
    </cfRule>
  </conditionalFormatting>
  <conditionalFormatting sqref="H191:H207">
    <cfRule type="cellIs" dxfId="4108" priority="4104" stopIfTrue="1" operator="lessThan">
      <formula>0</formula>
    </cfRule>
    <cfRule type="cellIs" dxfId="4107" priority="4105" stopIfTrue="1" operator="lessThan">
      <formula>0</formula>
    </cfRule>
  </conditionalFormatting>
  <conditionalFormatting sqref="H191:H207">
    <cfRule type="cellIs" dxfId="4106" priority="4102" stopIfTrue="1" operator="lessThan">
      <formula>0</formula>
    </cfRule>
    <cfRule type="cellIs" dxfId="4105" priority="4103" stopIfTrue="1" operator="lessThan">
      <formula>0</formula>
    </cfRule>
  </conditionalFormatting>
  <conditionalFormatting sqref="H191:H207">
    <cfRule type="cellIs" dxfId="4104" priority="4100" stopIfTrue="1" operator="lessThan">
      <formula>0.05</formula>
    </cfRule>
    <cfRule type="cellIs" dxfId="4103" priority="4101" stopIfTrue="1" operator="lessThan">
      <formula>0</formula>
    </cfRule>
  </conditionalFormatting>
  <conditionalFormatting sqref="H191:H207">
    <cfRule type="cellIs" dxfId="4102" priority="4098" stopIfTrue="1" operator="lessThan">
      <formula>0</formula>
    </cfRule>
    <cfRule type="cellIs" dxfId="4101" priority="4099" stopIfTrue="1" operator="lessThan">
      <formula>0</formula>
    </cfRule>
  </conditionalFormatting>
  <conditionalFormatting sqref="H191:H207">
    <cfRule type="cellIs" dxfId="4100" priority="4096" stopIfTrue="1" operator="lessThan">
      <formula>0</formula>
    </cfRule>
    <cfRule type="cellIs" dxfId="4099" priority="4097" stopIfTrue="1" operator="lessThan">
      <formula>0</formula>
    </cfRule>
  </conditionalFormatting>
  <conditionalFormatting sqref="H191:H207">
    <cfRule type="cellIs" dxfId="4098" priority="4094" stopIfTrue="1" operator="lessThan">
      <formula>0.05</formula>
    </cfRule>
    <cfRule type="cellIs" dxfId="4097" priority="4095" stopIfTrue="1" operator="lessThan">
      <formula>0</formula>
    </cfRule>
  </conditionalFormatting>
  <conditionalFormatting sqref="H191:H207">
    <cfRule type="cellIs" dxfId="4096" priority="4092" stopIfTrue="1" operator="lessThan">
      <formula>0</formula>
    </cfRule>
    <cfRule type="cellIs" dxfId="4095" priority="4093" stopIfTrue="1" operator="lessThan">
      <formula>0</formula>
    </cfRule>
  </conditionalFormatting>
  <conditionalFormatting sqref="H191:H207">
    <cfRule type="cellIs" dxfId="4094" priority="4090" stopIfTrue="1" operator="lessThan">
      <formula>0</formula>
    </cfRule>
    <cfRule type="cellIs" dxfId="4093" priority="4091" stopIfTrue="1" operator="lessThan">
      <formula>0</formula>
    </cfRule>
  </conditionalFormatting>
  <conditionalFormatting sqref="H191:H207">
    <cfRule type="cellIs" dxfId="4092" priority="4088" stopIfTrue="1" operator="lessThan">
      <formula>0.05</formula>
    </cfRule>
    <cfRule type="cellIs" dxfId="4091" priority="4089" stopIfTrue="1" operator="lessThan">
      <formula>0</formula>
    </cfRule>
  </conditionalFormatting>
  <conditionalFormatting sqref="H191:H207">
    <cfRule type="cellIs" dxfId="4090" priority="4086" stopIfTrue="1" operator="lessThan">
      <formula>0</formula>
    </cfRule>
    <cfRule type="cellIs" dxfId="4089" priority="4087" stopIfTrue="1" operator="lessThan">
      <formula>0</formula>
    </cfRule>
  </conditionalFormatting>
  <conditionalFormatting sqref="H191:H207">
    <cfRule type="cellIs" dxfId="4088" priority="4084" stopIfTrue="1" operator="lessThan">
      <formula>0</formula>
    </cfRule>
    <cfRule type="cellIs" dxfId="4087" priority="4085" stopIfTrue="1" operator="lessThan">
      <formula>0</formula>
    </cfRule>
  </conditionalFormatting>
  <conditionalFormatting sqref="H191:H207">
    <cfRule type="cellIs" dxfId="4086" priority="4082" stopIfTrue="1" operator="lessThan">
      <formula>0.05</formula>
    </cfRule>
    <cfRule type="cellIs" dxfId="4085" priority="4083" stopIfTrue="1" operator="lessThan">
      <formula>0</formula>
    </cfRule>
  </conditionalFormatting>
  <conditionalFormatting sqref="H191:H207">
    <cfRule type="cellIs" dxfId="4084" priority="4080" stopIfTrue="1" operator="lessThan">
      <formula>0</formula>
    </cfRule>
    <cfRule type="cellIs" dxfId="4083" priority="4081" stopIfTrue="1" operator="lessThan">
      <formula>0</formula>
    </cfRule>
  </conditionalFormatting>
  <conditionalFormatting sqref="H191:H207">
    <cfRule type="cellIs" dxfId="4082" priority="4078" stopIfTrue="1" operator="lessThan">
      <formula>0</formula>
    </cfRule>
    <cfRule type="cellIs" dxfId="4081" priority="4079" stopIfTrue="1" operator="lessThan">
      <formula>0</formula>
    </cfRule>
  </conditionalFormatting>
  <conditionalFormatting sqref="H191:H207">
    <cfRule type="cellIs" dxfId="4080" priority="4076" stopIfTrue="1" operator="lessThan">
      <formula>0.05</formula>
    </cfRule>
    <cfRule type="cellIs" dxfId="4079" priority="4077" stopIfTrue="1" operator="lessThan">
      <formula>0</formula>
    </cfRule>
  </conditionalFormatting>
  <conditionalFormatting sqref="H191:H207">
    <cfRule type="cellIs" dxfId="4078" priority="4074" stopIfTrue="1" operator="lessThan">
      <formula>0</formula>
    </cfRule>
    <cfRule type="cellIs" dxfId="4077" priority="4075" stopIfTrue="1" operator="lessThan">
      <formula>0</formula>
    </cfRule>
  </conditionalFormatting>
  <conditionalFormatting sqref="H191:H207">
    <cfRule type="cellIs" dxfId="4076" priority="4072" stopIfTrue="1" operator="lessThan">
      <formula>0</formula>
    </cfRule>
    <cfRule type="cellIs" dxfId="4075" priority="4073" stopIfTrue="1" operator="lessThan">
      <formula>0</formula>
    </cfRule>
  </conditionalFormatting>
  <conditionalFormatting sqref="H191:H207">
    <cfRule type="cellIs" dxfId="4074" priority="4070" stopIfTrue="1" operator="lessThan">
      <formula>0.05</formula>
    </cfRule>
    <cfRule type="cellIs" dxfId="4073" priority="4071" stopIfTrue="1" operator="lessThan">
      <formula>0</formula>
    </cfRule>
  </conditionalFormatting>
  <conditionalFormatting sqref="H191:H207">
    <cfRule type="cellIs" dxfId="4072" priority="4068" stopIfTrue="1" operator="lessThan">
      <formula>0</formula>
    </cfRule>
    <cfRule type="cellIs" dxfId="4071" priority="4069" stopIfTrue="1" operator="lessThan">
      <formula>0</formula>
    </cfRule>
  </conditionalFormatting>
  <conditionalFormatting sqref="H191:H207">
    <cfRule type="cellIs" dxfId="4070" priority="4066" stopIfTrue="1" operator="lessThan">
      <formula>0</formula>
    </cfRule>
    <cfRule type="cellIs" dxfId="4069" priority="4067" stopIfTrue="1" operator="lessThan">
      <formula>0</formula>
    </cfRule>
  </conditionalFormatting>
  <conditionalFormatting sqref="H191:H207">
    <cfRule type="cellIs" dxfId="4068" priority="4064" stopIfTrue="1" operator="lessThan">
      <formula>0.05</formula>
    </cfRule>
    <cfRule type="cellIs" dxfId="4067" priority="4065" stopIfTrue="1" operator="lessThan">
      <formula>0</formula>
    </cfRule>
  </conditionalFormatting>
  <conditionalFormatting sqref="H191:H207">
    <cfRule type="cellIs" dxfId="4066" priority="4062" stopIfTrue="1" operator="lessThan">
      <formula>0</formula>
    </cfRule>
    <cfRule type="cellIs" dxfId="4065" priority="4063" stopIfTrue="1" operator="lessThan">
      <formula>0</formula>
    </cfRule>
  </conditionalFormatting>
  <conditionalFormatting sqref="H191:H207">
    <cfRule type="cellIs" dxfId="4064" priority="4060" stopIfTrue="1" operator="lessThan">
      <formula>0</formula>
    </cfRule>
    <cfRule type="cellIs" dxfId="4063" priority="4061" stopIfTrue="1" operator="lessThan">
      <formula>0</formula>
    </cfRule>
  </conditionalFormatting>
  <conditionalFormatting sqref="H191:H207">
    <cfRule type="cellIs" dxfId="4062" priority="4058" stopIfTrue="1" operator="lessThan">
      <formula>0.05</formula>
    </cfRule>
    <cfRule type="cellIs" dxfId="4061" priority="4059" stopIfTrue="1" operator="lessThan">
      <formula>0</formula>
    </cfRule>
  </conditionalFormatting>
  <conditionalFormatting sqref="H191:H207">
    <cfRule type="cellIs" dxfId="4060" priority="4056" stopIfTrue="1" operator="lessThan">
      <formula>0</formula>
    </cfRule>
    <cfRule type="cellIs" dxfId="4059" priority="4057" stopIfTrue="1" operator="lessThan">
      <formula>0</formula>
    </cfRule>
  </conditionalFormatting>
  <conditionalFormatting sqref="H191:H207">
    <cfRule type="cellIs" dxfId="4058" priority="4054" stopIfTrue="1" operator="lessThan">
      <formula>0</formula>
    </cfRule>
    <cfRule type="cellIs" dxfId="4057" priority="4055" stopIfTrue="1" operator="lessThan">
      <formula>0</formula>
    </cfRule>
  </conditionalFormatting>
  <conditionalFormatting sqref="H191:H207">
    <cfRule type="cellIs" dxfId="4056" priority="4052" stopIfTrue="1" operator="lessThan">
      <formula>0.05</formula>
    </cfRule>
    <cfRule type="cellIs" dxfId="4055" priority="4053" stopIfTrue="1" operator="lessThan">
      <formula>0</formula>
    </cfRule>
  </conditionalFormatting>
  <conditionalFormatting sqref="H191:H207">
    <cfRule type="cellIs" dxfId="4054" priority="4050" stopIfTrue="1" operator="lessThan">
      <formula>0</formula>
    </cfRule>
    <cfRule type="cellIs" dxfId="4053" priority="4051" stopIfTrue="1" operator="lessThan">
      <formula>0</formula>
    </cfRule>
  </conditionalFormatting>
  <conditionalFormatting sqref="H191:H207">
    <cfRule type="cellIs" dxfId="4052" priority="4048" stopIfTrue="1" operator="lessThan">
      <formula>0</formula>
    </cfRule>
    <cfRule type="cellIs" dxfId="4051" priority="4049" stopIfTrue="1" operator="lessThan">
      <formula>0</formula>
    </cfRule>
  </conditionalFormatting>
  <conditionalFormatting sqref="H191:H207">
    <cfRule type="cellIs" dxfId="4050" priority="4046" stopIfTrue="1" operator="lessThan">
      <formula>0.05</formula>
    </cfRule>
    <cfRule type="cellIs" dxfId="4049" priority="4047" stopIfTrue="1" operator="lessThan">
      <formula>0</formula>
    </cfRule>
  </conditionalFormatting>
  <conditionalFormatting sqref="H191:H207">
    <cfRule type="cellIs" dxfId="4048" priority="4044" stopIfTrue="1" operator="lessThan">
      <formula>0</formula>
    </cfRule>
    <cfRule type="cellIs" dxfId="4047" priority="4045" stopIfTrue="1" operator="lessThan">
      <formula>0</formula>
    </cfRule>
  </conditionalFormatting>
  <conditionalFormatting sqref="H191:H207">
    <cfRule type="cellIs" dxfId="4046" priority="4042" stopIfTrue="1" operator="lessThan">
      <formula>0</formula>
    </cfRule>
    <cfRule type="cellIs" dxfId="4045" priority="4043" stopIfTrue="1" operator="lessThan">
      <formula>0</formula>
    </cfRule>
  </conditionalFormatting>
  <conditionalFormatting sqref="H191:H207">
    <cfRule type="cellIs" dxfId="4044" priority="4040" stopIfTrue="1" operator="lessThan">
      <formula>0.05</formula>
    </cfRule>
    <cfRule type="cellIs" dxfId="4043" priority="4041" stopIfTrue="1" operator="lessThan">
      <formula>0</formula>
    </cfRule>
  </conditionalFormatting>
  <conditionalFormatting sqref="H191:H207">
    <cfRule type="cellIs" dxfId="4042" priority="4038" stopIfTrue="1" operator="lessThan">
      <formula>0</formula>
    </cfRule>
    <cfRule type="cellIs" dxfId="4041" priority="4039" stopIfTrue="1" operator="lessThan">
      <formula>0</formula>
    </cfRule>
  </conditionalFormatting>
  <conditionalFormatting sqref="H191:H207">
    <cfRule type="cellIs" dxfId="4040" priority="4036" stopIfTrue="1" operator="lessThan">
      <formula>0</formula>
    </cfRule>
    <cfRule type="cellIs" dxfId="4039" priority="4037" stopIfTrue="1" operator="lessThan">
      <formula>0</formula>
    </cfRule>
  </conditionalFormatting>
  <conditionalFormatting sqref="H191:H207">
    <cfRule type="cellIs" dxfId="4038" priority="4034" stopIfTrue="1" operator="lessThan">
      <formula>0.05</formula>
    </cfRule>
    <cfRule type="cellIs" dxfId="4037" priority="4035" stopIfTrue="1" operator="lessThan">
      <formula>0</formula>
    </cfRule>
  </conditionalFormatting>
  <conditionalFormatting sqref="H191:H207">
    <cfRule type="cellIs" dxfId="4036" priority="4032" stopIfTrue="1" operator="lessThan">
      <formula>0</formula>
    </cfRule>
    <cfRule type="cellIs" dxfId="4035" priority="4033" stopIfTrue="1" operator="lessThan">
      <formula>0</formula>
    </cfRule>
  </conditionalFormatting>
  <conditionalFormatting sqref="H191:H207">
    <cfRule type="cellIs" dxfId="4034" priority="4030" stopIfTrue="1" operator="lessThan">
      <formula>0.05</formula>
    </cfRule>
    <cfRule type="cellIs" dxfId="4033" priority="4031" stopIfTrue="1" operator="lessThan">
      <formula>0</formula>
    </cfRule>
  </conditionalFormatting>
  <conditionalFormatting sqref="H191:H207">
    <cfRule type="cellIs" dxfId="4032" priority="4028" stopIfTrue="1" operator="lessThan">
      <formula>0</formula>
    </cfRule>
    <cfRule type="cellIs" dxfId="4031" priority="4029" stopIfTrue="1" operator="lessThan">
      <formula>0</formula>
    </cfRule>
  </conditionalFormatting>
  <conditionalFormatting sqref="H191:H207">
    <cfRule type="cellIs" dxfId="4030" priority="4026" stopIfTrue="1" operator="lessThan">
      <formula>0.05</formula>
    </cfRule>
    <cfRule type="cellIs" dxfId="4029" priority="4027" stopIfTrue="1" operator="lessThan">
      <formula>0</formula>
    </cfRule>
  </conditionalFormatting>
  <conditionalFormatting sqref="H191:H207">
    <cfRule type="cellIs" dxfId="4028" priority="4024" stopIfTrue="1" operator="lessThan">
      <formula>0</formula>
    </cfRule>
    <cfRule type="cellIs" dxfId="4027" priority="4025" stopIfTrue="1" operator="lessThan">
      <formula>0</formula>
    </cfRule>
  </conditionalFormatting>
  <conditionalFormatting sqref="H191:H207">
    <cfRule type="cellIs" dxfId="4026" priority="4022" stopIfTrue="1" operator="lessThan">
      <formula>0</formula>
    </cfRule>
    <cfRule type="cellIs" dxfId="4025" priority="4023" stopIfTrue="1" operator="lessThan">
      <formula>0</formula>
    </cfRule>
  </conditionalFormatting>
  <conditionalFormatting sqref="H191:H207">
    <cfRule type="cellIs" dxfId="4024" priority="4020" stopIfTrue="1" operator="lessThan">
      <formula>0</formula>
    </cfRule>
    <cfRule type="cellIs" dxfId="4023" priority="4021" stopIfTrue="1" operator="lessThan">
      <formula>0</formula>
    </cfRule>
  </conditionalFormatting>
  <conditionalFormatting sqref="H191:H207">
    <cfRule type="cellIs" dxfId="4022" priority="4018" stopIfTrue="1" operator="lessThan">
      <formula>0.05</formula>
    </cfRule>
    <cfRule type="cellIs" dxfId="4021" priority="4019" stopIfTrue="1" operator="lessThan">
      <formula>0</formula>
    </cfRule>
  </conditionalFormatting>
  <conditionalFormatting sqref="H191:H207">
    <cfRule type="cellIs" dxfId="4020" priority="4016" stopIfTrue="1" operator="lessThan">
      <formula>0</formula>
    </cfRule>
    <cfRule type="cellIs" dxfId="4019" priority="4017" stopIfTrue="1" operator="lessThan">
      <formula>0</formula>
    </cfRule>
  </conditionalFormatting>
  <conditionalFormatting sqref="H191:H207">
    <cfRule type="cellIs" dxfId="4018" priority="4014" stopIfTrue="1" operator="lessThan">
      <formula>0.05</formula>
    </cfRule>
    <cfRule type="cellIs" dxfId="4017" priority="4015" stopIfTrue="1" operator="lessThan">
      <formula>0</formula>
    </cfRule>
  </conditionalFormatting>
  <conditionalFormatting sqref="H191:H207">
    <cfRule type="cellIs" dxfId="4016" priority="4012" stopIfTrue="1" operator="lessThan">
      <formula>0</formula>
    </cfRule>
    <cfRule type="cellIs" dxfId="4015" priority="4013" stopIfTrue="1" operator="lessThan">
      <formula>0</formula>
    </cfRule>
  </conditionalFormatting>
  <conditionalFormatting sqref="H191:H207">
    <cfRule type="cellIs" dxfId="4014" priority="4010" stopIfTrue="1" operator="lessThan">
      <formula>0.05</formula>
    </cfRule>
    <cfRule type="cellIs" dxfId="4013" priority="4011" stopIfTrue="1" operator="lessThan">
      <formula>0</formula>
    </cfRule>
  </conditionalFormatting>
  <conditionalFormatting sqref="H191:H207">
    <cfRule type="cellIs" dxfId="4012" priority="4008" stopIfTrue="1" operator="lessThan">
      <formula>0</formula>
    </cfRule>
    <cfRule type="cellIs" dxfId="4011" priority="4009" stopIfTrue="1" operator="lessThan">
      <formula>0</formula>
    </cfRule>
  </conditionalFormatting>
  <conditionalFormatting sqref="H191:H207">
    <cfRule type="cellIs" dxfId="4010" priority="4006" stopIfTrue="1" operator="lessThan">
      <formula>0</formula>
    </cfRule>
    <cfRule type="cellIs" dxfId="4009" priority="4007" stopIfTrue="1" operator="lessThan">
      <formula>0</formula>
    </cfRule>
  </conditionalFormatting>
  <conditionalFormatting sqref="H191:H207">
    <cfRule type="cellIs" dxfId="4008" priority="4004" stopIfTrue="1" operator="lessThan">
      <formula>0.05</formula>
    </cfRule>
    <cfRule type="cellIs" dxfId="4007" priority="4005" stopIfTrue="1" operator="lessThan">
      <formula>0</formula>
    </cfRule>
  </conditionalFormatting>
  <conditionalFormatting sqref="H191:H207">
    <cfRule type="cellIs" dxfId="4006" priority="4002" stopIfTrue="1" operator="lessThan">
      <formula>0</formula>
    </cfRule>
    <cfRule type="cellIs" dxfId="4005" priority="4003" stopIfTrue="1" operator="lessThan">
      <formula>0</formula>
    </cfRule>
  </conditionalFormatting>
  <conditionalFormatting sqref="H191:H207">
    <cfRule type="cellIs" dxfId="4004" priority="4000" stopIfTrue="1" operator="lessThan">
      <formula>0</formula>
    </cfRule>
    <cfRule type="cellIs" dxfId="4003" priority="4001" stopIfTrue="1" operator="lessThan">
      <formula>0</formula>
    </cfRule>
  </conditionalFormatting>
  <conditionalFormatting sqref="H191:H207">
    <cfRule type="cellIs" dxfId="4002" priority="3998" stopIfTrue="1" operator="lessThan">
      <formula>0.05</formula>
    </cfRule>
    <cfRule type="cellIs" dxfId="4001" priority="3999" stopIfTrue="1" operator="lessThan">
      <formula>0</formula>
    </cfRule>
  </conditionalFormatting>
  <conditionalFormatting sqref="H191:H207">
    <cfRule type="cellIs" dxfId="4000" priority="3996" stopIfTrue="1" operator="lessThan">
      <formula>0</formula>
    </cfRule>
    <cfRule type="cellIs" dxfId="3999" priority="3997" stopIfTrue="1" operator="lessThan">
      <formula>0</formula>
    </cfRule>
  </conditionalFormatting>
  <conditionalFormatting sqref="H191:H207">
    <cfRule type="cellIs" dxfId="3998" priority="3994" stopIfTrue="1" operator="lessThan">
      <formula>0</formula>
    </cfRule>
    <cfRule type="cellIs" dxfId="3997" priority="3995" stopIfTrue="1" operator="lessThan">
      <formula>0</formula>
    </cfRule>
  </conditionalFormatting>
  <conditionalFormatting sqref="H191:H207">
    <cfRule type="cellIs" dxfId="3996" priority="3992" stopIfTrue="1" operator="lessThan">
      <formula>0.05</formula>
    </cfRule>
    <cfRule type="cellIs" dxfId="3995" priority="3993" stopIfTrue="1" operator="lessThan">
      <formula>0</formula>
    </cfRule>
  </conditionalFormatting>
  <conditionalFormatting sqref="H191:H207">
    <cfRule type="cellIs" dxfId="3994" priority="3990" stopIfTrue="1" operator="lessThan">
      <formula>0</formula>
    </cfRule>
    <cfRule type="cellIs" dxfId="3993" priority="3991" stopIfTrue="1" operator="lessThan">
      <formula>0</formula>
    </cfRule>
  </conditionalFormatting>
  <conditionalFormatting sqref="H191:H207">
    <cfRule type="cellIs" dxfId="3992" priority="3988" stopIfTrue="1" operator="lessThan">
      <formula>0</formula>
    </cfRule>
    <cfRule type="cellIs" dxfId="3991" priority="3989" stopIfTrue="1" operator="lessThan">
      <formula>0</formula>
    </cfRule>
  </conditionalFormatting>
  <conditionalFormatting sqref="H191:H207">
    <cfRule type="cellIs" dxfId="3990" priority="3986" stopIfTrue="1" operator="lessThan">
      <formula>0.05</formula>
    </cfRule>
    <cfRule type="cellIs" dxfId="3989" priority="3987" stopIfTrue="1" operator="lessThan">
      <formula>0</formula>
    </cfRule>
  </conditionalFormatting>
  <conditionalFormatting sqref="H191:H207">
    <cfRule type="cellIs" dxfId="3988" priority="3984" stopIfTrue="1" operator="lessThan">
      <formula>0</formula>
    </cfRule>
    <cfRule type="cellIs" dxfId="3987" priority="3985" stopIfTrue="1" operator="lessThan">
      <formula>0</formula>
    </cfRule>
  </conditionalFormatting>
  <conditionalFormatting sqref="H191:H207">
    <cfRule type="cellIs" dxfId="3986" priority="3982" stopIfTrue="1" operator="lessThan">
      <formula>0</formula>
    </cfRule>
    <cfRule type="cellIs" dxfId="3985" priority="3983" stopIfTrue="1" operator="lessThan">
      <formula>0</formula>
    </cfRule>
  </conditionalFormatting>
  <conditionalFormatting sqref="H191:H207">
    <cfRule type="cellIs" dxfId="3984" priority="3980" stopIfTrue="1" operator="lessThan">
      <formula>0.05</formula>
    </cfRule>
    <cfRule type="cellIs" dxfId="3983" priority="3981" stopIfTrue="1" operator="lessThan">
      <formula>0</formula>
    </cfRule>
  </conditionalFormatting>
  <conditionalFormatting sqref="H191:H207">
    <cfRule type="cellIs" dxfId="3982" priority="3978" stopIfTrue="1" operator="lessThan">
      <formula>0</formula>
    </cfRule>
    <cfRule type="cellIs" dxfId="3981" priority="3979" stopIfTrue="1" operator="lessThan">
      <formula>0</formula>
    </cfRule>
  </conditionalFormatting>
  <conditionalFormatting sqref="H191:H207">
    <cfRule type="cellIs" dxfId="3980" priority="3976" stopIfTrue="1" operator="lessThan">
      <formula>0</formula>
    </cfRule>
    <cfRule type="cellIs" dxfId="3979" priority="3977" stopIfTrue="1" operator="lessThan">
      <formula>0</formula>
    </cfRule>
  </conditionalFormatting>
  <conditionalFormatting sqref="H191:H207">
    <cfRule type="cellIs" dxfId="3978" priority="3974" stopIfTrue="1" operator="lessThan">
      <formula>0.05</formula>
    </cfRule>
    <cfRule type="cellIs" dxfId="3977" priority="3975" stopIfTrue="1" operator="lessThan">
      <formula>0</formula>
    </cfRule>
  </conditionalFormatting>
  <conditionalFormatting sqref="H191:H207">
    <cfRule type="cellIs" dxfId="3976" priority="3972" stopIfTrue="1" operator="lessThan">
      <formula>0</formula>
    </cfRule>
    <cfRule type="cellIs" dxfId="3975" priority="3973" stopIfTrue="1" operator="lessThan">
      <formula>0</formula>
    </cfRule>
  </conditionalFormatting>
  <conditionalFormatting sqref="H191:H207">
    <cfRule type="cellIs" dxfId="3974" priority="3970" stopIfTrue="1" operator="lessThan">
      <formula>0</formula>
    </cfRule>
    <cfRule type="cellIs" dxfId="3973" priority="3971" stopIfTrue="1" operator="lessThan">
      <formula>0</formula>
    </cfRule>
  </conditionalFormatting>
  <conditionalFormatting sqref="H191:H207">
    <cfRule type="cellIs" dxfId="3972" priority="3968" stopIfTrue="1" operator="lessThan">
      <formula>0.05</formula>
    </cfRule>
    <cfRule type="cellIs" dxfId="3971" priority="3969" stopIfTrue="1" operator="lessThan">
      <formula>0</formula>
    </cfRule>
  </conditionalFormatting>
  <conditionalFormatting sqref="H191:H207">
    <cfRule type="cellIs" dxfId="3970" priority="3966" stopIfTrue="1" operator="lessThan">
      <formula>0</formula>
    </cfRule>
    <cfRule type="cellIs" dxfId="3969" priority="3967" stopIfTrue="1" operator="lessThan">
      <formula>0</formula>
    </cfRule>
  </conditionalFormatting>
  <conditionalFormatting sqref="H191:H207">
    <cfRule type="cellIs" dxfId="3968" priority="3964" stopIfTrue="1" operator="lessThan">
      <formula>0</formula>
    </cfRule>
    <cfRule type="cellIs" dxfId="3967" priority="3965" stopIfTrue="1" operator="lessThan">
      <formula>0</formula>
    </cfRule>
  </conditionalFormatting>
  <conditionalFormatting sqref="H191:H207">
    <cfRule type="cellIs" dxfId="3966" priority="3962" stopIfTrue="1" operator="lessThan">
      <formula>0.05</formula>
    </cfRule>
    <cfRule type="cellIs" dxfId="3965" priority="3963" stopIfTrue="1" operator="lessThan">
      <formula>0</formula>
    </cfRule>
  </conditionalFormatting>
  <conditionalFormatting sqref="H191:H207">
    <cfRule type="cellIs" dxfId="3964" priority="3960" stopIfTrue="1" operator="lessThan">
      <formula>0</formula>
    </cfRule>
    <cfRule type="cellIs" dxfId="3963" priority="3961" stopIfTrue="1" operator="lessThan">
      <formula>0</formula>
    </cfRule>
  </conditionalFormatting>
  <conditionalFormatting sqref="H191:H207">
    <cfRule type="cellIs" dxfId="3962" priority="3958" stopIfTrue="1" operator="lessThan">
      <formula>0</formula>
    </cfRule>
    <cfRule type="cellIs" dxfId="3961" priority="3959" stopIfTrue="1" operator="lessThan">
      <formula>0</formula>
    </cfRule>
  </conditionalFormatting>
  <conditionalFormatting sqref="H191:H207">
    <cfRule type="cellIs" dxfId="3960" priority="3956" stopIfTrue="1" operator="lessThan">
      <formula>0.05</formula>
    </cfRule>
    <cfRule type="cellIs" dxfId="3959" priority="3957" stopIfTrue="1" operator="lessThan">
      <formula>0</formula>
    </cfRule>
  </conditionalFormatting>
  <conditionalFormatting sqref="H191:H207">
    <cfRule type="cellIs" dxfId="3958" priority="3954" stopIfTrue="1" operator="lessThan">
      <formula>0</formula>
    </cfRule>
    <cfRule type="cellIs" dxfId="3957" priority="3955" stopIfTrue="1" operator="lessThan">
      <formula>0</formula>
    </cfRule>
  </conditionalFormatting>
  <conditionalFormatting sqref="H191:H207">
    <cfRule type="cellIs" dxfId="3956" priority="3952" stopIfTrue="1" operator="lessThan">
      <formula>0</formula>
    </cfRule>
    <cfRule type="cellIs" dxfId="3955" priority="3953" stopIfTrue="1" operator="lessThan">
      <formula>0</formula>
    </cfRule>
  </conditionalFormatting>
  <conditionalFormatting sqref="H191:H207">
    <cfRule type="cellIs" dxfId="3954" priority="3950" stopIfTrue="1" operator="lessThan">
      <formula>0.05</formula>
    </cfRule>
    <cfRule type="cellIs" dxfId="3953" priority="3951" stopIfTrue="1" operator="lessThan">
      <formula>0</formula>
    </cfRule>
  </conditionalFormatting>
  <conditionalFormatting sqref="H191:H207">
    <cfRule type="cellIs" dxfId="3952" priority="3948" stopIfTrue="1" operator="lessThan">
      <formula>0</formula>
    </cfRule>
    <cfRule type="cellIs" dxfId="3951" priority="3949" stopIfTrue="1" operator="lessThan">
      <formula>0</formula>
    </cfRule>
  </conditionalFormatting>
  <conditionalFormatting sqref="H191:H207">
    <cfRule type="cellIs" dxfId="3950" priority="3946" stopIfTrue="1" operator="lessThan">
      <formula>0</formula>
    </cfRule>
    <cfRule type="cellIs" dxfId="3949" priority="3947" stopIfTrue="1" operator="lessThan">
      <formula>0</formula>
    </cfRule>
  </conditionalFormatting>
  <conditionalFormatting sqref="H191:H207">
    <cfRule type="cellIs" dxfId="3948" priority="3944" stopIfTrue="1" operator="lessThan">
      <formula>0.05</formula>
    </cfRule>
    <cfRule type="cellIs" dxfId="3947" priority="3945" stopIfTrue="1" operator="lessThan">
      <formula>0</formula>
    </cfRule>
  </conditionalFormatting>
  <conditionalFormatting sqref="H191:H207">
    <cfRule type="cellIs" dxfId="3946" priority="3942" stopIfTrue="1" operator="lessThan">
      <formula>0</formula>
    </cfRule>
    <cfRule type="cellIs" dxfId="3945" priority="3943" stopIfTrue="1" operator="lessThan">
      <formula>0</formula>
    </cfRule>
  </conditionalFormatting>
  <conditionalFormatting sqref="H191:H207">
    <cfRule type="cellIs" dxfId="3944" priority="3940" stopIfTrue="1" operator="lessThan">
      <formula>0</formula>
    </cfRule>
    <cfRule type="cellIs" dxfId="3943" priority="3941" stopIfTrue="1" operator="lessThan">
      <formula>0</formula>
    </cfRule>
  </conditionalFormatting>
  <conditionalFormatting sqref="H191:H207">
    <cfRule type="cellIs" dxfId="3942" priority="3938" stopIfTrue="1" operator="lessThan">
      <formula>0.05</formula>
    </cfRule>
    <cfRule type="cellIs" dxfId="3941" priority="3939" stopIfTrue="1" operator="lessThan">
      <formula>0</formula>
    </cfRule>
  </conditionalFormatting>
  <conditionalFormatting sqref="H191:H207">
    <cfRule type="cellIs" dxfId="3940" priority="3936" stopIfTrue="1" operator="lessThan">
      <formula>0</formula>
    </cfRule>
    <cfRule type="cellIs" dxfId="3939" priority="3937" stopIfTrue="1" operator="lessThan">
      <formula>0</formula>
    </cfRule>
  </conditionalFormatting>
  <conditionalFormatting sqref="H191:H207">
    <cfRule type="cellIs" dxfId="3938" priority="3934" stopIfTrue="1" operator="lessThan">
      <formula>0.05</formula>
    </cfRule>
    <cfRule type="cellIs" dxfId="3937" priority="3935" stopIfTrue="1" operator="lessThan">
      <formula>0</formula>
    </cfRule>
  </conditionalFormatting>
  <conditionalFormatting sqref="H191:H207">
    <cfRule type="cellIs" dxfId="3936" priority="3932" stopIfTrue="1" operator="lessThan">
      <formula>0</formula>
    </cfRule>
    <cfRule type="cellIs" dxfId="3935" priority="3933" stopIfTrue="1" operator="lessThan">
      <formula>0</formula>
    </cfRule>
  </conditionalFormatting>
  <conditionalFormatting sqref="H191:H207">
    <cfRule type="cellIs" dxfId="3934" priority="3930" stopIfTrue="1" operator="lessThan">
      <formula>0.05</formula>
    </cfRule>
    <cfRule type="cellIs" dxfId="3933" priority="3931" stopIfTrue="1" operator="lessThan">
      <formula>0</formula>
    </cfRule>
  </conditionalFormatting>
  <conditionalFormatting sqref="H191:H207">
    <cfRule type="cellIs" dxfId="3932" priority="3928" stopIfTrue="1" operator="lessThan">
      <formula>0</formula>
    </cfRule>
    <cfRule type="cellIs" dxfId="3931" priority="3929" stopIfTrue="1" operator="lessThan">
      <formula>0</formula>
    </cfRule>
  </conditionalFormatting>
  <conditionalFormatting sqref="H191:H207">
    <cfRule type="cellIs" dxfId="3930" priority="3926" stopIfTrue="1" operator="lessThan">
      <formula>0</formula>
    </cfRule>
    <cfRule type="cellIs" dxfId="3929" priority="3927" stopIfTrue="1" operator="lessThan">
      <formula>0</formula>
    </cfRule>
  </conditionalFormatting>
  <conditionalFormatting sqref="H191:H207">
    <cfRule type="cellIs" dxfId="3928" priority="3924" stopIfTrue="1" operator="lessThan">
      <formula>0</formula>
    </cfRule>
    <cfRule type="cellIs" dxfId="3927" priority="3925" stopIfTrue="1" operator="lessThan">
      <formula>0</formula>
    </cfRule>
  </conditionalFormatting>
  <conditionalFormatting sqref="H191:H207">
    <cfRule type="cellIs" dxfId="3926" priority="3922" stopIfTrue="1" operator="lessThan">
      <formula>0.05</formula>
    </cfRule>
    <cfRule type="cellIs" dxfId="3925" priority="3923" stopIfTrue="1" operator="lessThan">
      <formula>0</formula>
    </cfRule>
  </conditionalFormatting>
  <conditionalFormatting sqref="H191:H207">
    <cfRule type="cellIs" dxfId="3924" priority="3920" stopIfTrue="1" operator="lessThan">
      <formula>0</formula>
    </cfRule>
    <cfRule type="cellIs" dxfId="3923" priority="3921" stopIfTrue="1" operator="lessThan">
      <formula>0</formula>
    </cfRule>
  </conditionalFormatting>
  <conditionalFormatting sqref="H191:H207">
    <cfRule type="cellIs" dxfId="3922" priority="3918" stopIfTrue="1" operator="lessThan">
      <formula>0.05</formula>
    </cfRule>
    <cfRule type="cellIs" dxfId="3921" priority="3919" stopIfTrue="1" operator="lessThan">
      <formula>0</formula>
    </cfRule>
  </conditionalFormatting>
  <conditionalFormatting sqref="H191:H207">
    <cfRule type="cellIs" dxfId="3920" priority="3916" stopIfTrue="1" operator="lessThan">
      <formula>0</formula>
    </cfRule>
    <cfRule type="cellIs" dxfId="3919" priority="3917" stopIfTrue="1" operator="lessThan">
      <formula>0</formula>
    </cfRule>
  </conditionalFormatting>
  <conditionalFormatting sqref="H191:H207">
    <cfRule type="cellIs" dxfId="3918" priority="3914" stopIfTrue="1" operator="lessThan">
      <formula>0.05</formula>
    </cfRule>
    <cfRule type="cellIs" dxfId="3917" priority="3915" stopIfTrue="1" operator="lessThan">
      <formula>0</formula>
    </cfRule>
  </conditionalFormatting>
  <conditionalFormatting sqref="H191:H207">
    <cfRule type="cellIs" dxfId="3916" priority="3912" stopIfTrue="1" operator="lessThan">
      <formula>0</formula>
    </cfRule>
    <cfRule type="cellIs" dxfId="3915" priority="3913" stopIfTrue="1" operator="lessThan">
      <formula>0</formula>
    </cfRule>
  </conditionalFormatting>
  <conditionalFormatting sqref="H191:H207">
    <cfRule type="cellIs" dxfId="3914" priority="3910" stopIfTrue="1" operator="lessThan">
      <formula>0</formula>
    </cfRule>
    <cfRule type="cellIs" dxfId="3913" priority="3911" stopIfTrue="1" operator="lessThan">
      <formula>0</formula>
    </cfRule>
  </conditionalFormatting>
  <conditionalFormatting sqref="H191:H207">
    <cfRule type="cellIs" dxfId="3912" priority="3908" stopIfTrue="1" operator="lessThan">
      <formula>0.05</formula>
    </cfRule>
    <cfRule type="cellIs" dxfId="3911" priority="3909" stopIfTrue="1" operator="lessThan">
      <formula>0</formula>
    </cfRule>
  </conditionalFormatting>
  <conditionalFormatting sqref="H191:H207">
    <cfRule type="cellIs" dxfId="3910" priority="3906" stopIfTrue="1" operator="lessThan">
      <formula>0</formula>
    </cfRule>
    <cfRule type="cellIs" dxfId="3909" priority="3907" stopIfTrue="1" operator="lessThan">
      <formula>0</formula>
    </cfRule>
  </conditionalFormatting>
  <conditionalFormatting sqref="H191:H207">
    <cfRule type="cellIs" dxfId="3908" priority="3904" stopIfTrue="1" operator="lessThan">
      <formula>0</formula>
    </cfRule>
    <cfRule type="cellIs" dxfId="3907" priority="3905" stopIfTrue="1" operator="lessThan">
      <formula>0</formula>
    </cfRule>
  </conditionalFormatting>
  <conditionalFormatting sqref="H191:H207">
    <cfRule type="cellIs" dxfId="3906" priority="3902" stopIfTrue="1" operator="lessThan">
      <formula>0.05</formula>
    </cfRule>
    <cfRule type="cellIs" dxfId="3905" priority="3903" stopIfTrue="1" operator="lessThan">
      <formula>0</formula>
    </cfRule>
  </conditionalFormatting>
  <conditionalFormatting sqref="H191:H207">
    <cfRule type="cellIs" dxfId="3904" priority="3900" stopIfTrue="1" operator="lessThan">
      <formula>0</formula>
    </cfRule>
    <cfRule type="cellIs" dxfId="3903" priority="3901" stopIfTrue="1" operator="lessThan">
      <formula>0</formula>
    </cfRule>
  </conditionalFormatting>
  <conditionalFormatting sqref="H191:H207">
    <cfRule type="cellIs" dxfId="3902" priority="3898" stopIfTrue="1" operator="lessThan">
      <formula>0</formula>
    </cfRule>
    <cfRule type="cellIs" dxfId="3901" priority="3899" stopIfTrue="1" operator="lessThan">
      <formula>0</formula>
    </cfRule>
  </conditionalFormatting>
  <conditionalFormatting sqref="H191:H207">
    <cfRule type="cellIs" dxfId="3900" priority="3896" stopIfTrue="1" operator="lessThan">
      <formula>0.05</formula>
    </cfRule>
    <cfRule type="cellIs" dxfId="3899" priority="3897" stopIfTrue="1" operator="lessThan">
      <formula>0</formula>
    </cfRule>
  </conditionalFormatting>
  <conditionalFormatting sqref="H191:H207">
    <cfRule type="cellIs" dxfId="3898" priority="3894" stopIfTrue="1" operator="lessThan">
      <formula>0</formula>
    </cfRule>
    <cfRule type="cellIs" dxfId="3897" priority="3895" stopIfTrue="1" operator="lessThan">
      <formula>0</formula>
    </cfRule>
  </conditionalFormatting>
  <conditionalFormatting sqref="H191:H207">
    <cfRule type="cellIs" dxfId="3896" priority="3892" stopIfTrue="1" operator="lessThan">
      <formula>0</formula>
    </cfRule>
    <cfRule type="cellIs" dxfId="3895" priority="3893" stopIfTrue="1" operator="lessThan">
      <formula>0</formula>
    </cfRule>
  </conditionalFormatting>
  <conditionalFormatting sqref="H191:H207">
    <cfRule type="cellIs" dxfId="3894" priority="3890" stopIfTrue="1" operator="lessThan">
      <formula>0.05</formula>
    </cfRule>
    <cfRule type="cellIs" dxfId="3893" priority="3891" stopIfTrue="1" operator="lessThan">
      <formula>0</formula>
    </cfRule>
  </conditionalFormatting>
  <conditionalFormatting sqref="H191:H207">
    <cfRule type="cellIs" dxfId="3892" priority="3888" stopIfTrue="1" operator="lessThan">
      <formula>0</formula>
    </cfRule>
    <cfRule type="cellIs" dxfId="3891" priority="3889" stopIfTrue="1" operator="lessThan">
      <formula>0</formula>
    </cfRule>
  </conditionalFormatting>
  <conditionalFormatting sqref="H191:H207">
    <cfRule type="cellIs" dxfId="3890" priority="3886" stopIfTrue="1" operator="lessThan">
      <formula>0</formula>
    </cfRule>
    <cfRule type="cellIs" dxfId="3889" priority="3887" stopIfTrue="1" operator="lessThan">
      <formula>0</formula>
    </cfRule>
  </conditionalFormatting>
  <conditionalFormatting sqref="H191:H207">
    <cfRule type="cellIs" dxfId="3888" priority="3884" stopIfTrue="1" operator="lessThan">
      <formula>0.05</formula>
    </cfRule>
    <cfRule type="cellIs" dxfId="3887" priority="3885" stopIfTrue="1" operator="lessThan">
      <formula>0</formula>
    </cfRule>
  </conditionalFormatting>
  <conditionalFormatting sqref="H191:H207">
    <cfRule type="cellIs" dxfId="3886" priority="3882" stopIfTrue="1" operator="lessThan">
      <formula>0</formula>
    </cfRule>
    <cfRule type="cellIs" dxfId="3885" priority="3883" stopIfTrue="1" operator="lessThan">
      <formula>0</formula>
    </cfRule>
  </conditionalFormatting>
  <conditionalFormatting sqref="H191:H207">
    <cfRule type="cellIs" dxfId="3884" priority="3880" stopIfTrue="1" operator="lessThan">
      <formula>0</formula>
    </cfRule>
    <cfRule type="cellIs" dxfId="3883" priority="3881" stopIfTrue="1" operator="lessThan">
      <formula>0</formula>
    </cfRule>
  </conditionalFormatting>
  <conditionalFormatting sqref="H191:H207">
    <cfRule type="cellIs" dxfId="3882" priority="3878" stopIfTrue="1" operator="lessThan">
      <formula>0.05</formula>
    </cfRule>
    <cfRule type="cellIs" dxfId="3881" priority="3879" stopIfTrue="1" operator="lessThan">
      <formula>0</formula>
    </cfRule>
  </conditionalFormatting>
  <conditionalFormatting sqref="H191:H207">
    <cfRule type="cellIs" dxfId="3880" priority="3876" stopIfTrue="1" operator="lessThan">
      <formula>0</formula>
    </cfRule>
    <cfRule type="cellIs" dxfId="3879" priority="3877" stopIfTrue="1" operator="lessThan">
      <formula>0</formula>
    </cfRule>
  </conditionalFormatting>
  <conditionalFormatting sqref="H191:H207">
    <cfRule type="cellIs" dxfId="3878" priority="3874" stopIfTrue="1" operator="lessThan">
      <formula>0</formula>
    </cfRule>
    <cfRule type="cellIs" dxfId="3877" priority="3875" stopIfTrue="1" operator="lessThan">
      <formula>0</formula>
    </cfRule>
  </conditionalFormatting>
  <conditionalFormatting sqref="H191:H207">
    <cfRule type="cellIs" dxfId="3876" priority="3872" stopIfTrue="1" operator="lessThan">
      <formula>0.05</formula>
    </cfRule>
    <cfRule type="cellIs" dxfId="3875" priority="3873" stopIfTrue="1" operator="lessThan">
      <formula>0</formula>
    </cfRule>
  </conditionalFormatting>
  <conditionalFormatting sqref="H191:H207">
    <cfRule type="cellIs" dxfId="3874" priority="3870" stopIfTrue="1" operator="lessThan">
      <formula>0</formula>
    </cfRule>
    <cfRule type="cellIs" dxfId="3873" priority="3871" stopIfTrue="1" operator="lessThan">
      <formula>0</formula>
    </cfRule>
  </conditionalFormatting>
  <conditionalFormatting sqref="H191:H207">
    <cfRule type="cellIs" dxfId="3872" priority="3868" stopIfTrue="1" operator="lessThan">
      <formula>0</formula>
    </cfRule>
    <cfRule type="cellIs" dxfId="3871" priority="3869" stopIfTrue="1" operator="lessThan">
      <formula>0</formula>
    </cfRule>
  </conditionalFormatting>
  <conditionalFormatting sqref="H191:H207">
    <cfRule type="cellIs" dxfId="3870" priority="3866" stopIfTrue="1" operator="lessThan">
      <formula>0.05</formula>
    </cfRule>
    <cfRule type="cellIs" dxfId="3869" priority="3867" stopIfTrue="1" operator="lessThan">
      <formula>0</formula>
    </cfRule>
  </conditionalFormatting>
  <conditionalFormatting sqref="H191:H207">
    <cfRule type="cellIs" dxfId="3868" priority="3864" stopIfTrue="1" operator="lessThan">
      <formula>0</formula>
    </cfRule>
    <cfRule type="cellIs" dxfId="3867" priority="3865" stopIfTrue="1" operator="lessThan">
      <formula>0</formula>
    </cfRule>
  </conditionalFormatting>
  <conditionalFormatting sqref="H191:H207">
    <cfRule type="cellIs" dxfId="3866" priority="3862" stopIfTrue="1" operator="lessThan">
      <formula>0</formula>
    </cfRule>
    <cfRule type="cellIs" dxfId="3865" priority="3863" stopIfTrue="1" operator="lessThan">
      <formula>0</formula>
    </cfRule>
  </conditionalFormatting>
  <conditionalFormatting sqref="H191:H207">
    <cfRule type="cellIs" dxfId="3864" priority="3860" stopIfTrue="1" operator="lessThan">
      <formula>0.05</formula>
    </cfRule>
    <cfRule type="cellIs" dxfId="3863" priority="3861" stopIfTrue="1" operator="lessThan">
      <formula>0</formula>
    </cfRule>
  </conditionalFormatting>
  <conditionalFormatting sqref="H191:H207">
    <cfRule type="cellIs" dxfId="3862" priority="3858" stopIfTrue="1" operator="lessThan">
      <formula>0</formula>
    </cfRule>
    <cfRule type="cellIs" dxfId="3861" priority="3859" stopIfTrue="1" operator="lessThan">
      <formula>0</formula>
    </cfRule>
  </conditionalFormatting>
  <conditionalFormatting sqref="H191:H207">
    <cfRule type="cellIs" dxfId="3860" priority="3856" stopIfTrue="1" operator="lessThan">
      <formula>0</formula>
    </cfRule>
    <cfRule type="cellIs" dxfId="3859" priority="3857" stopIfTrue="1" operator="lessThan">
      <formula>0</formula>
    </cfRule>
  </conditionalFormatting>
  <conditionalFormatting sqref="H191:H207">
    <cfRule type="cellIs" dxfId="3858" priority="3854" stopIfTrue="1" operator="lessThan">
      <formula>0.05</formula>
    </cfRule>
    <cfRule type="cellIs" dxfId="3857" priority="3855" stopIfTrue="1" operator="lessThan">
      <formula>0</formula>
    </cfRule>
  </conditionalFormatting>
  <conditionalFormatting sqref="H191:H207">
    <cfRule type="cellIs" dxfId="3856" priority="3852" stopIfTrue="1" operator="lessThan">
      <formula>0</formula>
    </cfRule>
    <cfRule type="cellIs" dxfId="3855" priority="3853" stopIfTrue="1" operator="lessThan">
      <formula>0</formula>
    </cfRule>
  </conditionalFormatting>
  <conditionalFormatting sqref="H191:H207">
    <cfRule type="cellIs" dxfId="3854" priority="3850" stopIfTrue="1" operator="lessThan">
      <formula>0</formula>
    </cfRule>
    <cfRule type="cellIs" dxfId="3853" priority="3851" stopIfTrue="1" operator="lessThan">
      <formula>0</formula>
    </cfRule>
  </conditionalFormatting>
  <conditionalFormatting sqref="H191:H207">
    <cfRule type="cellIs" dxfId="3852" priority="3848" stopIfTrue="1" operator="lessThan">
      <formula>0.05</formula>
    </cfRule>
    <cfRule type="cellIs" dxfId="3851" priority="3849" stopIfTrue="1" operator="lessThan">
      <formula>0</formula>
    </cfRule>
  </conditionalFormatting>
  <conditionalFormatting sqref="H191:H207">
    <cfRule type="cellIs" dxfId="3850" priority="3846" stopIfTrue="1" operator="lessThan">
      <formula>0</formula>
    </cfRule>
    <cfRule type="cellIs" dxfId="3849" priority="3847" stopIfTrue="1" operator="lessThan">
      <formula>0</formula>
    </cfRule>
  </conditionalFormatting>
  <conditionalFormatting sqref="H191:H207">
    <cfRule type="cellIs" dxfId="3848" priority="3844" stopIfTrue="1" operator="lessThan">
      <formula>0</formula>
    </cfRule>
    <cfRule type="cellIs" dxfId="3847" priority="3845" stopIfTrue="1" operator="lessThan">
      <formula>0</formula>
    </cfRule>
  </conditionalFormatting>
  <conditionalFormatting sqref="H191:H207">
    <cfRule type="cellIs" dxfId="3846" priority="3842" stopIfTrue="1" operator="lessThan">
      <formula>0.05</formula>
    </cfRule>
    <cfRule type="cellIs" dxfId="3845" priority="3843" stopIfTrue="1" operator="lessThan">
      <formula>0</formula>
    </cfRule>
  </conditionalFormatting>
  <conditionalFormatting sqref="H191:H207">
    <cfRule type="cellIs" dxfId="3844" priority="3840" stopIfTrue="1" operator="lessThan">
      <formula>0</formula>
    </cfRule>
    <cfRule type="cellIs" dxfId="3843" priority="3841" stopIfTrue="1" operator="lessThan">
      <formula>0</formula>
    </cfRule>
  </conditionalFormatting>
  <conditionalFormatting sqref="H191:H207">
    <cfRule type="cellIs" dxfId="3842" priority="3838" stopIfTrue="1" operator="lessThan">
      <formula>0</formula>
    </cfRule>
    <cfRule type="cellIs" dxfId="3841" priority="3839" stopIfTrue="1" operator="lessThan">
      <formula>0</formula>
    </cfRule>
  </conditionalFormatting>
  <conditionalFormatting sqref="H191:H207">
    <cfRule type="cellIs" dxfId="3840" priority="3836" stopIfTrue="1" operator="lessThan">
      <formula>0.05</formula>
    </cfRule>
    <cfRule type="cellIs" dxfId="3839" priority="3837" stopIfTrue="1" operator="lessThan">
      <formula>0</formula>
    </cfRule>
  </conditionalFormatting>
  <conditionalFormatting sqref="H191:H207">
    <cfRule type="cellIs" dxfId="3838" priority="3834" stopIfTrue="1" operator="lessThan">
      <formula>0</formula>
    </cfRule>
    <cfRule type="cellIs" dxfId="3837" priority="3835" stopIfTrue="1" operator="lessThan">
      <formula>0</formula>
    </cfRule>
  </conditionalFormatting>
  <conditionalFormatting sqref="H191:H207">
    <cfRule type="cellIs" dxfId="3836" priority="3832" stopIfTrue="1" operator="lessThan">
      <formula>0</formula>
    </cfRule>
    <cfRule type="cellIs" dxfId="3835" priority="3833" stopIfTrue="1" operator="lessThan">
      <formula>0</formula>
    </cfRule>
  </conditionalFormatting>
  <conditionalFormatting sqref="H191:H207">
    <cfRule type="cellIs" dxfId="3834" priority="3830" stopIfTrue="1" operator="lessThan">
      <formula>0.05</formula>
    </cfRule>
    <cfRule type="cellIs" dxfId="3833" priority="3831" stopIfTrue="1" operator="lessThan">
      <formula>0</formula>
    </cfRule>
  </conditionalFormatting>
  <conditionalFormatting sqref="H191:H207">
    <cfRule type="cellIs" dxfId="3832" priority="3828" stopIfTrue="1" operator="lessThan">
      <formula>0</formula>
    </cfRule>
    <cfRule type="cellIs" dxfId="3831" priority="3829" stopIfTrue="1" operator="lessThan">
      <formula>0</formula>
    </cfRule>
  </conditionalFormatting>
  <conditionalFormatting sqref="H191:H207">
    <cfRule type="cellIs" dxfId="3830" priority="3826" stopIfTrue="1" operator="lessThan">
      <formula>0.05</formula>
    </cfRule>
    <cfRule type="cellIs" dxfId="3829" priority="3827" stopIfTrue="1" operator="lessThan">
      <formula>0</formula>
    </cfRule>
  </conditionalFormatting>
  <conditionalFormatting sqref="H191:H207">
    <cfRule type="cellIs" dxfId="3828" priority="3824" stopIfTrue="1" operator="lessThan">
      <formula>0</formula>
    </cfRule>
    <cfRule type="cellIs" dxfId="3827" priority="3825" stopIfTrue="1" operator="lessThan">
      <formula>0</formula>
    </cfRule>
  </conditionalFormatting>
  <conditionalFormatting sqref="H191:H207">
    <cfRule type="cellIs" dxfId="3826" priority="3822" stopIfTrue="1" operator="lessThan">
      <formula>0.05</formula>
    </cfRule>
    <cfRule type="cellIs" dxfId="3825" priority="3823" stopIfTrue="1" operator="lessThan">
      <formula>0</formula>
    </cfRule>
  </conditionalFormatting>
  <conditionalFormatting sqref="H191:H207">
    <cfRule type="cellIs" dxfId="3824" priority="3820" stopIfTrue="1" operator="lessThan">
      <formula>0</formula>
    </cfRule>
    <cfRule type="cellIs" dxfId="3823" priority="3821" stopIfTrue="1" operator="lessThan">
      <formula>0</formula>
    </cfRule>
  </conditionalFormatting>
  <conditionalFormatting sqref="H191:H207">
    <cfRule type="cellIs" dxfId="3822" priority="3818" stopIfTrue="1" operator="lessThan">
      <formula>0</formula>
    </cfRule>
    <cfRule type="cellIs" dxfId="3821" priority="3819" stopIfTrue="1" operator="lessThan">
      <formula>0</formula>
    </cfRule>
  </conditionalFormatting>
  <conditionalFormatting sqref="H191:H207">
    <cfRule type="cellIs" dxfId="3820" priority="3816" stopIfTrue="1" operator="lessThan">
      <formula>0</formula>
    </cfRule>
    <cfRule type="cellIs" dxfId="3819" priority="3817" stopIfTrue="1" operator="lessThan">
      <formula>0</formula>
    </cfRule>
  </conditionalFormatting>
  <conditionalFormatting sqref="H191:H207">
    <cfRule type="cellIs" dxfId="3818" priority="3814" stopIfTrue="1" operator="lessThan">
      <formula>0.05</formula>
    </cfRule>
    <cfRule type="cellIs" dxfId="3817" priority="3815" stopIfTrue="1" operator="lessThan">
      <formula>0</formula>
    </cfRule>
  </conditionalFormatting>
  <conditionalFormatting sqref="H191:H207">
    <cfRule type="cellIs" dxfId="3816" priority="3812" stopIfTrue="1" operator="lessThan">
      <formula>0</formula>
    </cfRule>
    <cfRule type="cellIs" dxfId="3815" priority="3813" stopIfTrue="1" operator="lessThan">
      <formula>0</formula>
    </cfRule>
  </conditionalFormatting>
  <conditionalFormatting sqref="H191:H207">
    <cfRule type="cellIs" dxfId="3814" priority="3810" stopIfTrue="1" operator="lessThan">
      <formula>0.05</formula>
    </cfRule>
    <cfRule type="cellIs" dxfId="3813" priority="3811" stopIfTrue="1" operator="lessThan">
      <formula>0</formula>
    </cfRule>
  </conditionalFormatting>
  <conditionalFormatting sqref="H191:H207">
    <cfRule type="cellIs" dxfId="3812" priority="3808" stopIfTrue="1" operator="lessThan">
      <formula>0</formula>
    </cfRule>
    <cfRule type="cellIs" dxfId="3811" priority="3809" stopIfTrue="1" operator="lessThan">
      <formula>0</formula>
    </cfRule>
  </conditionalFormatting>
  <conditionalFormatting sqref="H191:H207">
    <cfRule type="cellIs" dxfId="3810" priority="3806" stopIfTrue="1" operator="lessThan">
      <formula>0.05</formula>
    </cfRule>
    <cfRule type="cellIs" dxfId="3809" priority="3807" stopIfTrue="1" operator="lessThan">
      <formula>0</formula>
    </cfRule>
  </conditionalFormatting>
  <conditionalFormatting sqref="H191:H207">
    <cfRule type="cellIs" dxfId="3808" priority="3804" stopIfTrue="1" operator="lessThan">
      <formula>0</formula>
    </cfRule>
    <cfRule type="cellIs" dxfId="3807" priority="3805" stopIfTrue="1" operator="lessThan">
      <formula>0</formula>
    </cfRule>
  </conditionalFormatting>
  <conditionalFormatting sqref="H191:H207">
    <cfRule type="cellIs" dxfId="3806" priority="3803" stopIfTrue="1" operator="lessThan">
      <formula>0.05</formula>
    </cfRule>
  </conditionalFormatting>
  <conditionalFormatting sqref="H192">
    <cfRule type="cellIs" dxfId="3805" priority="3801" stopIfTrue="1" operator="lessThan">
      <formula>0</formula>
    </cfRule>
    <cfRule type="cellIs" dxfId="3804" priority="3802" stopIfTrue="1" operator="lessThan">
      <formula>0</formula>
    </cfRule>
  </conditionalFormatting>
  <conditionalFormatting sqref="H192">
    <cfRule type="cellIs" dxfId="3803" priority="3799" stopIfTrue="1" operator="lessThan">
      <formula>0</formula>
    </cfRule>
    <cfRule type="cellIs" dxfId="3802" priority="3800" stopIfTrue="1" operator="lessThan">
      <formula>0</formula>
    </cfRule>
  </conditionalFormatting>
  <conditionalFormatting sqref="H192">
    <cfRule type="cellIs" dxfId="3801" priority="3797" stopIfTrue="1" operator="lessThan">
      <formula>0</formula>
    </cfRule>
    <cfRule type="cellIs" dxfId="3800" priority="3798" stopIfTrue="1" operator="lessThan">
      <formula>0</formula>
    </cfRule>
  </conditionalFormatting>
  <conditionalFormatting sqref="H192">
    <cfRule type="cellIs" dxfId="3799" priority="3795" stopIfTrue="1" operator="lessThan">
      <formula>0</formula>
    </cfRule>
    <cfRule type="cellIs" dxfId="3798" priority="3796" stopIfTrue="1" operator="lessThan">
      <formula>0</formula>
    </cfRule>
  </conditionalFormatting>
  <conditionalFormatting sqref="H192">
    <cfRule type="cellIs" dxfId="3797" priority="3793" stopIfTrue="1" operator="lessThan">
      <formula>0</formula>
    </cfRule>
    <cfRule type="cellIs" dxfId="3796" priority="3794" stopIfTrue="1" operator="lessThan">
      <formula>0</formula>
    </cfRule>
  </conditionalFormatting>
  <conditionalFormatting sqref="H192">
    <cfRule type="cellIs" dxfId="3795" priority="3791" stopIfTrue="1" operator="lessThan">
      <formula>0</formula>
    </cfRule>
    <cfRule type="cellIs" dxfId="3794" priority="3792" stopIfTrue="1" operator="lessThan">
      <formula>0</formula>
    </cfRule>
  </conditionalFormatting>
  <conditionalFormatting sqref="H192">
    <cfRule type="cellIs" dxfId="3793" priority="3789" stopIfTrue="1" operator="lessThan">
      <formula>0</formula>
    </cfRule>
    <cfRule type="cellIs" dxfId="3792" priority="3790" stopIfTrue="1" operator="lessThan">
      <formula>0</formula>
    </cfRule>
  </conditionalFormatting>
  <conditionalFormatting sqref="H192">
    <cfRule type="cellIs" dxfId="3791" priority="3787" stopIfTrue="1" operator="lessThan">
      <formula>0</formula>
    </cfRule>
    <cfRule type="cellIs" dxfId="3790" priority="3788" stopIfTrue="1" operator="lessThan">
      <formula>0</formula>
    </cfRule>
  </conditionalFormatting>
  <conditionalFormatting sqref="H192">
    <cfRule type="cellIs" dxfId="3789" priority="3785" stopIfTrue="1" operator="lessThan">
      <formula>0</formula>
    </cfRule>
    <cfRule type="cellIs" dxfId="3788" priority="3786" stopIfTrue="1" operator="lessThan">
      <formula>0</formula>
    </cfRule>
  </conditionalFormatting>
  <conditionalFormatting sqref="H192">
    <cfRule type="cellIs" dxfId="3787" priority="3783" stopIfTrue="1" operator="lessThan">
      <formula>0</formula>
    </cfRule>
    <cfRule type="cellIs" dxfId="3786" priority="3784" stopIfTrue="1" operator="lessThan">
      <formula>0</formula>
    </cfRule>
  </conditionalFormatting>
  <conditionalFormatting sqref="H192">
    <cfRule type="cellIs" dxfId="3785" priority="3781" stopIfTrue="1" operator="lessThan">
      <formula>0</formula>
    </cfRule>
    <cfRule type="cellIs" dxfId="3784" priority="3782" stopIfTrue="1" operator="lessThan">
      <formula>0</formula>
    </cfRule>
  </conditionalFormatting>
  <conditionalFormatting sqref="H192">
    <cfRule type="cellIs" dxfId="3783" priority="3779" stopIfTrue="1" operator="lessThan">
      <formula>0</formula>
    </cfRule>
    <cfRule type="cellIs" dxfId="3782" priority="3780" stopIfTrue="1" operator="lessThan">
      <formula>0</formula>
    </cfRule>
  </conditionalFormatting>
  <conditionalFormatting sqref="H192">
    <cfRule type="cellIs" dxfId="3781" priority="3778" stopIfTrue="1" operator="lessThan">
      <formula>0.05</formula>
    </cfRule>
  </conditionalFormatting>
  <conditionalFormatting sqref="H192">
    <cfRule type="cellIs" dxfId="3780" priority="3776" stopIfTrue="1" operator="lessThan">
      <formula>0</formula>
    </cfRule>
    <cfRule type="cellIs" dxfId="3779" priority="3777" stopIfTrue="1" operator="lessThan">
      <formula>0</formula>
    </cfRule>
  </conditionalFormatting>
  <conditionalFormatting sqref="H192">
    <cfRule type="cellIs" dxfId="3778" priority="3775" stopIfTrue="1" operator="lessThan">
      <formula>0.05</formula>
    </cfRule>
  </conditionalFormatting>
  <conditionalFormatting sqref="H192">
    <cfRule type="cellIs" dxfId="3777" priority="3773" stopIfTrue="1" operator="lessThan">
      <formula>0</formula>
    </cfRule>
    <cfRule type="cellIs" dxfId="3776" priority="3774" stopIfTrue="1" operator="lessThan">
      <formula>0</formula>
    </cfRule>
  </conditionalFormatting>
  <conditionalFormatting sqref="H192">
    <cfRule type="cellIs" dxfId="3775" priority="3772" stopIfTrue="1" operator="lessThan">
      <formula>0.05</formula>
    </cfRule>
  </conditionalFormatting>
  <conditionalFormatting sqref="H192">
    <cfRule type="cellIs" dxfId="3774" priority="3770" stopIfTrue="1" operator="lessThan">
      <formula>0</formula>
    </cfRule>
    <cfRule type="cellIs" dxfId="3773" priority="3771" stopIfTrue="1" operator="lessThan">
      <formula>0</formula>
    </cfRule>
  </conditionalFormatting>
  <conditionalFormatting sqref="H192">
    <cfRule type="cellIs" dxfId="3772" priority="3769" stopIfTrue="1" operator="lessThan">
      <formula>0.05</formula>
    </cfRule>
  </conditionalFormatting>
  <conditionalFormatting sqref="H192">
    <cfRule type="cellIs" dxfId="3771" priority="3767" stopIfTrue="1" operator="lessThan">
      <formula>0</formula>
    </cfRule>
    <cfRule type="cellIs" dxfId="3770" priority="3768" stopIfTrue="1" operator="lessThan">
      <formula>0</formula>
    </cfRule>
  </conditionalFormatting>
  <conditionalFormatting sqref="H192">
    <cfRule type="cellIs" dxfId="3769" priority="3766" stopIfTrue="1" operator="lessThan">
      <formula>0.05</formula>
    </cfRule>
  </conditionalFormatting>
  <conditionalFormatting sqref="H192">
    <cfRule type="cellIs" dxfId="3768" priority="3764" stopIfTrue="1" operator="lessThan">
      <formula>0</formula>
    </cfRule>
    <cfRule type="cellIs" dxfId="3767" priority="3765" stopIfTrue="1" operator="lessThan">
      <formula>0</formula>
    </cfRule>
  </conditionalFormatting>
  <conditionalFormatting sqref="H192">
    <cfRule type="cellIs" dxfId="3766" priority="3763" stopIfTrue="1" operator="lessThan">
      <formula>0.05</formula>
    </cfRule>
  </conditionalFormatting>
  <conditionalFormatting sqref="H192">
    <cfRule type="cellIs" dxfId="3765" priority="3761" stopIfTrue="1" operator="lessThan">
      <formula>0</formula>
    </cfRule>
    <cfRule type="cellIs" dxfId="3764" priority="3762" stopIfTrue="1" operator="lessThan">
      <formula>0</formula>
    </cfRule>
  </conditionalFormatting>
  <conditionalFormatting sqref="H192">
    <cfRule type="cellIs" dxfId="3763" priority="3760" stopIfTrue="1" operator="lessThan">
      <formula>0.05</formula>
    </cfRule>
  </conditionalFormatting>
  <conditionalFormatting sqref="H193">
    <cfRule type="cellIs" dxfId="3762" priority="3758" stopIfTrue="1" operator="lessThan">
      <formula>0</formula>
    </cfRule>
    <cfRule type="cellIs" dxfId="3761" priority="3759" stopIfTrue="1" operator="lessThan">
      <formula>0</formula>
    </cfRule>
  </conditionalFormatting>
  <conditionalFormatting sqref="H193">
    <cfRule type="cellIs" dxfId="3760" priority="3756" stopIfTrue="1" operator="lessThan">
      <formula>0</formula>
    </cfRule>
    <cfRule type="cellIs" dxfId="3759" priority="3757" stopIfTrue="1" operator="lessThan">
      <formula>0</formula>
    </cfRule>
  </conditionalFormatting>
  <conditionalFormatting sqref="H193">
    <cfRule type="cellIs" dxfId="3758" priority="3754" stopIfTrue="1" operator="lessThan">
      <formula>0</formula>
    </cfRule>
    <cfRule type="cellIs" dxfId="3757" priority="3755" stopIfTrue="1" operator="lessThan">
      <formula>0</formula>
    </cfRule>
  </conditionalFormatting>
  <conditionalFormatting sqref="H193">
    <cfRule type="cellIs" dxfId="3756" priority="3752" stopIfTrue="1" operator="lessThan">
      <formula>0</formula>
    </cfRule>
    <cfRule type="cellIs" dxfId="3755" priority="3753" stopIfTrue="1" operator="lessThan">
      <formula>0</formula>
    </cfRule>
  </conditionalFormatting>
  <conditionalFormatting sqref="H193">
    <cfRule type="cellIs" dxfId="3754" priority="3750" stopIfTrue="1" operator="lessThan">
      <formula>0</formula>
    </cfRule>
    <cfRule type="cellIs" dxfId="3753" priority="3751" stopIfTrue="1" operator="lessThan">
      <formula>0</formula>
    </cfRule>
  </conditionalFormatting>
  <conditionalFormatting sqref="H193">
    <cfRule type="cellIs" dxfId="3752" priority="3748" stopIfTrue="1" operator="lessThan">
      <formula>0</formula>
    </cfRule>
    <cfRule type="cellIs" dxfId="3751" priority="3749" stopIfTrue="1" operator="lessThan">
      <formula>0</formula>
    </cfRule>
  </conditionalFormatting>
  <conditionalFormatting sqref="H193">
    <cfRule type="cellIs" dxfId="3750" priority="3746" stopIfTrue="1" operator="lessThan">
      <formula>0</formula>
    </cfRule>
    <cfRule type="cellIs" dxfId="3749" priority="3747" stopIfTrue="1" operator="lessThan">
      <formula>0</formula>
    </cfRule>
  </conditionalFormatting>
  <conditionalFormatting sqref="H193">
    <cfRule type="cellIs" dxfId="3748" priority="3744" stopIfTrue="1" operator="lessThan">
      <formula>0</formula>
    </cfRule>
    <cfRule type="cellIs" dxfId="3747" priority="3745" stopIfTrue="1" operator="lessThan">
      <formula>0</formula>
    </cfRule>
  </conditionalFormatting>
  <conditionalFormatting sqref="H193">
    <cfRule type="cellIs" dxfId="3746" priority="3742" stopIfTrue="1" operator="lessThan">
      <formula>0</formula>
    </cfRule>
    <cfRule type="cellIs" dxfId="3745" priority="3743" stopIfTrue="1" operator="lessThan">
      <formula>0</formula>
    </cfRule>
  </conditionalFormatting>
  <conditionalFormatting sqref="H193">
    <cfRule type="cellIs" dxfId="3744" priority="3740" stopIfTrue="1" operator="lessThan">
      <formula>0</formula>
    </cfRule>
    <cfRule type="cellIs" dxfId="3743" priority="3741" stopIfTrue="1" operator="lessThan">
      <formula>0</formula>
    </cfRule>
  </conditionalFormatting>
  <conditionalFormatting sqref="H193">
    <cfRule type="cellIs" dxfId="3742" priority="3738" stopIfTrue="1" operator="lessThan">
      <formula>0</formula>
    </cfRule>
    <cfRule type="cellIs" dxfId="3741" priority="3739" stopIfTrue="1" operator="lessThan">
      <formula>0</formula>
    </cfRule>
  </conditionalFormatting>
  <conditionalFormatting sqref="H193">
    <cfRule type="cellIs" dxfId="3740" priority="3736" stopIfTrue="1" operator="lessThan">
      <formula>0</formula>
    </cfRule>
    <cfRule type="cellIs" dxfId="3739" priority="3737" stopIfTrue="1" operator="lessThan">
      <formula>0</formula>
    </cfRule>
  </conditionalFormatting>
  <conditionalFormatting sqref="H193">
    <cfRule type="cellIs" dxfId="3738" priority="3735" stopIfTrue="1" operator="lessThan">
      <formula>0.05</formula>
    </cfRule>
  </conditionalFormatting>
  <conditionalFormatting sqref="H193">
    <cfRule type="cellIs" dxfId="3737" priority="3733" stopIfTrue="1" operator="lessThan">
      <formula>0</formula>
    </cfRule>
    <cfRule type="cellIs" dxfId="3736" priority="3734" stopIfTrue="1" operator="lessThan">
      <formula>0</formula>
    </cfRule>
  </conditionalFormatting>
  <conditionalFormatting sqref="H193">
    <cfRule type="cellIs" dxfId="3735" priority="3732" stopIfTrue="1" operator="lessThan">
      <formula>0.05</formula>
    </cfRule>
  </conditionalFormatting>
  <conditionalFormatting sqref="H193">
    <cfRule type="cellIs" dxfId="3734" priority="3730" stopIfTrue="1" operator="lessThan">
      <formula>0</formula>
    </cfRule>
    <cfRule type="cellIs" dxfId="3733" priority="3731" stopIfTrue="1" operator="lessThan">
      <formula>0</formula>
    </cfRule>
  </conditionalFormatting>
  <conditionalFormatting sqref="H193">
    <cfRule type="cellIs" dxfId="3732" priority="3729" stopIfTrue="1" operator="lessThan">
      <formula>0.05</formula>
    </cfRule>
  </conditionalFormatting>
  <conditionalFormatting sqref="H193">
    <cfRule type="cellIs" dxfId="3731" priority="3727" stopIfTrue="1" operator="lessThan">
      <formula>0</formula>
    </cfRule>
    <cfRule type="cellIs" dxfId="3730" priority="3728" stopIfTrue="1" operator="lessThan">
      <formula>0</formula>
    </cfRule>
  </conditionalFormatting>
  <conditionalFormatting sqref="H193">
    <cfRule type="cellIs" dxfId="3729" priority="3726" stopIfTrue="1" operator="lessThan">
      <formula>0.05</formula>
    </cfRule>
  </conditionalFormatting>
  <conditionalFormatting sqref="H193">
    <cfRule type="cellIs" dxfId="3728" priority="3724" stopIfTrue="1" operator="lessThan">
      <formula>0</formula>
    </cfRule>
    <cfRule type="cellIs" dxfId="3727" priority="3725" stopIfTrue="1" operator="lessThan">
      <formula>0</formula>
    </cfRule>
  </conditionalFormatting>
  <conditionalFormatting sqref="H193">
    <cfRule type="cellIs" dxfId="3726" priority="3723" stopIfTrue="1" operator="lessThan">
      <formula>0.05</formula>
    </cfRule>
  </conditionalFormatting>
  <conditionalFormatting sqref="H193">
    <cfRule type="cellIs" dxfId="3725" priority="3721" stopIfTrue="1" operator="lessThan">
      <formula>0</formula>
    </cfRule>
    <cfRule type="cellIs" dxfId="3724" priority="3722" stopIfTrue="1" operator="lessThan">
      <formula>0</formula>
    </cfRule>
  </conditionalFormatting>
  <conditionalFormatting sqref="H193">
    <cfRule type="cellIs" dxfId="3723" priority="3720" stopIfTrue="1" operator="lessThan">
      <formula>0.05</formula>
    </cfRule>
  </conditionalFormatting>
  <conditionalFormatting sqref="H193">
    <cfRule type="cellIs" dxfId="3722" priority="3718" stopIfTrue="1" operator="lessThan">
      <formula>0</formula>
    </cfRule>
    <cfRule type="cellIs" dxfId="3721" priority="3719" stopIfTrue="1" operator="lessThan">
      <formula>0</formula>
    </cfRule>
  </conditionalFormatting>
  <conditionalFormatting sqref="H193">
    <cfRule type="cellIs" dxfId="3720" priority="3717" stopIfTrue="1" operator="lessThan">
      <formula>0.05</formula>
    </cfRule>
  </conditionalFormatting>
  <conditionalFormatting sqref="H193">
    <cfRule type="cellIs" dxfId="3719" priority="3715" stopIfTrue="1" operator="lessThan">
      <formula>0</formula>
    </cfRule>
    <cfRule type="cellIs" dxfId="3718" priority="3716" stopIfTrue="1" operator="lessThan">
      <formula>0</formula>
    </cfRule>
  </conditionalFormatting>
  <conditionalFormatting sqref="H193">
    <cfRule type="cellIs" dxfId="3717" priority="3713" stopIfTrue="1" operator="lessThan">
      <formula>0</formula>
    </cfRule>
    <cfRule type="cellIs" dxfId="3716" priority="3714" stopIfTrue="1" operator="lessThan">
      <formula>0</formula>
    </cfRule>
  </conditionalFormatting>
  <conditionalFormatting sqref="H193">
    <cfRule type="cellIs" dxfId="3715" priority="3711" stopIfTrue="1" operator="lessThan">
      <formula>0.05</formula>
    </cfRule>
    <cfRule type="cellIs" dxfId="3714" priority="3712" stopIfTrue="1" operator="lessThan">
      <formula>0</formula>
    </cfRule>
  </conditionalFormatting>
  <conditionalFormatting sqref="H193">
    <cfRule type="cellIs" dxfId="3713" priority="3709" stopIfTrue="1" operator="lessThan">
      <formula>0</formula>
    </cfRule>
    <cfRule type="cellIs" dxfId="3712" priority="3710" stopIfTrue="1" operator="lessThan">
      <formula>0</formula>
    </cfRule>
  </conditionalFormatting>
  <conditionalFormatting sqref="H193">
    <cfRule type="cellIs" dxfId="3711" priority="3707" stopIfTrue="1" operator="lessThan">
      <formula>0.05</formula>
    </cfRule>
    <cfRule type="cellIs" dxfId="3710" priority="3708" stopIfTrue="1" operator="lessThan">
      <formula>0</formula>
    </cfRule>
  </conditionalFormatting>
  <conditionalFormatting sqref="H193">
    <cfRule type="cellIs" dxfId="3709" priority="3705" stopIfTrue="1" operator="lessThan">
      <formula>0</formula>
    </cfRule>
    <cfRule type="cellIs" dxfId="3708" priority="3706" stopIfTrue="1" operator="lessThan">
      <formula>0</formula>
    </cfRule>
  </conditionalFormatting>
  <conditionalFormatting sqref="H193">
    <cfRule type="cellIs" dxfId="3707" priority="3703" stopIfTrue="1" operator="lessThan">
      <formula>0.05</formula>
    </cfRule>
    <cfRule type="cellIs" dxfId="3706" priority="3704" stopIfTrue="1" operator="lessThan">
      <formula>0</formula>
    </cfRule>
  </conditionalFormatting>
  <conditionalFormatting sqref="H193">
    <cfRule type="cellIs" dxfId="3705" priority="3701" stopIfTrue="1" operator="lessThan">
      <formula>0</formula>
    </cfRule>
    <cfRule type="cellIs" dxfId="3704" priority="3702" stopIfTrue="1" operator="lessThan">
      <formula>0</formula>
    </cfRule>
  </conditionalFormatting>
  <conditionalFormatting sqref="H193">
    <cfRule type="cellIs" dxfId="3703" priority="3699" stopIfTrue="1" operator="lessThan">
      <formula>0</formula>
    </cfRule>
    <cfRule type="cellIs" dxfId="3702" priority="3700" stopIfTrue="1" operator="lessThan">
      <formula>0</formula>
    </cfRule>
  </conditionalFormatting>
  <conditionalFormatting sqref="H193">
    <cfRule type="cellIs" dxfId="3701" priority="3697" stopIfTrue="1" operator="lessThan">
      <formula>0</formula>
    </cfRule>
    <cfRule type="cellIs" dxfId="3700" priority="3698" stopIfTrue="1" operator="lessThan">
      <formula>0</formula>
    </cfRule>
  </conditionalFormatting>
  <conditionalFormatting sqref="H193">
    <cfRule type="cellIs" dxfId="3699" priority="3695" stopIfTrue="1" operator="lessThan">
      <formula>0.05</formula>
    </cfRule>
    <cfRule type="cellIs" dxfId="3698" priority="3696" stopIfTrue="1" operator="lessThan">
      <formula>0</formula>
    </cfRule>
  </conditionalFormatting>
  <conditionalFormatting sqref="H193">
    <cfRule type="cellIs" dxfId="3697" priority="3693" stopIfTrue="1" operator="lessThan">
      <formula>0</formula>
    </cfRule>
    <cfRule type="cellIs" dxfId="3696" priority="3694" stopIfTrue="1" operator="lessThan">
      <formula>0</formula>
    </cfRule>
  </conditionalFormatting>
  <conditionalFormatting sqref="H193">
    <cfRule type="cellIs" dxfId="3695" priority="3691" stopIfTrue="1" operator="lessThan">
      <formula>0.05</formula>
    </cfRule>
    <cfRule type="cellIs" dxfId="3694" priority="3692" stopIfTrue="1" operator="lessThan">
      <formula>0</formula>
    </cfRule>
  </conditionalFormatting>
  <conditionalFormatting sqref="H193">
    <cfRule type="cellIs" dxfId="3693" priority="3689" stopIfTrue="1" operator="lessThan">
      <formula>0</formula>
    </cfRule>
    <cfRule type="cellIs" dxfId="3692" priority="3690" stopIfTrue="1" operator="lessThan">
      <formula>0</formula>
    </cfRule>
  </conditionalFormatting>
  <conditionalFormatting sqref="H193">
    <cfRule type="cellIs" dxfId="3691" priority="3687" stopIfTrue="1" operator="lessThan">
      <formula>0.05</formula>
    </cfRule>
    <cfRule type="cellIs" dxfId="3690" priority="3688" stopIfTrue="1" operator="lessThan">
      <formula>0</formula>
    </cfRule>
  </conditionalFormatting>
  <conditionalFormatting sqref="H193">
    <cfRule type="cellIs" dxfId="3689" priority="3685" stopIfTrue="1" operator="lessThan">
      <formula>0</formula>
    </cfRule>
    <cfRule type="cellIs" dxfId="3688" priority="3686" stopIfTrue="1" operator="lessThan">
      <formula>0</formula>
    </cfRule>
  </conditionalFormatting>
  <conditionalFormatting sqref="H193">
    <cfRule type="cellIs" dxfId="3687" priority="3683" stopIfTrue="1" operator="lessThan">
      <formula>0</formula>
    </cfRule>
    <cfRule type="cellIs" dxfId="3686" priority="3684" stopIfTrue="1" operator="lessThan">
      <formula>0</formula>
    </cfRule>
  </conditionalFormatting>
  <conditionalFormatting sqref="H193">
    <cfRule type="cellIs" dxfId="3685" priority="3681" stopIfTrue="1" operator="lessThan">
      <formula>0</formula>
    </cfRule>
    <cfRule type="cellIs" dxfId="3684" priority="3682" stopIfTrue="1" operator="lessThan">
      <formula>0</formula>
    </cfRule>
  </conditionalFormatting>
  <conditionalFormatting sqref="H193">
    <cfRule type="cellIs" dxfId="3683" priority="3679" stopIfTrue="1" operator="lessThan">
      <formula>0.05</formula>
    </cfRule>
    <cfRule type="cellIs" dxfId="3682" priority="3680" stopIfTrue="1" operator="lessThan">
      <formula>0</formula>
    </cfRule>
  </conditionalFormatting>
  <conditionalFormatting sqref="H193">
    <cfRule type="cellIs" dxfId="3681" priority="3677" stopIfTrue="1" operator="lessThan">
      <formula>0</formula>
    </cfRule>
    <cfRule type="cellIs" dxfId="3680" priority="3678" stopIfTrue="1" operator="lessThan">
      <formula>0</formula>
    </cfRule>
  </conditionalFormatting>
  <conditionalFormatting sqref="H193">
    <cfRule type="cellIs" dxfId="3679" priority="3675" stopIfTrue="1" operator="lessThan">
      <formula>0.05</formula>
    </cfRule>
    <cfRule type="cellIs" dxfId="3678" priority="3676" stopIfTrue="1" operator="lessThan">
      <formula>0</formula>
    </cfRule>
  </conditionalFormatting>
  <conditionalFormatting sqref="H193">
    <cfRule type="cellIs" dxfId="3677" priority="3673" stopIfTrue="1" operator="lessThan">
      <formula>0</formula>
    </cfRule>
    <cfRule type="cellIs" dxfId="3676" priority="3674" stopIfTrue="1" operator="lessThan">
      <formula>0</formula>
    </cfRule>
  </conditionalFormatting>
  <conditionalFormatting sqref="H193">
    <cfRule type="cellIs" dxfId="3675" priority="3671" stopIfTrue="1" operator="lessThan">
      <formula>0.05</formula>
    </cfRule>
    <cfRule type="cellIs" dxfId="3674" priority="3672" stopIfTrue="1" operator="lessThan">
      <formula>0</formula>
    </cfRule>
  </conditionalFormatting>
  <conditionalFormatting sqref="H193">
    <cfRule type="cellIs" dxfId="3673" priority="3669" stopIfTrue="1" operator="lessThan">
      <formula>0</formula>
    </cfRule>
    <cfRule type="cellIs" dxfId="3672" priority="3670" stopIfTrue="1" operator="lessThan">
      <formula>0</formula>
    </cfRule>
  </conditionalFormatting>
  <conditionalFormatting sqref="H193">
    <cfRule type="cellIs" dxfId="3671" priority="3667" stopIfTrue="1" operator="lessThan">
      <formula>0</formula>
    </cfRule>
    <cfRule type="cellIs" dxfId="3670" priority="3668" stopIfTrue="1" operator="lessThan">
      <formula>0</formula>
    </cfRule>
  </conditionalFormatting>
  <conditionalFormatting sqref="H193">
    <cfRule type="cellIs" dxfId="3669" priority="3665" stopIfTrue="1" operator="lessThan">
      <formula>0</formula>
    </cfRule>
    <cfRule type="cellIs" dxfId="3668" priority="3666" stopIfTrue="1" operator="lessThan">
      <formula>0</formula>
    </cfRule>
  </conditionalFormatting>
  <conditionalFormatting sqref="H193">
    <cfRule type="cellIs" dxfId="3667" priority="3663" stopIfTrue="1" operator="lessThan">
      <formula>0.05</formula>
    </cfRule>
    <cfRule type="cellIs" dxfId="3666" priority="3664" stopIfTrue="1" operator="lessThan">
      <formula>0</formula>
    </cfRule>
  </conditionalFormatting>
  <conditionalFormatting sqref="H193">
    <cfRule type="cellIs" dxfId="3665" priority="3661" stopIfTrue="1" operator="lessThan">
      <formula>0</formula>
    </cfRule>
    <cfRule type="cellIs" dxfId="3664" priority="3662" stopIfTrue="1" operator="lessThan">
      <formula>0</formula>
    </cfRule>
  </conditionalFormatting>
  <conditionalFormatting sqref="H193">
    <cfRule type="cellIs" dxfId="3663" priority="3659" stopIfTrue="1" operator="lessThan">
      <formula>0.05</formula>
    </cfRule>
    <cfRule type="cellIs" dxfId="3662" priority="3660" stopIfTrue="1" operator="lessThan">
      <formula>0</formula>
    </cfRule>
  </conditionalFormatting>
  <conditionalFormatting sqref="H193">
    <cfRule type="cellIs" dxfId="3661" priority="3657" stopIfTrue="1" operator="lessThan">
      <formula>0</formula>
    </cfRule>
    <cfRule type="cellIs" dxfId="3660" priority="3658" stopIfTrue="1" operator="lessThan">
      <formula>0</formula>
    </cfRule>
  </conditionalFormatting>
  <conditionalFormatting sqref="H193">
    <cfRule type="cellIs" dxfId="3659" priority="3655" stopIfTrue="1" operator="lessThan">
      <formula>0.05</formula>
    </cfRule>
    <cfRule type="cellIs" dxfId="3658" priority="3656" stopIfTrue="1" operator="lessThan">
      <formula>0</formula>
    </cfRule>
  </conditionalFormatting>
  <conditionalFormatting sqref="H193">
    <cfRule type="cellIs" dxfId="3657" priority="3653" stopIfTrue="1" operator="lessThan">
      <formula>0</formula>
    </cfRule>
    <cfRule type="cellIs" dxfId="3656" priority="3654" stopIfTrue="1" operator="lessThan">
      <formula>0</formula>
    </cfRule>
  </conditionalFormatting>
  <conditionalFormatting sqref="H193">
    <cfRule type="cellIs" dxfId="3655" priority="3651" stopIfTrue="1" operator="lessThan">
      <formula>0</formula>
    </cfRule>
    <cfRule type="cellIs" dxfId="3654" priority="3652" stopIfTrue="1" operator="lessThan">
      <formula>0</formula>
    </cfRule>
  </conditionalFormatting>
  <conditionalFormatting sqref="H193">
    <cfRule type="cellIs" dxfId="3653" priority="3649" stopIfTrue="1" operator="lessThan">
      <formula>0.05</formula>
    </cfRule>
    <cfRule type="cellIs" dxfId="3652" priority="3650" stopIfTrue="1" operator="lessThan">
      <formula>0</formula>
    </cfRule>
  </conditionalFormatting>
  <conditionalFormatting sqref="H193">
    <cfRule type="cellIs" dxfId="3651" priority="3647" stopIfTrue="1" operator="lessThan">
      <formula>0</formula>
    </cfRule>
    <cfRule type="cellIs" dxfId="3650" priority="3648" stopIfTrue="1" operator="lessThan">
      <formula>0</formula>
    </cfRule>
  </conditionalFormatting>
  <conditionalFormatting sqref="H193">
    <cfRule type="cellIs" dxfId="3649" priority="3645" stopIfTrue="1" operator="lessThan">
      <formula>0</formula>
    </cfRule>
    <cfRule type="cellIs" dxfId="3648" priority="3646" stopIfTrue="1" operator="lessThan">
      <formula>0</formula>
    </cfRule>
  </conditionalFormatting>
  <conditionalFormatting sqref="H193">
    <cfRule type="cellIs" dxfId="3647" priority="3643" stopIfTrue="1" operator="lessThan">
      <formula>0.05</formula>
    </cfRule>
    <cfRule type="cellIs" dxfId="3646" priority="3644" stopIfTrue="1" operator="lessThan">
      <formula>0</formula>
    </cfRule>
  </conditionalFormatting>
  <conditionalFormatting sqref="H193">
    <cfRule type="cellIs" dxfId="3645" priority="3641" stopIfTrue="1" operator="lessThan">
      <formula>0</formula>
    </cfRule>
    <cfRule type="cellIs" dxfId="3644" priority="3642" stopIfTrue="1" operator="lessThan">
      <formula>0</formula>
    </cfRule>
  </conditionalFormatting>
  <conditionalFormatting sqref="H193">
    <cfRule type="cellIs" dxfId="3643" priority="3639" stopIfTrue="1" operator="lessThan">
      <formula>0</formula>
    </cfRule>
    <cfRule type="cellIs" dxfId="3642" priority="3640" stopIfTrue="1" operator="lessThan">
      <formula>0</formula>
    </cfRule>
  </conditionalFormatting>
  <conditionalFormatting sqref="H193">
    <cfRule type="cellIs" dxfId="3641" priority="3637" stopIfTrue="1" operator="lessThan">
      <formula>0.05</formula>
    </cfRule>
    <cfRule type="cellIs" dxfId="3640" priority="3638" stopIfTrue="1" operator="lessThan">
      <formula>0</formula>
    </cfRule>
  </conditionalFormatting>
  <conditionalFormatting sqref="H193">
    <cfRule type="cellIs" dxfId="3639" priority="3635" stopIfTrue="1" operator="lessThan">
      <formula>0</formula>
    </cfRule>
    <cfRule type="cellIs" dxfId="3638" priority="3636" stopIfTrue="1" operator="lessThan">
      <formula>0</formula>
    </cfRule>
  </conditionalFormatting>
  <conditionalFormatting sqref="H193">
    <cfRule type="cellIs" dxfId="3637" priority="3633" stopIfTrue="1" operator="lessThan">
      <formula>0</formula>
    </cfRule>
    <cfRule type="cellIs" dxfId="3636" priority="3634" stopIfTrue="1" operator="lessThan">
      <formula>0</formula>
    </cfRule>
  </conditionalFormatting>
  <conditionalFormatting sqref="H193">
    <cfRule type="cellIs" dxfId="3635" priority="3631" stopIfTrue="1" operator="lessThan">
      <formula>0.05</formula>
    </cfRule>
    <cfRule type="cellIs" dxfId="3634" priority="3632" stopIfTrue="1" operator="lessThan">
      <formula>0</formula>
    </cfRule>
  </conditionalFormatting>
  <conditionalFormatting sqref="H193">
    <cfRule type="cellIs" dxfId="3633" priority="3629" stopIfTrue="1" operator="lessThan">
      <formula>0</formula>
    </cfRule>
    <cfRule type="cellIs" dxfId="3632" priority="3630" stopIfTrue="1" operator="lessThan">
      <formula>0</formula>
    </cfRule>
  </conditionalFormatting>
  <conditionalFormatting sqref="H193">
    <cfRule type="cellIs" dxfId="3631" priority="3627" stopIfTrue="1" operator="lessThan">
      <formula>0</formula>
    </cfRule>
    <cfRule type="cellIs" dxfId="3630" priority="3628" stopIfTrue="1" operator="lessThan">
      <formula>0</formula>
    </cfRule>
  </conditionalFormatting>
  <conditionalFormatting sqref="H193">
    <cfRule type="cellIs" dxfId="3629" priority="3625" stopIfTrue="1" operator="lessThan">
      <formula>0.05</formula>
    </cfRule>
    <cfRule type="cellIs" dxfId="3628" priority="3626" stopIfTrue="1" operator="lessThan">
      <formula>0</formula>
    </cfRule>
  </conditionalFormatting>
  <conditionalFormatting sqref="H193">
    <cfRule type="cellIs" dxfId="3627" priority="3623" stopIfTrue="1" operator="lessThan">
      <formula>0</formula>
    </cfRule>
    <cfRule type="cellIs" dxfId="3626" priority="3624" stopIfTrue="1" operator="lessThan">
      <formula>0</formula>
    </cfRule>
  </conditionalFormatting>
  <conditionalFormatting sqref="H193">
    <cfRule type="cellIs" dxfId="3625" priority="3621" stopIfTrue="1" operator="lessThan">
      <formula>0</formula>
    </cfRule>
    <cfRule type="cellIs" dxfId="3624" priority="3622" stopIfTrue="1" operator="lessThan">
      <formula>0</formula>
    </cfRule>
  </conditionalFormatting>
  <conditionalFormatting sqref="H193">
    <cfRule type="cellIs" dxfId="3623" priority="3619" stopIfTrue="1" operator="lessThan">
      <formula>0.05</formula>
    </cfRule>
    <cfRule type="cellIs" dxfId="3622" priority="3620" stopIfTrue="1" operator="lessThan">
      <formula>0</formula>
    </cfRule>
  </conditionalFormatting>
  <conditionalFormatting sqref="H193">
    <cfRule type="cellIs" dxfId="3621" priority="3617" stopIfTrue="1" operator="lessThan">
      <formula>0</formula>
    </cfRule>
    <cfRule type="cellIs" dxfId="3620" priority="3618" stopIfTrue="1" operator="lessThan">
      <formula>0</formula>
    </cfRule>
  </conditionalFormatting>
  <conditionalFormatting sqref="H193">
    <cfRule type="cellIs" dxfId="3619" priority="3615" stopIfTrue="1" operator="lessThan">
      <formula>0</formula>
    </cfRule>
    <cfRule type="cellIs" dxfId="3618" priority="3616" stopIfTrue="1" operator="lessThan">
      <formula>0</formula>
    </cfRule>
  </conditionalFormatting>
  <conditionalFormatting sqref="H193">
    <cfRule type="cellIs" dxfId="3617" priority="3613" stopIfTrue="1" operator="lessThan">
      <formula>0.05</formula>
    </cfRule>
    <cfRule type="cellIs" dxfId="3616" priority="3614" stopIfTrue="1" operator="lessThan">
      <formula>0</formula>
    </cfRule>
  </conditionalFormatting>
  <conditionalFormatting sqref="H193">
    <cfRule type="cellIs" dxfId="3615" priority="3611" stopIfTrue="1" operator="lessThan">
      <formula>0</formula>
    </cfRule>
    <cfRule type="cellIs" dxfId="3614" priority="3612" stopIfTrue="1" operator="lessThan">
      <formula>0</formula>
    </cfRule>
  </conditionalFormatting>
  <conditionalFormatting sqref="H193">
    <cfRule type="cellIs" dxfId="3613" priority="3609" stopIfTrue="1" operator="lessThan">
      <formula>0</formula>
    </cfRule>
    <cfRule type="cellIs" dxfId="3612" priority="3610" stopIfTrue="1" operator="lessThan">
      <formula>0</formula>
    </cfRule>
  </conditionalFormatting>
  <conditionalFormatting sqref="H193">
    <cfRule type="cellIs" dxfId="3611" priority="3607" stopIfTrue="1" operator="lessThan">
      <formula>0.05</formula>
    </cfRule>
    <cfRule type="cellIs" dxfId="3610" priority="3608" stopIfTrue="1" operator="lessThan">
      <formula>0</formula>
    </cfRule>
  </conditionalFormatting>
  <conditionalFormatting sqref="H193">
    <cfRule type="cellIs" dxfId="3609" priority="3605" stopIfTrue="1" operator="lessThan">
      <formula>0</formula>
    </cfRule>
    <cfRule type="cellIs" dxfId="3608" priority="3606" stopIfTrue="1" operator="lessThan">
      <formula>0</formula>
    </cfRule>
  </conditionalFormatting>
  <conditionalFormatting sqref="H193">
    <cfRule type="cellIs" dxfId="3607" priority="3603" stopIfTrue="1" operator="lessThan">
      <formula>0</formula>
    </cfRule>
    <cfRule type="cellIs" dxfId="3606" priority="3604" stopIfTrue="1" operator="lessThan">
      <formula>0</formula>
    </cfRule>
  </conditionalFormatting>
  <conditionalFormatting sqref="H193">
    <cfRule type="cellIs" dxfId="3605" priority="3601" stopIfTrue="1" operator="lessThan">
      <formula>0.05</formula>
    </cfRule>
    <cfRule type="cellIs" dxfId="3604" priority="3602" stopIfTrue="1" operator="lessThan">
      <formula>0</formula>
    </cfRule>
  </conditionalFormatting>
  <conditionalFormatting sqref="H193">
    <cfRule type="cellIs" dxfId="3603" priority="3599" stopIfTrue="1" operator="lessThan">
      <formula>0</formula>
    </cfRule>
    <cfRule type="cellIs" dxfId="3602" priority="3600" stopIfTrue="1" operator="lessThan">
      <formula>0</formula>
    </cfRule>
  </conditionalFormatting>
  <conditionalFormatting sqref="H193">
    <cfRule type="cellIs" dxfId="3601" priority="3597" stopIfTrue="1" operator="lessThan">
      <formula>0</formula>
    </cfRule>
    <cfRule type="cellIs" dxfId="3600" priority="3598" stopIfTrue="1" operator="lessThan">
      <formula>0</formula>
    </cfRule>
  </conditionalFormatting>
  <conditionalFormatting sqref="H193">
    <cfRule type="cellIs" dxfId="3599" priority="3595" stopIfTrue="1" operator="lessThan">
      <formula>0.05</formula>
    </cfRule>
    <cfRule type="cellIs" dxfId="3598" priority="3596" stopIfTrue="1" operator="lessThan">
      <formula>0</formula>
    </cfRule>
  </conditionalFormatting>
  <conditionalFormatting sqref="H193">
    <cfRule type="cellIs" dxfId="3597" priority="3593" stopIfTrue="1" operator="lessThan">
      <formula>0</formula>
    </cfRule>
    <cfRule type="cellIs" dxfId="3596" priority="3594" stopIfTrue="1" operator="lessThan">
      <formula>0</formula>
    </cfRule>
  </conditionalFormatting>
  <conditionalFormatting sqref="H193">
    <cfRule type="cellIs" dxfId="3595" priority="3591" stopIfTrue="1" operator="lessThan">
      <formula>0</formula>
    </cfRule>
    <cfRule type="cellIs" dxfId="3594" priority="3592" stopIfTrue="1" operator="lessThan">
      <formula>0</formula>
    </cfRule>
  </conditionalFormatting>
  <conditionalFormatting sqref="H193">
    <cfRule type="cellIs" dxfId="3593" priority="3589" stopIfTrue="1" operator="lessThan">
      <formula>0.05</formula>
    </cfRule>
    <cfRule type="cellIs" dxfId="3592" priority="3590" stopIfTrue="1" operator="lessThan">
      <formula>0</formula>
    </cfRule>
  </conditionalFormatting>
  <conditionalFormatting sqref="H193">
    <cfRule type="cellIs" dxfId="3591" priority="3587" stopIfTrue="1" operator="lessThan">
      <formula>0</formula>
    </cfRule>
    <cfRule type="cellIs" dxfId="3590" priority="3588" stopIfTrue="1" operator="lessThan">
      <formula>0</formula>
    </cfRule>
  </conditionalFormatting>
  <conditionalFormatting sqref="H193">
    <cfRule type="cellIs" dxfId="3589" priority="3585" stopIfTrue="1" operator="lessThan">
      <formula>0</formula>
    </cfRule>
    <cfRule type="cellIs" dxfId="3588" priority="3586" stopIfTrue="1" operator="lessThan">
      <formula>0</formula>
    </cfRule>
  </conditionalFormatting>
  <conditionalFormatting sqref="H193">
    <cfRule type="cellIs" dxfId="3587" priority="3583" stopIfTrue="1" operator="lessThan">
      <formula>0.05</formula>
    </cfRule>
    <cfRule type="cellIs" dxfId="3586" priority="3584" stopIfTrue="1" operator="lessThan">
      <formula>0</formula>
    </cfRule>
  </conditionalFormatting>
  <conditionalFormatting sqref="H193">
    <cfRule type="cellIs" dxfId="3585" priority="3581" stopIfTrue="1" operator="lessThan">
      <formula>0</formula>
    </cfRule>
    <cfRule type="cellIs" dxfId="3584" priority="3582" stopIfTrue="1" operator="lessThan">
      <formula>0</formula>
    </cfRule>
  </conditionalFormatting>
  <conditionalFormatting sqref="H193">
    <cfRule type="cellIs" dxfId="3583" priority="3579" stopIfTrue="1" operator="lessThan">
      <formula>0</formula>
    </cfRule>
    <cfRule type="cellIs" dxfId="3582" priority="3580" stopIfTrue="1" operator="lessThan">
      <formula>0</formula>
    </cfRule>
  </conditionalFormatting>
  <conditionalFormatting sqref="H193">
    <cfRule type="cellIs" dxfId="3581" priority="3577" stopIfTrue="1" operator="lessThan">
      <formula>0.05</formula>
    </cfRule>
    <cfRule type="cellIs" dxfId="3580" priority="3578" stopIfTrue="1" operator="lessThan">
      <formula>0</formula>
    </cfRule>
  </conditionalFormatting>
  <conditionalFormatting sqref="H193">
    <cfRule type="cellIs" dxfId="3579" priority="3575" stopIfTrue="1" operator="lessThan">
      <formula>0</formula>
    </cfRule>
    <cfRule type="cellIs" dxfId="3578" priority="3576" stopIfTrue="1" operator="lessThan">
      <formula>0</formula>
    </cfRule>
  </conditionalFormatting>
  <conditionalFormatting sqref="H193">
    <cfRule type="cellIs" dxfId="3577" priority="3573" stopIfTrue="1" operator="lessThan">
      <formula>0</formula>
    </cfRule>
    <cfRule type="cellIs" dxfId="3576" priority="3574" stopIfTrue="1" operator="lessThan">
      <formula>0</formula>
    </cfRule>
  </conditionalFormatting>
  <conditionalFormatting sqref="H193">
    <cfRule type="cellIs" dxfId="3575" priority="3571" stopIfTrue="1" operator="lessThan">
      <formula>0.05</formula>
    </cfRule>
    <cfRule type="cellIs" dxfId="3574" priority="3572" stopIfTrue="1" operator="lessThan">
      <formula>0</formula>
    </cfRule>
  </conditionalFormatting>
  <conditionalFormatting sqref="H193">
    <cfRule type="cellIs" dxfId="3573" priority="3569" stopIfTrue="1" operator="lessThan">
      <formula>0</formula>
    </cfRule>
    <cfRule type="cellIs" dxfId="3572" priority="3570" stopIfTrue="1" operator="lessThan">
      <formula>0</formula>
    </cfRule>
  </conditionalFormatting>
  <conditionalFormatting sqref="H193">
    <cfRule type="cellIs" dxfId="3571" priority="3567" stopIfTrue="1" operator="lessThan">
      <formula>0</formula>
    </cfRule>
    <cfRule type="cellIs" dxfId="3570" priority="3568" stopIfTrue="1" operator="lessThan">
      <formula>0</formula>
    </cfRule>
  </conditionalFormatting>
  <conditionalFormatting sqref="H193">
    <cfRule type="cellIs" dxfId="3569" priority="3565" stopIfTrue="1" operator="lessThan">
      <formula>0.05</formula>
    </cfRule>
    <cfRule type="cellIs" dxfId="3568" priority="3566" stopIfTrue="1" operator="lessThan">
      <formula>0</formula>
    </cfRule>
  </conditionalFormatting>
  <conditionalFormatting sqref="H193">
    <cfRule type="cellIs" dxfId="3567" priority="3563" stopIfTrue="1" operator="lessThan">
      <formula>0</formula>
    </cfRule>
    <cfRule type="cellIs" dxfId="3566" priority="3564" stopIfTrue="1" operator="lessThan">
      <formula>0</formula>
    </cfRule>
  </conditionalFormatting>
  <conditionalFormatting sqref="H193">
    <cfRule type="cellIs" dxfId="3565" priority="3561" stopIfTrue="1" operator="lessThan">
      <formula>0</formula>
    </cfRule>
    <cfRule type="cellIs" dxfId="3564" priority="3562" stopIfTrue="1" operator="lessThan">
      <formula>0</formula>
    </cfRule>
  </conditionalFormatting>
  <conditionalFormatting sqref="H193">
    <cfRule type="cellIs" dxfId="3563" priority="3559" stopIfTrue="1" operator="lessThan">
      <formula>0.05</formula>
    </cfRule>
    <cfRule type="cellIs" dxfId="3562" priority="3560" stopIfTrue="1" operator="lessThan">
      <formula>0</formula>
    </cfRule>
  </conditionalFormatting>
  <conditionalFormatting sqref="H193">
    <cfRule type="cellIs" dxfId="3561" priority="3557" stopIfTrue="1" operator="lessThan">
      <formula>0</formula>
    </cfRule>
    <cfRule type="cellIs" dxfId="3560" priority="3558" stopIfTrue="1" operator="lessThan">
      <formula>0</formula>
    </cfRule>
  </conditionalFormatting>
  <conditionalFormatting sqref="H193">
    <cfRule type="cellIs" dxfId="3559" priority="3555" stopIfTrue="1" operator="lessThan">
      <formula>0.05</formula>
    </cfRule>
    <cfRule type="cellIs" dxfId="3558" priority="3556" stopIfTrue="1" operator="lessThan">
      <formula>0</formula>
    </cfRule>
  </conditionalFormatting>
  <conditionalFormatting sqref="H193">
    <cfRule type="cellIs" dxfId="3557" priority="3553" stopIfTrue="1" operator="lessThan">
      <formula>0</formula>
    </cfRule>
    <cfRule type="cellIs" dxfId="3556" priority="3554" stopIfTrue="1" operator="lessThan">
      <formula>0</formula>
    </cfRule>
  </conditionalFormatting>
  <conditionalFormatting sqref="H193">
    <cfRule type="cellIs" dxfId="3555" priority="3551" stopIfTrue="1" operator="lessThan">
      <formula>0.05</formula>
    </cfRule>
    <cfRule type="cellIs" dxfId="3554" priority="3552" stopIfTrue="1" operator="lessThan">
      <formula>0</formula>
    </cfRule>
  </conditionalFormatting>
  <conditionalFormatting sqref="H193">
    <cfRule type="cellIs" dxfId="3553" priority="3549" stopIfTrue="1" operator="lessThan">
      <formula>0</formula>
    </cfRule>
    <cfRule type="cellIs" dxfId="3552" priority="3550" stopIfTrue="1" operator="lessThan">
      <formula>0</formula>
    </cfRule>
  </conditionalFormatting>
  <conditionalFormatting sqref="H193">
    <cfRule type="cellIs" dxfId="3551" priority="3547" stopIfTrue="1" operator="lessThan">
      <formula>0</formula>
    </cfRule>
    <cfRule type="cellIs" dxfId="3550" priority="3548" stopIfTrue="1" operator="lessThan">
      <formula>0</formula>
    </cfRule>
  </conditionalFormatting>
  <conditionalFormatting sqref="H193">
    <cfRule type="cellIs" dxfId="3549" priority="3545" stopIfTrue="1" operator="lessThan">
      <formula>0</formula>
    </cfRule>
    <cfRule type="cellIs" dxfId="3548" priority="3546" stopIfTrue="1" operator="lessThan">
      <formula>0</formula>
    </cfRule>
  </conditionalFormatting>
  <conditionalFormatting sqref="H193">
    <cfRule type="cellIs" dxfId="3547" priority="3543" stopIfTrue="1" operator="lessThan">
      <formula>0.05</formula>
    </cfRule>
    <cfRule type="cellIs" dxfId="3546" priority="3544" stopIfTrue="1" operator="lessThan">
      <formula>0</formula>
    </cfRule>
  </conditionalFormatting>
  <conditionalFormatting sqref="H193">
    <cfRule type="cellIs" dxfId="3545" priority="3541" stopIfTrue="1" operator="lessThan">
      <formula>0</formula>
    </cfRule>
    <cfRule type="cellIs" dxfId="3544" priority="3542" stopIfTrue="1" operator="lessThan">
      <formula>0</formula>
    </cfRule>
  </conditionalFormatting>
  <conditionalFormatting sqref="H193">
    <cfRule type="cellIs" dxfId="3543" priority="3539" stopIfTrue="1" operator="lessThan">
      <formula>0.05</formula>
    </cfRule>
    <cfRule type="cellIs" dxfId="3542" priority="3540" stopIfTrue="1" operator="lessThan">
      <formula>0</formula>
    </cfRule>
  </conditionalFormatting>
  <conditionalFormatting sqref="H193">
    <cfRule type="cellIs" dxfId="3541" priority="3537" stopIfTrue="1" operator="lessThan">
      <formula>0</formula>
    </cfRule>
    <cfRule type="cellIs" dxfId="3540" priority="3538" stopIfTrue="1" operator="lessThan">
      <formula>0</formula>
    </cfRule>
  </conditionalFormatting>
  <conditionalFormatting sqref="H193">
    <cfRule type="cellIs" dxfId="3539" priority="3535" stopIfTrue="1" operator="lessThan">
      <formula>0.05</formula>
    </cfRule>
    <cfRule type="cellIs" dxfId="3538" priority="3536" stopIfTrue="1" operator="lessThan">
      <formula>0</formula>
    </cfRule>
  </conditionalFormatting>
  <conditionalFormatting sqref="H193">
    <cfRule type="cellIs" dxfId="3537" priority="3533" stopIfTrue="1" operator="lessThan">
      <formula>0</formula>
    </cfRule>
    <cfRule type="cellIs" dxfId="3536" priority="3534" stopIfTrue="1" operator="lessThan">
      <formula>0</formula>
    </cfRule>
  </conditionalFormatting>
  <conditionalFormatting sqref="H193">
    <cfRule type="cellIs" dxfId="3535" priority="3531" stopIfTrue="1" operator="lessThan">
      <formula>0</formula>
    </cfRule>
    <cfRule type="cellIs" dxfId="3534" priority="3532" stopIfTrue="1" operator="lessThan">
      <formula>0</formula>
    </cfRule>
  </conditionalFormatting>
  <conditionalFormatting sqref="H193">
    <cfRule type="cellIs" dxfId="3533" priority="3529" stopIfTrue="1" operator="lessThan">
      <formula>0.05</formula>
    </cfRule>
    <cfRule type="cellIs" dxfId="3532" priority="3530" stopIfTrue="1" operator="lessThan">
      <formula>0</formula>
    </cfRule>
  </conditionalFormatting>
  <conditionalFormatting sqref="H193">
    <cfRule type="cellIs" dxfId="3531" priority="3527" stopIfTrue="1" operator="lessThan">
      <formula>0</formula>
    </cfRule>
    <cfRule type="cellIs" dxfId="3530" priority="3528" stopIfTrue="1" operator="lessThan">
      <formula>0</formula>
    </cfRule>
  </conditionalFormatting>
  <conditionalFormatting sqref="H193">
    <cfRule type="cellIs" dxfId="3529" priority="3525" stopIfTrue="1" operator="lessThan">
      <formula>0</formula>
    </cfRule>
    <cfRule type="cellIs" dxfId="3528" priority="3526" stopIfTrue="1" operator="lessThan">
      <formula>0</formula>
    </cfRule>
  </conditionalFormatting>
  <conditionalFormatting sqref="H193">
    <cfRule type="cellIs" dxfId="3527" priority="3523" stopIfTrue="1" operator="lessThan">
      <formula>0.05</formula>
    </cfRule>
    <cfRule type="cellIs" dxfId="3526" priority="3524" stopIfTrue="1" operator="lessThan">
      <formula>0</formula>
    </cfRule>
  </conditionalFormatting>
  <conditionalFormatting sqref="H193">
    <cfRule type="cellIs" dxfId="3525" priority="3521" stopIfTrue="1" operator="lessThan">
      <formula>0</formula>
    </cfRule>
    <cfRule type="cellIs" dxfId="3524" priority="3522" stopIfTrue="1" operator="lessThan">
      <formula>0</formula>
    </cfRule>
  </conditionalFormatting>
  <conditionalFormatting sqref="H193">
    <cfRule type="cellIs" dxfId="3523" priority="3519" stopIfTrue="1" operator="lessThan">
      <formula>0</formula>
    </cfRule>
    <cfRule type="cellIs" dxfId="3522" priority="3520" stopIfTrue="1" operator="lessThan">
      <formula>0</formula>
    </cfRule>
  </conditionalFormatting>
  <conditionalFormatting sqref="H193">
    <cfRule type="cellIs" dxfId="3521" priority="3517" stopIfTrue="1" operator="lessThan">
      <formula>0.05</formula>
    </cfRule>
    <cfRule type="cellIs" dxfId="3520" priority="3518" stopIfTrue="1" operator="lessThan">
      <formula>0</formula>
    </cfRule>
  </conditionalFormatting>
  <conditionalFormatting sqref="H193">
    <cfRule type="cellIs" dxfId="3519" priority="3515" stopIfTrue="1" operator="lessThan">
      <formula>0</formula>
    </cfRule>
    <cfRule type="cellIs" dxfId="3518" priority="3516" stopIfTrue="1" operator="lessThan">
      <formula>0</formula>
    </cfRule>
  </conditionalFormatting>
  <conditionalFormatting sqref="H193">
    <cfRule type="cellIs" dxfId="3517" priority="3513" stopIfTrue="1" operator="lessThan">
      <formula>0</formula>
    </cfRule>
    <cfRule type="cellIs" dxfId="3516" priority="3514" stopIfTrue="1" operator="lessThan">
      <formula>0</formula>
    </cfRule>
  </conditionalFormatting>
  <conditionalFormatting sqref="H193">
    <cfRule type="cellIs" dxfId="3515" priority="3511" stopIfTrue="1" operator="lessThan">
      <formula>0.05</formula>
    </cfRule>
    <cfRule type="cellIs" dxfId="3514" priority="3512" stopIfTrue="1" operator="lessThan">
      <formula>0</formula>
    </cfRule>
  </conditionalFormatting>
  <conditionalFormatting sqref="H193">
    <cfRule type="cellIs" dxfId="3513" priority="3509" stopIfTrue="1" operator="lessThan">
      <formula>0</formula>
    </cfRule>
    <cfRule type="cellIs" dxfId="3512" priority="3510" stopIfTrue="1" operator="lessThan">
      <formula>0</formula>
    </cfRule>
  </conditionalFormatting>
  <conditionalFormatting sqref="H193">
    <cfRule type="cellIs" dxfId="3511" priority="3507" stopIfTrue="1" operator="lessThan">
      <formula>0</formula>
    </cfRule>
    <cfRule type="cellIs" dxfId="3510" priority="3508" stopIfTrue="1" operator="lessThan">
      <formula>0</formula>
    </cfRule>
  </conditionalFormatting>
  <conditionalFormatting sqref="H193">
    <cfRule type="cellIs" dxfId="3509" priority="3505" stopIfTrue="1" operator="lessThan">
      <formula>0.05</formula>
    </cfRule>
    <cfRule type="cellIs" dxfId="3508" priority="3506" stopIfTrue="1" operator="lessThan">
      <formula>0</formula>
    </cfRule>
  </conditionalFormatting>
  <conditionalFormatting sqref="H193">
    <cfRule type="cellIs" dxfId="3507" priority="3503" stopIfTrue="1" operator="lessThan">
      <formula>0</formula>
    </cfRule>
    <cfRule type="cellIs" dxfId="3506" priority="3504" stopIfTrue="1" operator="lessThan">
      <formula>0</formula>
    </cfRule>
  </conditionalFormatting>
  <conditionalFormatting sqref="H193">
    <cfRule type="cellIs" dxfId="3505" priority="3501" stopIfTrue="1" operator="lessThan">
      <formula>0</formula>
    </cfRule>
    <cfRule type="cellIs" dxfId="3504" priority="3502" stopIfTrue="1" operator="lessThan">
      <formula>0</formula>
    </cfRule>
  </conditionalFormatting>
  <conditionalFormatting sqref="H193">
    <cfRule type="cellIs" dxfId="3503" priority="3499" stopIfTrue="1" operator="lessThan">
      <formula>0.05</formula>
    </cfRule>
    <cfRule type="cellIs" dxfId="3502" priority="3500" stopIfTrue="1" operator="lessThan">
      <formula>0</formula>
    </cfRule>
  </conditionalFormatting>
  <conditionalFormatting sqref="H193">
    <cfRule type="cellIs" dxfId="3501" priority="3497" stopIfTrue="1" operator="lessThan">
      <formula>0</formula>
    </cfRule>
    <cfRule type="cellIs" dxfId="3500" priority="3498" stopIfTrue="1" operator="lessThan">
      <formula>0</formula>
    </cfRule>
  </conditionalFormatting>
  <conditionalFormatting sqref="H193">
    <cfRule type="cellIs" dxfId="3499" priority="3495" stopIfTrue="1" operator="lessThan">
      <formula>0</formula>
    </cfRule>
    <cfRule type="cellIs" dxfId="3498" priority="3496" stopIfTrue="1" operator="lessThan">
      <formula>0</formula>
    </cfRule>
  </conditionalFormatting>
  <conditionalFormatting sqref="H193">
    <cfRule type="cellIs" dxfId="3497" priority="3493" stopIfTrue="1" operator="lessThan">
      <formula>0.05</formula>
    </cfRule>
    <cfRule type="cellIs" dxfId="3496" priority="3494" stopIfTrue="1" operator="lessThan">
      <formula>0</formula>
    </cfRule>
  </conditionalFormatting>
  <conditionalFormatting sqref="H193">
    <cfRule type="cellIs" dxfId="3495" priority="3491" stopIfTrue="1" operator="lessThan">
      <formula>0</formula>
    </cfRule>
    <cfRule type="cellIs" dxfId="3494" priority="3492" stopIfTrue="1" operator="lessThan">
      <formula>0</formula>
    </cfRule>
  </conditionalFormatting>
  <conditionalFormatting sqref="H193">
    <cfRule type="cellIs" dxfId="3493" priority="3489" stopIfTrue="1" operator="lessThan">
      <formula>0</formula>
    </cfRule>
    <cfRule type="cellIs" dxfId="3492" priority="3490" stopIfTrue="1" operator="lessThan">
      <formula>0</formula>
    </cfRule>
  </conditionalFormatting>
  <conditionalFormatting sqref="H193">
    <cfRule type="cellIs" dxfId="3491" priority="3487" stopIfTrue="1" operator="lessThan">
      <formula>0.05</formula>
    </cfRule>
    <cfRule type="cellIs" dxfId="3490" priority="3488" stopIfTrue="1" operator="lessThan">
      <formula>0</formula>
    </cfRule>
  </conditionalFormatting>
  <conditionalFormatting sqref="H193">
    <cfRule type="cellIs" dxfId="3489" priority="3485" stopIfTrue="1" operator="lessThan">
      <formula>0</formula>
    </cfRule>
    <cfRule type="cellIs" dxfId="3488" priority="3486" stopIfTrue="1" operator="lessThan">
      <formula>0</formula>
    </cfRule>
  </conditionalFormatting>
  <conditionalFormatting sqref="H193">
    <cfRule type="cellIs" dxfId="3487" priority="3483" stopIfTrue="1" operator="lessThan">
      <formula>0</formula>
    </cfRule>
    <cfRule type="cellIs" dxfId="3486" priority="3484" stopIfTrue="1" operator="lessThan">
      <formula>0</formula>
    </cfRule>
  </conditionalFormatting>
  <conditionalFormatting sqref="H193">
    <cfRule type="cellIs" dxfId="3485" priority="3481" stopIfTrue="1" operator="lessThan">
      <formula>0.05</formula>
    </cfRule>
    <cfRule type="cellIs" dxfId="3484" priority="3482" stopIfTrue="1" operator="lessThan">
      <formula>0</formula>
    </cfRule>
  </conditionalFormatting>
  <conditionalFormatting sqref="H193">
    <cfRule type="cellIs" dxfId="3483" priority="3479" stopIfTrue="1" operator="lessThan">
      <formula>0</formula>
    </cfRule>
    <cfRule type="cellIs" dxfId="3482" priority="3480" stopIfTrue="1" operator="lessThan">
      <formula>0</formula>
    </cfRule>
  </conditionalFormatting>
  <conditionalFormatting sqref="H193">
    <cfRule type="cellIs" dxfId="3481" priority="3477" stopIfTrue="1" operator="lessThan">
      <formula>0</formula>
    </cfRule>
    <cfRule type="cellIs" dxfId="3480" priority="3478" stopIfTrue="1" operator="lessThan">
      <formula>0</formula>
    </cfRule>
  </conditionalFormatting>
  <conditionalFormatting sqref="H193">
    <cfRule type="cellIs" dxfId="3479" priority="3475" stopIfTrue="1" operator="lessThan">
      <formula>0.05</formula>
    </cfRule>
    <cfRule type="cellIs" dxfId="3478" priority="3476" stopIfTrue="1" operator="lessThan">
      <formula>0</formula>
    </cfRule>
  </conditionalFormatting>
  <conditionalFormatting sqref="H193">
    <cfRule type="cellIs" dxfId="3477" priority="3473" stopIfTrue="1" operator="lessThan">
      <formula>0</formula>
    </cfRule>
    <cfRule type="cellIs" dxfId="3476" priority="3474" stopIfTrue="1" operator="lessThan">
      <formula>0</formula>
    </cfRule>
  </conditionalFormatting>
  <conditionalFormatting sqref="H193">
    <cfRule type="cellIs" dxfId="3475" priority="3471" stopIfTrue="1" operator="lessThan">
      <formula>0</formula>
    </cfRule>
    <cfRule type="cellIs" dxfId="3474" priority="3472" stopIfTrue="1" operator="lessThan">
      <formula>0</formula>
    </cfRule>
  </conditionalFormatting>
  <conditionalFormatting sqref="H193">
    <cfRule type="cellIs" dxfId="3473" priority="3469" stopIfTrue="1" operator="lessThan">
      <formula>0.05</formula>
    </cfRule>
    <cfRule type="cellIs" dxfId="3472" priority="3470" stopIfTrue="1" operator="lessThan">
      <formula>0</formula>
    </cfRule>
  </conditionalFormatting>
  <conditionalFormatting sqref="H193">
    <cfRule type="cellIs" dxfId="3471" priority="3467" stopIfTrue="1" operator="lessThan">
      <formula>0</formula>
    </cfRule>
    <cfRule type="cellIs" dxfId="3470" priority="3468" stopIfTrue="1" operator="lessThan">
      <formula>0</formula>
    </cfRule>
  </conditionalFormatting>
  <conditionalFormatting sqref="H193">
    <cfRule type="cellIs" dxfId="3469" priority="3465" stopIfTrue="1" operator="lessThan">
      <formula>0</formula>
    </cfRule>
    <cfRule type="cellIs" dxfId="3468" priority="3466" stopIfTrue="1" operator="lessThan">
      <formula>0</formula>
    </cfRule>
  </conditionalFormatting>
  <conditionalFormatting sqref="H193">
    <cfRule type="cellIs" dxfId="3467" priority="3463" stopIfTrue="1" operator="lessThan">
      <formula>0.05</formula>
    </cfRule>
    <cfRule type="cellIs" dxfId="3466" priority="3464" stopIfTrue="1" operator="lessThan">
      <formula>0</formula>
    </cfRule>
  </conditionalFormatting>
  <conditionalFormatting sqref="H193">
    <cfRule type="cellIs" dxfId="3465" priority="3461" stopIfTrue="1" operator="lessThan">
      <formula>0</formula>
    </cfRule>
    <cfRule type="cellIs" dxfId="3464" priority="3462" stopIfTrue="1" operator="lessThan">
      <formula>0</formula>
    </cfRule>
  </conditionalFormatting>
  <conditionalFormatting sqref="H193">
    <cfRule type="cellIs" dxfId="3463" priority="3459" stopIfTrue="1" operator="lessThan">
      <formula>0.05</formula>
    </cfRule>
    <cfRule type="cellIs" dxfId="3462" priority="3460" stopIfTrue="1" operator="lessThan">
      <formula>0</formula>
    </cfRule>
  </conditionalFormatting>
  <conditionalFormatting sqref="H193">
    <cfRule type="cellIs" dxfId="3461" priority="3457" stopIfTrue="1" operator="lessThan">
      <formula>0</formula>
    </cfRule>
    <cfRule type="cellIs" dxfId="3460" priority="3458" stopIfTrue="1" operator="lessThan">
      <formula>0</formula>
    </cfRule>
  </conditionalFormatting>
  <conditionalFormatting sqref="H193">
    <cfRule type="cellIs" dxfId="3459" priority="3455" stopIfTrue="1" operator="lessThan">
      <formula>0.05</formula>
    </cfRule>
    <cfRule type="cellIs" dxfId="3458" priority="3456" stopIfTrue="1" operator="lessThan">
      <formula>0</formula>
    </cfRule>
  </conditionalFormatting>
  <conditionalFormatting sqref="H193">
    <cfRule type="cellIs" dxfId="3457" priority="3453" stopIfTrue="1" operator="lessThan">
      <formula>0</formula>
    </cfRule>
    <cfRule type="cellIs" dxfId="3456" priority="3454" stopIfTrue="1" operator="lessThan">
      <formula>0</formula>
    </cfRule>
  </conditionalFormatting>
  <conditionalFormatting sqref="H193">
    <cfRule type="cellIs" dxfId="3455" priority="3451" stopIfTrue="1" operator="lessThan">
      <formula>0</formula>
    </cfRule>
    <cfRule type="cellIs" dxfId="3454" priority="3452" stopIfTrue="1" operator="lessThan">
      <formula>0</formula>
    </cfRule>
  </conditionalFormatting>
  <conditionalFormatting sqref="H193">
    <cfRule type="cellIs" dxfId="3453" priority="3449" stopIfTrue="1" operator="lessThan">
      <formula>0</formula>
    </cfRule>
    <cfRule type="cellIs" dxfId="3452" priority="3450" stopIfTrue="1" operator="lessThan">
      <formula>0</formula>
    </cfRule>
  </conditionalFormatting>
  <conditionalFormatting sqref="H193">
    <cfRule type="cellIs" dxfId="3451" priority="3447" stopIfTrue="1" operator="lessThan">
      <formula>0.05</formula>
    </cfRule>
    <cfRule type="cellIs" dxfId="3450" priority="3448" stopIfTrue="1" operator="lessThan">
      <formula>0</formula>
    </cfRule>
  </conditionalFormatting>
  <conditionalFormatting sqref="H193">
    <cfRule type="cellIs" dxfId="3449" priority="3445" stopIfTrue="1" operator="lessThan">
      <formula>0</formula>
    </cfRule>
    <cfRule type="cellIs" dxfId="3448" priority="3446" stopIfTrue="1" operator="lessThan">
      <formula>0</formula>
    </cfRule>
  </conditionalFormatting>
  <conditionalFormatting sqref="H193">
    <cfRule type="cellIs" dxfId="3447" priority="3443" stopIfTrue="1" operator="lessThan">
      <formula>0.05</formula>
    </cfRule>
    <cfRule type="cellIs" dxfId="3446" priority="3444" stopIfTrue="1" operator="lessThan">
      <formula>0</formula>
    </cfRule>
  </conditionalFormatting>
  <conditionalFormatting sqref="H193">
    <cfRule type="cellIs" dxfId="3445" priority="3441" stopIfTrue="1" operator="lessThan">
      <formula>0</formula>
    </cfRule>
    <cfRule type="cellIs" dxfId="3444" priority="3442" stopIfTrue="1" operator="lessThan">
      <formula>0</formula>
    </cfRule>
  </conditionalFormatting>
  <conditionalFormatting sqref="H193">
    <cfRule type="cellIs" dxfId="3443" priority="3439" stopIfTrue="1" operator="lessThan">
      <formula>0.05</formula>
    </cfRule>
    <cfRule type="cellIs" dxfId="3442" priority="3440" stopIfTrue="1" operator="lessThan">
      <formula>0</formula>
    </cfRule>
  </conditionalFormatting>
  <conditionalFormatting sqref="H193">
    <cfRule type="cellIs" dxfId="3441" priority="3437" stopIfTrue="1" operator="lessThan">
      <formula>0</formula>
    </cfRule>
    <cfRule type="cellIs" dxfId="3440" priority="3438" stopIfTrue="1" operator="lessThan">
      <formula>0</formula>
    </cfRule>
  </conditionalFormatting>
  <conditionalFormatting sqref="H193">
    <cfRule type="cellIs" dxfId="3439" priority="3435" stopIfTrue="1" operator="lessThan">
      <formula>0</formula>
    </cfRule>
    <cfRule type="cellIs" dxfId="3438" priority="3436" stopIfTrue="1" operator="lessThan">
      <formula>0</formula>
    </cfRule>
  </conditionalFormatting>
  <conditionalFormatting sqref="H193">
    <cfRule type="cellIs" dxfId="3437" priority="3433" stopIfTrue="1" operator="lessThan">
      <formula>0.05</formula>
    </cfRule>
    <cfRule type="cellIs" dxfId="3436" priority="3434" stopIfTrue="1" operator="lessThan">
      <formula>0</formula>
    </cfRule>
  </conditionalFormatting>
  <conditionalFormatting sqref="H193">
    <cfRule type="cellIs" dxfId="3435" priority="3431" stopIfTrue="1" operator="lessThan">
      <formula>0</formula>
    </cfRule>
    <cfRule type="cellIs" dxfId="3434" priority="3432" stopIfTrue="1" operator="lessThan">
      <formula>0</formula>
    </cfRule>
  </conditionalFormatting>
  <conditionalFormatting sqref="H193">
    <cfRule type="cellIs" dxfId="3433" priority="3429" stopIfTrue="1" operator="lessThan">
      <formula>0</formula>
    </cfRule>
    <cfRule type="cellIs" dxfId="3432" priority="3430" stopIfTrue="1" operator="lessThan">
      <formula>0</formula>
    </cfRule>
  </conditionalFormatting>
  <conditionalFormatting sqref="H193">
    <cfRule type="cellIs" dxfId="3431" priority="3427" stopIfTrue="1" operator="lessThan">
      <formula>0.05</formula>
    </cfRule>
    <cfRule type="cellIs" dxfId="3430" priority="3428" stopIfTrue="1" operator="lessThan">
      <formula>0</formula>
    </cfRule>
  </conditionalFormatting>
  <conditionalFormatting sqref="H193">
    <cfRule type="cellIs" dxfId="3429" priority="3425" stopIfTrue="1" operator="lessThan">
      <formula>0</formula>
    </cfRule>
    <cfRule type="cellIs" dxfId="3428" priority="3426" stopIfTrue="1" operator="lessThan">
      <formula>0</formula>
    </cfRule>
  </conditionalFormatting>
  <conditionalFormatting sqref="H193">
    <cfRule type="cellIs" dxfId="3427" priority="3423" stopIfTrue="1" operator="lessThan">
      <formula>0</formula>
    </cfRule>
    <cfRule type="cellIs" dxfId="3426" priority="3424" stopIfTrue="1" operator="lessThan">
      <formula>0</formula>
    </cfRule>
  </conditionalFormatting>
  <conditionalFormatting sqref="H193">
    <cfRule type="cellIs" dxfId="3425" priority="3421" stopIfTrue="1" operator="lessThan">
      <formula>0.05</formula>
    </cfRule>
    <cfRule type="cellIs" dxfId="3424" priority="3422" stopIfTrue="1" operator="lessThan">
      <formula>0</formula>
    </cfRule>
  </conditionalFormatting>
  <conditionalFormatting sqref="H193">
    <cfRule type="cellIs" dxfId="3423" priority="3419" stopIfTrue="1" operator="lessThan">
      <formula>0</formula>
    </cfRule>
    <cfRule type="cellIs" dxfId="3422" priority="3420" stopIfTrue="1" operator="lessThan">
      <formula>0</formula>
    </cfRule>
  </conditionalFormatting>
  <conditionalFormatting sqref="H193">
    <cfRule type="cellIs" dxfId="3421" priority="3417" stopIfTrue="1" operator="lessThan">
      <formula>0</formula>
    </cfRule>
    <cfRule type="cellIs" dxfId="3420" priority="3418" stopIfTrue="1" operator="lessThan">
      <formula>0</formula>
    </cfRule>
  </conditionalFormatting>
  <conditionalFormatting sqref="H193">
    <cfRule type="cellIs" dxfId="3419" priority="3415" stopIfTrue="1" operator="lessThan">
      <formula>0.05</formula>
    </cfRule>
    <cfRule type="cellIs" dxfId="3418" priority="3416" stopIfTrue="1" operator="lessThan">
      <formula>0</formula>
    </cfRule>
  </conditionalFormatting>
  <conditionalFormatting sqref="H193">
    <cfRule type="cellIs" dxfId="3417" priority="3413" stopIfTrue="1" operator="lessThan">
      <formula>0</formula>
    </cfRule>
    <cfRule type="cellIs" dxfId="3416" priority="3414" stopIfTrue="1" operator="lessThan">
      <formula>0</formula>
    </cfRule>
  </conditionalFormatting>
  <conditionalFormatting sqref="H193">
    <cfRule type="cellIs" dxfId="3415" priority="3411" stopIfTrue="1" operator="lessThan">
      <formula>0</formula>
    </cfRule>
    <cfRule type="cellIs" dxfId="3414" priority="3412" stopIfTrue="1" operator="lessThan">
      <formula>0</formula>
    </cfRule>
  </conditionalFormatting>
  <conditionalFormatting sqref="H193">
    <cfRule type="cellIs" dxfId="3413" priority="3409" stopIfTrue="1" operator="lessThan">
      <formula>0.05</formula>
    </cfRule>
    <cfRule type="cellIs" dxfId="3412" priority="3410" stopIfTrue="1" operator="lessThan">
      <formula>0</formula>
    </cfRule>
  </conditionalFormatting>
  <conditionalFormatting sqref="H193">
    <cfRule type="cellIs" dxfId="3411" priority="3407" stopIfTrue="1" operator="lessThan">
      <formula>0</formula>
    </cfRule>
    <cfRule type="cellIs" dxfId="3410" priority="3408" stopIfTrue="1" operator="lessThan">
      <formula>0</formula>
    </cfRule>
  </conditionalFormatting>
  <conditionalFormatting sqref="H193">
    <cfRule type="cellIs" dxfId="3409" priority="3405" stopIfTrue="1" operator="lessThan">
      <formula>0</formula>
    </cfRule>
    <cfRule type="cellIs" dxfId="3408" priority="3406" stopIfTrue="1" operator="lessThan">
      <formula>0</formula>
    </cfRule>
  </conditionalFormatting>
  <conditionalFormatting sqref="H193">
    <cfRule type="cellIs" dxfId="3407" priority="3403" stopIfTrue="1" operator="lessThan">
      <formula>0.05</formula>
    </cfRule>
    <cfRule type="cellIs" dxfId="3406" priority="3404" stopIfTrue="1" operator="lessThan">
      <formula>0</formula>
    </cfRule>
  </conditionalFormatting>
  <conditionalFormatting sqref="H193">
    <cfRule type="cellIs" dxfId="3405" priority="3401" stopIfTrue="1" operator="lessThan">
      <formula>0</formula>
    </cfRule>
    <cfRule type="cellIs" dxfId="3404" priority="3402" stopIfTrue="1" operator="lessThan">
      <formula>0</formula>
    </cfRule>
  </conditionalFormatting>
  <conditionalFormatting sqref="H193">
    <cfRule type="cellIs" dxfId="3403" priority="3399" stopIfTrue="1" operator="lessThan">
      <formula>0</formula>
    </cfRule>
    <cfRule type="cellIs" dxfId="3402" priority="3400" stopIfTrue="1" operator="lessThan">
      <formula>0</formula>
    </cfRule>
  </conditionalFormatting>
  <conditionalFormatting sqref="H193">
    <cfRule type="cellIs" dxfId="3401" priority="3397" stopIfTrue="1" operator="lessThan">
      <formula>0.05</formula>
    </cfRule>
    <cfRule type="cellIs" dxfId="3400" priority="3398" stopIfTrue="1" operator="lessThan">
      <formula>0</formula>
    </cfRule>
  </conditionalFormatting>
  <conditionalFormatting sqref="H193">
    <cfRule type="cellIs" dxfId="3399" priority="3395" stopIfTrue="1" operator="lessThan">
      <formula>0</formula>
    </cfRule>
    <cfRule type="cellIs" dxfId="3398" priority="3396" stopIfTrue="1" operator="lessThan">
      <formula>0</formula>
    </cfRule>
  </conditionalFormatting>
  <conditionalFormatting sqref="H193">
    <cfRule type="cellIs" dxfId="3397" priority="3393" stopIfTrue="1" operator="lessThan">
      <formula>0</formula>
    </cfRule>
    <cfRule type="cellIs" dxfId="3396" priority="3394" stopIfTrue="1" operator="lessThan">
      <formula>0</formula>
    </cfRule>
  </conditionalFormatting>
  <conditionalFormatting sqref="H193">
    <cfRule type="cellIs" dxfId="3395" priority="3391" stopIfTrue="1" operator="lessThan">
      <formula>0.05</formula>
    </cfRule>
    <cfRule type="cellIs" dxfId="3394" priority="3392" stopIfTrue="1" operator="lessThan">
      <formula>0</formula>
    </cfRule>
  </conditionalFormatting>
  <conditionalFormatting sqref="H193">
    <cfRule type="cellIs" dxfId="3393" priority="3389" stopIfTrue="1" operator="lessThan">
      <formula>0</formula>
    </cfRule>
    <cfRule type="cellIs" dxfId="3392" priority="3390" stopIfTrue="1" operator="lessThan">
      <formula>0</formula>
    </cfRule>
  </conditionalFormatting>
  <conditionalFormatting sqref="H193">
    <cfRule type="cellIs" dxfId="3391" priority="3387" stopIfTrue="1" operator="lessThan">
      <formula>0</formula>
    </cfRule>
    <cfRule type="cellIs" dxfId="3390" priority="3388" stopIfTrue="1" operator="lessThan">
      <formula>0</formula>
    </cfRule>
  </conditionalFormatting>
  <conditionalFormatting sqref="H193">
    <cfRule type="cellIs" dxfId="3389" priority="3385" stopIfTrue="1" operator="lessThan">
      <formula>0.05</formula>
    </cfRule>
    <cfRule type="cellIs" dxfId="3388" priority="3386" stopIfTrue="1" operator="lessThan">
      <formula>0</formula>
    </cfRule>
  </conditionalFormatting>
  <conditionalFormatting sqref="H193">
    <cfRule type="cellIs" dxfId="3387" priority="3383" stopIfTrue="1" operator="lessThan">
      <formula>0</formula>
    </cfRule>
    <cfRule type="cellIs" dxfId="3386" priority="3384" stopIfTrue="1" operator="lessThan">
      <formula>0</formula>
    </cfRule>
  </conditionalFormatting>
  <conditionalFormatting sqref="H193">
    <cfRule type="cellIs" dxfId="3385" priority="3381" stopIfTrue="1" operator="lessThan">
      <formula>0</formula>
    </cfRule>
    <cfRule type="cellIs" dxfId="3384" priority="3382" stopIfTrue="1" operator="lessThan">
      <formula>0</formula>
    </cfRule>
  </conditionalFormatting>
  <conditionalFormatting sqref="H193">
    <cfRule type="cellIs" dxfId="3383" priority="3379" stopIfTrue="1" operator="lessThan">
      <formula>0.05</formula>
    </cfRule>
    <cfRule type="cellIs" dxfId="3382" priority="3380" stopIfTrue="1" operator="lessThan">
      <formula>0</formula>
    </cfRule>
  </conditionalFormatting>
  <conditionalFormatting sqref="H193">
    <cfRule type="cellIs" dxfId="3381" priority="3377" stopIfTrue="1" operator="lessThan">
      <formula>0</formula>
    </cfRule>
    <cfRule type="cellIs" dxfId="3380" priority="3378" stopIfTrue="1" operator="lessThan">
      <formula>0</formula>
    </cfRule>
  </conditionalFormatting>
  <conditionalFormatting sqref="H193">
    <cfRule type="cellIs" dxfId="3379" priority="3375" stopIfTrue="1" operator="lessThan">
      <formula>0</formula>
    </cfRule>
    <cfRule type="cellIs" dxfId="3378" priority="3376" stopIfTrue="1" operator="lessThan">
      <formula>0</formula>
    </cfRule>
  </conditionalFormatting>
  <conditionalFormatting sqref="H193">
    <cfRule type="cellIs" dxfId="3377" priority="3373" stopIfTrue="1" operator="lessThan">
      <formula>0.05</formula>
    </cfRule>
    <cfRule type="cellIs" dxfId="3376" priority="3374" stopIfTrue="1" operator="lessThan">
      <formula>0</formula>
    </cfRule>
  </conditionalFormatting>
  <conditionalFormatting sqref="H193">
    <cfRule type="cellIs" dxfId="3375" priority="3371" stopIfTrue="1" operator="lessThan">
      <formula>0</formula>
    </cfRule>
    <cfRule type="cellIs" dxfId="3374" priority="3372" stopIfTrue="1" operator="lessThan">
      <formula>0</formula>
    </cfRule>
  </conditionalFormatting>
  <conditionalFormatting sqref="H193">
    <cfRule type="cellIs" dxfId="3373" priority="3369" stopIfTrue="1" operator="lessThan">
      <formula>0</formula>
    </cfRule>
    <cfRule type="cellIs" dxfId="3372" priority="3370" stopIfTrue="1" operator="lessThan">
      <formula>0</formula>
    </cfRule>
  </conditionalFormatting>
  <conditionalFormatting sqref="H193">
    <cfRule type="cellIs" dxfId="3371" priority="3367" stopIfTrue="1" operator="lessThan">
      <formula>0.05</formula>
    </cfRule>
    <cfRule type="cellIs" dxfId="3370" priority="3368" stopIfTrue="1" operator="lessThan">
      <formula>0</formula>
    </cfRule>
  </conditionalFormatting>
  <conditionalFormatting sqref="H193">
    <cfRule type="cellIs" dxfId="3369" priority="3365" stopIfTrue="1" operator="lessThan">
      <formula>0</formula>
    </cfRule>
    <cfRule type="cellIs" dxfId="3368" priority="3366" stopIfTrue="1" operator="lessThan">
      <formula>0</formula>
    </cfRule>
  </conditionalFormatting>
  <conditionalFormatting sqref="H193">
    <cfRule type="cellIs" dxfId="3367" priority="3363" stopIfTrue="1" operator="lessThan">
      <formula>0</formula>
    </cfRule>
    <cfRule type="cellIs" dxfId="3366" priority="3364" stopIfTrue="1" operator="lessThan">
      <formula>0</formula>
    </cfRule>
  </conditionalFormatting>
  <conditionalFormatting sqref="H193">
    <cfRule type="cellIs" dxfId="3365" priority="3361" stopIfTrue="1" operator="lessThan">
      <formula>0.05</formula>
    </cfRule>
    <cfRule type="cellIs" dxfId="3364" priority="3362" stopIfTrue="1" operator="lessThan">
      <formula>0</formula>
    </cfRule>
  </conditionalFormatting>
  <conditionalFormatting sqref="H193">
    <cfRule type="cellIs" dxfId="3363" priority="3359" stopIfTrue="1" operator="lessThan">
      <formula>0</formula>
    </cfRule>
    <cfRule type="cellIs" dxfId="3362" priority="3360" stopIfTrue="1" operator="lessThan">
      <formula>0</formula>
    </cfRule>
  </conditionalFormatting>
  <conditionalFormatting sqref="H193">
    <cfRule type="cellIs" dxfId="3361" priority="3357" stopIfTrue="1" operator="lessThan">
      <formula>0</formula>
    </cfRule>
    <cfRule type="cellIs" dxfId="3360" priority="3358" stopIfTrue="1" operator="lessThan">
      <formula>0</formula>
    </cfRule>
  </conditionalFormatting>
  <conditionalFormatting sqref="H193">
    <cfRule type="cellIs" dxfId="3359" priority="3355" stopIfTrue="1" operator="lessThan">
      <formula>0.05</formula>
    </cfRule>
    <cfRule type="cellIs" dxfId="3358" priority="3356" stopIfTrue="1" operator="lessThan">
      <formula>0</formula>
    </cfRule>
  </conditionalFormatting>
  <conditionalFormatting sqref="H193">
    <cfRule type="cellIs" dxfId="3357" priority="3353" stopIfTrue="1" operator="lessThan">
      <formula>0</formula>
    </cfRule>
    <cfRule type="cellIs" dxfId="3356" priority="3354" stopIfTrue="1" operator="lessThan">
      <formula>0</formula>
    </cfRule>
  </conditionalFormatting>
  <conditionalFormatting sqref="H193">
    <cfRule type="cellIs" dxfId="3355" priority="3351" stopIfTrue="1" operator="lessThan">
      <formula>0.05</formula>
    </cfRule>
    <cfRule type="cellIs" dxfId="3354" priority="3352" stopIfTrue="1" operator="lessThan">
      <formula>0</formula>
    </cfRule>
  </conditionalFormatting>
  <conditionalFormatting sqref="H193">
    <cfRule type="cellIs" dxfId="3353" priority="3349" stopIfTrue="1" operator="lessThan">
      <formula>0</formula>
    </cfRule>
    <cfRule type="cellIs" dxfId="3352" priority="3350" stopIfTrue="1" operator="lessThan">
      <formula>0</formula>
    </cfRule>
  </conditionalFormatting>
  <conditionalFormatting sqref="H193">
    <cfRule type="cellIs" dxfId="3351" priority="3347" stopIfTrue="1" operator="lessThan">
      <formula>0.05</formula>
    </cfRule>
    <cfRule type="cellIs" dxfId="3350" priority="3348" stopIfTrue="1" operator="lessThan">
      <formula>0</formula>
    </cfRule>
  </conditionalFormatting>
  <conditionalFormatting sqref="H193">
    <cfRule type="cellIs" dxfId="3349" priority="3345" stopIfTrue="1" operator="lessThan">
      <formula>0</formula>
    </cfRule>
    <cfRule type="cellIs" dxfId="3348" priority="3346" stopIfTrue="1" operator="lessThan">
      <formula>0</formula>
    </cfRule>
  </conditionalFormatting>
  <conditionalFormatting sqref="H193">
    <cfRule type="cellIs" dxfId="3347" priority="3343" stopIfTrue="1" operator="lessThan">
      <formula>0</formula>
    </cfRule>
    <cfRule type="cellIs" dxfId="3346" priority="3344" stopIfTrue="1" operator="lessThan">
      <formula>0</formula>
    </cfRule>
  </conditionalFormatting>
  <conditionalFormatting sqref="H193">
    <cfRule type="cellIs" dxfId="3345" priority="3341" stopIfTrue="1" operator="lessThan">
      <formula>0</formula>
    </cfRule>
    <cfRule type="cellIs" dxfId="3344" priority="3342" stopIfTrue="1" operator="lessThan">
      <formula>0</formula>
    </cfRule>
  </conditionalFormatting>
  <conditionalFormatting sqref="H193">
    <cfRule type="cellIs" dxfId="3343" priority="3339" stopIfTrue="1" operator="lessThan">
      <formula>0.05</formula>
    </cfRule>
    <cfRule type="cellIs" dxfId="3342" priority="3340" stopIfTrue="1" operator="lessThan">
      <formula>0</formula>
    </cfRule>
  </conditionalFormatting>
  <conditionalFormatting sqref="H193">
    <cfRule type="cellIs" dxfId="3341" priority="3337" stopIfTrue="1" operator="lessThan">
      <formula>0</formula>
    </cfRule>
    <cfRule type="cellIs" dxfId="3340" priority="3338" stopIfTrue="1" operator="lessThan">
      <formula>0</formula>
    </cfRule>
  </conditionalFormatting>
  <conditionalFormatting sqref="H193">
    <cfRule type="cellIs" dxfId="3339" priority="3335" stopIfTrue="1" operator="lessThan">
      <formula>0.05</formula>
    </cfRule>
    <cfRule type="cellIs" dxfId="3338" priority="3336" stopIfTrue="1" operator="lessThan">
      <formula>0</formula>
    </cfRule>
  </conditionalFormatting>
  <conditionalFormatting sqref="H193">
    <cfRule type="cellIs" dxfId="3337" priority="3333" stopIfTrue="1" operator="lessThan">
      <formula>0</formula>
    </cfRule>
    <cfRule type="cellIs" dxfId="3336" priority="3334" stopIfTrue="1" operator="lessThan">
      <formula>0</formula>
    </cfRule>
  </conditionalFormatting>
  <conditionalFormatting sqref="H193">
    <cfRule type="cellIs" dxfId="3335" priority="3331" stopIfTrue="1" operator="lessThan">
      <formula>0.05</formula>
    </cfRule>
    <cfRule type="cellIs" dxfId="3334" priority="3332" stopIfTrue="1" operator="lessThan">
      <formula>0</formula>
    </cfRule>
  </conditionalFormatting>
  <conditionalFormatting sqref="H193">
    <cfRule type="cellIs" dxfId="3333" priority="3329" stopIfTrue="1" operator="lessThan">
      <formula>0</formula>
    </cfRule>
    <cfRule type="cellIs" dxfId="3332" priority="3330" stopIfTrue="1" operator="lessThan">
      <formula>0</formula>
    </cfRule>
  </conditionalFormatting>
  <conditionalFormatting sqref="H193">
    <cfRule type="cellIs" dxfId="3331" priority="3328" stopIfTrue="1" operator="lessThan">
      <formula>0.05</formula>
    </cfRule>
  </conditionalFormatting>
  <conditionalFormatting sqref="H195">
    <cfRule type="cellIs" dxfId="3330" priority="3326" stopIfTrue="1" operator="lessThan">
      <formula>0</formula>
    </cfRule>
    <cfRule type="cellIs" dxfId="3329" priority="3327" stopIfTrue="1" operator="lessThan">
      <formula>0</formula>
    </cfRule>
  </conditionalFormatting>
  <conditionalFormatting sqref="H195">
    <cfRule type="cellIs" dxfId="3328" priority="3324" stopIfTrue="1" operator="lessThan">
      <formula>0</formula>
    </cfRule>
    <cfRule type="cellIs" dxfId="3327" priority="3325" stopIfTrue="1" operator="lessThan">
      <formula>0</formula>
    </cfRule>
  </conditionalFormatting>
  <conditionalFormatting sqref="H195">
    <cfRule type="cellIs" dxfId="3326" priority="3322" stopIfTrue="1" operator="lessThan">
      <formula>0</formula>
    </cfRule>
    <cfRule type="cellIs" dxfId="3325" priority="3323" stopIfTrue="1" operator="lessThan">
      <formula>0</formula>
    </cfRule>
  </conditionalFormatting>
  <conditionalFormatting sqref="H195">
    <cfRule type="cellIs" dxfId="3324" priority="3320" stopIfTrue="1" operator="lessThan">
      <formula>0</formula>
    </cfRule>
    <cfRule type="cellIs" dxfId="3323" priority="3321" stopIfTrue="1" operator="lessThan">
      <formula>0</formula>
    </cfRule>
  </conditionalFormatting>
  <conditionalFormatting sqref="H195">
    <cfRule type="cellIs" dxfId="3322" priority="3318" stopIfTrue="1" operator="lessThan">
      <formula>0</formula>
    </cfRule>
    <cfRule type="cellIs" dxfId="3321" priority="3319" stopIfTrue="1" operator="lessThan">
      <formula>0</formula>
    </cfRule>
  </conditionalFormatting>
  <conditionalFormatting sqref="H195">
    <cfRule type="cellIs" dxfId="3320" priority="3316" stopIfTrue="1" operator="lessThan">
      <formula>0</formula>
    </cfRule>
    <cfRule type="cellIs" dxfId="3319" priority="3317" stopIfTrue="1" operator="lessThan">
      <formula>0</formula>
    </cfRule>
  </conditionalFormatting>
  <conditionalFormatting sqref="H195">
    <cfRule type="cellIs" dxfId="3318" priority="3314" stopIfTrue="1" operator="lessThan">
      <formula>0</formula>
    </cfRule>
    <cfRule type="cellIs" dxfId="3317" priority="3315" stopIfTrue="1" operator="lessThan">
      <formula>0</formula>
    </cfRule>
  </conditionalFormatting>
  <conditionalFormatting sqref="H195">
    <cfRule type="cellIs" dxfId="3316" priority="3312" stopIfTrue="1" operator="lessThan">
      <formula>0</formula>
    </cfRule>
    <cfRule type="cellIs" dxfId="3315" priority="3313" stopIfTrue="1" operator="lessThan">
      <formula>0</formula>
    </cfRule>
  </conditionalFormatting>
  <conditionalFormatting sqref="H195">
    <cfRule type="cellIs" dxfId="3314" priority="3310" stopIfTrue="1" operator="lessThan">
      <formula>0</formula>
    </cfRule>
    <cfRule type="cellIs" dxfId="3313" priority="3311" stopIfTrue="1" operator="lessThan">
      <formula>0</formula>
    </cfRule>
  </conditionalFormatting>
  <conditionalFormatting sqref="H195">
    <cfRule type="cellIs" dxfId="3312" priority="3308" stopIfTrue="1" operator="lessThan">
      <formula>0</formula>
    </cfRule>
    <cfRule type="cellIs" dxfId="3311" priority="3309" stopIfTrue="1" operator="lessThan">
      <formula>0</formula>
    </cfRule>
  </conditionalFormatting>
  <conditionalFormatting sqref="H195">
    <cfRule type="cellIs" dxfId="3310" priority="3306" stopIfTrue="1" operator="lessThan">
      <formula>0</formula>
    </cfRule>
    <cfRule type="cellIs" dxfId="3309" priority="3307" stopIfTrue="1" operator="lessThan">
      <formula>0</formula>
    </cfRule>
  </conditionalFormatting>
  <conditionalFormatting sqref="H195">
    <cfRule type="cellIs" dxfId="3308" priority="3304" stopIfTrue="1" operator="lessThan">
      <formula>0</formula>
    </cfRule>
    <cfRule type="cellIs" dxfId="3307" priority="3305" stopIfTrue="1" operator="lessThan">
      <formula>0</formula>
    </cfRule>
  </conditionalFormatting>
  <conditionalFormatting sqref="H195">
    <cfRule type="cellIs" dxfId="3306" priority="3303" stopIfTrue="1" operator="lessThan">
      <formula>0.05</formula>
    </cfRule>
  </conditionalFormatting>
  <conditionalFormatting sqref="H195">
    <cfRule type="cellIs" dxfId="3305" priority="3301" stopIfTrue="1" operator="lessThan">
      <formula>0</formula>
    </cfRule>
    <cfRule type="cellIs" dxfId="3304" priority="3302" stopIfTrue="1" operator="lessThan">
      <formula>0</formula>
    </cfRule>
  </conditionalFormatting>
  <conditionalFormatting sqref="H195">
    <cfRule type="cellIs" dxfId="3303" priority="3300" stopIfTrue="1" operator="lessThan">
      <formula>0.05</formula>
    </cfRule>
  </conditionalFormatting>
  <conditionalFormatting sqref="H195">
    <cfRule type="cellIs" dxfId="3302" priority="3298" stopIfTrue="1" operator="lessThan">
      <formula>0</formula>
    </cfRule>
    <cfRule type="cellIs" dxfId="3301" priority="3299" stopIfTrue="1" operator="lessThan">
      <formula>0</formula>
    </cfRule>
  </conditionalFormatting>
  <conditionalFormatting sqref="H195">
    <cfRule type="cellIs" dxfId="3300" priority="3297" stopIfTrue="1" operator="lessThan">
      <formula>0.05</formula>
    </cfRule>
  </conditionalFormatting>
  <conditionalFormatting sqref="H195">
    <cfRule type="cellIs" dxfId="3299" priority="3295" stopIfTrue="1" operator="lessThan">
      <formula>0</formula>
    </cfRule>
    <cfRule type="cellIs" dxfId="3298" priority="3296" stopIfTrue="1" operator="lessThan">
      <formula>0</formula>
    </cfRule>
  </conditionalFormatting>
  <conditionalFormatting sqref="H195">
    <cfRule type="cellIs" dxfId="3297" priority="3294" stopIfTrue="1" operator="lessThan">
      <formula>0.05</formula>
    </cfRule>
  </conditionalFormatting>
  <conditionalFormatting sqref="H195">
    <cfRule type="cellIs" dxfId="3296" priority="3292" stopIfTrue="1" operator="lessThan">
      <formula>0</formula>
    </cfRule>
    <cfRule type="cellIs" dxfId="3295" priority="3293" stopIfTrue="1" operator="lessThan">
      <formula>0</formula>
    </cfRule>
  </conditionalFormatting>
  <conditionalFormatting sqref="H195">
    <cfRule type="cellIs" dxfId="3294" priority="3291" stopIfTrue="1" operator="lessThan">
      <formula>0.05</formula>
    </cfRule>
  </conditionalFormatting>
  <conditionalFormatting sqref="H195">
    <cfRule type="cellIs" dxfId="3293" priority="3289" stopIfTrue="1" operator="lessThan">
      <formula>0</formula>
    </cfRule>
    <cfRule type="cellIs" dxfId="3292" priority="3290" stopIfTrue="1" operator="lessThan">
      <formula>0</formula>
    </cfRule>
  </conditionalFormatting>
  <conditionalFormatting sqref="H195">
    <cfRule type="cellIs" dxfId="3291" priority="3288" stopIfTrue="1" operator="lessThan">
      <formula>0.05</formula>
    </cfRule>
  </conditionalFormatting>
  <conditionalFormatting sqref="H195">
    <cfRule type="cellIs" dxfId="3290" priority="3286" stopIfTrue="1" operator="lessThan">
      <formula>0</formula>
    </cfRule>
    <cfRule type="cellIs" dxfId="3289" priority="3287" stopIfTrue="1" operator="lessThan">
      <formula>0</formula>
    </cfRule>
  </conditionalFormatting>
  <conditionalFormatting sqref="H195">
    <cfRule type="cellIs" dxfId="3288" priority="3285" stopIfTrue="1" operator="lessThan">
      <formula>0.05</formula>
    </cfRule>
  </conditionalFormatting>
  <conditionalFormatting sqref="H204">
    <cfRule type="cellIs" dxfId="3287" priority="3283" stopIfTrue="1" operator="lessThan">
      <formula>0</formula>
    </cfRule>
    <cfRule type="cellIs" dxfId="3286" priority="3284" stopIfTrue="1" operator="lessThan">
      <formula>0</formula>
    </cfRule>
  </conditionalFormatting>
  <conditionalFormatting sqref="H204">
    <cfRule type="cellIs" dxfId="3285" priority="3281" stopIfTrue="1" operator="lessThan">
      <formula>0</formula>
    </cfRule>
    <cfRule type="cellIs" dxfId="3284" priority="3282" stopIfTrue="1" operator="lessThan">
      <formula>0</formula>
    </cfRule>
  </conditionalFormatting>
  <conditionalFormatting sqref="H204">
    <cfRule type="cellIs" dxfId="3283" priority="3279" stopIfTrue="1" operator="lessThan">
      <formula>0</formula>
    </cfRule>
    <cfRule type="cellIs" dxfId="3282" priority="3280" stopIfTrue="1" operator="lessThan">
      <formula>0</formula>
    </cfRule>
  </conditionalFormatting>
  <conditionalFormatting sqref="H204">
    <cfRule type="cellIs" dxfId="3281" priority="3277" stopIfTrue="1" operator="lessThan">
      <formula>0</formula>
    </cfRule>
    <cfRule type="cellIs" dxfId="3280" priority="3278" stopIfTrue="1" operator="lessThan">
      <formula>0</formula>
    </cfRule>
  </conditionalFormatting>
  <conditionalFormatting sqref="H204">
    <cfRule type="cellIs" dxfId="3279" priority="3275" stopIfTrue="1" operator="lessThan">
      <formula>0</formula>
    </cfRule>
    <cfRule type="cellIs" dxfId="3278" priority="3276" stopIfTrue="1" operator="lessThan">
      <formula>0</formula>
    </cfRule>
  </conditionalFormatting>
  <conditionalFormatting sqref="H204">
    <cfRule type="cellIs" dxfId="3277" priority="3273" stopIfTrue="1" operator="lessThan">
      <formula>0</formula>
    </cfRule>
    <cfRule type="cellIs" dxfId="3276" priority="3274" stopIfTrue="1" operator="lessThan">
      <formula>0</formula>
    </cfRule>
  </conditionalFormatting>
  <conditionalFormatting sqref="H204">
    <cfRule type="cellIs" dxfId="3275" priority="3271" stopIfTrue="1" operator="lessThan">
      <formula>0</formula>
    </cfRule>
    <cfRule type="cellIs" dxfId="3274" priority="3272" stopIfTrue="1" operator="lessThan">
      <formula>0</formula>
    </cfRule>
  </conditionalFormatting>
  <conditionalFormatting sqref="H204">
    <cfRule type="cellIs" dxfId="3273" priority="3269" stopIfTrue="1" operator="lessThan">
      <formula>0</formula>
    </cfRule>
    <cfRule type="cellIs" dxfId="3272" priority="3270" stopIfTrue="1" operator="lessThan">
      <formula>0</formula>
    </cfRule>
  </conditionalFormatting>
  <conditionalFormatting sqref="H204">
    <cfRule type="cellIs" dxfId="3271" priority="3267" stopIfTrue="1" operator="lessThan">
      <formula>0</formula>
    </cfRule>
    <cfRule type="cellIs" dxfId="3270" priority="3268" stopIfTrue="1" operator="lessThan">
      <formula>0</formula>
    </cfRule>
  </conditionalFormatting>
  <conditionalFormatting sqref="H204">
    <cfRule type="cellIs" dxfId="3269" priority="3265" stopIfTrue="1" operator="lessThan">
      <formula>0</formula>
    </cfRule>
    <cfRule type="cellIs" dxfId="3268" priority="3266" stopIfTrue="1" operator="lessThan">
      <formula>0</formula>
    </cfRule>
  </conditionalFormatting>
  <conditionalFormatting sqref="H204">
    <cfRule type="cellIs" dxfId="3267" priority="3263" stopIfTrue="1" operator="lessThan">
      <formula>0</formula>
    </cfRule>
    <cfRule type="cellIs" dxfId="3266" priority="3264" stopIfTrue="1" operator="lessThan">
      <formula>0</formula>
    </cfRule>
  </conditionalFormatting>
  <conditionalFormatting sqref="H204">
    <cfRule type="cellIs" dxfId="3265" priority="3261" stopIfTrue="1" operator="lessThan">
      <formula>0</formula>
    </cfRule>
    <cfRule type="cellIs" dxfId="3264" priority="3262" stopIfTrue="1" operator="lessThan">
      <formula>0</formula>
    </cfRule>
  </conditionalFormatting>
  <conditionalFormatting sqref="H204">
    <cfRule type="cellIs" dxfId="3263" priority="3260" stopIfTrue="1" operator="lessThan">
      <formula>0.05</formula>
    </cfRule>
  </conditionalFormatting>
  <conditionalFormatting sqref="H204">
    <cfRule type="cellIs" dxfId="3262" priority="3258" stopIfTrue="1" operator="lessThan">
      <formula>0</formula>
    </cfRule>
    <cfRule type="cellIs" dxfId="3261" priority="3259" stopIfTrue="1" operator="lessThan">
      <formula>0</formula>
    </cfRule>
  </conditionalFormatting>
  <conditionalFormatting sqref="H204">
    <cfRule type="cellIs" dxfId="3260" priority="3257" stopIfTrue="1" operator="lessThan">
      <formula>0.05</formula>
    </cfRule>
  </conditionalFormatting>
  <conditionalFormatting sqref="H204">
    <cfRule type="cellIs" dxfId="3259" priority="3255" stopIfTrue="1" operator="lessThan">
      <formula>0</formula>
    </cfRule>
    <cfRule type="cellIs" dxfId="3258" priority="3256" stopIfTrue="1" operator="lessThan">
      <formula>0</formula>
    </cfRule>
  </conditionalFormatting>
  <conditionalFormatting sqref="H204">
    <cfRule type="cellIs" dxfId="3257" priority="3254" stopIfTrue="1" operator="lessThan">
      <formula>0.05</formula>
    </cfRule>
  </conditionalFormatting>
  <conditionalFormatting sqref="H204">
    <cfRule type="cellIs" dxfId="3256" priority="3252" stopIfTrue="1" operator="lessThan">
      <formula>0</formula>
    </cfRule>
    <cfRule type="cellIs" dxfId="3255" priority="3253" stopIfTrue="1" operator="lessThan">
      <formula>0</formula>
    </cfRule>
  </conditionalFormatting>
  <conditionalFormatting sqref="H204">
    <cfRule type="cellIs" dxfId="3254" priority="3251" stopIfTrue="1" operator="lessThan">
      <formula>0.05</formula>
    </cfRule>
  </conditionalFormatting>
  <conditionalFormatting sqref="H204">
    <cfRule type="cellIs" dxfId="3253" priority="3249" stopIfTrue="1" operator="lessThan">
      <formula>0</formula>
    </cfRule>
    <cfRule type="cellIs" dxfId="3252" priority="3250" stopIfTrue="1" operator="lessThan">
      <formula>0</formula>
    </cfRule>
  </conditionalFormatting>
  <conditionalFormatting sqref="H204">
    <cfRule type="cellIs" dxfId="3251" priority="3248" stopIfTrue="1" operator="lessThan">
      <formula>0.05</formula>
    </cfRule>
  </conditionalFormatting>
  <conditionalFormatting sqref="H204">
    <cfRule type="cellIs" dxfId="3250" priority="3246" stopIfTrue="1" operator="lessThan">
      <formula>0</formula>
    </cfRule>
    <cfRule type="cellIs" dxfId="3249" priority="3247" stopIfTrue="1" operator="lessThan">
      <formula>0</formula>
    </cfRule>
  </conditionalFormatting>
  <conditionalFormatting sqref="H204">
    <cfRule type="cellIs" dxfId="3248" priority="3245" stopIfTrue="1" operator="lessThan">
      <formula>0.05</formula>
    </cfRule>
  </conditionalFormatting>
  <conditionalFormatting sqref="H204">
    <cfRule type="cellIs" dxfId="3247" priority="3243" stopIfTrue="1" operator="lessThan">
      <formula>0</formula>
    </cfRule>
    <cfRule type="cellIs" dxfId="3246" priority="3244" stopIfTrue="1" operator="lessThan">
      <formula>0</formula>
    </cfRule>
  </conditionalFormatting>
  <conditionalFormatting sqref="H204">
    <cfRule type="cellIs" dxfId="3245" priority="3242" stopIfTrue="1" operator="lessThan">
      <formula>0.05</formula>
    </cfRule>
  </conditionalFormatting>
  <conditionalFormatting sqref="H200">
    <cfRule type="cellIs" dxfId="3244" priority="3240" stopIfTrue="1" operator="lessThan">
      <formula>0</formula>
    </cfRule>
    <cfRule type="cellIs" dxfId="3243" priority="3241" stopIfTrue="1" operator="lessThan">
      <formula>0</formula>
    </cfRule>
  </conditionalFormatting>
  <conditionalFormatting sqref="H200">
    <cfRule type="cellIs" dxfId="3242" priority="3238" stopIfTrue="1" operator="lessThan">
      <formula>0</formula>
    </cfRule>
    <cfRule type="cellIs" dxfId="3241" priority="3239" stopIfTrue="1" operator="lessThan">
      <formula>0</formula>
    </cfRule>
  </conditionalFormatting>
  <conditionalFormatting sqref="H200">
    <cfRule type="cellIs" dxfId="3240" priority="3236" stopIfTrue="1" operator="lessThan">
      <formula>0</formula>
    </cfRule>
    <cfRule type="cellIs" dxfId="3239" priority="3237" stopIfTrue="1" operator="lessThan">
      <formula>0</formula>
    </cfRule>
  </conditionalFormatting>
  <conditionalFormatting sqref="H200">
    <cfRule type="cellIs" dxfId="3238" priority="3234" stopIfTrue="1" operator="lessThan">
      <formula>0</formula>
    </cfRule>
    <cfRule type="cellIs" dxfId="3237" priority="3235" stopIfTrue="1" operator="lessThan">
      <formula>0</formula>
    </cfRule>
  </conditionalFormatting>
  <conditionalFormatting sqref="H200">
    <cfRule type="cellIs" dxfId="3236" priority="3232" stopIfTrue="1" operator="lessThan">
      <formula>0</formula>
    </cfRule>
    <cfRule type="cellIs" dxfId="3235" priority="3233" stopIfTrue="1" operator="lessThan">
      <formula>0</formula>
    </cfRule>
  </conditionalFormatting>
  <conditionalFormatting sqref="H200">
    <cfRule type="cellIs" dxfId="3234" priority="3230" stopIfTrue="1" operator="lessThan">
      <formula>0</formula>
    </cfRule>
    <cfRule type="cellIs" dxfId="3233" priority="3231" stopIfTrue="1" operator="lessThan">
      <formula>0</formula>
    </cfRule>
  </conditionalFormatting>
  <conditionalFormatting sqref="H200">
    <cfRule type="cellIs" dxfId="3232" priority="3228" stopIfTrue="1" operator="lessThan">
      <formula>0</formula>
    </cfRule>
    <cfRule type="cellIs" dxfId="3231" priority="3229" stopIfTrue="1" operator="lessThan">
      <formula>0</formula>
    </cfRule>
  </conditionalFormatting>
  <conditionalFormatting sqref="H200">
    <cfRule type="cellIs" dxfId="3230" priority="3226" stopIfTrue="1" operator="lessThan">
      <formula>0</formula>
    </cfRule>
    <cfRule type="cellIs" dxfId="3229" priority="3227" stopIfTrue="1" operator="lessThan">
      <formula>0</formula>
    </cfRule>
  </conditionalFormatting>
  <conditionalFormatting sqref="H200">
    <cfRule type="cellIs" dxfId="3228" priority="3224" stopIfTrue="1" operator="lessThan">
      <formula>0</formula>
    </cfRule>
    <cfRule type="cellIs" dxfId="3227" priority="3225" stopIfTrue="1" operator="lessThan">
      <formula>0</formula>
    </cfRule>
  </conditionalFormatting>
  <conditionalFormatting sqref="H200">
    <cfRule type="cellIs" dxfId="3226" priority="3222" stopIfTrue="1" operator="lessThan">
      <formula>0</formula>
    </cfRule>
    <cfRule type="cellIs" dxfId="3225" priority="3223" stopIfTrue="1" operator="lessThan">
      <formula>0</formula>
    </cfRule>
  </conditionalFormatting>
  <conditionalFormatting sqref="H200">
    <cfRule type="cellIs" dxfId="3224" priority="3220" stopIfTrue="1" operator="lessThan">
      <formula>0</formula>
    </cfRule>
    <cfRule type="cellIs" dxfId="3223" priority="3221" stopIfTrue="1" operator="lessThan">
      <formula>0</formula>
    </cfRule>
  </conditionalFormatting>
  <conditionalFormatting sqref="H200">
    <cfRule type="cellIs" dxfId="3222" priority="3218" stopIfTrue="1" operator="lessThan">
      <formula>0</formula>
    </cfRule>
    <cfRule type="cellIs" dxfId="3221" priority="3219" stopIfTrue="1" operator="lessThan">
      <formula>0</formula>
    </cfRule>
  </conditionalFormatting>
  <conditionalFormatting sqref="H200">
    <cfRule type="cellIs" dxfId="3220" priority="3217" stopIfTrue="1" operator="lessThan">
      <formula>0.05</formula>
    </cfRule>
  </conditionalFormatting>
  <conditionalFormatting sqref="H200">
    <cfRule type="cellIs" dxfId="3219" priority="3215" stopIfTrue="1" operator="lessThan">
      <formula>0</formula>
    </cfRule>
    <cfRule type="cellIs" dxfId="3218" priority="3216" stopIfTrue="1" operator="lessThan">
      <formula>0</formula>
    </cfRule>
  </conditionalFormatting>
  <conditionalFormatting sqref="H200">
    <cfRule type="cellIs" dxfId="3217" priority="3214" stopIfTrue="1" operator="lessThan">
      <formula>0.05</formula>
    </cfRule>
  </conditionalFormatting>
  <conditionalFormatting sqref="H200">
    <cfRule type="cellIs" dxfId="3216" priority="3212" stopIfTrue="1" operator="lessThan">
      <formula>0</formula>
    </cfRule>
    <cfRule type="cellIs" dxfId="3215" priority="3213" stopIfTrue="1" operator="lessThan">
      <formula>0</formula>
    </cfRule>
  </conditionalFormatting>
  <conditionalFormatting sqref="H200">
    <cfRule type="cellIs" dxfId="3214" priority="3211" stopIfTrue="1" operator="lessThan">
      <formula>0.05</formula>
    </cfRule>
  </conditionalFormatting>
  <conditionalFormatting sqref="H200">
    <cfRule type="cellIs" dxfId="3213" priority="3209" stopIfTrue="1" operator="lessThan">
      <formula>0</formula>
    </cfRule>
    <cfRule type="cellIs" dxfId="3212" priority="3210" stopIfTrue="1" operator="lessThan">
      <formula>0</formula>
    </cfRule>
  </conditionalFormatting>
  <conditionalFormatting sqref="H200">
    <cfRule type="cellIs" dxfId="3211" priority="3208" stopIfTrue="1" operator="lessThan">
      <formula>0.05</formula>
    </cfRule>
  </conditionalFormatting>
  <conditionalFormatting sqref="H200">
    <cfRule type="cellIs" dxfId="3210" priority="3206" stopIfTrue="1" operator="lessThan">
      <formula>0</formula>
    </cfRule>
    <cfRule type="cellIs" dxfId="3209" priority="3207" stopIfTrue="1" operator="lessThan">
      <formula>0</formula>
    </cfRule>
  </conditionalFormatting>
  <conditionalFormatting sqref="H200">
    <cfRule type="cellIs" dxfId="3208" priority="3205" stopIfTrue="1" operator="lessThan">
      <formula>0.05</formula>
    </cfRule>
  </conditionalFormatting>
  <conditionalFormatting sqref="H200">
    <cfRule type="cellIs" dxfId="3207" priority="3203" stopIfTrue="1" operator="lessThan">
      <formula>0</formula>
    </cfRule>
    <cfRule type="cellIs" dxfId="3206" priority="3204" stopIfTrue="1" operator="lessThan">
      <formula>0</formula>
    </cfRule>
  </conditionalFormatting>
  <conditionalFormatting sqref="H200">
    <cfRule type="cellIs" dxfId="3205" priority="3202" stopIfTrue="1" operator="lessThan">
      <formula>0.05</formula>
    </cfRule>
  </conditionalFormatting>
  <conditionalFormatting sqref="H200">
    <cfRule type="cellIs" dxfId="3204" priority="3200" stopIfTrue="1" operator="lessThan">
      <formula>0</formula>
    </cfRule>
    <cfRule type="cellIs" dxfId="3203" priority="3201" stopIfTrue="1" operator="lessThan">
      <formula>0</formula>
    </cfRule>
  </conditionalFormatting>
  <conditionalFormatting sqref="H200">
    <cfRule type="cellIs" dxfId="3202" priority="3199" stopIfTrue="1" operator="lessThan">
      <formula>0.05</formula>
    </cfRule>
  </conditionalFormatting>
  <conditionalFormatting sqref="H211:H227">
    <cfRule type="cellIs" dxfId="3201" priority="3197" stopIfTrue="1" operator="lessThan">
      <formula>0</formula>
    </cfRule>
    <cfRule type="cellIs" dxfId="3200" priority="3198" stopIfTrue="1" operator="lessThan">
      <formula>0</formula>
    </cfRule>
  </conditionalFormatting>
  <conditionalFormatting sqref="H211:H227">
    <cfRule type="cellIs" dxfId="3199" priority="3195" stopIfTrue="1" operator="lessThan">
      <formula>0</formula>
    </cfRule>
    <cfRule type="cellIs" dxfId="3198" priority="3196" stopIfTrue="1" operator="lessThan">
      <formula>0</formula>
    </cfRule>
  </conditionalFormatting>
  <conditionalFormatting sqref="H211:H227">
    <cfRule type="cellIs" dxfId="3197" priority="3193" stopIfTrue="1" operator="lessThan">
      <formula>0.05</formula>
    </cfRule>
    <cfRule type="cellIs" dxfId="3196" priority="3194" stopIfTrue="1" operator="lessThan">
      <formula>0</formula>
    </cfRule>
  </conditionalFormatting>
  <conditionalFormatting sqref="H211:H227">
    <cfRule type="cellIs" dxfId="3195" priority="3191" stopIfTrue="1" operator="lessThan">
      <formula>0</formula>
    </cfRule>
    <cfRule type="cellIs" dxfId="3194" priority="3192" stopIfTrue="1" operator="lessThan">
      <formula>0</formula>
    </cfRule>
  </conditionalFormatting>
  <conditionalFormatting sqref="H211:H227">
    <cfRule type="cellIs" dxfId="3193" priority="3189" stopIfTrue="1" operator="lessThan">
      <formula>0.05</formula>
    </cfRule>
    <cfRule type="cellIs" dxfId="3192" priority="3190" stopIfTrue="1" operator="lessThan">
      <formula>0</formula>
    </cfRule>
  </conditionalFormatting>
  <conditionalFormatting sqref="H211:H227">
    <cfRule type="cellIs" dxfId="3191" priority="3187" stopIfTrue="1" operator="lessThan">
      <formula>0</formula>
    </cfRule>
    <cfRule type="cellIs" dxfId="3190" priority="3188" stopIfTrue="1" operator="lessThan">
      <formula>0</formula>
    </cfRule>
  </conditionalFormatting>
  <conditionalFormatting sqref="H211:H227">
    <cfRule type="cellIs" dxfId="3189" priority="3185" stopIfTrue="1" operator="lessThan">
      <formula>0.05</formula>
    </cfRule>
    <cfRule type="cellIs" dxfId="3188" priority="3186" stopIfTrue="1" operator="lessThan">
      <formula>0</formula>
    </cfRule>
  </conditionalFormatting>
  <conditionalFormatting sqref="H211:H227">
    <cfRule type="cellIs" dxfId="3187" priority="3183" stopIfTrue="1" operator="lessThan">
      <formula>0</formula>
    </cfRule>
    <cfRule type="cellIs" dxfId="3186" priority="3184" stopIfTrue="1" operator="lessThan">
      <formula>0</formula>
    </cfRule>
  </conditionalFormatting>
  <conditionalFormatting sqref="H211:H227">
    <cfRule type="cellIs" dxfId="3185" priority="3181" stopIfTrue="1" operator="lessThan">
      <formula>0</formula>
    </cfRule>
    <cfRule type="cellIs" dxfId="3184" priority="3182" stopIfTrue="1" operator="lessThan">
      <formula>0</formula>
    </cfRule>
  </conditionalFormatting>
  <conditionalFormatting sqref="H211:H227">
    <cfRule type="cellIs" dxfId="3183" priority="3179" stopIfTrue="1" operator="lessThan">
      <formula>0</formula>
    </cfRule>
    <cfRule type="cellIs" dxfId="3182" priority="3180" stopIfTrue="1" operator="lessThan">
      <formula>0</formula>
    </cfRule>
  </conditionalFormatting>
  <conditionalFormatting sqref="H211:H227">
    <cfRule type="cellIs" dxfId="3181" priority="3177" stopIfTrue="1" operator="lessThan">
      <formula>0.05</formula>
    </cfRule>
    <cfRule type="cellIs" dxfId="3180" priority="3178" stopIfTrue="1" operator="lessThan">
      <formula>0</formula>
    </cfRule>
  </conditionalFormatting>
  <conditionalFormatting sqref="H211:H227">
    <cfRule type="cellIs" dxfId="3179" priority="3175" stopIfTrue="1" operator="lessThan">
      <formula>0</formula>
    </cfRule>
    <cfRule type="cellIs" dxfId="3178" priority="3176" stopIfTrue="1" operator="lessThan">
      <formula>0</formula>
    </cfRule>
  </conditionalFormatting>
  <conditionalFormatting sqref="H211:H227">
    <cfRule type="cellIs" dxfId="3177" priority="3173" stopIfTrue="1" operator="lessThan">
      <formula>0.05</formula>
    </cfRule>
    <cfRule type="cellIs" dxfId="3176" priority="3174" stopIfTrue="1" operator="lessThan">
      <formula>0</formula>
    </cfRule>
  </conditionalFormatting>
  <conditionalFormatting sqref="H211:H227">
    <cfRule type="cellIs" dxfId="3175" priority="3171" stopIfTrue="1" operator="lessThan">
      <formula>0</formula>
    </cfRule>
    <cfRule type="cellIs" dxfId="3174" priority="3172" stopIfTrue="1" operator="lessThan">
      <formula>0</formula>
    </cfRule>
  </conditionalFormatting>
  <conditionalFormatting sqref="H211:H227">
    <cfRule type="cellIs" dxfId="3173" priority="3169" stopIfTrue="1" operator="lessThan">
      <formula>0.05</formula>
    </cfRule>
    <cfRule type="cellIs" dxfId="3172" priority="3170" stopIfTrue="1" operator="lessThan">
      <formula>0</formula>
    </cfRule>
  </conditionalFormatting>
  <conditionalFormatting sqref="H211:H227">
    <cfRule type="cellIs" dxfId="3171" priority="3167" stopIfTrue="1" operator="lessThan">
      <formula>0</formula>
    </cfRule>
    <cfRule type="cellIs" dxfId="3170" priority="3168" stopIfTrue="1" operator="lessThan">
      <formula>0</formula>
    </cfRule>
  </conditionalFormatting>
  <conditionalFormatting sqref="H211:H227">
    <cfRule type="cellIs" dxfId="3169" priority="3165" stopIfTrue="1" operator="lessThan">
      <formula>0</formula>
    </cfRule>
    <cfRule type="cellIs" dxfId="3168" priority="3166" stopIfTrue="1" operator="lessThan">
      <formula>0</formula>
    </cfRule>
  </conditionalFormatting>
  <conditionalFormatting sqref="H211:H227">
    <cfRule type="cellIs" dxfId="3167" priority="3163" stopIfTrue="1" operator="lessThan">
      <formula>0</formula>
    </cfRule>
    <cfRule type="cellIs" dxfId="3166" priority="3164" stopIfTrue="1" operator="lessThan">
      <formula>0</formula>
    </cfRule>
  </conditionalFormatting>
  <conditionalFormatting sqref="H211:H227">
    <cfRule type="cellIs" dxfId="3165" priority="3161" stopIfTrue="1" operator="lessThan">
      <formula>0.05</formula>
    </cfRule>
    <cfRule type="cellIs" dxfId="3164" priority="3162" stopIfTrue="1" operator="lessThan">
      <formula>0</formula>
    </cfRule>
  </conditionalFormatting>
  <conditionalFormatting sqref="H211:H227">
    <cfRule type="cellIs" dxfId="3163" priority="3159" stopIfTrue="1" operator="lessThan">
      <formula>0</formula>
    </cfRule>
    <cfRule type="cellIs" dxfId="3162" priority="3160" stopIfTrue="1" operator="lessThan">
      <formula>0</formula>
    </cfRule>
  </conditionalFormatting>
  <conditionalFormatting sqref="H211:H227">
    <cfRule type="cellIs" dxfId="3161" priority="3157" stopIfTrue="1" operator="lessThan">
      <formula>0.05</formula>
    </cfRule>
    <cfRule type="cellIs" dxfId="3160" priority="3158" stopIfTrue="1" operator="lessThan">
      <formula>0</formula>
    </cfRule>
  </conditionalFormatting>
  <conditionalFormatting sqref="H211:H227">
    <cfRule type="cellIs" dxfId="3159" priority="3155" stopIfTrue="1" operator="lessThan">
      <formula>0</formula>
    </cfRule>
    <cfRule type="cellIs" dxfId="3158" priority="3156" stopIfTrue="1" operator="lessThan">
      <formula>0</formula>
    </cfRule>
  </conditionalFormatting>
  <conditionalFormatting sqref="H211:H227">
    <cfRule type="cellIs" dxfId="3157" priority="3153" stopIfTrue="1" operator="lessThan">
      <formula>0.05</formula>
    </cfRule>
    <cfRule type="cellIs" dxfId="3156" priority="3154" stopIfTrue="1" operator="lessThan">
      <formula>0</formula>
    </cfRule>
  </conditionalFormatting>
  <conditionalFormatting sqref="H211:H227">
    <cfRule type="cellIs" dxfId="3155" priority="3151" stopIfTrue="1" operator="lessThan">
      <formula>0</formula>
    </cfRule>
    <cfRule type="cellIs" dxfId="3154" priority="3152" stopIfTrue="1" operator="lessThan">
      <formula>0</formula>
    </cfRule>
  </conditionalFormatting>
  <conditionalFormatting sqref="H211:H227">
    <cfRule type="cellIs" dxfId="3153" priority="3149" stopIfTrue="1" operator="lessThan">
      <formula>0</formula>
    </cfRule>
    <cfRule type="cellIs" dxfId="3152" priority="3150" stopIfTrue="1" operator="lessThan">
      <formula>0</formula>
    </cfRule>
  </conditionalFormatting>
  <conditionalFormatting sqref="H211:H227">
    <cfRule type="cellIs" dxfId="3151" priority="3147" stopIfTrue="1" operator="lessThan">
      <formula>0</formula>
    </cfRule>
    <cfRule type="cellIs" dxfId="3150" priority="3148" stopIfTrue="1" operator="lessThan">
      <formula>0</formula>
    </cfRule>
  </conditionalFormatting>
  <conditionalFormatting sqref="H211:H227">
    <cfRule type="cellIs" dxfId="3149" priority="3145" stopIfTrue="1" operator="lessThan">
      <formula>0.05</formula>
    </cfRule>
    <cfRule type="cellIs" dxfId="3148" priority="3146" stopIfTrue="1" operator="lessThan">
      <formula>0</formula>
    </cfRule>
  </conditionalFormatting>
  <conditionalFormatting sqref="H211:H227">
    <cfRule type="cellIs" dxfId="3147" priority="3143" stopIfTrue="1" operator="lessThan">
      <formula>0</formula>
    </cfRule>
    <cfRule type="cellIs" dxfId="3146" priority="3144" stopIfTrue="1" operator="lessThan">
      <formula>0</formula>
    </cfRule>
  </conditionalFormatting>
  <conditionalFormatting sqref="H211:H227">
    <cfRule type="cellIs" dxfId="3145" priority="3141" stopIfTrue="1" operator="lessThan">
      <formula>0.05</formula>
    </cfRule>
    <cfRule type="cellIs" dxfId="3144" priority="3142" stopIfTrue="1" operator="lessThan">
      <formula>0</formula>
    </cfRule>
  </conditionalFormatting>
  <conditionalFormatting sqref="H211:H227">
    <cfRule type="cellIs" dxfId="3143" priority="3139" stopIfTrue="1" operator="lessThan">
      <formula>0</formula>
    </cfRule>
    <cfRule type="cellIs" dxfId="3142" priority="3140" stopIfTrue="1" operator="lessThan">
      <formula>0</formula>
    </cfRule>
  </conditionalFormatting>
  <conditionalFormatting sqref="H211:H227">
    <cfRule type="cellIs" dxfId="3141" priority="3137" stopIfTrue="1" operator="lessThan">
      <formula>0.05</formula>
    </cfRule>
    <cfRule type="cellIs" dxfId="3140" priority="3138" stopIfTrue="1" operator="lessThan">
      <formula>0</formula>
    </cfRule>
  </conditionalFormatting>
  <conditionalFormatting sqref="H211:H227">
    <cfRule type="cellIs" dxfId="3139" priority="3135" stopIfTrue="1" operator="lessThan">
      <formula>0</formula>
    </cfRule>
    <cfRule type="cellIs" dxfId="3138" priority="3136" stopIfTrue="1" operator="lessThan">
      <formula>0</formula>
    </cfRule>
  </conditionalFormatting>
  <conditionalFormatting sqref="H211:H227">
    <cfRule type="cellIs" dxfId="3137" priority="3133" stopIfTrue="1" operator="lessThan">
      <formula>0</formula>
    </cfRule>
    <cfRule type="cellIs" dxfId="3136" priority="3134" stopIfTrue="1" operator="lessThan">
      <formula>0</formula>
    </cfRule>
  </conditionalFormatting>
  <conditionalFormatting sqref="H211:H227">
    <cfRule type="cellIs" dxfId="3135" priority="3131" stopIfTrue="1" operator="lessThan">
      <formula>0.05</formula>
    </cfRule>
    <cfRule type="cellIs" dxfId="3134" priority="3132" stopIfTrue="1" operator="lessThan">
      <formula>0</formula>
    </cfRule>
  </conditionalFormatting>
  <conditionalFormatting sqref="H211:H227">
    <cfRule type="cellIs" dxfId="3133" priority="3129" stopIfTrue="1" operator="lessThan">
      <formula>0</formula>
    </cfRule>
    <cfRule type="cellIs" dxfId="3132" priority="3130" stopIfTrue="1" operator="lessThan">
      <formula>0</formula>
    </cfRule>
  </conditionalFormatting>
  <conditionalFormatting sqref="H211:H227">
    <cfRule type="cellIs" dxfId="3131" priority="3127" stopIfTrue="1" operator="lessThan">
      <formula>0</formula>
    </cfRule>
    <cfRule type="cellIs" dxfId="3130" priority="3128" stopIfTrue="1" operator="lessThan">
      <formula>0</formula>
    </cfRule>
  </conditionalFormatting>
  <conditionalFormatting sqref="H211:H227">
    <cfRule type="cellIs" dxfId="3129" priority="3125" stopIfTrue="1" operator="lessThan">
      <formula>0.05</formula>
    </cfRule>
    <cfRule type="cellIs" dxfId="3128" priority="3126" stopIfTrue="1" operator="lessThan">
      <formula>0</formula>
    </cfRule>
  </conditionalFormatting>
  <conditionalFormatting sqref="H211:H227">
    <cfRule type="cellIs" dxfId="3127" priority="3123" stopIfTrue="1" operator="lessThan">
      <formula>0</formula>
    </cfRule>
    <cfRule type="cellIs" dxfId="3126" priority="3124" stopIfTrue="1" operator="lessThan">
      <formula>0</formula>
    </cfRule>
  </conditionalFormatting>
  <conditionalFormatting sqref="H211:H227">
    <cfRule type="cellIs" dxfId="3125" priority="3121" stopIfTrue="1" operator="lessThan">
      <formula>0</formula>
    </cfRule>
    <cfRule type="cellIs" dxfId="3124" priority="3122" stopIfTrue="1" operator="lessThan">
      <formula>0</formula>
    </cfRule>
  </conditionalFormatting>
  <conditionalFormatting sqref="H211:H227">
    <cfRule type="cellIs" dxfId="3123" priority="3119" stopIfTrue="1" operator="lessThan">
      <formula>0.05</formula>
    </cfRule>
    <cfRule type="cellIs" dxfId="3122" priority="3120" stopIfTrue="1" operator="lessThan">
      <formula>0</formula>
    </cfRule>
  </conditionalFormatting>
  <conditionalFormatting sqref="H211:H227">
    <cfRule type="cellIs" dxfId="3121" priority="3117" stopIfTrue="1" operator="lessThan">
      <formula>0</formula>
    </cfRule>
    <cfRule type="cellIs" dxfId="3120" priority="3118" stopIfTrue="1" operator="lessThan">
      <formula>0</formula>
    </cfRule>
  </conditionalFormatting>
  <conditionalFormatting sqref="H211:H227">
    <cfRule type="cellIs" dxfId="3119" priority="3115" stopIfTrue="1" operator="lessThan">
      <formula>0</formula>
    </cfRule>
    <cfRule type="cellIs" dxfId="3118" priority="3116" stopIfTrue="1" operator="lessThan">
      <formula>0</formula>
    </cfRule>
  </conditionalFormatting>
  <conditionalFormatting sqref="H211:H227">
    <cfRule type="cellIs" dxfId="3117" priority="3113" stopIfTrue="1" operator="lessThan">
      <formula>0.05</formula>
    </cfRule>
    <cfRule type="cellIs" dxfId="3116" priority="3114" stopIfTrue="1" operator="lessThan">
      <formula>0</formula>
    </cfRule>
  </conditionalFormatting>
  <conditionalFormatting sqref="H211:H227">
    <cfRule type="cellIs" dxfId="3115" priority="3111" stopIfTrue="1" operator="lessThan">
      <formula>0</formula>
    </cfRule>
    <cfRule type="cellIs" dxfId="3114" priority="3112" stopIfTrue="1" operator="lessThan">
      <formula>0</formula>
    </cfRule>
  </conditionalFormatting>
  <conditionalFormatting sqref="H211:H227">
    <cfRule type="cellIs" dxfId="3113" priority="3109" stopIfTrue="1" operator="lessThan">
      <formula>0</formula>
    </cfRule>
    <cfRule type="cellIs" dxfId="3112" priority="3110" stopIfTrue="1" operator="lessThan">
      <formula>0</formula>
    </cfRule>
  </conditionalFormatting>
  <conditionalFormatting sqref="H211:H227">
    <cfRule type="cellIs" dxfId="3111" priority="3107" stopIfTrue="1" operator="lessThan">
      <formula>0.05</formula>
    </cfRule>
    <cfRule type="cellIs" dxfId="3110" priority="3108" stopIfTrue="1" operator="lessThan">
      <formula>0</formula>
    </cfRule>
  </conditionalFormatting>
  <conditionalFormatting sqref="H211:H227">
    <cfRule type="cellIs" dxfId="3109" priority="3105" stopIfTrue="1" operator="lessThan">
      <formula>0</formula>
    </cfRule>
    <cfRule type="cellIs" dxfId="3108" priority="3106" stopIfTrue="1" operator="lessThan">
      <formula>0</formula>
    </cfRule>
  </conditionalFormatting>
  <conditionalFormatting sqref="H211:H227">
    <cfRule type="cellIs" dxfId="3107" priority="3103" stopIfTrue="1" operator="lessThan">
      <formula>0</formula>
    </cfRule>
    <cfRule type="cellIs" dxfId="3106" priority="3104" stopIfTrue="1" operator="lessThan">
      <formula>0</formula>
    </cfRule>
  </conditionalFormatting>
  <conditionalFormatting sqref="H211:H227">
    <cfRule type="cellIs" dxfId="3105" priority="3101" stopIfTrue="1" operator="lessThan">
      <formula>0.05</formula>
    </cfRule>
    <cfRule type="cellIs" dxfId="3104" priority="3102" stopIfTrue="1" operator="lessThan">
      <formula>0</formula>
    </cfRule>
  </conditionalFormatting>
  <conditionalFormatting sqref="H211:H227">
    <cfRule type="cellIs" dxfId="3103" priority="3099" stopIfTrue="1" operator="lessThan">
      <formula>0</formula>
    </cfRule>
    <cfRule type="cellIs" dxfId="3102" priority="3100" stopIfTrue="1" operator="lessThan">
      <formula>0</formula>
    </cfRule>
  </conditionalFormatting>
  <conditionalFormatting sqref="H211:H227">
    <cfRule type="cellIs" dxfId="3101" priority="3097" stopIfTrue="1" operator="lessThan">
      <formula>0</formula>
    </cfRule>
    <cfRule type="cellIs" dxfId="3100" priority="3098" stopIfTrue="1" operator="lessThan">
      <formula>0</formula>
    </cfRule>
  </conditionalFormatting>
  <conditionalFormatting sqref="H211:H227">
    <cfRule type="cellIs" dxfId="3099" priority="3095" stopIfTrue="1" operator="lessThan">
      <formula>0.05</formula>
    </cfRule>
    <cfRule type="cellIs" dxfId="3098" priority="3096" stopIfTrue="1" operator="lessThan">
      <formula>0</formula>
    </cfRule>
  </conditionalFormatting>
  <conditionalFormatting sqref="H211:H227">
    <cfRule type="cellIs" dxfId="3097" priority="3093" stopIfTrue="1" operator="lessThan">
      <formula>0</formula>
    </cfRule>
    <cfRule type="cellIs" dxfId="3096" priority="3094" stopIfTrue="1" operator="lessThan">
      <formula>0</formula>
    </cfRule>
  </conditionalFormatting>
  <conditionalFormatting sqref="H211:H227">
    <cfRule type="cellIs" dxfId="3095" priority="3091" stopIfTrue="1" operator="lessThan">
      <formula>0</formula>
    </cfRule>
    <cfRule type="cellIs" dxfId="3094" priority="3092" stopIfTrue="1" operator="lessThan">
      <formula>0</formula>
    </cfRule>
  </conditionalFormatting>
  <conditionalFormatting sqref="H211:H227">
    <cfRule type="cellIs" dxfId="3093" priority="3089" stopIfTrue="1" operator="lessThan">
      <formula>0.05</formula>
    </cfRule>
    <cfRule type="cellIs" dxfId="3092" priority="3090" stopIfTrue="1" operator="lessThan">
      <formula>0</formula>
    </cfRule>
  </conditionalFormatting>
  <conditionalFormatting sqref="H211:H227">
    <cfRule type="cellIs" dxfId="3091" priority="3087" stopIfTrue="1" operator="lessThan">
      <formula>0</formula>
    </cfRule>
    <cfRule type="cellIs" dxfId="3090" priority="3088" stopIfTrue="1" operator="lessThan">
      <formula>0</formula>
    </cfRule>
  </conditionalFormatting>
  <conditionalFormatting sqref="H211:H227">
    <cfRule type="cellIs" dxfId="3089" priority="3085" stopIfTrue="1" operator="lessThan">
      <formula>0</formula>
    </cfRule>
    <cfRule type="cellIs" dxfId="3088" priority="3086" stopIfTrue="1" operator="lessThan">
      <formula>0</formula>
    </cfRule>
  </conditionalFormatting>
  <conditionalFormatting sqref="H211:H227">
    <cfRule type="cellIs" dxfId="3087" priority="3083" stopIfTrue="1" operator="lessThan">
      <formula>0.05</formula>
    </cfRule>
    <cfRule type="cellIs" dxfId="3086" priority="3084" stopIfTrue="1" operator="lessThan">
      <formula>0</formula>
    </cfRule>
  </conditionalFormatting>
  <conditionalFormatting sqref="H211:H227">
    <cfRule type="cellIs" dxfId="3085" priority="3081" stopIfTrue="1" operator="lessThan">
      <formula>0</formula>
    </cfRule>
    <cfRule type="cellIs" dxfId="3084" priority="3082" stopIfTrue="1" operator="lessThan">
      <formula>0</formula>
    </cfRule>
  </conditionalFormatting>
  <conditionalFormatting sqref="H211:H227">
    <cfRule type="cellIs" dxfId="3083" priority="3079" stopIfTrue="1" operator="lessThan">
      <formula>0</formula>
    </cfRule>
    <cfRule type="cellIs" dxfId="3082" priority="3080" stopIfTrue="1" operator="lessThan">
      <formula>0</formula>
    </cfRule>
  </conditionalFormatting>
  <conditionalFormatting sqref="H211:H227">
    <cfRule type="cellIs" dxfId="3081" priority="3077" stopIfTrue="1" operator="lessThan">
      <formula>0.05</formula>
    </cfRule>
    <cfRule type="cellIs" dxfId="3080" priority="3078" stopIfTrue="1" operator="lessThan">
      <formula>0</formula>
    </cfRule>
  </conditionalFormatting>
  <conditionalFormatting sqref="H211:H227">
    <cfRule type="cellIs" dxfId="3079" priority="3075" stopIfTrue="1" operator="lessThan">
      <formula>0</formula>
    </cfRule>
    <cfRule type="cellIs" dxfId="3078" priority="3076" stopIfTrue="1" operator="lessThan">
      <formula>0</formula>
    </cfRule>
  </conditionalFormatting>
  <conditionalFormatting sqref="H211:H227">
    <cfRule type="cellIs" dxfId="3077" priority="3073" stopIfTrue="1" operator="lessThan">
      <formula>0</formula>
    </cfRule>
    <cfRule type="cellIs" dxfId="3076" priority="3074" stopIfTrue="1" operator="lessThan">
      <formula>0</formula>
    </cfRule>
  </conditionalFormatting>
  <conditionalFormatting sqref="H211:H227">
    <cfRule type="cellIs" dxfId="3075" priority="3071" stopIfTrue="1" operator="lessThan">
      <formula>0.05</formula>
    </cfRule>
    <cfRule type="cellIs" dxfId="3074" priority="3072" stopIfTrue="1" operator="lessThan">
      <formula>0</formula>
    </cfRule>
  </conditionalFormatting>
  <conditionalFormatting sqref="H211:H227">
    <cfRule type="cellIs" dxfId="3073" priority="3069" stopIfTrue="1" operator="lessThan">
      <formula>0</formula>
    </cfRule>
    <cfRule type="cellIs" dxfId="3072" priority="3070" stopIfTrue="1" operator="lessThan">
      <formula>0</formula>
    </cfRule>
  </conditionalFormatting>
  <conditionalFormatting sqref="H211:H227">
    <cfRule type="cellIs" dxfId="3071" priority="3067" stopIfTrue="1" operator="lessThan">
      <formula>0</formula>
    </cfRule>
    <cfRule type="cellIs" dxfId="3070" priority="3068" stopIfTrue="1" operator="lessThan">
      <formula>0</formula>
    </cfRule>
  </conditionalFormatting>
  <conditionalFormatting sqref="H211:H227">
    <cfRule type="cellIs" dxfId="3069" priority="3065" stopIfTrue="1" operator="lessThan">
      <formula>0.05</formula>
    </cfRule>
    <cfRule type="cellIs" dxfId="3068" priority="3066" stopIfTrue="1" operator="lessThan">
      <formula>0</formula>
    </cfRule>
  </conditionalFormatting>
  <conditionalFormatting sqref="H211:H227">
    <cfRule type="cellIs" dxfId="3067" priority="3063" stopIfTrue="1" operator="lessThan">
      <formula>0</formula>
    </cfRule>
    <cfRule type="cellIs" dxfId="3066" priority="3064" stopIfTrue="1" operator="lessThan">
      <formula>0</formula>
    </cfRule>
  </conditionalFormatting>
  <conditionalFormatting sqref="H211:H227">
    <cfRule type="cellIs" dxfId="3065" priority="3061" stopIfTrue="1" operator="lessThan">
      <formula>0</formula>
    </cfRule>
    <cfRule type="cellIs" dxfId="3064" priority="3062" stopIfTrue="1" operator="lessThan">
      <formula>0</formula>
    </cfRule>
  </conditionalFormatting>
  <conditionalFormatting sqref="H211:H227">
    <cfRule type="cellIs" dxfId="3063" priority="3059" stopIfTrue="1" operator="lessThan">
      <formula>0.05</formula>
    </cfRule>
    <cfRule type="cellIs" dxfId="3062" priority="3060" stopIfTrue="1" operator="lessThan">
      <formula>0</formula>
    </cfRule>
  </conditionalFormatting>
  <conditionalFormatting sqref="H211:H227">
    <cfRule type="cellIs" dxfId="3061" priority="3057" stopIfTrue="1" operator="lessThan">
      <formula>0</formula>
    </cfRule>
    <cfRule type="cellIs" dxfId="3060" priority="3058" stopIfTrue="1" operator="lessThan">
      <formula>0</formula>
    </cfRule>
  </conditionalFormatting>
  <conditionalFormatting sqref="H211:H227">
    <cfRule type="cellIs" dxfId="3059" priority="3055" stopIfTrue="1" operator="lessThan">
      <formula>0</formula>
    </cfRule>
    <cfRule type="cellIs" dxfId="3058" priority="3056" stopIfTrue="1" operator="lessThan">
      <formula>0</formula>
    </cfRule>
  </conditionalFormatting>
  <conditionalFormatting sqref="H211:H227">
    <cfRule type="cellIs" dxfId="3057" priority="3053" stopIfTrue="1" operator="lessThan">
      <formula>0.05</formula>
    </cfRule>
    <cfRule type="cellIs" dxfId="3056" priority="3054" stopIfTrue="1" operator="lessThan">
      <formula>0</formula>
    </cfRule>
  </conditionalFormatting>
  <conditionalFormatting sqref="H211:H227">
    <cfRule type="cellIs" dxfId="3055" priority="3051" stopIfTrue="1" operator="lessThan">
      <formula>0</formula>
    </cfRule>
    <cfRule type="cellIs" dxfId="3054" priority="3052" stopIfTrue="1" operator="lessThan">
      <formula>0</formula>
    </cfRule>
  </conditionalFormatting>
  <conditionalFormatting sqref="H211:H227">
    <cfRule type="cellIs" dxfId="3053" priority="3049" stopIfTrue="1" operator="lessThan">
      <formula>0</formula>
    </cfRule>
    <cfRule type="cellIs" dxfId="3052" priority="3050" stopIfTrue="1" operator="lessThan">
      <formula>0</formula>
    </cfRule>
  </conditionalFormatting>
  <conditionalFormatting sqref="H211:H227">
    <cfRule type="cellIs" dxfId="3051" priority="3047" stopIfTrue="1" operator="lessThan">
      <formula>0.05</formula>
    </cfRule>
    <cfRule type="cellIs" dxfId="3050" priority="3048" stopIfTrue="1" operator="lessThan">
      <formula>0</formula>
    </cfRule>
  </conditionalFormatting>
  <conditionalFormatting sqref="H211:H227">
    <cfRule type="cellIs" dxfId="3049" priority="3045" stopIfTrue="1" operator="lessThan">
      <formula>0</formula>
    </cfRule>
    <cfRule type="cellIs" dxfId="3048" priority="3046" stopIfTrue="1" operator="lessThan">
      <formula>0</formula>
    </cfRule>
  </conditionalFormatting>
  <conditionalFormatting sqref="H211:H227">
    <cfRule type="cellIs" dxfId="3047" priority="3043" stopIfTrue="1" operator="lessThan">
      <formula>0</formula>
    </cfRule>
    <cfRule type="cellIs" dxfId="3046" priority="3044" stopIfTrue="1" operator="lessThan">
      <formula>0</formula>
    </cfRule>
  </conditionalFormatting>
  <conditionalFormatting sqref="H211:H227">
    <cfRule type="cellIs" dxfId="3045" priority="3041" stopIfTrue="1" operator="lessThan">
      <formula>0.05</formula>
    </cfRule>
    <cfRule type="cellIs" dxfId="3044" priority="3042" stopIfTrue="1" operator="lessThan">
      <formula>0</formula>
    </cfRule>
  </conditionalFormatting>
  <conditionalFormatting sqref="H211:H227">
    <cfRule type="cellIs" dxfId="3043" priority="3039" stopIfTrue="1" operator="lessThan">
      <formula>0</formula>
    </cfRule>
    <cfRule type="cellIs" dxfId="3042" priority="3040" stopIfTrue="1" operator="lessThan">
      <formula>0</formula>
    </cfRule>
  </conditionalFormatting>
  <conditionalFormatting sqref="H211:H227">
    <cfRule type="cellIs" dxfId="3041" priority="3037" stopIfTrue="1" operator="lessThan">
      <formula>0.05</formula>
    </cfRule>
    <cfRule type="cellIs" dxfId="3040" priority="3038" stopIfTrue="1" operator="lessThan">
      <formula>0</formula>
    </cfRule>
  </conditionalFormatting>
  <conditionalFormatting sqref="H211:H227">
    <cfRule type="cellIs" dxfId="3039" priority="3035" stopIfTrue="1" operator="lessThan">
      <formula>0</formula>
    </cfRule>
    <cfRule type="cellIs" dxfId="3038" priority="3036" stopIfTrue="1" operator="lessThan">
      <formula>0</formula>
    </cfRule>
  </conditionalFormatting>
  <conditionalFormatting sqref="H211:H227">
    <cfRule type="cellIs" dxfId="3037" priority="3033" stopIfTrue="1" operator="lessThan">
      <formula>0.05</formula>
    </cfRule>
    <cfRule type="cellIs" dxfId="3036" priority="3034" stopIfTrue="1" operator="lessThan">
      <formula>0</formula>
    </cfRule>
  </conditionalFormatting>
  <conditionalFormatting sqref="H211:H227">
    <cfRule type="cellIs" dxfId="3035" priority="3031" stopIfTrue="1" operator="lessThan">
      <formula>0</formula>
    </cfRule>
    <cfRule type="cellIs" dxfId="3034" priority="3032" stopIfTrue="1" operator="lessThan">
      <formula>0</formula>
    </cfRule>
  </conditionalFormatting>
  <conditionalFormatting sqref="H211:H227">
    <cfRule type="cellIs" dxfId="3033" priority="3029" stopIfTrue="1" operator="lessThan">
      <formula>0</formula>
    </cfRule>
    <cfRule type="cellIs" dxfId="3032" priority="3030" stopIfTrue="1" operator="lessThan">
      <formula>0</formula>
    </cfRule>
  </conditionalFormatting>
  <conditionalFormatting sqref="H211:H227">
    <cfRule type="cellIs" dxfId="3031" priority="3027" stopIfTrue="1" operator="lessThan">
      <formula>0</formula>
    </cfRule>
    <cfRule type="cellIs" dxfId="3030" priority="3028" stopIfTrue="1" operator="lessThan">
      <formula>0</formula>
    </cfRule>
  </conditionalFormatting>
  <conditionalFormatting sqref="H211:H227">
    <cfRule type="cellIs" dxfId="3029" priority="3025" stopIfTrue="1" operator="lessThan">
      <formula>0.05</formula>
    </cfRule>
    <cfRule type="cellIs" dxfId="3028" priority="3026" stopIfTrue="1" operator="lessThan">
      <formula>0</formula>
    </cfRule>
  </conditionalFormatting>
  <conditionalFormatting sqref="H211:H227">
    <cfRule type="cellIs" dxfId="3027" priority="3023" stopIfTrue="1" operator="lessThan">
      <formula>0</formula>
    </cfRule>
    <cfRule type="cellIs" dxfId="3026" priority="3024" stopIfTrue="1" operator="lessThan">
      <formula>0</formula>
    </cfRule>
  </conditionalFormatting>
  <conditionalFormatting sqref="H211:H227">
    <cfRule type="cellIs" dxfId="3025" priority="3021" stopIfTrue="1" operator="lessThan">
      <formula>0.05</formula>
    </cfRule>
    <cfRule type="cellIs" dxfId="3024" priority="3022" stopIfTrue="1" operator="lessThan">
      <formula>0</formula>
    </cfRule>
  </conditionalFormatting>
  <conditionalFormatting sqref="H211:H227">
    <cfRule type="cellIs" dxfId="3023" priority="3019" stopIfTrue="1" operator="lessThan">
      <formula>0</formula>
    </cfRule>
    <cfRule type="cellIs" dxfId="3022" priority="3020" stopIfTrue="1" operator="lessThan">
      <formula>0</formula>
    </cfRule>
  </conditionalFormatting>
  <conditionalFormatting sqref="H211:H227">
    <cfRule type="cellIs" dxfId="3021" priority="3017" stopIfTrue="1" operator="lessThan">
      <formula>0.05</formula>
    </cfRule>
    <cfRule type="cellIs" dxfId="3020" priority="3018" stopIfTrue="1" operator="lessThan">
      <formula>0</formula>
    </cfRule>
  </conditionalFormatting>
  <conditionalFormatting sqref="H211:H227">
    <cfRule type="cellIs" dxfId="3019" priority="3015" stopIfTrue="1" operator="lessThan">
      <formula>0</formula>
    </cfRule>
    <cfRule type="cellIs" dxfId="3018" priority="3016" stopIfTrue="1" operator="lessThan">
      <formula>0</formula>
    </cfRule>
  </conditionalFormatting>
  <conditionalFormatting sqref="H211:H227">
    <cfRule type="cellIs" dxfId="3017" priority="3013" stopIfTrue="1" operator="lessThan">
      <formula>0</formula>
    </cfRule>
    <cfRule type="cellIs" dxfId="3016" priority="3014" stopIfTrue="1" operator="lessThan">
      <formula>0</formula>
    </cfRule>
  </conditionalFormatting>
  <conditionalFormatting sqref="H211:H227">
    <cfRule type="cellIs" dxfId="3015" priority="3011" stopIfTrue="1" operator="lessThan">
      <formula>0.05</formula>
    </cfRule>
    <cfRule type="cellIs" dxfId="3014" priority="3012" stopIfTrue="1" operator="lessThan">
      <formula>0</formula>
    </cfRule>
  </conditionalFormatting>
  <conditionalFormatting sqref="H211:H227">
    <cfRule type="cellIs" dxfId="3013" priority="3009" stopIfTrue="1" operator="lessThan">
      <formula>0</formula>
    </cfRule>
    <cfRule type="cellIs" dxfId="3012" priority="3010" stopIfTrue="1" operator="lessThan">
      <formula>0</formula>
    </cfRule>
  </conditionalFormatting>
  <conditionalFormatting sqref="H211:H227">
    <cfRule type="cellIs" dxfId="3011" priority="3007" stopIfTrue="1" operator="lessThan">
      <formula>0</formula>
    </cfRule>
    <cfRule type="cellIs" dxfId="3010" priority="3008" stopIfTrue="1" operator="lessThan">
      <formula>0</formula>
    </cfRule>
  </conditionalFormatting>
  <conditionalFormatting sqref="H211:H227">
    <cfRule type="cellIs" dxfId="3009" priority="3005" stopIfTrue="1" operator="lessThan">
      <formula>0.05</formula>
    </cfRule>
    <cfRule type="cellIs" dxfId="3008" priority="3006" stopIfTrue="1" operator="lessThan">
      <formula>0</formula>
    </cfRule>
  </conditionalFormatting>
  <conditionalFormatting sqref="H211:H227">
    <cfRule type="cellIs" dxfId="3007" priority="3003" stopIfTrue="1" operator="lessThan">
      <formula>0</formula>
    </cfRule>
    <cfRule type="cellIs" dxfId="3006" priority="3004" stopIfTrue="1" operator="lessThan">
      <formula>0</formula>
    </cfRule>
  </conditionalFormatting>
  <conditionalFormatting sqref="H211:H227">
    <cfRule type="cellIs" dxfId="3005" priority="3001" stopIfTrue="1" operator="lessThan">
      <formula>0</formula>
    </cfRule>
    <cfRule type="cellIs" dxfId="3004" priority="3002" stopIfTrue="1" operator="lessThan">
      <formula>0</formula>
    </cfRule>
  </conditionalFormatting>
  <conditionalFormatting sqref="H211:H227">
    <cfRule type="cellIs" dxfId="3003" priority="2999" stopIfTrue="1" operator="lessThan">
      <formula>0.05</formula>
    </cfRule>
    <cfRule type="cellIs" dxfId="3002" priority="3000" stopIfTrue="1" operator="lessThan">
      <formula>0</formula>
    </cfRule>
  </conditionalFormatting>
  <conditionalFormatting sqref="H211:H227">
    <cfRule type="cellIs" dxfId="3001" priority="2997" stopIfTrue="1" operator="lessThan">
      <formula>0</formula>
    </cfRule>
    <cfRule type="cellIs" dxfId="3000" priority="2998" stopIfTrue="1" operator="lessThan">
      <formula>0</formula>
    </cfRule>
  </conditionalFormatting>
  <conditionalFormatting sqref="H211:H227">
    <cfRule type="cellIs" dxfId="2999" priority="2995" stopIfTrue="1" operator="lessThan">
      <formula>0</formula>
    </cfRule>
    <cfRule type="cellIs" dxfId="2998" priority="2996" stopIfTrue="1" operator="lessThan">
      <formula>0</formula>
    </cfRule>
  </conditionalFormatting>
  <conditionalFormatting sqref="H211:H227">
    <cfRule type="cellIs" dxfId="2997" priority="2993" stopIfTrue="1" operator="lessThan">
      <formula>0.05</formula>
    </cfRule>
    <cfRule type="cellIs" dxfId="2996" priority="2994" stopIfTrue="1" operator="lessThan">
      <formula>0</formula>
    </cfRule>
  </conditionalFormatting>
  <conditionalFormatting sqref="H211:H227">
    <cfRule type="cellIs" dxfId="2995" priority="2991" stopIfTrue="1" operator="lessThan">
      <formula>0</formula>
    </cfRule>
    <cfRule type="cellIs" dxfId="2994" priority="2992" stopIfTrue="1" operator="lessThan">
      <formula>0</formula>
    </cfRule>
  </conditionalFormatting>
  <conditionalFormatting sqref="H211:H227">
    <cfRule type="cellIs" dxfId="2993" priority="2989" stopIfTrue="1" operator="lessThan">
      <formula>0</formula>
    </cfRule>
    <cfRule type="cellIs" dxfId="2992" priority="2990" stopIfTrue="1" operator="lessThan">
      <formula>0</formula>
    </cfRule>
  </conditionalFormatting>
  <conditionalFormatting sqref="H211:H227">
    <cfRule type="cellIs" dxfId="2991" priority="2987" stopIfTrue="1" operator="lessThan">
      <formula>0.05</formula>
    </cfRule>
    <cfRule type="cellIs" dxfId="2990" priority="2988" stopIfTrue="1" operator="lessThan">
      <formula>0</formula>
    </cfRule>
  </conditionalFormatting>
  <conditionalFormatting sqref="H211:H227">
    <cfRule type="cellIs" dxfId="2989" priority="2985" stopIfTrue="1" operator="lessThan">
      <formula>0</formula>
    </cfRule>
    <cfRule type="cellIs" dxfId="2988" priority="2986" stopIfTrue="1" operator="lessThan">
      <formula>0</formula>
    </cfRule>
  </conditionalFormatting>
  <conditionalFormatting sqref="H211:H227">
    <cfRule type="cellIs" dxfId="2987" priority="2983" stopIfTrue="1" operator="lessThan">
      <formula>0</formula>
    </cfRule>
    <cfRule type="cellIs" dxfId="2986" priority="2984" stopIfTrue="1" operator="lessThan">
      <formula>0</formula>
    </cfRule>
  </conditionalFormatting>
  <conditionalFormatting sqref="H211:H227">
    <cfRule type="cellIs" dxfId="2985" priority="2981" stopIfTrue="1" operator="lessThan">
      <formula>0.05</formula>
    </cfRule>
    <cfRule type="cellIs" dxfId="2984" priority="2982" stopIfTrue="1" operator="lessThan">
      <formula>0</formula>
    </cfRule>
  </conditionalFormatting>
  <conditionalFormatting sqref="H211:H227">
    <cfRule type="cellIs" dxfId="2983" priority="2979" stopIfTrue="1" operator="lessThan">
      <formula>0</formula>
    </cfRule>
    <cfRule type="cellIs" dxfId="2982" priority="2980" stopIfTrue="1" operator="lessThan">
      <formula>0</formula>
    </cfRule>
  </conditionalFormatting>
  <conditionalFormatting sqref="H211:H227">
    <cfRule type="cellIs" dxfId="2981" priority="2977" stopIfTrue="1" operator="lessThan">
      <formula>0</formula>
    </cfRule>
    <cfRule type="cellIs" dxfId="2980" priority="2978" stopIfTrue="1" operator="lessThan">
      <formula>0</formula>
    </cfRule>
  </conditionalFormatting>
  <conditionalFormatting sqref="H211:H227">
    <cfRule type="cellIs" dxfId="2979" priority="2975" stopIfTrue="1" operator="lessThan">
      <formula>0.05</formula>
    </cfRule>
    <cfRule type="cellIs" dxfId="2978" priority="2976" stopIfTrue="1" operator="lessThan">
      <formula>0</formula>
    </cfRule>
  </conditionalFormatting>
  <conditionalFormatting sqref="H211:H227">
    <cfRule type="cellIs" dxfId="2977" priority="2973" stopIfTrue="1" operator="lessThan">
      <formula>0</formula>
    </cfRule>
    <cfRule type="cellIs" dxfId="2976" priority="2974" stopIfTrue="1" operator="lessThan">
      <formula>0</formula>
    </cfRule>
  </conditionalFormatting>
  <conditionalFormatting sqref="H211:H227">
    <cfRule type="cellIs" dxfId="2975" priority="2971" stopIfTrue="1" operator="lessThan">
      <formula>0</formula>
    </cfRule>
    <cfRule type="cellIs" dxfId="2974" priority="2972" stopIfTrue="1" operator="lessThan">
      <formula>0</formula>
    </cfRule>
  </conditionalFormatting>
  <conditionalFormatting sqref="H211:H227">
    <cfRule type="cellIs" dxfId="2973" priority="2969" stopIfTrue="1" operator="lessThan">
      <formula>0.05</formula>
    </cfRule>
    <cfRule type="cellIs" dxfId="2972" priority="2970" stopIfTrue="1" operator="lessThan">
      <formula>0</formula>
    </cfRule>
  </conditionalFormatting>
  <conditionalFormatting sqref="H211:H227">
    <cfRule type="cellIs" dxfId="2971" priority="2967" stopIfTrue="1" operator="lessThan">
      <formula>0</formula>
    </cfRule>
    <cfRule type="cellIs" dxfId="2970" priority="2968" stopIfTrue="1" operator="lessThan">
      <formula>0</formula>
    </cfRule>
  </conditionalFormatting>
  <conditionalFormatting sqref="H211:H227">
    <cfRule type="cellIs" dxfId="2969" priority="2965" stopIfTrue="1" operator="lessThan">
      <formula>0</formula>
    </cfRule>
    <cfRule type="cellIs" dxfId="2968" priority="2966" stopIfTrue="1" operator="lessThan">
      <formula>0</formula>
    </cfRule>
  </conditionalFormatting>
  <conditionalFormatting sqref="H211:H227">
    <cfRule type="cellIs" dxfId="2967" priority="2963" stopIfTrue="1" operator="lessThan">
      <formula>0.05</formula>
    </cfRule>
    <cfRule type="cellIs" dxfId="2966" priority="2964" stopIfTrue="1" operator="lessThan">
      <formula>0</formula>
    </cfRule>
  </conditionalFormatting>
  <conditionalFormatting sqref="H211:H227">
    <cfRule type="cellIs" dxfId="2965" priority="2961" stopIfTrue="1" operator="lessThan">
      <formula>0</formula>
    </cfRule>
    <cfRule type="cellIs" dxfId="2964" priority="2962" stopIfTrue="1" operator="lessThan">
      <formula>0</formula>
    </cfRule>
  </conditionalFormatting>
  <conditionalFormatting sqref="H211:H227">
    <cfRule type="cellIs" dxfId="2963" priority="2959" stopIfTrue="1" operator="lessThan">
      <formula>0</formula>
    </cfRule>
    <cfRule type="cellIs" dxfId="2962" priority="2960" stopIfTrue="1" operator="lessThan">
      <formula>0</formula>
    </cfRule>
  </conditionalFormatting>
  <conditionalFormatting sqref="H211:H227">
    <cfRule type="cellIs" dxfId="2961" priority="2957" stopIfTrue="1" operator="lessThan">
      <formula>0.05</formula>
    </cfRule>
    <cfRule type="cellIs" dxfId="2960" priority="2958" stopIfTrue="1" operator="lessThan">
      <formula>0</formula>
    </cfRule>
  </conditionalFormatting>
  <conditionalFormatting sqref="H211:H227">
    <cfRule type="cellIs" dxfId="2959" priority="2955" stopIfTrue="1" operator="lessThan">
      <formula>0</formula>
    </cfRule>
    <cfRule type="cellIs" dxfId="2958" priority="2956" stopIfTrue="1" operator="lessThan">
      <formula>0</formula>
    </cfRule>
  </conditionalFormatting>
  <conditionalFormatting sqref="H211:H227">
    <cfRule type="cellIs" dxfId="2957" priority="2953" stopIfTrue="1" operator="lessThan">
      <formula>0</formula>
    </cfRule>
    <cfRule type="cellIs" dxfId="2956" priority="2954" stopIfTrue="1" operator="lessThan">
      <formula>0</formula>
    </cfRule>
  </conditionalFormatting>
  <conditionalFormatting sqref="H211:H227">
    <cfRule type="cellIs" dxfId="2955" priority="2951" stopIfTrue="1" operator="lessThan">
      <formula>0.05</formula>
    </cfRule>
    <cfRule type="cellIs" dxfId="2954" priority="2952" stopIfTrue="1" operator="lessThan">
      <formula>0</formula>
    </cfRule>
  </conditionalFormatting>
  <conditionalFormatting sqref="H211:H227">
    <cfRule type="cellIs" dxfId="2953" priority="2949" stopIfTrue="1" operator="lessThan">
      <formula>0</formula>
    </cfRule>
    <cfRule type="cellIs" dxfId="2952" priority="2950" stopIfTrue="1" operator="lessThan">
      <formula>0</formula>
    </cfRule>
  </conditionalFormatting>
  <conditionalFormatting sqref="H211:H227">
    <cfRule type="cellIs" dxfId="2951" priority="2947" stopIfTrue="1" operator="lessThan">
      <formula>0</formula>
    </cfRule>
    <cfRule type="cellIs" dxfId="2950" priority="2948" stopIfTrue="1" operator="lessThan">
      <formula>0</formula>
    </cfRule>
  </conditionalFormatting>
  <conditionalFormatting sqref="H211:H227">
    <cfRule type="cellIs" dxfId="2949" priority="2945" stopIfTrue="1" operator="lessThan">
      <formula>0.05</formula>
    </cfRule>
    <cfRule type="cellIs" dxfId="2948" priority="2946" stopIfTrue="1" operator="lessThan">
      <formula>0</formula>
    </cfRule>
  </conditionalFormatting>
  <conditionalFormatting sqref="H211:H227">
    <cfRule type="cellIs" dxfId="2947" priority="2943" stopIfTrue="1" operator="lessThan">
      <formula>0</formula>
    </cfRule>
    <cfRule type="cellIs" dxfId="2946" priority="2944" stopIfTrue="1" operator="lessThan">
      <formula>0</formula>
    </cfRule>
  </conditionalFormatting>
  <conditionalFormatting sqref="H211:H227">
    <cfRule type="cellIs" dxfId="2945" priority="2941" stopIfTrue="1" operator="lessThan">
      <formula>0.05</formula>
    </cfRule>
    <cfRule type="cellIs" dxfId="2944" priority="2942" stopIfTrue="1" operator="lessThan">
      <formula>0</formula>
    </cfRule>
  </conditionalFormatting>
  <conditionalFormatting sqref="H211:H227">
    <cfRule type="cellIs" dxfId="2943" priority="2939" stopIfTrue="1" operator="lessThan">
      <formula>0</formula>
    </cfRule>
    <cfRule type="cellIs" dxfId="2942" priority="2940" stopIfTrue="1" operator="lessThan">
      <formula>0</formula>
    </cfRule>
  </conditionalFormatting>
  <conditionalFormatting sqref="H211:H227">
    <cfRule type="cellIs" dxfId="2941" priority="2937" stopIfTrue="1" operator="lessThan">
      <formula>0.05</formula>
    </cfRule>
    <cfRule type="cellIs" dxfId="2940" priority="2938" stopIfTrue="1" operator="lessThan">
      <formula>0</formula>
    </cfRule>
  </conditionalFormatting>
  <conditionalFormatting sqref="H211:H227">
    <cfRule type="cellIs" dxfId="2939" priority="2935" stopIfTrue="1" operator="lessThan">
      <formula>0</formula>
    </cfRule>
    <cfRule type="cellIs" dxfId="2938" priority="2936" stopIfTrue="1" operator="lessThan">
      <formula>0</formula>
    </cfRule>
  </conditionalFormatting>
  <conditionalFormatting sqref="H211:H227">
    <cfRule type="cellIs" dxfId="2937" priority="2933" stopIfTrue="1" operator="lessThan">
      <formula>0</formula>
    </cfRule>
    <cfRule type="cellIs" dxfId="2936" priority="2934" stopIfTrue="1" operator="lessThan">
      <formula>0</formula>
    </cfRule>
  </conditionalFormatting>
  <conditionalFormatting sqref="H211:H227">
    <cfRule type="cellIs" dxfId="2935" priority="2931" stopIfTrue="1" operator="lessThan">
      <formula>0</formula>
    </cfRule>
    <cfRule type="cellIs" dxfId="2934" priority="2932" stopIfTrue="1" operator="lessThan">
      <formula>0</formula>
    </cfRule>
  </conditionalFormatting>
  <conditionalFormatting sqref="H211:H227">
    <cfRule type="cellIs" dxfId="2933" priority="2929" stopIfTrue="1" operator="lessThan">
      <formula>0.05</formula>
    </cfRule>
    <cfRule type="cellIs" dxfId="2932" priority="2930" stopIfTrue="1" operator="lessThan">
      <formula>0</formula>
    </cfRule>
  </conditionalFormatting>
  <conditionalFormatting sqref="H211:H227">
    <cfRule type="cellIs" dxfId="2931" priority="2927" stopIfTrue="1" operator="lessThan">
      <formula>0</formula>
    </cfRule>
    <cfRule type="cellIs" dxfId="2930" priority="2928" stopIfTrue="1" operator="lessThan">
      <formula>0</formula>
    </cfRule>
  </conditionalFormatting>
  <conditionalFormatting sqref="H211:H227">
    <cfRule type="cellIs" dxfId="2929" priority="2925" stopIfTrue="1" operator="lessThan">
      <formula>0.05</formula>
    </cfRule>
    <cfRule type="cellIs" dxfId="2928" priority="2926" stopIfTrue="1" operator="lessThan">
      <formula>0</formula>
    </cfRule>
  </conditionalFormatting>
  <conditionalFormatting sqref="H211:H227">
    <cfRule type="cellIs" dxfId="2927" priority="2923" stopIfTrue="1" operator="lessThan">
      <formula>0</formula>
    </cfRule>
    <cfRule type="cellIs" dxfId="2926" priority="2924" stopIfTrue="1" operator="lessThan">
      <formula>0</formula>
    </cfRule>
  </conditionalFormatting>
  <conditionalFormatting sqref="H211:H227">
    <cfRule type="cellIs" dxfId="2925" priority="2921" stopIfTrue="1" operator="lessThan">
      <formula>0.05</formula>
    </cfRule>
    <cfRule type="cellIs" dxfId="2924" priority="2922" stopIfTrue="1" operator="lessThan">
      <formula>0</formula>
    </cfRule>
  </conditionalFormatting>
  <conditionalFormatting sqref="H211:H227">
    <cfRule type="cellIs" dxfId="2923" priority="2919" stopIfTrue="1" operator="lessThan">
      <formula>0</formula>
    </cfRule>
    <cfRule type="cellIs" dxfId="2922" priority="2920" stopIfTrue="1" operator="lessThan">
      <formula>0</formula>
    </cfRule>
  </conditionalFormatting>
  <conditionalFormatting sqref="H211:H227">
    <cfRule type="cellIs" dxfId="2921" priority="2917" stopIfTrue="1" operator="lessThan">
      <formula>0</formula>
    </cfRule>
    <cfRule type="cellIs" dxfId="2920" priority="2918" stopIfTrue="1" operator="lessThan">
      <formula>0</formula>
    </cfRule>
  </conditionalFormatting>
  <conditionalFormatting sqref="H211:H227">
    <cfRule type="cellIs" dxfId="2919" priority="2915" stopIfTrue="1" operator="lessThan">
      <formula>0.05</formula>
    </cfRule>
    <cfRule type="cellIs" dxfId="2918" priority="2916" stopIfTrue="1" operator="lessThan">
      <formula>0</formula>
    </cfRule>
  </conditionalFormatting>
  <conditionalFormatting sqref="H211:H227">
    <cfRule type="cellIs" dxfId="2917" priority="2913" stopIfTrue="1" operator="lessThan">
      <formula>0</formula>
    </cfRule>
    <cfRule type="cellIs" dxfId="2916" priority="2914" stopIfTrue="1" operator="lessThan">
      <formula>0</formula>
    </cfRule>
  </conditionalFormatting>
  <conditionalFormatting sqref="H211:H227">
    <cfRule type="cellIs" dxfId="2915" priority="2911" stopIfTrue="1" operator="lessThan">
      <formula>0</formula>
    </cfRule>
    <cfRule type="cellIs" dxfId="2914" priority="2912" stopIfTrue="1" operator="lessThan">
      <formula>0</formula>
    </cfRule>
  </conditionalFormatting>
  <conditionalFormatting sqref="H211:H227">
    <cfRule type="cellIs" dxfId="2913" priority="2909" stopIfTrue="1" operator="lessThan">
      <formula>0.05</formula>
    </cfRule>
    <cfRule type="cellIs" dxfId="2912" priority="2910" stopIfTrue="1" operator="lessThan">
      <formula>0</formula>
    </cfRule>
  </conditionalFormatting>
  <conditionalFormatting sqref="H211:H227">
    <cfRule type="cellIs" dxfId="2911" priority="2907" stopIfTrue="1" operator="lessThan">
      <formula>0</formula>
    </cfRule>
    <cfRule type="cellIs" dxfId="2910" priority="2908" stopIfTrue="1" operator="lessThan">
      <formula>0</formula>
    </cfRule>
  </conditionalFormatting>
  <conditionalFormatting sqref="H211:H227">
    <cfRule type="cellIs" dxfId="2909" priority="2905" stopIfTrue="1" operator="lessThan">
      <formula>0</formula>
    </cfRule>
    <cfRule type="cellIs" dxfId="2908" priority="2906" stopIfTrue="1" operator="lessThan">
      <formula>0</formula>
    </cfRule>
  </conditionalFormatting>
  <conditionalFormatting sqref="H211:H227">
    <cfRule type="cellIs" dxfId="2907" priority="2903" stopIfTrue="1" operator="lessThan">
      <formula>0.05</formula>
    </cfRule>
    <cfRule type="cellIs" dxfId="2906" priority="2904" stopIfTrue="1" operator="lessThan">
      <formula>0</formula>
    </cfRule>
  </conditionalFormatting>
  <conditionalFormatting sqref="H211:H227">
    <cfRule type="cellIs" dxfId="2905" priority="2901" stopIfTrue="1" operator="lessThan">
      <formula>0</formula>
    </cfRule>
    <cfRule type="cellIs" dxfId="2904" priority="2902" stopIfTrue="1" operator="lessThan">
      <formula>0</formula>
    </cfRule>
  </conditionalFormatting>
  <conditionalFormatting sqref="H211:H227">
    <cfRule type="cellIs" dxfId="2903" priority="2899" stopIfTrue="1" operator="lessThan">
      <formula>0</formula>
    </cfRule>
    <cfRule type="cellIs" dxfId="2902" priority="2900" stopIfTrue="1" operator="lessThan">
      <formula>0</formula>
    </cfRule>
  </conditionalFormatting>
  <conditionalFormatting sqref="H211:H227">
    <cfRule type="cellIs" dxfId="2901" priority="2897" stopIfTrue="1" operator="lessThan">
      <formula>0.05</formula>
    </cfRule>
    <cfRule type="cellIs" dxfId="2900" priority="2898" stopIfTrue="1" operator="lessThan">
      <formula>0</formula>
    </cfRule>
  </conditionalFormatting>
  <conditionalFormatting sqref="H211:H227">
    <cfRule type="cellIs" dxfId="2899" priority="2895" stopIfTrue="1" operator="lessThan">
      <formula>0</formula>
    </cfRule>
    <cfRule type="cellIs" dxfId="2898" priority="2896" stopIfTrue="1" operator="lessThan">
      <formula>0</formula>
    </cfRule>
  </conditionalFormatting>
  <conditionalFormatting sqref="H211:H227">
    <cfRule type="cellIs" dxfId="2897" priority="2893" stopIfTrue="1" operator="lessThan">
      <formula>0</formula>
    </cfRule>
    <cfRule type="cellIs" dxfId="2896" priority="2894" stopIfTrue="1" operator="lessThan">
      <formula>0</formula>
    </cfRule>
  </conditionalFormatting>
  <conditionalFormatting sqref="H211:H227">
    <cfRule type="cellIs" dxfId="2895" priority="2891" stopIfTrue="1" operator="lessThan">
      <formula>0.05</formula>
    </cfRule>
    <cfRule type="cellIs" dxfId="2894" priority="2892" stopIfTrue="1" operator="lessThan">
      <formula>0</formula>
    </cfRule>
  </conditionalFormatting>
  <conditionalFormatting sqref="H211:H227">
    <cfRule type="cellIs" dxfId="2893" priority="2889" stopIfTrue="1" operator="lessThan">
      <formula>0</formula>
    </cfRule>
    <cfRule type="cellIs" dxfId="2892" priority="2890" stopIfTrue="1" operator="lessThan">
      <formula>0</formula>
    </cfRule>
  </conditionalFormatting>
  <conditionalFormatting sqref="H211:H227">
    <cfRule type="cellIs" dxfId="2891" priority="2887" stopIfTrue="1" operator="lessThan">
      <formula>0</formula>
    </cfRule>
    <cfRule type="cellIs" dxfId="2890" priority="2888" stopIfTrue="1" operator="lessThan">
      <formula>0</formula>
    </cfRule>
  </conditionalFormatting>
  <conditionalFormatting sqref="H211:H227">
    <cfRule type="cellIs" dxfId="2889" priority="2885" stopIfTrue="1" operator="lessThan">
      <formula>0.05</formula>
    </cfRule>
    <cfRule type="cellIs" dxfId="2888" priority="2886" stopIfTrue="1" operator="lessThan">
      <formula>0</formula>
    </cfRule>
  </conditionalFormatting>
  <conditionalFormatting sqref="H211:H227">
    <cfRule type="cellIs" dxfId="2887" priority="2883" stopIfTrue="1" operator="lessThan">
      <formula>0</formula>
    </cfRule>
    <cfRule type="cellIs" dxfId="2886" priority="2884" stopIfTrue="1" operator="lessThan">
      <formula>0</formula>
    </cfRule>
  </conditionalFormatting>
  <conditionalFormatting sqref="H211:H227">
    <cfRule type="cellIs" dxfId="2885" priority="2881" stopIfTrue="1" operator="lessThan">
      <formula>0</formula>
    </cfRule>
    <cfRule type="cellIs" dxfId="2884" priority="2882" stopIfTrue="1" operator="lessThan">
      <formula>0</formula>
    </cfRule>
  </conditionalFormatting>
  <conditionalFormatting sqref="H211:H227">
    <cfRule type="cellIs" dxfId="2883" priority="2879" stopIfTrue="1" operator="lessThan">
      <formula>0.05</formula>
    </cfRule>
    <cfRule type="cellIs" dxfId="2882" priority="2880" stopIfTrue="1" operator="lessThan">
      <formula>0</formula>
    </cfRule>
  </conditionalFormatting>
  <conditionalFormatting sqref="H211:H227">
    <cfRule type="cellIs" dxfId="2881" priority="2877" stopIfTrue="1" operator="lessThan">
      <formula>0</formula>
    </cfRule>
    <cfRule type="cellIs" dxfId="2880" priority="2878" stopIfTrue="1" operator="lessThan">
      <formula>0</formula>
    </cfRule>
  </conditionalFormatting>
  <conditionalFormatting sqref="H211:H227">
    <cfRule type="cellIs" dxfId="2879" priority="2875" stopIfTrue="1" operator="lessThan">
      <formula>0</formula>
    </cfRule>
    <cfRule type="cellIs" dxfId="2878" priority="2876" stopIfTrue="1" operator="lessThan">
      <formula>0</formula>
    </cfRule>
  </conditionalFormatting>
  <conditionalFormatting sqref="H211:H227">
    <cfRule type="cellIs" dxfId="2877" priority="2873" stopIfTrue="1" operator="lessThan">
      <formula>0.05</formula>
    </cfRule>
    <cfRule type="cellIs" dxfId="2876" priority="2874" stopIfTrue="1" operator="lessThan">
      <formula>0</formula>
    </cfRule>
  </conditionalFormatting>
  <conditionalFormatting sqref="H211:H227">
    <cfRule type="cellIs" dxfId="2875" priority="2871" stopIfTrue="1" operator="lessThan">
      <formula>0</formula>
    </cfRule>
    <cfRule type="cellIs" dxfId="2874" priority="2872" stopIfTrue="1" operator="lessThan">
      <formula>0</formula>
    </cfRule>
  </conditionalFormatting>
  <conditionalFormatting sqref="H211:H227">
    <cfRule type="cellIs" dxfId="2873" priority="2869" stopIfTrue="1" operator="lessThan">
      <formula>0</formula>
    </cfRule>
    <cfRule type="cellIs" dxfId="2872" priority="2870" stopIfTrue="1" operator="lessThan">
      <formula>0</formula>
    </cfRule>
  </conditionalFormatting>
  <conditionalFormatting sqref="H211:H227">
    <cfRule type="cellIs" dxfId="2871" priority="2867" stopIfTrue="1" operator="lessThan">
      <formula>0.05</formula>
    </cfRule>
    <cfRule type="cellIs" dxfId="2870" priority="2868" stopIfTrue="1" operator="lessThan">
      <formula>0</formula>
    </cfRule>
  </conditionalFormatting>
  <conditionalFormatting sqref="H211:H227">
    <cfRule type="cellIs" dxfId="2869" priority="2865" stopIfTrue="1" operator="lessThan">
      <formula>0</formula>
    </cfRule>
    <cfRule type="cellIs" dxfId="2868" priority="2866" stopIfTrue="1" operator="lessThan">
      <formula>0</formula>
    </cfRule>
  </conditionalFormatting>
  <conditionalFormatting sqref="H211:H227">
    <cfRule type="cellIs" dxfId="2867" priority="2863" stopIfTrue="1" operator="lessThan">
      <formula>0</formula>
    </cfRule>
    <cfRule type="cellIs" dxfId="2866" priority="2864" stopIfTrue="1" operator="lessThan">
      <formula>0</formula>
    </cfRule>
  </conditionalFormatting>
  <conditionalFormatting sqref="H211:H227">
    <cfRule type="cellIs" dxfId="2865" priority="2861" stopIfTrue="1" operator="lessThan">
      <formula>0.05</formula>
    </cfRule>
    <cfRule type="cellIs" dxfId="2864" priority="2862" stopIfTrue="1" operator="lessThan">
      <formula>0</formula>
    </cfRule>
  </conditionalFormatting>
  <conditionalFormatting sqref="H211:H227">
    <cfRule type="cellIs" dxfId="2863" priority="2859" stopIfTrue="1" operator="lessThan">
      <formula>0</formula>
    </cfRule>
    <cfRule type="cellIs" dxfId="2862" priority="2860" stopIfTrue="1" operator="lessThan">
      <formula>0</formula>
    </cfRule>
  </conditionalFormatting>
  <conditionalFormatting sqref="H211:H227">
    <cfRule type="cellIs" dxfId="2861" priority="2857" stopIfTrue="1" operator="lessThan">
      <formula>0</formula>
    </cfRule>
    <cfRule type="cellIs" dxfId="2860" priority="2858" stopIfTrue="1" operator="lessThan">
      <formula>0</formula>
    </cfRule>
  </conditionalFormatting>
  <conditionalFormatting sqref="H211:H227">
    <cfRule type="cellIs" dxfId="2859" priority="2855" stopIfTrue="1" operator="lessThan">
      <formula>0.05</formula>
    </cfRule>
    <cfRule type="cellIs" dxfId="2858" priority="2856" stopIfTrue="1" operator="lessThan">
      <formula>0</formula>
    </cfRule>
  </conditionalFormatting>
  <conditionalFormatting sqref="H211:H227">
    <cfRule type="cellIs" dxfId="2857" priority="2853" stopIfTrue="1" operator="lessThan">
      <formula>0</formula>
    </cfRule>
    <cfRule type="cellIs" dxfId="2856" priority="2854" stopIfTrue="1" operator="lessThan">
      <formula>0</formula>
    </cfRule>
  </conditionalFormatting>
  <conditionalFormatting sqref="H211:H227">
    <cfRule type="cellIs" dxfId="2855" priority="2851" stopIfTrue="1" operator="lessThan">
      <formula>0</formula>
    </cfRule>
    <cfRule type="cellIs" dxfId="2854" priority="2852" stopIfTrue="1" operator="lessThan">
      <formula>0</formula>
    </cfRule>
  </conditionalFormatting>
  <conditionalFormatting sqref="H211:H227">
    <cfRule type="cellIs" dxfId="2853" priority="2849" stopIfTrue="1" operator="lessThan">
      <formula>0.05</formula>
    </cfRule>
    <cfRule type="cellIs" dxfId="2852" priority="2850" stopIfTrue="1" operator="lessThan">
      <formula>0</formula>
    </cfRule>
  </conditionalFormatting>
  <conditionalFormatting sqref="H211:H227">
    <cfRule type="cellIs" dxfId="2851" priority="2847" stopIfTrue="1" operator="lessThan">
      <formula>0</formula>
    </cfRule>
    <cfRule type="cellIs" dxfId="2850" priority="2848" stopIfTrue="1" operator="lessThan">
      <formula>0</formula>
    </cfRule>
  </conditionalFormatting>
  <conditionalFormatting sqref="H211:H227">
    <cfRule type="cellIs" dxfId="2849" priority="2845" stopIfTrue="1" operator="lessThan">
      <formula>0</formula>
    </cfRule>
    <cfRule type="cellIs" dxfId="2848" priority="2846" stopIfTrue="1" operator="lessThan">
      <formula>0</formula>
    </cfRule>
  </conditionalFormatting>
  <conditionalFormatting sqref="H211:H227">
    <cfRule type="cellIs" dxfId="2847" priority="2843" stopIfTrue="1" operator="lessThan">
      <formula>0.05</formula>
    </cfRule>
    <cfRule type="cellIs" dxfId="2846" priority="2844" stopIfTrue="1" operator="lessThan">
      <formula>0</formula>
    </cfRule>
  </conditionalFormatting>
  <conditionalFormatting sqref="H211:H227">
    <cfRule type="cellIs" dxfId="2845" priority="2841" stopIfTrue="1" operator="lessThan">
      <formula>0</formula>
    </cfRule>
    <cfRule type="cellIs" dxfId="2844" priority="2842" stopIfTrue="1" operator="lessThan">
      <formula>0</formula>
    </cfRule>
  </conditionalFormatting>
  <conditionalFormatting sqref="H211:H227">
    <cfRule type="cellIs" dxfId="2843" priority="2839" stopIfTrue="1" operator="lessThan">
      <formula>0</formula>
    </cfRule>
    <cfRule type="cellIs" dxfId="2842" priority="2840" stopIfTrue="1" operator="lessThan">
      <formula>0</formula>
    </cfRule>
  </conditionalFormatting>
  <conditionalFormatting sqref="H211:H227">
    <cfRule type="cellIs" dxfId="2841" priority="2837" stopIfTrue="1" operator="lessThan">
      <formula>0.05</formula>
    </cfRule>
    <cfRule type="cellIs" dxfId="2840" priority="2838" stopIfTrue="1" operator="lessThan">
      <formula>0</formula>
    </cfRule>
  </conditionalFormatting>
  <conditionalFormatting sqref="H211:H227">
    <cfRule type="cellIs" dxfId="2839" priority="2835" stopIfTrue="1" operator="lessThan">
      <formula>0</formula>
    </cfRule>
    <cfRule type="cellIs" dxfId="2838" priority="2836" stopIfTrue="1" operator="lessThan">
      <formula>0</formula>
    </cfRule>
  </conditionalFormatting>
  <conditionalFormatting sqref="H211:H227">
    <cfRule type="cellIs" dxfId="2837" priority="2833" stopIfTrue="1" operator="lessThan">
      <formula>0.05</formula>
    </cfRule>
    <cfRule type="cellIs" dxfId="2836" priority="2834" stopIfTrue="1" operator="lessThan">
      <formula>0</formula>
    </cfRule>
  </conditionalFormatting>
  <conditionalFormatting sqref="H211:H227">
    <cfRule type="cellIs" dxfId="2835" priority="2831" stopIfTrue="1" operator="lessThan">
      <formula>0</formula>
    </cfRule>
    <cfRule type="cellIs" dxfId="2834" priority="2832" stopIfTrue="1" operator="lessThan">
      <formula>0</formula>
    </cfRule>
  </conditionalFormatting>
  <conditionalFormatting sqref="H211:H227">
    <cfRule type="cellIs" dxfId="2833" priority="2829" stopIfTrue="1" operator="lessThan">
      <formula>0.05</formula>
    </cfRule>
    <cfRule type="cellIs" dxfId="2832" priority="2830" stopIfTrue="1" operator="lessThan">
      <formula>0</formula>
    </cfRule>
  </conditionalFormatting>
  <conditionalFormatting sqref="H211:H227">
    <cfRule type="cellIs" dxfId="2831" priority="2827" stopIfTrue="1" operator="lessThan">
      <formula>0</formula>
    </cfRule>
    <cfRule type="cellIs" dxfId="2830" priority="2828" stopIfTrue="1" operator="lessThan">
      <formula>0</formula>
    </cfRule>
  </conditionalFormatting>
  <conditionalFormatting sqref="H211:H227">
    <cfRule type="cellIs" dxfId="2829" priority="2825" stopIfTrue="1" operator="lessThan">
      <formula>0</formula>
    </cfRule>
    <cfRule type="cellIs" dxfId="2828" priority="2826" stopIfTrue="1" operator="lessThan">
      <formula>0</formula>
    </cfRule>
  </conditionalFormatting>
  <conditionalFormatting sqref="H211:H227">
    <cfRule type="cellIs" dxfId="2827" priority="2823" stopIfTrue="1" operator="lessThan">
      <formula>0</formula>
    </cfRule>
    <cfRule type="cellIs" dxfId="2826" priority="2824" stopIfTrue="1" operator="lessThan">
      <formula>0</formula>
    </cfRule>
  </conditionalFormatting>
  <conditionalFormatting sqref="H211:H227">
    <cfRule type="cellIs" dxfId="2825" priority="2821" stopIfTrue="1" operator="lessThan">
      <formula>0.05</formula>
    </cfRule>
    <cfRule type="cellIs" dxfId="2824" priority="2822" stopIfTrue="1" operator="lessThan">
      <formula>0</formula>
    </cfRule>
  </conditionalFormatting>
  <conditionalFormatting sqref="H211:H227">
    <cfRule type="cellIs" dxfId="2823" priority="2819" stopIfTrue="1" operator="lessThan">
      <formula>0</formula>
    </cfRule>
    <cfRule type="cellIs" dxfId="2822" priority="2820" stopIfTrue="1" operator="lessThan">
      <formula>0</formula>
    </cfRule>
  </conditionalFormatting>
  <conditionalFormatting sqref="H211:H227">
    <cfRule type="cellIs" dxfId="2821" priority="2817" stopIfTrue="1" operator="lessThan">
      <formula>0.05</formula>
    </cfRule>
    <cfRule type="cellIs" dxfId="2820" priority="2818" stopIfTrue="1" operator="lessThan">
      <formula>0</formula>
    </cfRule>
  </conditionalFormatting>
  <conditionalFormatting sqref="H211:H227">
    <cfRule type="cellIs" dxfId="2819" priority="2815" stopIfTrue="1" operator="lessThan">
      <formula>0</formula>
    </cfRule>
    <cfRule type="cellIs" dxfId="2818" priority="2816" stopIfTrue="1" operator="lessThan">
      <formula>0</formula>
    </cfRule>
  </conditionalFormatting>
  <conditionalFormatting sqref="H211:H227">
    <cfRule type="cellIs" dxfId="2817" priority="2813" stopIfTrue="1" operator="lessThan">
      <formula>0.05</formula>
    </cfRule>
    <cfRule type="cellIs" dxfId="2816" priority="2814" stopIfTrue="1" operator="lessThan">
      <formula>0</formula>
    </cfRule>
  </conditionalFormatting>
  <conditionalFormatting sqref="H211:H227">
    <cfRule type="cellIs" dxfId="2815" priority="2811" stopIfTrue="1" operator="lessThan">
      <formula>0</formula>
    </cfRule>
    <cfRule type="cellIs" dxfId="2814" priority="2812" stopIfTrue="1" operator="lessThan">
      <formula>0</formula>
    </cfRule>
  </conditionalFormatting>
  <conditionalFormatting sqref="H211:H227">
    <cfRule type="cellIs" dxfId="2813" priority="2810" stopIfTrue="1" operator="lessThan">
      <formula>0.05</formula>
    </cfRule>
  </conditionalFormatting>
  <conditionalFormatting sqref="H211:H227">
    <cfRule type="cellIs" dxfId="2812" priority="2808" stopIfTrue="1" operator="lessThan">
      <formula>0</formula>
    </cfRule>
    <cfRule type="cellIs" dxfId="2811" priority="2809" stopIfTrue="1" operator="lessThan">
      <formula>0</formula>
    </cfRule>
  </conditionalFormatting>
  <conditionalFormatting sqref="H211:H227">
    <cfRule type="cellIs" dxfId="2810" priority="2806" stopIfTrue="1" operator="lessThan">
      <formula>0</formula>
    </cfRule>
    <cfRule type="cellIs" dxfId="2809" priority="2807" stopIfTrue="1" operator="lessThan">
      <formula>0</formula>
    </cfRule>
  </conditionalFormatting>
  <conditionalFormatting sqref="H211:H227">
    <cfRule type="cellIs" dxfId="2808" priority="2804" stopIfTrue="1" operator="lessThan">
      <formula>0.05</formula>
    </cfRule>
    <cfRule type="cellIs" dxfId="2807" priority="2805" stopIfTrue="1" operator="lessThan">
      <formula>0</formula>
    </cfRule>
  </conditionalFormatting>
  <conditionalFormatting sqref="H211:H227">
    <cfRule type="cellIs" dxfId="2806" priority="2802" stopIfTrue="1" operator="lessThan">
      <formula>0</formula>
    </cfRule>
    <cfRule type="cellIs" dxfId="2805" priority="2803" stopIfTrue="1" operator="lessThan">
      <formula>0</formula>
    </cfRule>
  </conditionalFormatting>
  <conditionalFormatting sqref="H211:H227">
    <cfRule type="cellIs" dxfId="2804" priority="2800" stopIfTrue="1" operator="lessThan">
      <formula>0.05</formula>
    </cfRule>
    <cfRule type="cellIs" dxfId="2803" priority="2801" stopIfTrue="1" operator="lessThan">
      <formula>0</formula>
    </cfRule>
  </conditionalFormatting>
  <conditionalFormatting sqref="H211:H227">
    <cfRule type="cellIs" dxfId="2802" priority="2798" stopIfTrue="1" operator="lessThan">
      <formula>0</formula>
    </cfRule>
    <cfRule type="cellIs" dxfId="2801" priority="2799" stopIfTrue="1" operator="lessThan">
      <formula>0</formula>
    </cfRule>
  </conditionalFormatting>
  <conditionalFormatting sqref="H211:H227">
    <cfRule type="cellIs" dxfId="2800" priority="2796" stopIfTrue="1" operator="lessThan">
      <formula>0.05</formula>
    </cfRule>
    <cfRule type="cellIs" dxfId="2799" priority="2797" stopIfTrue="1" operator="lessThan">
      <formula>0</formula>
    </cfRule>
  </conditionalFormatting>
  <conditionalFormatting sqref="H211:H227">
    <cfRule type="cellIs" dxfId="2798" priority="2794" stopIfTrue="1" operator="lessThan">
      <formula>0</formula>
    </cfRule>
    <cfRule type="cellIs" dxfId="2797" priority="2795" stopIfTrue="1" operator="lessThan">
      <formula>0</formula>
    </cfRule>
  </conditionalFormatting>
  <conditionalFormatting sqref="H211:H227">
    <cfRule type="cellIs" dxfId="2796" priority="2792" stopIfTrue="1" operator="lessThan">
      <formula>0</formula>
    </cfRule>
    <cfRule type="cellIs" dxfId="2795" priority="2793" stopIfTrue="1" operator="lessThan">
      <formula>0</formula>
    </cfRule>
  </conditionalFormatting>
  <conditionalFormatting sqref="H211:H227">
    <cfRule type="cellIs" dxfId="2794" priority="2790" stopIfTrue="1" operator="lessThan">
      <formula>0</formula>
    </cfRule>
    <cfRule type="cellIs" dxfId="2793" priority="2791" stopIfTrue="1" operator="lessThan">
      <formula>0</formula>
    </cfRule>
  </conditionalFormatting>
  <conditionalFormatting sqref="H211:H227">
    <cfRule type="cellIs" dxfId="2792" priority="2788" stopIfTrue="1" operator="lessThan">
      <formula>0.05</formula>
    </cfRule>
    <cfRule type="cellIs" dxfId="2791" priority="2789" stopIfTrue="1" operator="lessThan">
      <formula>0</formula>
    </cfRule>
  </conditionalFormatting>
  <conditionalFormatting sqref="H211:H227">
    <cfRule type="cellIs" dxfId="2790" priority="2786" stopIfTrue="1" operator="lessThan">
      <formula>0</formula>
    </cfRule>
    <cfRule type="cellIs" dxfId="2789" priority="2787" stopIfTrue="1" operator="lessThan">
      <formula>0</formula>
    </cfRule>
  </conditionalFormatting>
  <conditionalFormatting sqref="H211:H227">
    <cfRule type="cellIs" dxfId="2788" priority="2784" stopIfTrue="1" operator="lessThan">
      <formula>0.05</formula>
    </cfRule>
    <cfRule type="cellIs" dxfId="2787" priority="2785" stopIfTrue="1" operator="lessThan">
      <formula>0</formula>
    </cfRule>
  </conditionalFormatting>
  <conditionalFormatting sqref="H211:H227">
    <cfRule type="cellIs" dxfId="2786" priority="2782" stopIfTrue="1" operator="lessThan">
      <formula>0</formula>
    </cfRule>
    <cfRule type="cellIs" dxfId="2785" priority="2783" stopIfTrue="1" operator="lessThan">
      <formula>0</formula>
    </cfRule>
  </conditionalFormatting>
  <conditionalFormatting sqref="H211:H227">
    <cfRule type="cellIs" dxfId="2784" priority="2780" stopIfTrue="1" operator="lessThan">
      <formula>0.05</formula>
    </cfRule>
    <cfRule type="cellIs" dxfId="2783" priority="2781" stopIfTrue="1" operator="lessThan">
      <formula>0</formula>
    </cfRule>
  </conditionalFormatting>
  <conditionalFormatting sqref="H211:H227">
    <cfRule type="cellIs" dxfId="2782" priority="2778" stopIfTrue="1" operator="lessThan">
      <formula>0</formula>
    </cfRule>
    <cfRule type="cellIs" dxfId="2781" priority="2779" stopIfTrue="1" operator="lessThan">
      <formula>0</formula>
    </cfRule>
  </conditionalFormatting>
  <conditionalFormatting sqref="H211:H227">
    <cfRule type="cellIs" dxfId="2780" priority="2776" stopIfTrue="1" operator="lessThan">
      <formula>0</formula>
    </cfRule>
    <cfRule type="cellIs" dxfId="2779" priority="2777" stopIfTrue="1" operator="lessThan">
      <formula>0</formula>
    </cfRule>
  </conditionalFormatting>
  <conditionalFormatting sqref="H211:H227">
    <cfRule type="cellIs" dxfId="2778" priority="2774" stopIfTrue="1" operator="lessThan">
      <formula>0</formula>
    </cfRule>
    <cfRule type="cellIs" dxfId="2777" priority="2775" stopIfTrue="1" operator="lessThan">
      <formula>0</formula>
    </cfRule>
  </conditionalFormatting>
  <conditionalFormatting sqref="H211:H227">
    <cfRule type="cellIs" dxfId="2776" priority="2772" stopIfTrue="1" operator="lessThan">
      <formula>0.05</formula>
    </cfRule>
    <cfRule type="cellIs" dxfId="2775" priority="2773" stopIfTrue="1" operator="lessThan">
      <formula>0</formula>
    </cfRule>
  </conditionalFormatting>
  <conditionalFormatting sqref="H211:H227">
    <cfRule type="cellIs" dxfId="2774" priority="2770" stopIfTrue="1" operator="lessThan">
      <formula>0</formula>
    </cfRule>
    <cfRule type="cellIs" dxfId="2773" priority="2771" stopIfTrue="1" operator="lessThan">
      <formula>0</formula>
    </cfRule>
  </conditionalFormatting>
  <conditionalFormatting sqref="H211:H227">
    <cfRule type="cellIs" dxfId="2772" priority="2768" stopIfTrue="1" operator="lessThan">
      <formula>0.05</formula>
    </cfRule>
    <cfRule type="cellIs" dxfId="2771" priority="2769" stopIfTrue="1" operator="lessThan">
      <formula>0</formula>
    </cfRule>
  </conditionalFormatting>
  <conditionalFormatting sqref="H211:H227">
    <cfRule type="cellIs" dxfId="2770" priority="2766" stopIfTrue="1" operator="lessThan">
      <formula>0</formula>
    </cfRule>
    <cfRule type="cellIs" dxfId="2769" priority="2767" stopIfTrue="1" operator="lessThan">
      <formula>0</formula>
    </cfRule>
  </conditionalFormatting>
  <conditionalFormatting sqref="H211:H227">
    <cfRule type="cellIs" dxfId="2768" priority="2764" stopIfTrue="1" operator="lessThan">
      <formula>0.05</formula>
    </cfRule>
    <cfRule type="cellIs" dxfId="2767" priority="2765" stopIfTrue="1" operator="lessThan">
      <formula>0</formula>
    </cfRule>
  </conditionalFormatting>
  <conditionalFormatting sqref="H211:H227">
    <cfRule type="cellIs" dxfId="2766" priority="2762" stopIfTrue="1" operator="lessThan">
      <formula>0</formula>
    </cfRule>
    <cfRule type="cellIs" dxfId="2765" priority="2763" stopIfTrue="1" operator="lessThan">
      <formula>0</formula>
    </cfRule>
  </conditionalFormatting>
  <conditionalFormatting sqref="H211:H227">
    <cfRule type="cellIs" dxfId="2764" priority="2760" stopIfTrue="1" operator="lessThan">
      <formula>0</formula>
    </cfRule>
    <cfRule type="cellIs" dxfId="2763" priority="2761" stopIfTrue="1" operator="lessThan">
      <formula>0</formula>
    </cfRule>
  </conditionalFormatting>
  <conditionalFormatting sqref="H211:H227">
    <cfRule type="cellIs" dxfId="2762" priority="2758" stopIfTrue="1" operator="lessThan">
      <formula>0</formula>
    </cfRule>
    <cfRule type="cellIs" dxfId="2761" priority="2759" stopIfTrue="1" operator="lessThan">
      <formula>0</formula>
    </cfRule>
  </conditionalFormatting>
  <conditionalFormatting sqref="H211:H227">
    <cfRule type="cellIs" dxfId="2760" priority="2756" stopIfTrue="1" operator="lessThan">
      <formula>0.05</formula>
    </cfRule>
    <cfRule type="cellIs" dxfId="2759" priority="2757" stopIfTrue="1" operator="lessThan">
      <formula>0</formula>
    </cfRule>
  </conditionalFormatting>
  <conditionalFormatting sqref="H211:H227">
    <cfRule type="cellIs" dxfId="2758" priority="2754" stopIfTrue="1" operator="lessThan">
      <formula>0</formula>
    </cfRule>
    <cfRule type="cellIs" dxfId="2757" priority="2755" stopIfTrue="1" operator="lessThan">
      <formula>0</formula>
    </cfRule>
  </conditionalFormatting>
  <conditionalFormatting sqref="H211:H227">
    <cfRule type="cellIs" dxfId="2756" priority="2752" stopIfTrue="1" operator="lessThan">
      <formula>0.05</formula>
    </cfRule>
    <cfRule type="cellIs" dxfId="2755" priority="2753" stopIfTrue="1" operator="lessThan">
      <formula>0</formula>
    </cfRule>
  </conditionalFormatting>
  <conditionalFormatting sqref="H211:H227">
    <cfRule type="cellIs" dxfId="2754" priority="2750" stopIfTrue="1" operator="lessThan">
      <formula>0</formula>
    </cfRule>
    <cfRule type="cellIs" dxfId="2753" priority="2751" stopIfTrue="1" operator="lessThan">
      <formula>0</formula>
    </cfRule>
  </conditionalFormatting>
  <conditionalFormatting sqref="H211:H227">
    <cfRule type="cellIs" dxfId="2752" priority="2748" stopIfTrue="1" operator="lessThan">
      <formula>0.05</formula>
    </cfRule>
    <cfRule type="cellIs" dxfId="2751" priority="2749" stopIfTrue="1" operator="lessThan">
      <formula>0</formula>
    </cfRule>
  </conditionalFormatting>
  <conditionalFormatting sqref="H211:H227">
    <cfRule type="cellIs" dxfId="2750" priority="2746" stopIfTrue="1" operator="lessThan">
      <formula>0</formula>
    </cfRule>
    <cfRule type="cellIs" dxfId="2749" priority="2747" stopIfTrue="1" operator="lessThan">
      <formula>0</formula>
    </cfRule>
  </conditionalFormatting>
  <conditionalFormatting sqref="H211:H227">
    <cfRule type="cellIs" dxfId="2748" priority="2744" stopIfTrue="1" operator="lessThan">
      <formula>0</formula>
    </cfRule>
    <cfRule type="cellIs" dxfId="2747" priority="2745" stopIfTrue="1" operator="lessThan">
      <formula>0</formula>
    </cfRule>
  </conditionalFormatting>
  <conditionalFormatting sqref="H211:H227">
    <cfRule type="cellIs" dxfId="2746" priority="2742" stopIfTrue="1" operator="lessThan">
      <formula>0.05</formula>
    </cfRule>
    <cfRule type="cellIs" dxfId="2745" priority="2743" stopIfTrue="1" operator="lessThan">
      <formula>0</formula>
    </cfRule>
  </conditionalFormatting>
  <conditionalFormatting sqref="H211:H227">
    <cfRule type="cellIs" dxfId="2744" priority="2740" stopIfTrue="1" operator="lessThan">
      <formula>0</formula>
    </cfRule>
    <cfRule type="cellIs" dxfId="2743" priority="2741" stopIfTrue="1" operator="lessThan">
      <formula>0</formula>
    </cfRule>
  </conditionalFormatting>
  <conditionalFormatting sqref="H211:H227">
    <cfRule type="cellIs" dxfId="2742" priority="2738" stopIfTrue="1" operator="lessThan">
      <formula>0</formula>
    </cfRule>
    <cfRule type="cellIs" dxfId="2741" priority="2739" stopIfTrue="1" operator="lessThan">
      <formula>0</formula>
    </cfRule>
  </conditionalFormatting>
  <conditionalFormatting sqref="H211:H227">
    <cfRule type="cellIs" dxfId="2740" priority="2736" stopIfTrue="1" operator="lessThan">
      <formula>0.05</formula>
    </cfRule>
    <cfRule type="cellIs" dxfId="2739" priority="2737" stopIfTrue="1" operator="lessThan">
      <formula>0</formula>
    </cfRule>
  </conditionalFormatting>
  <conditionalFormatting sqref="H211:H227">
    <cfRule type="cellIs" dxfId="2738" priority="2734" stopIfTrue="1" operator="lessThan">
      <formula>0</formula>
    </cfRule>
    <cfRule type="cellIs" dxfId="2737" priority="2735" stopIfTrue="1" operator="lessThan">
      <formula>0</formula>
    </cfRule>
  </conditionalFormatting>
  <conditionalFormatting sqref="H211:H227">
    <cfRule type="cellIs" dxfId="2736" priority="2732" stopIfTrue="1" operator="lessThan">
      <formula>0</formula>
    </cfRule>
    <cfRule type="cellIs" dxfId="2735" priority="2733" stopIfTrue="1" operator="lessThan">
      <formula>0</formula>
    </cfRule>
  </conditionalFormatting>
  <conditionalFormatting sqref="H211:H227">
    <cfRule type="cellIs" dxfId="2734" priority="2730" stopIfTrue="1" operator="lessThan">
      <formula>0.05</formula>
    </cfRule>
    <cfRule type="cellIs" dxfId="2733" priority="2731" stopIfTrue="1" operator="lessThan">
      <formula>0</formula>
    </cfRule>
  </conditionalFormatting>
  <conditionalFormatting sqref="H211:H227">
    <cfRule type="cellIs" dxfId="2732" priority="2728" stopIfTrue="1" operator="lessThan">
      <formula>0</formula>
    </cfRule>
    <cfRule type="cellIs" dxfId="2731" priority="2729" stopIfTrue="1" operator="lessThan">
      <formula>0</formula>
    </cfRule>
  </conditionalFormatting>
  <conditionalFormatting sqref="H211:H227">
    <cfRule type="cellIs" dxfId="2730" priority="2726" stopIfTrue="1" operator="lessThan">
      <formula>0</formula>
    </cfRule>
    <cfRule type="cellIs" dxfId="2729" priority="2727" stopIfTrue="1" operator="lessThan">
      <formula>0</formula>
    </cfRule>
  </conditionalFormatting>
  <conditionalFormatting sqref="H211:H227">
    <cfRule type="cellIs" dxfId="2728" priority="2724" stopIfTrue="1" operator="lessThan">
      <formula>0.05</formula>
    </cfRule>
    <cfRule type="cellIs" dxfId="2727" priority="2725" stopIfTrue="1" operator="lessThan">
      <formula>0</formula>
    </cfRule>
  </conditionalFormatting>
  <conditionalFormatting sqref="H211:H227">
    <cfRule type="cellIs" dxfId="2726" priority="2722" stopIfTrue="1" operator="lessThan">
      <formula>0</formula>
    </cfRule>
    <cfRule type="cellIs" dxfId="2725" priority="2723" stopIfTrue="1" operator="lessThan">
      <formula>0</formula>
    </cfRule>
  </conditionalFormatting>
  <conditionalFormatting sqref="H211:H227">
    <cfRule type="cellIs" dxfId="2724" priority="2720" stopIfTrue="1" operator="lessThan">
      <formula>0</formula>
    </cfRule>
    <cfRule type="cellIs" dxfId="2723" priority="2721" stopIfTrue="1" operator="lessThan">
      <formula>0</formula>
    </cfRule>
  </conditionalFormatting>
  <conditionalFormatting sqref="H211:H227">
    <cfRule type="cellIs" dxfId="2722" priority="2718" stopIfTrue="1" operator="lessThan">
      <formula>0.05</formula>
    </cfRule>
    <cfRule type="cellIs" dxfId="2721" priority="2719" stopIfTrue="1" operator="lessThan">
      <formula>0</formula>
    </cfRule>
  </conditionalFormatting>
  <conditionalFormatting sqref="H211:H227">
    <cfRule type="cellIs" dxfId="2720" priority="2716" stopIfTrue="1" operator="lessThan">
      <formula>0</formula>
    </cfRule>
    <cfRule type="cellIs" dxfId="2719" priority="2717" stopIfTrue="1" operator="lessThan">
      <formula>0</formula>
    </cfRule>
  </conditionalFormatting>
  <conditionalFormatting sqref="H211:H227">
    <cfRule type="cellIs" dxfId="2718" priority="2714" stopIfTrue="1" operator="lessThan">
      <formula>0</formula>
    </cfRule>
    <cfRule type="cellIs" dxfId="2717" priority="2715" stopIfTrue="1" operator="lessThan">
      <formula>0</formula>
    </cfRule>
  </conditionalFormatting>
  <conditionalFormatting sqref="H211:H227">
    <cfRule type="cellIs" dxfId="2716" priority="2712" stopIfTrue="1" operator="lessThan">
      <formula>0.05</formula>
    </cfRule>
    <cfRule type="cellIs" dxfId="2715" priority="2713" stopIfTrue="1" operator="lessThan">
      <formula>0</formula>
    </cfRule>
  </conditionalFormatting>
  <conditionalFormatting sqref="H211:H227">
    <cfRule type="cellIs" dxfId="2714" priority="2710" stopIfTrue="1" operator="lessThan">
      <formula>0</formula>
    </cfRule>
    <cfRule type="cellIs" dxfId="2713" priority="2711" stopIfTrue="1" operator="lessThan">
      <formula>0</formula>
    </cfRule>
  </conditionalFormatting>
  <conditionalFormatting sqref="H211:H227">
    <cfRule type="cellIs" dxfId="2712" priority="2708" stopIfTrue="1" operator="lessThan">
      <formula>0</formula>
    </cfRule>
    <cfRule type="cellIs" dxfId="2711" priority="2709" stopIfTrue="1" operator="lessThan">
      <formula>0</formula>
    </cfRule>
  </conditionalFormatting>
  <conditionalFormatting sqref="H211:H227">
    <cfRule type="cellIs" dxfId="2710" priority="2706" stopIfTrue="1" operator="lessThan">
      <formula>0.05</formula>
    </cfRule>
    <cfRule type="cellIs" dxfId="2709" priority="2707" stopIfTrue="1" operator="lessThan">
      <formula>0</formula>
    </cfRule>
  </conditionalFormatting>
  <conditionalFormatting sqref="H211:H227">
    <cfRule type="cellIs" dxfId="2708" priority="2704" stopIfTrue="1" operator="lessThan">
      <formula>0</formula>
    </cfRule>
    <cfRule type="cellIs" dxfId="2707" priority="2705" stopIfTrue="1" operator="lessThan">
      <formula>0</formula>
    </cfRule>
  </conditionalFormatting>
  <conditionalFormatting sqref="H211:H227">
    <cfRule type="cellIs" dxfId="2706" priority="2702" stopIfTrue="1" operator="lessThan">
      <formula>0</formula>
    </cfRule>
    <cfRule type="cellIs" dxfId="2705" priority="2703" stopIfTrue="1" operator="lessThan">
      <formula>0</formula>
    </cfRule>
  </conditionalFormatting>
  <conditionalFormatting sqref="H211:H227">
    <cfRule type="cellIs" dxfId="2704" priority="2700" stopIfTrue="1" operator="lessThan">
      <formula>0.05</formula>
    </cfRule>
    <cfRule type="cellIs" dxfId="2703" priority="2701" stopIfTrue="1" operator="lessThan">
      <formula>0</formula>
    </cfRule>
  </conditionalFormatting>
  <conditionalFormatting sqref="H211:H227">
    <cfRule type="cellIs" dxfId="2702" priority="2698" stopIfTrue="1" operator="lessThan">
      <formula>0</formula>
    </cfRule>
    <cfRule type="cellIs" dxfId="2701" priority="2699" stopIfTrue="1" operator="lessThan">
      <formula>0</formula>
    </cfRule>
  </conditionalFormatting>
  <conditionalFormatting sqref="H211:H227">
    <cfRule type="cellIs" dxfId="2700" priority="2696" stopIfTrue="1" operator="lessThan">
      <formula>0</formula>
    </cfRule>
    <cfRule type="cellIs" dxfId="2699" priority="2697" stopIfTrue="1" operator="lessThan">
      <formula>0</formula>
    </cfRule>
  </conditionalFormatting>
  <conditionalFormatting sqref="H211:H227">
    <cfRule type="cellIs" dxfId="2698" priority="2694" stopIfTrue="1" operator="lessThan">
      <formula>0.05</formula>
    </cfRule>
    <cfRule type="cellIs" dxfId="2697" priority="2695" stopIfTrue="1" operator="lessThan">
      <formula>0</formula>
    </cfRule>
  </conditionalFormatting>
  <conditionalFormatting sqref="H211:H227">
    <cfRule type="cellIs" dxfId="2696" priority="2692" stopIfTrue="1" operator="lessThan">
      <formula>0</formula>
    </cfRule>
    <cfRule type="cellIs" dxfId="2695" priority="2693" stopIfTrue="1" operator="lessThan">
      <formula>0</formula>
    </cfRule>
  </conditionalFormatting>
  <conditionalFormatting sqref="H211:H227">
    <cfRule type="cellIs" dxfId="2694" priority="2690" stopIfTrue="1" operator="lessThan">
      <formula>0</formula>
    </cfRule>
    <cfRule type="cellIs" dxfId="2693" priority="2691" stopIfTrue="1" operator="lessThan">
      <formula>0</formula>
    </cfRule>
  </conditionalFormatting>
  <conditionalFormatting sqref="H211:H227">
    <cfRule type="cellIs" dxfId="2692" priority="2688" stopIfTrue="1" operator="lessThan">
      <formula>0.05</formula>
    </cfRule>
    <cfRule type="cellIs" dxfId="2691" priority="2689" stopIfTrue="1" operator="lessThan">
      <formula>0</formula>
    </cfRule>
  </conditionalFormatting>
  <conditionalFormatting sqref="H211:H227">
    <cfRule type="cellIs" dxfId="2690" priority="2686" stopIfTrue="1" operator="lessThan">
      <formula>0</formula>
    </cfRule>
    <cfRule type="cellIs" dxfId="2689" priority="2687" stopIfTrue="1" operator="lessThan">
      <formula>0</formula>
    </cfRule>
  </conditionalFormatting>
  <conditionalFormatting sqref="H211:H227">
    <cfRule type="cellIs" dxfId="2688" priority="2684" stopIfTrue="1" operator="lessThan">
      <formula>0</formula>
    </cfRule>
    <cfRule type="cellIs" dxfId="2687" priority="2685" stopIfTrue="1" operator="lessThan">
      <formula>0</formula>
    </cfRule>
  </conditionalFormatting>
  <conditionalFormatting sqref="H211:H227">
    <cfRule type="cellIs" dxfId="2686" priority="2682" stopIfTrue="1" operator="lessThan">
      <formula>0.05</formula>
    </cfRule>
    <cfRule type="cellIs" dxfId="2685" priority="2683" stopIfTrue="1" operator="lessThan">
      <formula>0</formula>
    </cfRule>
  </conditionalFormatting>
  <conditionalFormatting sqref="H211:H227">
    <cfRule type="cellIs" dxfId="2684" priority="2680" stopIfTrue="1" operator="lessThan">
      <formula>0</formula>
    </cfRule>
    <cfRule type="cellIs" dxfId="2683" priority="2681" stopIfTrue="1" operator="lessThan">
      <formula>0</formula>
    </cfRule>
  </conditionalFormatting>
  <conditionalFormatting sqref="H211:H227">
    <cfRule type="cellIs" dxfId="2682" priority="2678" stopIfTrue="1" operator="lessThan">
      <formula>0</formula>
    </cfRule>
    <cfRule type="cellIs" dxfId="2681" priority="2679" stopIfTrue="1" operator="lessThan">
      <formula>0</formula>
    </cfRule>
  </conditionalFormatting>
  <conditionalFormatting sqref="H211:H227">
    <cfRule type="cellIs" dxfId="2680" priority="2676" stopIfTrue="1" operator="lessThan">
      <formula>0.05</formula>
    </cfRule>
    <cfRule type="cellIs" dxfId="2679" priority="2677" stopIfTrue="1" operator="lessThan">
      <formula>0</formula>
    </cfRule>
  </conditionalFormatting>
  <conditionalFormatting sqref="H211:H227">
    <cfRule type="cellIs" dxfId="2678" priority="2674" stopIfTrue="1" operator="lessThan">
      <formula>0</formula>
    </cfRule>
    <cfRule type="cellIs" dxfId="2677" priority="2675" stopIfTrue="1" operator="lessThan">
      <formula>0</formula>
    </cfRule>
  </conditionalFormatting>
  <conditionalFormatting sqref="H211:H227">
    <cfRule type="cellIs" dxfId="2676" priority="2672" stopIfTrue="1" operator="lessThan">
      <formula>0</formula>
    </cfRule>
    <cfRule type="cellIs" dxfId="2675" priority="2673" stopIfTrue="1" operator="lessThan">
      <formula>0</formula>
    </cfRule>
  </conditionalFormatting>
  <conditionalFormatting sqref="H211:H227">
    <cfRule type="cellIs" dxfId="2674" priority="2670" stopIfTrue="1" operator="lessThan">
      <formula>0.05</formula>
    </cfRule>
    <cfRule type="cellIs" dxfId="2673" priority="2671" stopIfTrue="1" operator="lessThan">
      <formula>0</formula>
    </cfRule>
  </conditionalFormatting>
  <conditionalFormatting sqref="H211:H227">
    <cfRule type="cellIs" dxfId="2672" priority="2668" stopIfTrue="1" operator="lessThan">
      <formula>0</formula>
    </cfRule>
    <cfRule type="cellIs" dxfId="2671" priority="2669" stopIfTrue="1" operator="lessThan">
      <formula>0</formula>
    </cfRule>
  </conditionalFormatting>
  <conditionalFormatting sqref="H211:H227">
    <cfRule type="cellIs" dxfId="2670" priority="2666" stopIfTrue="1" operator="lessThan">
      <formula>0</formula>
    </cfRule>
    <cfRule type="cellIs" dxfId="2669" priority="2667" stopIfTrue="1" operator="lessThan">
      <formula>0</formula>
    </cfRule>
  </conditionalFormatting>
  <conditionalFormatting sqref="H211:H227">
    <cfRule type="cellIs" dxfId="2668" priority="2664" stopIfTrue="1" operator="lessThan">
      <formula>0.05</formula>
    </cfRule>
    <cfRule type="cellIs" dxfId="2667" priority="2665" stopIfTrue="1" operator="lessThan">
      <formula>0</formula>
    </cfRule>
  </conditionalFormatting>
  <conditionalFormatting sqref="H211:H227">
    <cfRule type="cellIs" dxfId="2666" priority="2662" stopIfTrue="1" operator="lessThan">
      <formula>0</formula>
    </cfRule>
    <cfRule type="cellIs" dxfId="2665" priority="2663" stopIfTrue="1" operator="lessThan">
      <formula>0</formula>
    </cfRule>
  </conditionalFormatting>
  <conditionalFormatting sqref="H211:H227">
    <cfRule type="cellIs" dxfId="2664" priority="2660" stopIfTrue="1" operator="lessThan">
      <formula>0</formula>
    </cfRule>
    <cfRule type="cellIs" dxfId="2663" priority="2661" stopIfTrue="1" operator="lessThan">
      <formula>0</formula>
    </cfRule>
  </conditionalFormatting>
  <conditionalFormatting sqref="H211:H227">
    <cfRule type="cellIs" dxfId="2662" priority="2658" stopIfTrue="1" operator="lessThan">
      <formula>0.05</formula>
    </cfRule>
    <cfRule type="cellIs" dxfId="2661" priority="2659" stopIfTrue="1" operator="lessThan">
      <formula>0</formula>
    </cfRule>
  </conditionalFormatting>
  <conditionalFormatting sqref="H211:H227">
    <cfRule type="cellIs" dxfId="2660" priority="2656" stopIfTrue="1" operator="lessThan">
      <formula>0</formula>
    </cfRule>
    <cfRule type="cellIs" dxfId="2659" priority="2657" stopIfTrue="1" operator="lessThan">
      <formula>0</formula>
    </cfRule>
  </conditionalFormatting>
  <conditionalFormatting sqref="H211:H227">
    <cfRule type="cellIs" dxfId="2658" priority="2654" stopIfTrue="1" operator="lessThan">
      <formula>0</formula>
    </cfRule>
    <cfRule type="cellIs" dxfId="2657" priority="2655" stopIfTrue="1" operator="lessThan">
      <formula>0</formula>
    </cfRule>
  </conditionalFormatting>
  <conditionalFormatting sqref="H211:H227">
    <cfRule type="cellIs" dxfId="2656" priority="2652" stopIfTrue="1" operator="lessThan">
      <formula>0.05</formula>
    </cfRule>
    <cfRule type="cellIs" dxfId="2655" priority="2653" stopIfTrue="1" operator="lessThan">
      <formula>0</formula>
    </cfRule>
  </conditionalFormatting>
  <conditionalFormatting sqref="H211:H227">
    <cfRule type="cellIs" dxfId="2654" priority="2650" stopIfTrue="1" operator="lessThan">
      <formula>0</formula>
    </cfRule>
    <cfRule type="cellIs" dxfId="2653" priority="2651" stopIfTrue="1" operator="lessThan">
      <formula>0</formula>
    </cfRule>
  </conditionalFormatting>
  <conditionalFormatting sqref="H211:H227">
    <cfRule type="cellIs" dxfId="2652" priority="2648" stopIfTrue="1" operator="lessThan">
      <formula>0.05</formula>
    </cfRule>
    <cfRule type="cellIs" dxfId="2651" priority="2649" stopIfTrue="1" operator="lessThan">
      <formula>0</formula>
    </cfRule>
  </conditionalFormatting>
  <conditionalFormatting sqref="H211:H227">
    <cfRule type="cellIs" dxfId="2650" priority="2646" stopIfTrue="1" operator="lessThan">
      <formula>0</formula>
    </cfRule>
    <cfRule type="cellIs" dxfId="2649" priority="2647" stopIfTrue="1" operator="lessThan">
      <formula>0</formula>
    </cfRule>
  </conditionalFormatting>
  <conditionalFormatting sqref="H211:H227">
    <cfRule type="cellIs" dxfId="2648" priority="2644" stopIfTrue="1" operator="lessThan">
      <formula>0.05</formula>
    </cfRule>
    <cfRule type="cellIs" dxfId="2647" priority="2645" stopIfTrue="1" operator="lessThan">
      <formula>0</formula>
    </cfRule>
  </conditionalFormatting>
  <conditionalFormatting sqref="H211:H227">
    <cfRule type="cellIs" dxfId="2646" priority="2642" stopIfTrue="1" operator="lessThan">
      <formula>0</formula>
    </cfRule>
    <cfRule type="cellIs" dxfId="2645" priority="2643" stopIfTrue="1" operator="lessThan">
      <formula>0</formula>
    </cfRule>
  </conditionalFormatting>
  <conditionalFormatting sqref="H211:H227">
    <cfRule type="cellIs" dxfId="2644" priority="2640" stopIfTrue="1" operator="lessThan">
      <formula>0</formula>
    </cfRule>
    <cfRule type="cellIs" dxfId="2643" priority="2641" stopIfTrue="1" operator="lessThan">
      <formula>0</formula>
    </cfRule>
  </conditionalFormatting>
  <conditionalFormatting sqref="H211:H227">
    <cfRule type="cellIs" dxfId="2642" priority="2638" stopIfTrue="1" operator="lessThan">
      <formula>0</formula>
    </cfRule>
    <cfRule type="cellIs" dxfId="2641" priority="2639" stopIfTrue="1" operator="lessThan">
      <formula>0</formula>
    </cfRule>
  </conditionalFormatting>
  <conditionalFormatting sqref="H211:H227">
    <cfRule type="cellIs" dxfId="2640" priority="2636" stopIfTrue="1" operator="lessThan">
      <formula>0.05</formula>
    </cfRule>
    <cfRule type="cellIs" dxfId="2639" priority="2637" stopIfTrue="1" operator="lessThan">
      <formula>0</formula>
    </cfRule>
  </conditionalFormatting>
  <conditionalFormatting sqref="H211:H227">
    <cfRule type="cellIs" dxfId="2638" priority="2634" stopIfTrue="1" operator="lessThan">
      <formula>0</formula>
    </cfRule>
    <cfRule type="cellIs" dxfId="2637" priority="2635" stopIfTrue="1" operator="lessThan">
      <formula>0</formula>
    </cfRule>
  </conditionalFormatting>
  <conditionalFormatting sqref="H211:H227">
    <cfRule type="cellIs" dxfId="2636" priority="2632" stopIfTrue="1" operator="lessThan">
      <formula>0.05</formula>
    </cfRule>
    <cfRule type="cellIs" dxfId="2635" priority="2633" stopIfTrue="1" operator="lessThan">
      <formula>0</formula>
    </cfRule>
  </conditionalFormatting>
  <conditionalFormatting sqref="H211:H227">
    <cfRule type="cellIs" dxfId="2634" priority="2630" stopIfTrue="1" operator="lessThan">
      <formula>0</formula>
    </cfRule>
    <cfRule type="cellIs" dxfId="2633" priority="2631" stopIfTrue="1" operator="lessThan">
      <formula>0</formula>
    </cfRule>
  </conditionalFormatting>
  <conditionalFormatting sqref="H211:H227">
    <cfRule type="cellIs" dxfId="2632" priority="2628" stopIfTrue="1" operator="lessThan">
      <formula>0.05</formula>
    </cfRule>
    <cfRule type="cellIs" dxfId="2631" priority="2629" stopIfTrue="1" operator="lessThan">
      <formula>0</formula>
    </cfRule>
  </conditionalFormatting>
  <conditionalFormatting sqref="H211:H227">
    <cfRule type="cellIs" dxfId="2630" priority="2626" stopIfTrue="1" operator="lessThan">
      <formula>0</formula>
    </cfRule>
    <cfRule type="cellIs" dxfId="2629" priority="2627" stopIfTrue="1" operator="lessThan">
      <formula>0</formula>
    </cfRule>
  </conditionalFormatting>
  <conditionalFormatting sqref="H211:H227">
    <cfRule type="cellIs" dxfId="2628" priority="2624" stopIfTrue="1" operator="lessThan">
      <formula>0</formula>
    </cfRule>
    <cfRule type="cellIs" dxfId="2627" priority="2625" stopIfTrue="1" operator="lessThan">
      <formula>0</formula>
    </cfRule>
  </conditionalFormatting>
  <conditionalFormatting sqref="H211:H227">
    <cfRule type="cellIs" dxfId="2626" priority="2622" stopIfTrue="1" operator="lessThan">
      <formula>0.05</formula>
    </cfRule>
    <cfRule type="cellIs" dxfId="2625" priority="2623" stopIfTrue="1" operator="lessThan">
      <formula>0</formula>
    </cfRule>
  </conditionalFormatting>
  <conditionalFormatting sqref="H211:H227">
    <cfRule type="cellIs" dxfId="2624" priority="2620" stopIfTrue="1" operator="lessThan">
      <formula>0</formula>
    </cfRule>
    <cfRule type="cellIs" dxfId="2623" priority="2621" stopIfTrue="1" operator="lessThan">
      <formula>0</formula>
    </cfRule>
  </conditionalFormatting>
  <conditionalFormatting sqref="H211:H227">
    <cfRule type="cellIs" dxfId="2622" priority="2618" stopIfTrue="1" operator="lessThan">
      <formula>0</formula>
    </cfRule>
    <cfRule type="cellIs" dxfId="2621" priority="2619" stopIfTrue="1" operator="lessThan">
      <formula>0</formula>
    </cfRule>
  </conditionalFormatting>
  <conditionalFormatting sqref="H211:H227">
    <cfRule type="cellIs" dxfId="2620" priority="2616" stopIfTrue="1" operator="lessThan">
      <formula>0.05</formula>
    </cfRule>
    <cfRule type="cellIs" dxfId="2619" priority="2617" stopIfTrue="1" operator="lessThan">
      <formula>0</formula>
    </cfRule>
  </conditionalFormatting>
  <conditionalFormatting sqref="H211:H227">
    <cfRule type="cellIs" dxfId="2618" priority="2614" stopIfTrue="1" operator="lessThan">
      <formula>0</formula>
    </cfRule>
    <cfRule type="cellIs" dxfId="2617" priority="2615" stopIfTrue="1" operator="lessThan">
      <formula>0</formula>
    </cfRule>
  </conditionalFormatting>
  <conditionalFormatting sqref="H211:H227">
    <cfRule type="cellIs" dxfId="2616" priority="2612" stopIfTrue="1" operator="lessThan">
      <formula>0</formula>
    </cfRule>
    <cfRule type="cellIs" dxfId="2615" priority="2613" stopIfTrue="1" operator="lessThan">
      <formula>0</formula>
    </cfRule>
  </conditionalFormatting>
  <conditionalFormatting sqref="H211:H227">
    <cfRule type="cellIs" dxfId="2614" priority="2610" stopIfTrue="1" operator="lessThan">
      <formula>0.05</formula>
    </cfRule>
    <cfRule type="cellIs" dxfId="2613" priority="2611" stopIfTrue="1" operator="lessThan">
      <formula>0</formula>
    </cfRule>
  </conditionalFormatting>
  <conditionalFormatting sqref="H211:H227">
    <cfRule type="cellIs" dxfId="2612" priority="2608" stopIfTrue="1" operator="lessThan">
      <formula>0</formula>
    </cfRule>
    <cfRule type="cellIs" dxfId="2611" priority="2609" stopIfTrue="1" operator="lessThan">
      <formula>0</formula>
    </cfRule>
  </conditionalFormatting>
  <conditionalFormatting sqref="H211:H227">
    <cfRule type="cellIs" dxfId="2610" priority="2606" stopIfTrue="1" operator="lessThan">
      <formula>0</formula>
    </cfRule>
    <cfRule type="cellIs" dxfId="2609" priority="2607" stopIfTrue="1" operator="lessThan">
      <formula>0</formula>
    </cfRule>
  </conditionalFormatting>
  <conditionalFormatting sqref="H211:H227">
    <cfRule type="cellIs" dxfId="2608" priority="2604" stopIfTrue="1" operator="lessThan">
      <formula>0.05</formula>
    </cfRule>
    <cfRule type="cellIs" dxfId="2607" priority="2605" stopIfTrue="1" operator="lessThan">
      <formula>0</formula>
    </cfRule>
  </conditionalFormatting>
  <conditionalFormatting sqref="H211:H227">
    <cfRule type="cellIs" dxfId="2606" priority="2602" stopIfTrue="1" operator="lessThan">
      <formula>0</formula>
    </cfRule>
    <cfRule type="cellIs" dxfId="2605" priority="2603" stopIfTrue="1" operator="lessThan">
      <formula>0</formula>
    </cfRule>
  </conditionalFormatting>
  <conditionalFormatting sqref="H211:H227">
    <cfRule type="cellIs" dxfId="2604" priority="2600" stopIfTrue="1" operator="lessThan">
      <formula>0</formula>
    </cfRule>
    <cfRule type="cellIs" dxfId="2603" priority="2601" stopIfTrue="1" operator="lessThan">
      <formula>0</formula>
    </cfRule>
  </conditionalFormatting>
  <conditionalFormatting sqref="H211:H227">
    <cfRule type="cellIs" dxfId="2602" priority="2598" stopIfTrue="1" operator="lessThan">
      <formula>0.05</formula>
    </cfRule>
    <cfRule type="cellIs" dxfId="2601" priority="2599" stopIfTrue="1" operator="lessThan">
      <formula>0</formula>
    </cfRule>
  </conditionalFormatting>
  <conditionalFormatting sqref="H211:H227">
    <cfRule type="cellIs" dxfId="2600" priority="2596" stopIfTrue="1" operator="lessThan">
      <formula>0</formula>
    </cfRule>
    <cfRule type="cellIs" dxfId="2599" priority="2597" stopIfTrue="1" operator="lessThan">
      <formula>0</formula>
    </cfRule>
  </conditionalFormatting>
  <conditionalFormatting sqref="H211:H227">
    <cfRule type="cellIs" dxfId="2598" priority="2594" stopIfTrue="1" operator="lessThan">
      <formula>0</formula>
    </cfRule>
    <cfRule type="cellIs" dxfId="2597" priority="2595" stopIfTrue="1" operator="lessThan">
      <formula>0</formula>
    </cfRule>
  </conditionalFormatting>
  <conditionalFormatting sqref="H211:H227">
    <cfRule type="cellIs" dxfId="2596" priority="2592" stopIfTrue="1" operator="lessThan">
      <formula>0.05</formula>
    </cfRule>
    <cfRule type="cellIs" dxfId="2595" priority="2593" stopIfTrue="1" operator="lessThan">
      <formula>0</formula>
    </cfRule>
  </conditionalFormatting>
  <conditionalFormatting sqref="H211:H227">
    <cfRule type="cellIs" dxfId="2594" priority="2590" stopIfTrue="1" operator="lessThan">
      <formula>0</formula>
    </cfRule>
    <cfRule type="cellIs" dxfId="2593" priority="2591" stopIfTrue="1" operator="lessThan">
      <formula>0</formula>
    </cfRule>
  </conditionalFormatting>
  <conditionalFormatting sqref="H211:H227">
    <cfRule type="cellIs" dxfId="2592" priority="2588" stopIfTrue="1" operator="lessThan">
      <formula>0</formula>
    </cfRule>
    <cfRule type="cellIs" dxfId="2591" priority="2589" stopIfTrue="1" operator="lessThan">
      <formula>0</formula>
    </cfRule>
  </conditionalFormatting>
  <conditionalFormatting sqref="H211:H227">
    <cfRule type="cellIs" dxfId="2590" priority="2586" stopIfTrue="1" operator="lessThan">
      <formula>0.05</formula>
    </cfRule>
    <cfRule type="cellIs" dxfId="2589" priority="2587" stopIfTrue="1" operator="lessThan">
      <formula>0</formula>
    </cfRule>
  </conditionalFormatting>
  <conditionalFormatting sqref="H211:H227">
    <cfRule type="cellIs" dxfId="2588" priority="2584" stopIfTrue="1" operator="lessThan">
      <formula>0</formula>
    </cfRule>
    <cfRule type="cellIs" dxfId="2587" priority="2585" stopIfTrue="1" operator="lessThan">
      <formula>0</formula>
    </cfRule>
  </conditionalFormatting>
  <conditionalFormatting sqref="H211:H227">
    <cfRule type="cellIs" dxfId="2586" priority="2582" stopIfTrue="1" operator="lessThan">
      <formula>0</formula>
    </cfRule>
    <cfRule type="cellIs" dxfId="2585" priority="2583" stopIfTrue="1" operator="lessThan">
      <formula>0</formula>
    </cfRule>
  </conditionalFormatting>
  <conditionalFormatting sqref="H211:H227">
    <cfRule type="cellIs" dxfId="2584" priority="2580" stopIfTrue="1" operator="lessThan">
      <formula>0.05</formula>
    </cfRule>
    <cfRule type="cellIs" dxfId="2583" priority="2581" stopIfTrue="1" operator="lessThan">
      <formula>0</formula>
    </cfRule>
  </conditionalFormatting>
  <conditionalFormatting sqref="H211:H227">
    <cfRule type="cellIs" dxfId="2582" priority="2578" stopIfTrue="1" operator="lessThan">
      <formula>0</formula>
    </cfRule>
    <cfRule type="cellIs" dxfId="2581" priority="2579" stopIfTrue="1" operator="lessThan">
      <formula>0</formula>
    </cfRule>
  </conditionalFormatting>
  <conditionalFormatting sqref="H211:H227">
    <cfRule type="cellIs" dxfId="2580" priority="2576" stopIfTrue="1" operator="lessThan">
      <formula>0</formula>
    </cfRule>
    <cfRule type="cellIs" dxfId="2579" priority="2577" stopIfTrue="1" operator="lessThan">
      <formula>0</formula>
    </cfRule>
  </conditionalFormatting>
  <conditionalFormatting sqref="H211:H227">
    <cfRule type="cellIs" dxfId="2578" priority="2574" stopIfTrue="1" operator="lessThan">
      <formula>0.05</formula>
    </cfRule>
    <cfRule type="cellIs" dxfId="2577" priority="2575" stopIfTrue="1" operator="lessThan">
      <formula>0</formula>
    </cfRule>
  </conditionalFormatting>
  <conditionalFormatting sqref="H211:H227">
    <cfRule type="cellIs" dxfId="2576" priority="2572" stopIfTrue="1" operator="lessThan">
      <formula>0</formula>
    </cfRule>
    <cfRule type="cellIs" dxfId="2575" priority="2573" stopIfTrue="1" operator="lessThan">
      <formula>0</formula>
    </cfRule>
  </conditionalFormatting>
  <conditionalFormatting sqref="H211:H227">
    <cfRule type="cellIs" dxfId="2574" priority="2570" stopIfTrue="1" operator="lessThan">
      <formula>0</formula>
    </cfRule>
    <cfRule type="cellIs" dxfId="2573" priority="2571" stopIfTrue="1" operator="lessThan">
      <formula>0</formula>
    </cfRule>
  </conditionalFormatting>
  <conditionalFormatting sqref="H211:H227">
    <cfRule type="cellIs" dxfId="2572" priority="2568" stopIfTrue="1" operator="lessThan">
      <formula>0.05</formula>
    </cfRule>
    <cfRule type="cellIs" dxfId="2571" priority="2569" stopIfTrue="1" operator="lessThan">
      <formula>0</formula>
    </cfRule>
  </conditionalFormatting>
  <conditionalFormatting sqref="H211:H227">
    <cfRule type="cellIs" dxfId="2570" priority="2566" stopIfTrue="1" operator="lessThan">
      <formula>0</formula>
    </cfRule>
    <cfRule type="cellIs" dxfId="2569" priority="2567" stopIfTrue="1" operator="lessThan">
      <formula>0</formula>
    </cfRule>
  </conditionalFormatting>
  <conditionalFormatting sqref="H211:H227">
    <cfRule type="cellIs" dxfId="2568" priority="2564" stopIfTrue="1" operator="lessThan">
      <formula>0</formula>
    </cfRule>
    <cfRule type="cellIs" dxfId="2567" priority="2565" stopIfTrue="1" operator="lessThan">
      <formula>0</formula>
    </cfRule>
  </conditionalFormatting>
  <conditionalFormatting sqref="H211:H227">
    <cfRule type="cellIs" dxfId="2566" priority="2562" stopIfTrue="1" operator="lessThan">
      <formula>0.05</formula>
    </cfRule>
    <cfRule type="cellIs" dxfId="2565" priority="2563" stopIfTrue="1" operator="lessThan">
      <formula>0</formula>
    </cfRule>
  </conditionalFormatting>
  <conditionalFormatting sqref="H211:H227">
    <cfRule type="cellIs" dxfId="2564" priority="2560" stopIfTrue="1" operator="lessThan">
      <formula>0</formula>
    </cfRule>
    <cfRule type="cellIs" dxfId="2563" priority="2561" stopIfTrue="1" operator="lessThan">
      <formula>0</formula>
    </cfRule>
  </conditionalFormatting>
  <conditionalFormatting sqref="H211:H227">
    <cfRule type="cellIs" dxfId="2562" priority="2558" stopIfTrue="1" operator="lessThan">
      <formula>0</formula>
    </cfRule>
    <cfRule type="cellIs" dxfId="2561" priority="2559" stopIfTrue="1" operator="lessThan">
      <formula>0</formula>
    </cfRule>
  </conditionalFormatting>
  <conditionalFormatting sqref="H211:H227">
    <cfRule type="cellIs" dxfId="2560" priority="2556" stopIfTrue="1" operator="lessThan">
      <formula>0.05</formula>
    </cfRule>
    <cfRule type="cellIs" dxfId="2559" priority="2557" stopIfTrue="1" operator="lessThan">
      <formula>0</formula>
    </cfRule>
  </conditionalFormatting>
  <conditionalFormatting sqref="H211:H227">
    <cfRule type="cellIs" dxfId="2558" priority="2554" stopIfTrue="1" operator="lessThan">
      <formula>0</formula>
    </cfRule>
    <cfRule type="cellIs" dxfId="2557" priority="2555" stopIfTrue="1" operator="lessThan">
      <formula>0</formula>
    </cfRule>
  </conditionalFormatting>
  <conditionalFormatting sqref="H211:H227">
    <cfRule type="cellIs" dxfId="2556" priority="2552" stopIfTrue="1" operator="lessThan">
      <formula>0.05</formula>
    </cfRule>
    <cfRule type="cellIs" dxfId="2555" priority="2553" stopIfTrue="1" operator="lessThan">
      <formula>0</formula>
    </cfRule>
  </conditionalFormatting>
  <conditionalFormatting sqref="H211:H227">
    <cfRule type="cellIs" dxfId="2554" priority="2550" stopIfTrue="1" operator="lessThan">
      <formula>0</formula>
    </cfRule>
    <cfRule type="cellIs" dxfId="2553" priority="2551" stopIfTrue="1" operator="lessThan">
      <formula>0</formula>
    </cfRule>
  </conditionalFormatting>
  <conditionalFormatting sqref="H211:H227">
    <cfRule type="cellIs" dxfId="2552" priority="2548" stopIfTrue="1" operator="lessThan">
      <formula>0.05</formula>
    </cfRule>
    <cfRule type="cellIs" dxfId="2551" priority="2549" stopIfTrue="1" operator="lessThan">
      <formula>0</formula>
    </cfRule>
  </conditionalFormatting>
  <conditionalFormatting sqref="H211:H227">
    <cfRule type="cellIs" dxfId="2550" priority="2546" stopIfTrue="1" operator="lessThan">
      <formula>0</formula>
    </cfRule>
    <cfRule type="cellIs" dxfId="2549" priority="2547" stopIfTrue="1" operator="lessThan">
      <formula>0</formula>
    </cfRule>
  </conditionalFormatting>
  <conditionalFormatting sqref="H211:H227">
    <cfRule type="cellIs" dxfId="2548" priority="2544" stopIfTrue="1" operator="lessThan">
      <formula>0</formula>
    </cfRule>
    <cfRule type="cellIs" dxfId="2547" priority="2545" stopIfTrue="1" operator="lessThan">
      <formula>0</formula>
    </cfRule>
  </conditionalFormatting>
  <conditionalFormatting sqref="H211:H227">
    <cfRule type="cellIs" dxfId="2546" priority="2542" stopIfTrue="1" operator="lessThan">
      <formula>0</formula>
    </cfRule>
    <cfRule type="cellIs" dxfId="2545" priority="2543" stopIfTrue="1" operator="lessThan">
      <formula>0</formula>
    </cfRule>
  </conditionalFormatting>
  <conditionalFormatting sqref="H211:H227">
    <cfRule type="cellIs" dxfId="2544" priority="2540" stopIfTrue="1" operator="lessThan">
      <formula>0.05</formula>
    </cfRule>
    <cfRule type="cellIs" dxfId="2543" priority="2541" stopIfTrue="1" operator="lessThan">
      <formula>0</formula>
    </cfRule>
  </conditionalFormatting>
  <conditionalFormatting sqref="H211:H227">
    <cfRule type="cellIs" dxfId="2542" priority="2538" stopIfTrue="1" operator="lessThan">
      <formula>0</formula>
    </cfRule>
    <cfRule type="cellIs" dxfId="2541" priority="2539" stopIfTrue="1" operator="lessThan">
      <formula>0</formula>
    </cfRule>
  </conditionalFormatting>
  <conditionalFormatting sqref="H211:H227">
    <cfRule type="cellIs" dxfId="2540" priority="2536" stopIfTrue="1" operator="lessThan">
      <formula>0.05</formula>
    </cfRule>
    <cfRule type="cellIs" dxfId="2539" priority="2537" stopIfTrue="1" operator="lessThan">
      <formula>0</formula>
    </cfRule>
  </conditionalFormatting>
  <conditionalFormatting sqref="H211:H227">
    <cfRule type="cellIs" dxfId="2538" priority="2534" stopIfTrue="1" operator="lessThan">
      <formula>0</formula>
    </cfRule>
    <cfRule type="cellIs" dxfId="2537" priority="2535" stopIfTrue="1" operator="lessThan">
      <formula>0</formula>
    </cfRule>
  </conditionalFormatting>
  <conditionalFormatting sqref="H211:H227">
    <cfRule type="cellIs" dxfId="2536" priority="2532" stopIfTrue="1" operator="lessThan">
      <formula>0.05</formula>
    </cfRule>
    <cfRule type="cellIs" dxfId="2535" priority="2533" stopIfTrue="1" operator="lessThan">
      <formula>0</formula>
    </cfRule>
  </conditionalFormatting>
  <conditionalFormatting sqref="H211:H227">
    <cfRule type="cellIs" dxfId="2534" priority="2530" stopIfTrue="1" operator="lessThan">
      <formula>0</formula>
    </cfRule>
    <cfRule type="cellIs" dxfId="2533" priority="2531" stopIfTrue="1" operator="lessThan">
      <formula>0</formula>
    </cfRule>
  </conditionalFormatting>
  <conditionalFormatting sqref="H211:H227">
    <cfRule type="cellIs" dxfId="2532" priority="2528" stopIfTrue="1" operator="lessThan">
      <formula>0</formula>
    </cfRule>
    <cfRule type="cellIs" dxfId="2531" priority="2529" stopIfTrue="1" operator="lessThan">
      <formula>0</formula>
    </cfRule>
  </conditionalFormatting>
  <conditionalFormatting sqref="H211:H227">
    <cfRule type="cellIs" dxfId="2530" priority="2526" stopIfTrue="1" operator="lessThan">
      <formula>0.05</formula>
    </cfRule>
    <cfRule type="cellIs" dxfId="2529" priority="2527" stopIfTrue="1" operator="lessThan">
      <formula>0</formula>
    </cfRule>
  </conditionalFormatting>
  <conditionalFormatting sqref="H211:H227">
    <cfRule type="cellIs" dxfId="2528" priority="2524" stopIfTrue="1" operator="lessThan">
      <formula>0</formula>
    </cfRule>
    <cfRule type="cellIs" dxfId="2527" priority="2525" stopIfTrue="1" operator="lessThan">
      <formula>0</formula>
    </cfRule>
  </conditionalFormatting>
  <conditionalFormatting sqref="H211:H227">
    <cfRule type="cellIs" dxfId="2526" priority="2522" stopIfTrue="1" operator="lessThan">
      <formula>0</formula>
    </cfRule>
    <cfRule type="cellIs" dxfId="2525" priority="2523" stopIfTrue="1" operator="lessThan">
      <formula>0</formula>
    </cfRule>
  </conditionalFormatting>
  <conditionalFormatting sqref="H211:H227">
    <cfRule type="cellIs" dxfId="2524" priority="2520" stopIfTrue="1" operator="lessThan">
      <formula>0.05</formula>
    </cfRule>
    <cfRule type="cellIs" dxfId="2523" priority="2521" stopIfTrue="1" operator="lessThan">
      <formula>0</formula>
    </cfRule>
  </conditionalFormatting>
  <conditionalFormatting sqref="H211:H227">
    <cfRule type="cellIs" dxfId="2522" priority="2518" stopIfTrue="1" operator="lessThan">
      <formula>0</formula>
    </cfRule>
    <cfRule type="cellIs" dxfId="2521" priority="2519" stopIfTrue="1" operator="lessThan">
      <formula>0</formula>
    </cfRule>
  </conditionalFormatting>
  <conditionalFormatting sqref="H211:H227">
    <cfRule type="cellIs" dxfId="2520" priority="2516" stopIfTrue="1" operator="lessThan">
      <formula>0</formula>
    </cfRule>
    <cfRule type="cellIs" dxfId="2519" priority="2517" stopIfTrue="1" operator="lessThan">
      <formula>0</formula>
    </cfRule>
  </conditionalFormatting>
  <conditionalFormatting sqref="H211:H227">
    <cfRule type="cellIs" dxfId="2518" priority="2514" stopIfTrue="1" operator="lessThan">
      <formula>0.05</formula>
    </cfRule>
    <cfRule type="cellIs" dxfId="2517" priority="2515" stopIfTrue="1" operator="lessThan">
      <formula>0</formula>
    </cfRule>
  </conditionalFormatting>
  <conditionalFormatting sqref="H211:H227">
    <cfRule type="cellIs" dxfId="2516" priority="2512" stopIfTrue="1" operator="lessThan">
      <formula>0</formula>
    </cfRule>
    <cfRule type="cellIs" dxfId="2515" priority="2513" stopIfTrue="1" operator="lessThan">
      <formula>0</formula>
    </cfRule>
  </conditionalFormatting>
  <conditionalFormatting sqref="H211:H227">
    <cfRule type="cellIs" dxfId="2514" priority="2510" stopIfTrue="1" operator="lessThan">
      <formula>0</formula>
    </cfRule>
    <cfRule type="cellIs" dxfId="2513" priority="2511" stopIfTrue="1" operator="lessThan">
      <formula>0</formula>
    </cfRule>
  </conditionalFormatting>
  <conditionalFormatting sqref="H211:H227">
    <cfRule type="cellIs" dxfId="2512" priority="2508" stopIfTrue="1" operator="lessThan">
      <formula>0.05</formula>
    </cfRule>
    <cfRule type="cellIs" dxfId="2511" priority="2509" stopIfTrue="1" operator="lessThan">
      <formula>0</formula>
    </cfRule>
  </conditionalFormatting>
  <conditionalFormatting sqref="H211:H227">
    <cfRule type="cellIs" dxfId="2510" priority="2506" stopIfTrue="1" operator="lessThan">
      <formula>0</formula>
    </cfRule>
    <cfRule type="cellIs" dxfId="2509" priority="2507" stopIfTrue="1" operator="lessThan">
      <formula>0</formula>
    </cfRule>
  </conditionalFormatting>
  <conditionalFormatting sqref="H211:H227">
    <cfRule type="cellIs" dxfId="2508" priority="2504" stopIfTrue="1" operator="lessThan">
      <formula>0</formula>
    </cfRule>
    <cfRule type="cellIs" dxfId="2507" priority="2505" stopIfTrue="1" operator="lessThan">
      <formula>0</formula>
    </cfRule>
  </conditionalFormatting>
  <conditionalFormatting sqref="H211:H227">
    <cfRule type="cellIs" dxfId="2506" priority="2502" stopIfTrue="1" operator="lessThan">
      <formula>0.05</formula>
    </cfRule>
    <cfRule type="cellIs" dxfId="2505" priority="2503" stopIfTrue="1" operator="lessThan">
      <formula>0</formula>
    </cfRule>
  </conditionalFormatting>
  <conditionalFormatting sqref="H211:H227">
    <cfRule type="cellIs" dxfId="2504" priority="2500" stopIfTrue="1" operator="lessThan">
      <formula>0</formula>
    </cfRule>
    <cfRule type="cellIs" dxfId="2503" priority="2501" stopIfTrue="1" operator="lessThan">
      <formula>0</formula>
    </cfRule>
  </conditionalFormatting>
  <conditionalFormatting sqref="H211:H227">
    <cfRule type="cellIs" dxfId="2502" priority="2498" stopIfTrue="1" operator="lessThan">
      <formula>0</formula>
    </cfRule>
    <cfRule type="cellIs" dxfId="2501" priority="2499" stopIfTrue="1" operator="lessThan">
      <formula>0</formula>
    </cfRule>
  </conditionalFormatting>
  <conditionalFormatting sqref="H211:H227">
    <cfRule type="cellIs" dxfId="2500" priority="2496" stopIfTrue="1" operator="lessThan">
      <formula>0.05</formula>
    </cfRule>
    <cfRule type="cellIs" dxfId="2499" priority="2497" stopIfTrue="1" operator="lessThan">
      <formula>0</formula>
    </cfRule>
  </conditionalFormatting>
  <conditionalFormatting sqref="H211:H227">
    <cfRule type="cellIs" dxfId="2498" priority="2494" stopIfTrue="1" operator="lessThan">
      <formula>0</formula>
    </cfRule>
    <cfRule type="cellIs" dxfId="2497" priority="2495" stopIfTrue="1" operator="lessThan">
      <formula>0</formula>
    </cfRule>
  </conditionalFormatting>
  <conditionalFormatting sqref="H211:H227">
    <cfRule type="cellIs" dxfId="2496" priority="2492" stopIfTrue="1" operator="lessThan">
      <formula>0</formula>
    </cfRule>
    <cfRule type="cellIs" dxfId="2495" priority="2493" stopIfTrue="1" operator="lessThan">
      <formula>0</formula>
    </cfRule>
  </conditionalFormatting>
  <conditionalFormatting sqref="H211:H227">
    <cfRule type="cellIs" dxfId="2494" priority="2490" stopIfTrue="1" operator="lessThan">
      <formula>0.05</formula>
    </cfRule>
    <cfRule type="cellIs" dxfId="2493" priority="2491" stopIfTrue="1" operator="lessThan">
      <formula>0</formula>
    </cfRule>
  </conditionalFormatting>
  <conditionalFormatting sqref="H211:H227">
    <cfRule type="cellIs" dxfId="2492" priority="2488" stopIfTrue="1" operator="lessThan">
      <formula>0</formula>
    </cfRule>
    <cfRule type="cellIs" dxfId="2491" priority="2489" stopIfTrue="1" operator="lessThan">
      <formula>0</formula>
    </cfRule>
  </conditionalFormatting>
  <conditionalFormatting sqref="H211:H227">
    <cfRule type="cellIs" dxfId="2490" priority="2486" stopIfTrue="1" operator="lessThan">
      <formula>0</formula>
    </cfRule>
    <cfRule type="cellIs" dxfId="2489" priority="2487" stopIfTrue="1" operator="lessThan">
      <formula>0</formula>
    </cfRule>
  </conditionalFormatting>
  <conditionalFormatting sqref="H211:H227">
    <cfRule type="cellIs" dxfId="2488" priority="2484" stopIfTrue="1" operator="lessThan">
      <formula>0.05</formula>
    </cfRule>
    <cfRule type="cellIs" dxfId="2487" priority="2485" stopIfTrue="1" operator="lessThan">
      <formula>0</formula>
    </cfRule>
  </conditionalFormatting>
  <conditionalFormatting sqref="H211:H227">
    <cfRule type="cellIs" dxfId="2486" priority="2482" stopIfTrue="1" operator="lessThan">
      <formula>0</formula>
    </cfRule>
    <cfRule type="cellIs" dxfId="2485" priority="2483" stopIfTrue="1" operator="lessThan">
      <formula>0</formula>
    </cfRule>
  </conditionalFormatting>
  <conditionalFormatting sqref="H211:H227">
    <cfRule type="cellIs" dxfId="2484" priority="2480" stopIfTrue="1" operator="lessThan">
      <formula>0</formula>
    </cfRule>
    <cfRule type="cellIs" dxfId="2483" priority="2481" stopIfTrue="1" operator="lessThan">
      <formula>0</formula>
    </cfRule>
  </conditionalFormatting>
  <conditionalFormatting sqref="H211:H227">
    <cfRule type="cellIs" dxfId="2482" priority="2478" stopIfTrue="1" operator="lessThan">
      <formula>0.05</formula>
    </cfRule>
    <cfRule type="cellIs" dxfId="2481" priority="2479" stopIfTrue="1" operator="lessThan">
      <formula>0</formula>
    </cfRule>
  </conditionalFormatting>
  <conditionalFormatting sqref="H211:H227">
    <cfRule type="cellIs" dxfId="2480" priority="2476" stopIfTrue="1" operator="lessThan">
      <formula>0</formula>
    </cfRule>
    <cfRule type="cellIs" dxfId="2479" priority="2477" stopIfTrue="1" operator="lessThan">
      <formula>0</formula>
    </cfRule>
  </conditionalFormatting>
  <conditionalFormatting sqref="H211:H227">
    <cfRule type="cellIs" dxfId="2478" priority="2474" stopIfTrue="1" operator="lessThan">
      <formula>0</formula>
    </cfRule>
    <cfRule type="cellIs" dxfId="2477" priority="2475" stopIfTrue="1" operator="lessThan">
      <formula>0</formula>
    </cfRule>
  </conditionalFormatting>
  <conditionalFormatting sqref="H211:H227">
    <cfRule type="cellIs" dxfId="2476" priority="2472" stopIfTrue="1" operator="lessThan">
      <formula>0.05</formula>
    </cfRule>
    <cfRule type="cellIs" dxfId="2475" priority="2473" stopIfTrue="1" operator="lessThan">
      <formula>0</formula>
    </cfRule>
  </conditionalFormatting>
  <conditionalFormatting sqref="H211:H227">
    <cfRule type="cellIs" dxfId="2474" priority="2470" stopIfTrue="1" operator="lessThan">
      <formula>0</formula>
    </cfRule>
    <cfRule type="cellIs" dxfId="2473" priority="2471" stopIfTrue="1" operator="lessThan">
      <formula>0</formula>
    </cfRule>
  </conditionalFormatting>
  <conditionalFormatting sqref="H211:H227">
    <cfRule type="cellIs" dxfId="2472" priority="2468" stopIfTrue="1" operator="lessThan">
      <formula>0</formula>
    </cfRule>
    <cfRule type="cellIs" dxfId="2471" priority="2469" stopIfTrue="1" operator="lessThan">
      <formula>0</formula>
    </cfRule>
  </conditionalFormatting>
  <conditionalFormatting sqref="H211:H227">
    <cfRule type="cellIs" dxfId="2470" priority="2466" stopIfTrue="1" operator="lessThan">
      <formula>0.05</formula>
    </cfRule>
    <cfRule type="cellIs" dxfId="2469" priority="2467" stopIfTrue="1" operator="lessThan">
      <formula>0</formula>
    </cfRule>
  </conditionalFormatting>
  <conditionalFormatting sqref="H211:H227">
    <cfRule type="cellIs" dxfId="2468" priority="2464" stopIfTrue="1" operator="lessThan">
      <formula>0</formula>
    </cfRule>
    <cfRule type="cellIs" dxfId="2467" priority="2465" stopIfTrue="1" operator="lessThan">
      <formula>0</formula>
    </cfRule>
  </conditionalFormatting>
  <conditionalFormatting sqref="H211:H227">
    <cfRule type="cellIs" dxfId="2466" priority="2462" stopIfTrue="1" operator="lessThan">
      <formula>0</formula>
    </cfRule>
    <cfRule type="cellIs" dxfId="2465" priority="2463" stopIfTrue="1" operator="lessThan">
      <formula>0</formula>
    </cfRule>
  </conditionalFormatting>
  <conditionalFormatting sqref="H211:H227">
    <cfRule type="cellIs" dxfId="2464" priority="2460" stopIfTrue="1" operator="lessThan">
      <formula>0.05</formula>
    </cfRule>
    <cfRule type="cellIs" dxfId="2463" priority="2461" stopIfTrue="1" operator="lessThan">
      <formula>0</formula>
    </cfRule>
  </conditionalFormatting>
  <conditionalFormatting sqref="H211:H227">
    <cfRule type="cellIs" dxfId="2462" priority="2458" stopIfTrue="1" operator="lessThan">
      <formula>0</formula>
    </cfRule>
    <cfRule type="cellIs" dxfId="2461" priority="2459" stopIfTrue="1" operator="lessThan">
      <formula>0</formula>
    </cfRule>
  </conditionalFormatting>
  <conditionalFormatting sqref="H211:H227">
    <cfRule type="cellIs" dxfId="2460" priority="2456" stopIfTrue="1" operator="lessThan">
      <formula>0</formula>
    </cfRule>
    <cfRule type="cellIs" dxfId="2459" priority="2457" stopIfTrue="1" operator="lessThan">
      <formula>0</formula>
    </cfRule>
  </conditionalFormatting>
  <conditionalFormatting sqref="H211:H227">
    <cfRule type="cellIs" dxfId="2458" priority="2454" stopIfTrue="1" operator="lessThan">
      <formula>0.05</formula>
    </cfRule>
    <cfRule type="cellIs" dxfId="2457" priority="2455" stopIfTrue="1" operator="lessThan">
      <formula>0</formula>
    </cfRule>
  </conditionalFormatting>
  <conditionalFormatting sqref="H211:H227">
    <cfRule type="cellIs" dxfId="2456" priority="2452" stopIfTrue="1" operator="lessThan">
      <formula>0</formula>
    </cfRule>
    <cfRule type="cellIs" dxfId="2455" priority="2453" stopIfTrue="1" operator="lessThan">
      <formula>0</formula>
    </cfRule>
  </conditionalFormatting>
  <conditionalFormatting sqref="H211:H227">
    <cfRule type="cellIs" dxfId="2454" priority="2450" stopIfTrue="1" operator="lessThan">
      <formula>0</formula>
    </cfRule>
    <cfRule type="cellIs" dxfId="2453" priority="2451" stopIfTrue="1" operator="lessThan">
      <formula>0</formula>
    </cfRule>
  </conditionalFormatting>
  <conditionalFormatting sqref="H211:H227">
    <cfRule type="cellIs" dxfId="2452" priority="2448" stopIfTrue="1" operator="lessThan">
      <formula>0.05</formula>
    </cfRule>
    <cfRule type="cellIs" dxfId="2451" priority="2449" stopIfTrue="1" operator="lessThan">
      <formula>0</formula>
    </cfRule>
  </conditionalFormatting>
  <conditionalFormatting sqref="H211:H227">
    <cfRule type="cellIs" dxfId="2450" priority="2446" stopIfTrue="1" operator="lessThan">
      <formula>0</formula>
    </cfRule>
    <cfRule type="cellIs" dxfId="2449" priority="2447" stopIfTrue="1" operator="lessThan">
      <formula>0</formula>
    </cfRule>
  </conditionalFormatting>
  <conditionalFormatting sqref="H211:H227">
    <cfRule type="cellIs" dxfId="2448" priority="2444" stopIfTrue="1" operator="lessThan">
      <formula>0.05</formula>
    </cfRule>
    <cfRule type="cellIs" dxfId="2447" priority="2445" stopIfTrue="1" operator="lessThan">
      <formula>0</formula>
    </cfRule>
  </conditionalFormatting>
  <conditionalFormatting sqref="H211:H227">
    <cfRule type="cellIs" dxfId="2446" priority="2442" stopIfTrue="1" operator="lessThan">
      <formula>0</formula>
    </cfRule>
    <cfRule type="cellIs" dxfId="2445" priority="2443" stopIfTrue="1" operator="lessThan">
      <formula>0</formula>
    </cfRule>
  </conditionalFormatting>
  <conditionalFormatting sqref="H211:H227">
    <cfRule type="cellIs" dxfId="2444" priority="2440" stopIfTrue="1" operator="lessThan">
      <formula>0.05</formula>
    </cfRule>
    <cfRule type="cellIs" dxfId="2443" priority="2441" stopIfTrue="1" operator="lessThan">
      <formula>0</formula>
    </cfRule>
  </conditionalFormatting>
  <conditionalFormatting sqref="H211:H227">
    <cfRule type="cellIs" dxfId="2442" priority="2438" stopIfTrue="1" operator="lessThan">
      <formula>0</formula>
    </cfRule>
    <cfRule type="cellIs" dxfId="2441" priority="2439" stopIfTrue="1" operator="lessThan">
      <formula>0</formula>
    </cfRule>
  </conditionalFormatting>
  <conditionalFormatting sqref="H211:H227">
    <cfRule type="cellIs" dxfId="2440" priority="2436" stopIfTrue="1" operator="lessThan">
      <formula>0</formula>
    </cfRule>
    <cfRule type="cellIs" dxfId="2439" priority="2437" stopIfTrue="1" operator="lessThan">
      <formula>0</formula>
    </cfRule>
  </conditionalFormatting>
  <conditionalFormatting sqref="H211:H227">
    <cfRule type="cellIs" dxfId="2438" priority="2434" stopIfTrue="1" operator="lessThan">
      <formula>0</formula>
    </cfRule>
    <cfRule type="cellIs" dxfId="2437" priority="2435" stopIfTrue="1" operator="lessThan">
      <formula>0</formula>
    </cfRule>
  </conditionalFormatting>
  <conditionalFormatting sqref="H211:H227">
    <cfRule type="cellIs" dxfId="2436" priority="2432" stopIfTrue="1" operator="lessThan">
      <formula>0.05</formula>
    </cfRule>
    <cfRule type="cellIs" dxfId="2435" priority="2433" stopIfTrue="1" operator="lessThan">
      <formula>0</formula>
    </cfRule>
  </conditionalFormatting>
  <conditionalFormatting sqref="H211:H227">
    <cfRule type="cellIs" dxfId="2434" priority="2430" stopIfTrue="1" operator="lessThan">
      <formula>0</formula>
    </cfRule>
    <cfRule type="cellIs" dxfId="2433" priority="2431" stopIfTrue="1" operator="lessThan">
      <formula>0</formula>
    </cfRule>
  </conditionalFormatting>
  <conditionalFormatting sqref="H211:H227">
    <cfRule type="cellIs" dxfId="2432" priority="2428" stopIfTrue="1" operator="lessThan">
      <formula>0.05</formula>
    </cfRule>
    <cfRule type="cellIs" dxfId="2431" priority="2429" stopIfTrue="1" operator="lessThan">
      <formula>0</formula>
    </cfRule>
  </conditionalFormatting>
  <conditionalFormatting sqref="H211:H227">
    <cfRule type="cellIs" dxfId="2430" priority="2426" stopIfTrue="1" operator="lessThan">
      <formula>0</formula>
    </cfRule>
    <cfRule type="cellIs" dxfId="2429" priority="2427" stopIfTrue="1" operator="lessThan">
      <formula>0</formula>
    </cfRule>
  </conditionalFormatting>
  <conditionalFormatting sqref="H211:H227">
    <cfRule type="cellIs" dxfId="2428" priority="2424" stopIfTrue="1" operator="lessThan">
      <formula>0.05</formula>
    </cfRule>
    <cfRule type="cellIs" dxfId="2427" priority="2425" stopIfTrue="1" operator="lessThan">
      <formula>0</formula>
    </cfRule>
  </conditionalFormatting>
  <conditionalFormatting sqref="H211:H227">
    <cfRule type="cellIs" dxfId="2426" priority="2422" stopIfTrue="1" operator="lessThan">
      <formula>0</formula>
    </cfRule>
    <cfRule type="cellIs" dxfId="2425" priority="2423" stopIfTrue="1" operator="lessThan">
      <formula>0</formula>
    </cfRule>
  </conditionalFormatting>
  <conditionalFormatting sqref="H211:H227">
    <cfRule type="cellIs" dxfId="2424" priority="2421" stopIfTrue="1" operator="lessThan">
      <formula>0.05</formula>
    </cfRule>
  </conditionalFormatting>
  <conditionalFormatting sqref="H211:H227">
    <cfRule type="cellIs" dxfId="2423" priority="2419" stopIfTrue="1" operator="lessThan">
      <formula>0</formula>
    </cfRule>
    <cfRule type="cellIs" dxfId="2422" priority="2420" stopIfTrue="1" operator="lessThan">
      <formula>0</formula>
    </cfRule>
  </conditionalFormatting>
  <conditionalFormatting sqref="H211:H227">
    <cfRule type="cellIs" dxfId="2421" priority="2417" stopIfTrue="1" operator="lessThan">
      <formula>0</formula>
    </cfRule>
    <cfRule type="cellIs" dxfId="2420" priority="2418" stopIfTrue="1" operator="lessThan">
      <formula>0</formula>
    </cfRule>
  </conditionalFormatting>
  <conditionalFormatting sqref="H211:H227">
    <cfRule type="cellIs" dxfId="2419" priority="2415" stopIfTrue="1" operator="lessThan">
      <formula>0</formula>
    </cfRule>
    <cfRule type="cellIs" dxfId="2418" priority="2416" stopIfTrue="1" operator="lessThan">
      <formula>0</formula>
    </cfRule>
  </conditionalFormatting>
  <conditionalFormatting sqref="H211:H227">
    <cfRule type="cellIs" dxfId="2417" priority="2413" stopIfTrue="1" operator="lessThan">
      <formula>0</formula>
    </cfRule>
    <cfRule type="cellIs" dxfId="2416" priority="2414" stopIfTrue="1" operator="lessThan">
      <formula>0</formula>
    </cfRule>
  </conditionalFormatting>
  <conditionalFormatting sqref="H211:H227">
    <cfRule type="cellIs" dxfId="2415" priority="2411" stopIfTrue="1" operator="lessThan">
      <formula>0</formula>
    </cfRule>
    <cfRule type="cellIs" dxfId="2414" priority="2412" stopIfTrue="1" operator="lessThan">
      <formula>0</formula>
    </cfRule>
  </conditionalFormatting>
  <conditionalFormatting sqref="H211:H227">
    <cfRule type="cellIs" dxfId="2413" priority="2409" stopIfTrue="1" operator="lessThan">
      <formula>0</formula>
    </cfRule>
    <cfRule type="cellIs" dxfId="2412" priority="2410" stopIfTrue="1" operator="lessThan">
      <formula>0</formula>
    </cfRule>
  </conditionalFormatting>
  <conditionalFormatting sqref="H211:H227">
    <cfRule type="cellIs" dxfId="2411" priority="2407" stopIfTrue="1" operator="lessThan">
      <formula>0</formula>
    </cfRule>
    <cfRule type="cellIs" dxfId="2410" priority="2408" stopIfTrue="1" operator="lessThan">
      <formula>0</formula>
    </cfRule>
  </conditionalFormatting>
  <conditionalFormatting sqref="H211:H227">
    <cfRule type="cellIs" dxfId="2409" priority="2405" stopIfTrue="1" operator="lessThan">
      <formula>0</formula>
    </cfRule>
    <cfRule type="cellIs" dxfId="2408" priority="2406" stopIfTrue="1" operator="lessThan">
      <formula>0</formula>
    </cfRule>
  </conditionalFormatting>
  <conditionalFormatting sqref="H211:H227">
    <cfRule type="cellIs" dxfId="2407" priority="2403" stopIfTrue="1" operator="lessThan">
      <formula>0</formula>
    </cfRule>
    <cfRule type="cellIs" dxfId="2406" priority="2404" stopIfTrue="1" operator="lessThan">
      <formula>0</formula>
    </cfRule>
  </conditionalFormatting>
  <conditionalFormatting sqref="H211:H227">
    <cfRule type="cellIs" dxfId="2405" priority="2401" stopIfTrue="1" operator="lessThan">
      <formula>0</formula>
    </cfRule>
    <cfRule type="cellIs" dxfId="2404" priority="2402" stopIfTrue="1" operator="lessThan">
      <formula>0</formula>
    </cfRule>
  </conditionalFormatting>
  <conditionalFormatting sqref="H211:H227">
    <cfRule type="cellIs" dxfId="2403" priority="2399" stopIfTrue="1" operator="lessThan">
      <formula>0</formula>
    </cfRule>
    <cfRule type="cellIs" dxfId="2402" priority="2400" stopIfTrue="1" operator="lessThan">
      <formula>0</formula>
    </cfRule>
  </conditionalFormatting>
  <conditionalFormatting sqref="H211:H227">
    <cfRule type="cellIs" dxfId="2401" priority="2397" stopIfTrue="1" operator="lessThan">
      <formula>0</formula>
    </cfRule>
    <cfRule type="cellIs" dxfId="2400" priority="2398" stopIfTrue="1" operator="lessThan">
      <formula>0</formula>
    </cfRule>
  </conditionalFormatting>
  <conditionalFormatting sqref="H211:H227">
    <cfRule type="cellIs" dxfId="2399" priority="2396" stopIfTrue="1" operator="lessThan">
      <formula>0.05</formula>
    </cfRule>
  </conditionalFormatting>
  <conditionalFormatting sqref="H211:H227">
    <cfRule type="cellIs" dxfId="2398" priority="2394" stopIfTrue="1" operator="lessThan">
      <formula>0</formula>
    </cfRule>
    <cfRule type="cellIs" dxfId="2397" priority="2395" stopIfTrue="1" operator="lessThan">
      <formula>0</formula>
    </cfRule>
  </conditionalFormatting>
  <conditionalFormatting sqref="H211:H227">
    <cfRule type="cellIs" dxfId="2396" priority="2393" stopIfTrue="1" operator="lessThan">
      <formula>0.05</formula>
    </cfRule>
  </conditionalFormatting>
  <conditionalFormatting sqref="H211:H227">
    <cfRule type="cellIs" dxfId="2395" priority="2391" stopIfTrue="1" operator="lessThan">
      <formula>0</formula>
    </cfRule>
    <cfRule type="cellIs" dxfId="2394" priority="2392" stopIfTrue="1" operator="lessThan">
      <formula>0</formula>
    </cfRule>
  </conditionalFormatting>
  <conditionalFormatting sqref="H211:H227">
    <cfRule type="cellIs" dxfId="2393" priority="2390" stopIfTrue="1" operator="lessThan">
      <formula>0.05</formula>
    </cfRule>
  </conditionalFormatting>
  <conditionalFormatting sqref="H211:H227">
    <cfRule type="cellIs" dxfId="2392" priority="2388" stopIfTrue="1" operator="lessThan">
      <formula>0</formula>
    </cfRule>
    <cfRule type="cellIs" dxfId="2391" priority="2389" stopIfTrue="1" operator="lessThan">
      <formula>0</formula>
    </cfRule>
  </conditionalFormatting>
  <conditionalFormatting sqref="H211:H227">
    <cfRule type="cellIs" dxfId="2390" priority="2387" stopIfTrue="1" operator="lessThan">
      <formula>0.05</formula>
    </cfRule>
  </conditionalFormatting>
  <conditionalFormatting sqref="H211:H227">
    <cfRule type="cellIs" dxfId="2389" priority="2385" stopIfTrue="1" operator="lessThan">
      <formula>0</formula>
    </cfRule>
    <cfRule type="cellIs" dxfId="2388" priority="2386" stopIfTrue="1" operator="lessThan">
      <formula>0</formula>
    </cfRule>
  </conditionalFormatting>
  <conditionalFormatting sqref="H211:H227">
    <cfRule type="cellIs" dxfId="2387" priority="2384" stopIfTrue="1" operator="lessThan">
      <formula>0.05</formula>
    </cfRule>
  </conditionalFormatting>
  <conditionalFormatting sqref="H211:H227">
    <cfRule type="cellIs" dxfId="2386" priority="2382" stopIfTrue="1" operator="lessThan">
      <formula>0</formula>
    </cfRule>
    <cfRule type="cellIs" dxfId="2385" priority="2383" stopIfTrue="1" operator="lessThan">
      <formula>0</formula>
    </cfRule>
  </conditionalFormatting>
  <conditionalFormatting sqref="H211:H227">
    <cfRule type="cellIs" dxfId="2384" priority="2381" stopIfTrue="1" operator="lessThan">
      <formula>0.05</formula>
    </cfRule>
  </conditionalFormatting>
  <conditionalFormatting sqref="H211:H227">
    <cfRule type="cellIs" dxfId="2383" priority="2379" stopIfTrue="1" operator="lessThan">
      <formula>0</formula>
    </cfRule>
    <cfRule type="cellIs" dxfId="2382" priority="2380" stopIfTrue="1" operator="lessThan">
      <formula>0</formula>
    </cfRule>
  </conditionalFormatting>
  <conditionalFormatting sqref="H211:H227">
    <cfRule type="cellIs" dxfId="2381" priority="2378" stopIfTrue="1" operator="lessThan">
      <formula>0.05</formula>
    </cfRule>
  </conditionalFormatting>
  <conditionalFormatting sqref="H211:H227">
    <cfRule type="cellIs" dxfId="2380" priority="2376" stopIfTrue="1" operator="lessThan">
      <formula>0</formula>
    </cfRule>
    <cfRule type="cellIs" dxfId="2379" priority="2377" stopIfTrue="1" operator="lessThan">
      <formula>0</formula>
    </cfRule>
  </conditionalFormatting>
  <conditionalFormatting sqref="H211:H227">
    <cfRule type="cellIs" dxfId="2378" priority="2374" stopIfTrue="1" operator="lessThan">
      <formula>0</formula>
    </cfRule>
    <cfRule type="cellIs" dxfId="2377" priority="2375" stopIfTrue="1" operator="lessThan">
      <formula>0</formula>
    </cfRule>
  </conditionalFormatting>
  <conditionalFormatting sqref="H211:H227">
    <cfRule type="cellIs" dxfId="2376" priority="2372" stopIfTrue="1" operator="lessThan">
      <formula>0.05</formula>
    </cfRule>
    <cfRule type="cellIs" dxfId="2375" priority="2373" stopIfTrue="1" operator="lessThan">
      <formula>0</formula>
    </cfRule>
  </conditionalFormatting>
  <conditionalFormatting sqref="H211:H227">
    <cfRule type="cellIs" dxfId="2374" priority="2370" stopIfTrue="1" operator="lessThan">
      <formula>0</formula>
    </cfRule>
    <cfRule type="cellIs" dxfId="2373" priority="2371" stopIfTrue="1" operator="lessThan">
      <formula>0</formula>
    </cfRule>
  </conditionalFormatting>
  <conditionalFormatting sqref="H211:H227">
    <cfRule type="cellIs" dxfId="2372" priority="2368" stopIfTrue="1" operator="lessThan">
      <formula>0.05</formula>
    </cfRule>
    <cfRule type="cellIs" dxfId="2371" priority="2369" stopIfTrue="1" operator="lessThan">
      <formula>0</formula>
    </cfRule>
  </conditionalFormatting>
  <conditionalFormatting sqref="H211:H227">
    <cfRule type="cellIs" dxfId="2370" priority="2366" stopIfTrue="1" operator="lessThan">
      <formula>0</formula>
    </cfRule>
    <cfRule type="cellIs" dxfId="2369" priority="2367" stopIfTrue="1" operator="lessThan">
      <formula>0</formula>
    </cfRule>
  </conditionalFormatting>
  <conditionalFormatting sqref="H211:H227">
    <cfRule type="cellIs" dxfId="2368" priority="2364" stopIfTrue="1" operator="lessThan">
      <formula>0.05</formula>
    </cfRule>
    <cfRule type="cellIs" dxfId="2367" priority="2365" stopIfTrue="1" operator="lessThan">
      <formula>0</formula>
    </cfRule>
  </conditionalFormatting>
  <conditionalFormatting sqref="H211:H227">
    <cfRule type="cellIs" dxfId="2366" priority="2362" stopIfTrue="1" operator="lessThan">
      <formula>0</formula>
    </cfRule>
    <cfRule type="cellIs" dxfId="2365" priority="2363" stopIfTrue="1" operator="lessThan">
      <formula>0</formula>
    </cfRule>
  </conditionalFormatting>
  <conditionalFormatting sqref="H211:H227">
    <cfRule type="cellIs" dxfId="2364" priority="2360" stopIfTrue="1" operator="lessThan">
      <formula>0</formula>
    </cfRule>
    <cfRule type="cellIs" dxfId="2363" priority="2361" stopIfTrue="1" operator="lessThan">
      <formula>0</formula>
    </cfRule>
  </conditionalFormatting>
  <conditionalFormatting sqref="H211:H227">
    <cfRule type="cellIs" dxfId="2362" priority="2358" stopIfTrue="1" operator="lessThan">
      <formula>0</formula>
    </cfRule>
    <cfRule type="cellIs" dxfId="2361" priority="2359" stopIfTrue="1" operator="lessThan">
      <formula>0</formula>
    </cfRule>
  </conditionalFormatting>
  <conditionalFormatting sqref="H211:H227">
    <cfRule type="cellIs" dxfId="2360" priority="2356" stopIfTrue="1" operator="lessThan">
      <formula>0.05</formula>
    </cfRule>
    <cfRule type="cellIs" dxfId="2359" priority="2357" stopIfTrue="1" operator="lessThan">
      <formula>0</formula>
    </cfRule>
  </conditionalFormatting>
  <conditionalFormatting sqref="H211:H227">
    <cfRule type="cellIs" dxfId="2358" priority="2354" stopIfTrue="1" operator="lessThan">
      <formula>0</formula>
    </cfRule>
    <cfRule type="cellIs" dxfId="2357" priority="2355" stopIfTrue="1" operator="lessThan">
      <formula>0</formula>
    </cfRule>
  </conditionalFormatting>
  <conditionalFormatting sqref="H211:H227">
    <cfRule type="cellIs" dxfId="2356" priority="2352" stopIfTrue="1" operator="lessThan">
      <formula>0.05</formula>
    </cfRule>
    <cfRule type="cellIs" dxfId="2355" priority="2353" stopIfTrue="1" operator="lessThan">
      <formula>0</formula>
    </cfRule>
  </conditionalFormatting>
  <conditionalFormatting sqref="H211:H227">
    <cfRule type="cellIs" dxfId="2354" priority="2350" stopIfTrue="1" operator="lessThan">
      <formula>0</formula>
    </cfRule>
    <cfRule type="cellIs" dxfId="2353" priority="2351" stopIfTrue="1" operator="lessThan">
      <formula>0</formula>
    </cfRule>
  </conditionalFormatting>
  <conditionalFormatting sqref="H211:H227">
    <cfRule type="cellIs" dxfId="2352" priority="2348" stopIfTrue="1" operator="lessThan">
      <formula>0.05</formula>
    </cfRule>
    <cfRule type="cellIs" dxfId="2351" priority="2349" stopIfTrue="1" operator="lessThan">
      <formula>0</formula>
    </cfRule>
  </conditionalFormatting>
  <conditionalFormatting sqref="H211:H227">
    <cfRule type="cellIs" dxfId="2350" priority="2346" stopIfTrue="1" operator="lessThan">
      <formula>0</formula>
    </cfRule>
    <cfRule type="cellIs" dxfId="2349" priority="2347" stopIfTrue="1" operator="lessThan">
      <formula>0</formula>
    </cfRule>
  </conditionalFormatting>
  <conditionalFormatting sqref="H211:H227">
    <cfRule type="cellIs" dxfId="2348" priority="2344" stopIfTrue="1" operator="lessThan">
      <formula>0</formula>
    </cfRule>
    <cfRule type="cellIs" dxfId="2347" priority="2345" stopIfTrue="1" operator="lessThan">
      <formula>0</formula>
    </cfRule>
  </conditionalFormatting>
  <conditionalFormatting sqref="H211:H227">
    <cfRule type="cellIs" dxfId="2346" priority="2342" stopIfTrue="1" operator="lessThan">
      <formula>0</formula>
    </cfRule>
    <cfRule type="cellIs" dxfId="2345" priority="2343" stopIfTrue="1" operator="lessThan">
      <formula>0</formula>
    </cfRule>
  </conditionalFormatting>
  <conditionalFormatting sqref="H211:H227">
    <cfRule type="cellIs" dxfId="2344" priority="2340" stopIfTrue="1" operator="lessThan">
      <formula>0.05</formula>
    </cfRule>
    <cfRule type="cellIs" dxfId="2343" priority="2341" stopIfTrue="1" operator="lessThan">
      <formula>0</formula>
    </cfRule>
  </conditionalFormatting>
  <conditionalFormatting sqref="H211:H227">
    <cfRule type="cellIs" dxfId="2342" priority="2338" stopIfTrue="1" operator="lessThan">
      <formula>0</formula>
    </cfRule>
    <cfRule type="cellIs" dxfId="2341" priority="2339" stopIfTrue="1" operator="lessThan">
      <formula>0</formula>
    </cfRule>
  </conditionalFormatting>
  <conditionalFormatting sqref="H211:H227">
    <cfRule type="cellIs" dxfId="2340" priority="2336" stopIfTrue="1" operator="lessThan">
      <formula>0.05</formula>
    </cfRule>
    <cfRule type="cellIs" dxfId="2339" priority="2337" stopIfTrue="1" operator="lessThan">
      <formula>0</formula>
    </cfRule>
  </conditionalFormatting>
  <conditionalFormatting sqref="H211:H227">
    <cfRule type="cellIs" dxfId="2338" priority="2334" stopIfTrue="1" operator="lessThan">
      <formula>0</formula>
    </cfRule>
    <cfRule type="cellIs" dxfId="2337" priority="2335" stopIfTrue="1" operator="lessThan">
      <formula>0</formula>
    </cfRule>
  </conditionalFormatting>
  <conditionalFormatting sqref="H211:H227">
    <cfRule type="cellIs" dxfId="2336" priority="2332" stopIfTrue="1" operator="lessThan">
      <formula>0.05</formula>
    </cfRule>
    <cfRule type="cellIs" dxfId="2335" priority="2333" stopIfTrue="1" operator="lessThan">
      <formula>0</formula>
    </cfRule>
  </conditionalFormatting>
  <conditionalFormatting sqref="H211:H227">
    <cfRule type="cellIs" dxfId="2334" priority="2330" stopIfTrue="1" operator="lessThan">
      <formula>0</formula>
    </cfRule>
    <cfRule type="cellIs" dxfId="2333" priority="2331" stopIfTrue="1" operator="lessThan">
      <formula>0</formula>
    </cfRule>
  </conditionalFormatting>
  <conditionalFormatting sqref="H211:H227">
    <cfRule type="cellIs" dxfId="2332" priority="2328" stopIfTrue="1" operator="lessThan">
      <formula>0</formula>
    </cfRule>
    <cfRule type="cellIs" dxfId="2331" priority="2329" stopIfTrue="1" operator="lessThan">
      <formula>0</formula>
    </cfRule>
  </conditionalFormatting>
  <conditionalFormatting sqref="H211:H227">
    <cfRule type="cellIs" dxfId="2330" priority="2326" stopIfTrue="1" operator="lessThan">
      <formula>0</formula>
    </cfRule>
    <cfRule type="cellIs" dxfId="2329" priority="2327" stopIfTrue="1" operator="lessThan">
      <formula>0</formula>
    </cfRule>
  </conditionalFormatting>
  <conditionalFormatting sqref="H211:H227">
    <cfRule type="cellIs" dxfId="2328" priority="2324" stopIfTrue="1" operator="lessThan">
      <formula>0.05</formula>
    </cfRule>
    <cfRule type="cellIs" dxfId="2327" priority="2325" stopIfTrue="1" operator="lessThan">
      <formula>0</formula>
    </cfRule>
  </conditionalFormatting>
  <conditionalFormatting sqref="H211:H227">
    <cfRule type="cellIs" dxfId="2326" priority="2322" stopIfTrue="1" operator="lessThan">
      <formula>0</formula>
    </cfRule>
    <cfRule type="cellIs" dxfId="2325" priority="2323" stopIfTrue="1" operator="lessThan">
      <formula>0</formula>
    </cfRule>
  </conditionalFormatting>
  <conditionalFormatting sqref="H211:H227">
    <cfRule type="cellIs" dxfId="2324" priority="2320" stopIfTrue="1" operator="lessThan">
      <formula>0.05</formula>
    </cfRule>
    <cfRule type="cellIs" dxfId="2323" priority="2321" stopIfTrue="1" operator="lessThan">
      <formula>0</formula>
    </cfRule>
  </conditionalFormatting>
  <conditionalFormatting sqref="H211:H227">
    <cfRule type="cellIs" dxfId="2322" priority="2318" stopIfTrue="1" operator="lessThan">
      <formula>0</formula>
    </cfRule>
    <cfRule type="cellIs" dxfId="2321" priority="2319" stopIfTrue="1" operator="lessThan">
      <formula>0</formula>
    </cfRule>
  </conditionalFormatting>
  <conditionalFormatting sqref="H211:H227">
    <cfRule type="cellIs" dxfId="2320" priority="2316" stopIfTrue="1" operator="lessThan">
      <formula>0.05</formula>
    </cfRule>
    <cfRule type="cellIs" dxfId="2319" priority="2317" stopIfTrue="1" operator="lessThan">
      <formula>0</formula>
    </cfRule>
  </conditionalFormatting>
  <conditionalFormatting sqref="H211:H227">
    <cfRule type="cellIs" dxfId="2318" priority="2314" stopIfTrue="1" operator="lessThan">
      <formula>0</formula>
    </cfRule>
    <cfRule type="cellIs" dxfId="2317" priority="2315" stopIfTrue="1" operator="lessThan">
      <formula>0</formula>
    </cfRule>
  </conditionalFormatting>
  <conditionalFormatting sqref="H211:H227">
    <cfRule type="cellIs" dxfId="2316" priority="2312" stopIfTrue="1" operator="lessThan">
      <formula>0</formula>
    </cfRule>
    <cfRule type="cellIs" dxfId="2315" priority="2313" stopIfTrue="1" operator="lessThan">
      <formula>0</formula>
    </cfRule>
  </conditionalFormatting>
  <conditionalFormatting sqref="H211:H227">
    <cfRule type="cellIs" dxfId="2314" priority="2310" stopIfTrue="1" operator="lessThan">
      <formula>0.05</formula>
    </cfRule>
    <cfRule type="cellIs" dxfId="2313" priority="2311" stopIfTrue="1" operator="lessThan">
      <formula>0</formula>
    </cfRule>
  </conditionalFormatting>
  <conditionalFormatting sqref="H211:H227">
    <cfRule type="cellIs" dxfId="2312" priority="2308" stopIfTrue="1" operator="lessThan">
      <formula>0</formula>
    </cfRule>
    <cfRule type="cellIs" dxfId="2311" priority="2309" stopIfTrue="1" operator="lessThan">
      <formula>0</formula>
    </cfRule>
  </conditionalFormatting>
  <conditionalFormatting sqref="H211:H227">
    <cfRule type="cellIs" dxfId="2310" priority="2306" stopIfTrue="1" operator="lessThan">
      <formula>0</formula>
    </cfRule>
    <cfRule type="cellIs" dxfId="2309" priority="2307" stopIfTrue="1" operator="lessThan">
      <formula>0</formula>
    </cfRule>
  </conditionalFormatting>
  <conditionalFormatting sqref="H211:H227">
    <cfRule type="cellIs" dxfId="2308" priority="2304" stopIfTrue="1" operator="lessThan">
      <formula>0.05</formula>
    </cfRule>
    <cfRule type="cellIs" dxfId="2307" priority="2305" stopIfTrue="1" operator="lessThan">
      <formula>0</formula>
    </cfRule>
  </conditionalFormatting>
  <conditionalFormatting sqref="H211:H227">
    <cfRule type="cellIs" dxfId="2306" priority="2302" stopIfTrue="1" operator="lessThan">
      <formula>0</formula>
    </cfRule>
    <cfRule type="cellIs" dxfId="2305" priority="2303" stopIfTrue="1" operator="lessThan">
      <formula>0</formula>
    </cfRule>
  </conditionalFormatting>
  <conditionalFormatting sqref="H211:H227">
    <cfRule type="cellIs" dxfId="2304" priority="2300" stopIfTrue="1" operator="lessThan">
      <formula>0</formula>
    </cfRule>
    <cfRule type="cellIs" dxfId="2303" priority="2301" stopIfTrue="1" operator="lessThan">
      <formula>0</formula>
    </cfRule>
  </conditionalFormatting>
  <conditionalFormatting sqref="H211:H227">
    <cfRule type="cellIs" dxfId="2302" priority="2298" stopIfTrue="1" operator="lessThan">
      <formula>0.05</formula>
    </cfRule>
    <cfRule type="cellIs" dxfId="2301" priority="2299" stopIfTrue="1" operator="lessThan">
      <formula>0</formula>
    </cfRule>
  </conditionalFormatting>
  <conditionalFormatting sqref="H211:H227">
    <cfRule type="cellIs" dxfId="2300" priority="2296" stopIfTrue="1" operator="lessThan">
      <formula>0</formula>
    </cfRule>
    <cfRule type="cellIs" dxfId="2299" priority="2297" stopIfTrue="1" operator="lessThan">
      <formula>0</formula>
    </cfRule>
  </conditionalFormatting>
  <conditionalFormatting sqref="H211:H227">
    <cfRule type="cellIs" dxfId="2298" priority="2294" stopIfTrue="1" operator="lessThan">
      <formula>0</formula>
    </cfRule>
    <cfRule type="cellIs" dxfId="2297" priority="2295" stopIfTrue="1" operator="lessThan">
      <formula>0</formula>
    </cfRule>
  </conditionalFormatting>
  <conditionalFormatting sqref="H211:H227">
    <cfRule type="cellIs" dxfId="2296" priority="2292" stopIfTrue="1" operator="lessThan">
      <formula>0.05</formula>
    </cfRule>
    <cfRule type="cellIs" dxfId="2295" priority="2293" stopIfTrue="1" operator="lessThan">
      <formula>0</formula>
    </cfRule>
  </conditionalFormatting>
  <conditionalFormatting sqref="H211:H227">
    <cfRule type="cellIs" dxfId="2294" priority="2290" stopIfTrue="1" operator="lessThan">
      <formula>0</formula>
    </cfRule>
    <cfRule type="cellIs" dxfId="2293" priority="2291" stopIfTrue="1" operator="lessThan">
      <formula>0</formula>
    </cfRule>
  </conditionalFormatting>
  <conditionalFormatting sqref="H211:H227">
    <cfRule type="cellIs" dxfId="2292" priority="2288" stopIfTrue="1" operator="lessThan">
      <formula>0</formula>
    </cfRule>
    <cfRule type="cellIs" dxfId="2291" priority="2289" stopIfTrue="1" operator="lessThan">
      <formula>0</formula>
    </cfRule>
  </conditionalFormatting>
  <conditionalFormatting sqref="H211:H227">
    <cfRule type="cellIs" dxfId="2290" priority="2286" stopIfTrue="1" operator="lessThan">
      <formula>0.05</formula>
    </cfRule>
    <cfRule type="cellIs" dxfId="2289" priority="2287" stopIfTrue="1" operator="lessThan">
      <formula>0</formula>
    </cfRule>
  </conditionalFormatting>
  <conditionalFormatting sqref="H211:H227">
    <cfRule type="cellIs" dxfId="2288" priority="2284" stopIfTrue="1" operator="lessThan">
      <formula>0</formula>
    </cfRule>
    <cfRule type="cellIs" dxfId="2287" priority="2285" stopIfTrue="1" operator="lessThan">
      <formula>0</formula>
    </cfRule>
  </conditionalFormatting>
  <conditionalFormatting sqref="H211:H227">
    <cfRule type="cellIs" dxfId="2286" priority="2282" stopIfTrue="1" operator="lessThan">
      <formula>0</formula>
    </cfRule>
    <cfRule type="cellIs" dxfId="2285" priority="2283" stopIfTrue="1" operator="lessThan">
      <formula>0</formula>
    </cfRule>
  </conditionalFormatting>
  <conditionalFormatting sqref="H211:H227">
    <cfRule type="cellIs" dxfId="2284" priority="2280" stopIfTrue="1" operator="lessThan">
      <formula>0.05</formula>
    </cfRule>
    <cfRule type="cellIs" dxfId="2283" priority="2281" stopIfTrue="1" operator="lessThan">
      <formula>0</formula>
    </cfRule>
  </conditionalFormatting>
  <conditionalFormatting sqref="H211:H227">
    <cfRule type="cellIs" dxfId="2282" priority="2278" stopIfTrue="1" operator="lessThan">
      <formula>0</formula>
    </cfRule>
    <cfRule type="cellIs" dxfId="2281" priority="2279" stopIfTrue="1" operator="lessThan">
      <formula>0</formula>
    </cfRule>
  </conditionalFormatting>
  <conditionalFormatting sqref="H211:H227">
    <cfRule type="cellIs" dxfId="2280" priority="2276" stopIfTrue="1" operator="lessThan">
      <formula>0</formula>
    </cfRule>
    <cfRule type="cellIs" dxfId="2279" priority="2277" stopIfTrue="1" operator="lessThan">
      <formula>0</formula>
    </cfRule>
  </conditionalFormatting>
  <conditionalFormatting sqref="H211:H227">
    <cfRule type="cellIs" dxfId="2278" priority="2274" stopIfTrue="1" operator="lessThan">
      <formula>0.05</formula>
    </cfRule>
    <cfRule type="cellIs" dxfId="2277" priority="2275" stopIfTrue="1" operator="lessThan">
      <formula>0</formula>
    </cfRule>
  </conditionalFormatting>
  <conditionalFormatting sqref="H211:H227">
    <cfRule type="cellIs" dxfId="2276" priority="2272" stopIfTrue="1" operator="lessThan">
      <formula>0</formula>
    </cfRule>
    <cfRule type="cellIs" dxfId="2275" priority="2273" stopIfTrue="1" operator="lessThan">
      <formula>0</formula>
    </cfRule>
  </conditionalFormatting>
  <conditionalFormatting sqref="H211:H227">
    <cfRule type="cellIs" dxfId="2274" priority="2270" stopIfTrue="1" operator="lessThan">
      <formula>0</formula>
    </cfRule>
    <cfRule type="cellIs" dxfId="2273" priority="2271" stopIfTrue="1" operator="lessThan">
      <formula>0</formula>
    </cfRule>
  </conditionalFormatting>
  <conditionalFormatting sqref="H211:H227">
    <cfRule type="cellIs" dxfId="2272" priority="2268" stopIfTrue="1" operator="lessThan">
      <formula>0.05</formula>
    </cfRule>
    <cfRule type="cellIs" dxfId="2271" priority="2269" stopIfTrue="1" operator="lessThan">
      <formula>0</formula>
    </cfRule>
  </conditionalFormatting>
  <conditionalFormatting sqref="H211:H227">
    <cfRule type="cellIs" dxfId="2270" priority="2266" stopIfTrue="1" operator="lessThan">
      <formula>0</formula>
    </cfRule>
    <cfRule type="cellIs" dxfId="2269" priority="2267" stopIfTrue="1" operator="lessThan">
      <formula>0</formula>
    </cfRule>
  </conditionalFormatting>
  <conditionalFormatting sqref="H211:H227">
    <cfRule type="cellIs" dxfId="2268" priority="2264" stopIfTrue="1" operator="lessThan">
      <formula>0</formula>
    </cfRule>
    <cfRule type="cellIs" dxfId="2267" priority="2265" stopIfTrue="1" operator="lessThan">
      <formula>0</formula>
    </cfRule>
  </conditionalFormatting>
  <conditionalFormatting sqref="H211:H227">
    <cfRule type="cellIs" dxfId="2266" priority="2262" stopIfTrue="1" operator="lessThan">
      <formula>0.05</formula>
    </cfRule>
    <cfRule type="cellIs" dxfId="2265" priority="2263" stopIfTrue="1" operator="lessThan">
      <formula>0</formula>
    </cfRule>
  </conditionalFormatting>
  <conditionalFormatting sqref="H211:H227">
    <cfRule type="cellIs" dxfId="2264" priority="2260" stopIfTrue="1" operator="lessThan">
      <formula>0</formula>
    </cfRule>
    <cfRule type="cellIs" dxfId="2263" priority="2261" stopIfTrue="1" operator="lessThan">
      <formula>0</formula>
    </cfRule>
  </conditionalFormatting>
  <conditionalFormatting sqref="H211:H227">
    <cfRule type="cellIs" dxfId="2262" priority="2258" stopIfTrue="1" operator="lessThan">
      <formula>0</formula>
    </cfRule>
    <cfRule type="cellIs" dxfId="2261" priority="2259" stopIfTrue="1" operator="lessThan">
      <formula>0</formula>
    </cfRule>
  </conditionalFormatting>
  <conditionalFormatting sqref="H211:H227">
    <cfRule type="cellIs" dxfId="2260" priority="2256" stopIfTrue="1" operator="lessThan">
      <formula>0.05</formula>
    </cfRule>
    <cfRule type="cellIs" dxfId="2259" priority="2257" stopIfTrue="1" operator="lessThan">
      <formula>0</formula>
    </cfRule>
  </conditionalFormatting>
  <conditionalFormatting sqref="H211:H227">
    <cfRule type="cellIs" dxfId="2258" priority="2254" stopIfTrue="1" operator="lessThan">
      <formula>0</formula>
    </cfRule>
    <cfRule type="cellIs" dxfId="2257" priority="2255" stopIfTrue="1" operator="lessThan">
      <formula>0</formula>
    </cfRule>
  </conditionalFormatting>
  <conditionalFormatting sqref="H211:H227">
    <cfRule type="cellIs" dxfId="2256" priority="2252" stopIfTrue="1" operator="lessThan">
      <formula>0</formula>
    </cfRule>
    <cfRule type="cellIs" dxfId="2255" priority="2253" stopIfTrue="1" operator="lessThan">
      <formula>0</formula>
    </cfRule>
  </conditionalFormatting>
  <conditionalFormatting sqref="H211:H227">
    <cfRule type="cellIs" dxfId="2254" priority="2250" stopIfTrue="1" operator="lessThan">
      <formula>0.05</formula>
    </cfRule>
    <cfRule type="cellIs" dxfId="2253" priority="2251" stopIfTrue="1" operator="lessThan">
      <formula>0</formula>
    </cfRule>
  </conditionalFormatting>
  <conditionalFormatting sqref="H211:H227">
    <cfRule type="cellIs" dxfId="2252" priority="2248" stopIfTrue="1" operator="lessThan">
      <formula>0</formula>
    </cfRule>
    <cfRule type="cellIs" dxfId="2251" priority="2249" stopIfTrue="1" operator="lessThan">
      <formula>0</formula>
    </cfRule>
  </conditionalFormatting>
  <conditionalFormatting sqref="H211:H227">
    <cfRule type="cellIs" dxfId="2250" priority="2246" stopIfTrue="1" operator="lessThan">
      <formula>0</formula>
    </cfRule>
    <cfRule type="cellIs" dxfId="2249" priority="2247" stopIfTrue="1" operator="lessThan">
      <formula>0</formula>
    </cfRule>
  </conditionalFormatting>
  <conditionalFormatting sqref="H211:H227">
    <cfRule type="cellIs" dxfId="2248" priority="2244" stopIfTrue="1" operator="lessThan">
      <formula>0.05</formula>
    </cfRule>
    <cfRule type="cellIs" dxfId="2247" priority="2245" stopIfTrue="1" operator="lessThan">
      <formula>0</formula>
    </cfRule>
  </conditionalFormatting>
  <conditionalFormatting sqref="H211:H227">
    <cfRule type="cellIs" dxfId="2246" priority="2242" stopIfTrue="1" operator="lessThan">
      <formula>0</formula>
    </cfRule>
    <cfRule type="cellIs" dxfId="2245" priority="2243" stopIfTrue="1" operator="lessThan">
      <formula>0</formula>
    </cfRule>
  </conditionalFormatting>
  <conditionalFormatting sqref="H211:H227">
    <cfRule type="cellIs" dxfId="2244" priority="2240" stopIfTrue="1" operator="lessThan">
      <formula>0</formula>
    </cfRule>
    <cfRule type="cellIs" dxfId="2243" priority="2241" stopIfTrue="1" operator="lessThan">
      <formula>0</formula>
    </cfRule>
  </conditionalFormatting>
  <conditionalFormatting sqref="H211:H227">
    <cfRule type="cellIs" dxfId="2242" priority="2238" stopIfTrue="1" operator="lessThan">
      <formula>0.05</formula>
    </cfRule>
    <cfRule type="cellIs" dxfId="2241" priority="2239" stopIfTrue="1" operator="lessThan">
      <formula>0</formula>
    </cfRule>
  </conditionalFormatting>
  <conditionalFormatting sqref="H211:H227">
    <cfRule type="cellIs" dxfId="2240" priority="2236" stopIfTrue="1" operator="lessThan">
      <formula>0</formula>
    </cfRule>
    <cfRule type="cellIs" dxfId="2239" priority="2237" stopIfTrue="1" operator="lessThan">
      <formula>0</formula>
    </cfRule>
  </conditionalFormatting>
  <conditionalFormatting sqref="H211:H227">
    <cfRule type="cellIs" dxfId="2238" priority="2234" stopIfTrue="1" operator="lessThan">
      <formula>0</formula>
    </cfRule>
    <cfRule type="cellIs" dxfId="2237" priority="2235" stopIfTrue="1" operator="lessThan">
      <formula>0</formula>
    </cfRule>
  </conditionalFormatting>
  <conditionalFormatting sqref="H211:H227">
    <cfRule type="cellIs" dxfId="2236" priority="2232" stopIfTrue="1" operator="lessThan">
      <formula>0.05</formula>
    </cfRule>
    <cfRule type="cellIs" dxfId="2235" priority="2233" stopIfTrue="1" operator="lessThan">
      <formula>0</formula>
    </cfRule>
  </conditionalFormatting>
  <conditionalFormatting sqref="H211:H227">
    <cfRule type="cellIs" dxfId="2234" priority="2230" stopIfTrue="1" operator="lessThan">
      <formula>0</formula>
    </cfRule>
    <cfRule type="cellIs" dxfId="2233" priority="2231" stopIfTrue="1" operator="lessThan">
      <formula>0</formula>
    </cfRule>
  </conditionalFormatting>
  <conditionalFormatting sqref="H211:H227">
    <cfRule type="cellIs" dxfId="2232" priority="2228" stopIfTrue="1" operator="lessThan">
      <formula>0</formula>
    </cfRule>
    <cfRule type="cellIs" dxfId="2231" priority="2229" stopIfTrue="1" operator="lessThan">
      <formula>0</formula>
    </cfRule>
  </conditionalFormatting>
  <conditionalFormatting sqref="H211:H227">
    <cfRule type="cellIs" dxfId="2230" priority="2226" stopIfTrue="1" operator="lessThan">
      <formula>0.05</formula>
    </cfRule>
    <cfRule type="cellIs" dxfId="2229" priority="2227" stopIfTrue="1" operator="lessThan">
      <formula>0</formula>
    </cfRule>
  </conditionalFormatting>
  <conditionalFormatting sqref="H211:H227">
    <cfRule type="cellIs" dxfId="2228" priority="2224" stopIfTrue="1" operator="lessThan">
      <formula>0</formula>
    </cfRule>
    <cfRule type="cellIs" dxfId="2227" priority="2225" stopIfTrue="1" operator="lessThan">
      <formula>0</formula>
    </cfRule>
  </conditionalFormatting>
  <conditionalFormatting sqref="H211:H227">
    <cfRule type="cellIs" dxfId="2226" priority="2222" stopIfTrue="1" operator="lessThan">
      <formula>0</formula>
    </cfRule>
    <cfRule type="cellIs" dxfId="2225" priority="2223" stopIfTrue="1" operator="lessThan">
      <formula>0</formula>
    </cfRule>
  </conditionalFormatting>
  <conditionalFormatting sqref="H211:H227">
    <cfRule type="cellIs" dxfId="2224" priority="2220" stopIfTrue="1" operator="lessThan">
      <formula>0.05</formula>
    </cfRule>
    <cfRule type="cellIs" dxfId="2223" priority="2221" stopIfTrue="1" operator="lessThan">
      <formula>0</formula>
    </cfRule>
  </conditionalFormatting>
  <conditionalFormatting sqref="H211:H227">
    <cfRule type="cellIs" dxfId="2222" priority="2218" stopIfTrue="1" operator="lessThan">
      <formula>0</formula>
    </cfRule>
    <cfRule type="cellIs" dxfId="2221" priority="2219" stopIfTrue="1" operator="lessThan">
      <formula>0</formula>
    </cfRule>
  </conditionalFormatting>
  <conditionalFormatting sqref="H211:H227">
    <cfRule type="cellIs" dxfId="2220" priority="2216" stopIfTrue="1" operator="lessThan">
      <formula>0.05</formula>
    </cfRule>
    <cfRule type="cellIs" dxfId="2219" priority="2217" stopIfTrue="1" operator="lessThan">
      <formula>0</formula>
    </cfRule>
  </conditionalFormatting>
  <conditionalFormatting sqref="H211:H227">
    <cfRule type="cellIs" dxfId="2218" priority="2214" stopIfTrue="1" operator="lessThan">
      <formula>0</formula>
    </cfRule>
    <cfRule type="cellIs" dxfId="2217" priority="2215" stopIfTrue="1" operator="lessThan">
      <formula>0</formula>
    </cfRule>
  </conditionalFormatting>
  <conditionalFormatting sqref="H211:H227">
    <cfRule type="cellIs" dxfId="2216" priority="2212" stopIfTrue="1" operator="lessThan">
      <formula>0.05</formula>
    </cfRule>
    <cfRule type="cellIs" dxfId="2215" priority="2213" stopIfTrue="1" operator="lessThan">
      <formula>0</formula>
    </cfRule>
  </conditionalFormatting>
  <conditionalFormatting sqref="H211:H227">
    <cfRule type="cellIs" dxfId="2214" priority="2210" stopIfTrue="1" operator="lessThan">
      <formula>0</formula>
    </cfRule>
    <cfRule type="cellIs" dxfId="2213" priority="2211" stopIfTrue="1" operator="lessThan">
      <formula>0</formula>
    </cfRule>
  </conditionalFormatting>
  <conditionalFormatting sqref="H211:H227">
    <cfRule type="cellIs" dxfId="2212" priority="2208" stopIfTrue="1" operator="lessThan">
      <formula>0</formula>
    </cfRule>
    <cfRule type="cellIs" dxfId="2211" priority="2209" stopIfTrue="1" operator="lessThan">
      <formula>0</formula>
    </cfRule>
  </conditionalFormatting>
  <conditionalFormatting sqref="H211:H227">
    <cfRule type="cellIs" dxfId="2210" priority="2206" stopIfTrue="1" operator="lessThan">
      <formula>0</formula>
    </cfRule>
    <cfRule type="cellIs" dxfId="2209" priority="2207" stopIfTrue="1" operator="lessThan">
      <formula>0</formula>
    </cfRule>
  </conditionalFormatting>
  <conditionalFormatting sqref="H211:H227">
    <cfRule type="cellIs" dxfId="2208" priority="2204" stopIfTrue="1" operator="lessThan">
      <formula>0.05</formula>
    </cfRule>
    <cfRule type="cellIs" dxfId="2207" priority="2205" stopIfTrue="1" operator="lessThan">
      <formula>0</formula>
    </cfRule>
  </conditionalFormatting>
  <conditionalFormatting sqref="H211:H227">
    <cfRule type="cellIs" dxfId="2206" priority="2202" stopIfTrue="1" operator="lessThan">
      <formula>0</formula>
    </cfRule>
    <cfRule type="cellIs" dxfId="2205" priority="2203" stopIfTrue="1" operator="lessThan">
      <formula>0</formula>
    </cfRule>
  </conditionalFormatting>
  <conditionalFormatting sqref="H211:H227">
    <cfRule type="cellIs" dxfId="2204" priority="2200" stopIfTrue="1" operator="lessThan">
      <formula>0.05</formula>
    </cfRule>
    <cfRule type="cellIs" dxfId="2203" priority="2201" stopIfTrue="1" operator="lessThan">
      <formula>0</formula>
    </cfRule>
  </conditionalFormatting>
  <conditionalFormatting sqref="H211:H227">
    <cfRule type="cellIs" dxfId="2202" priority="2198" stopIfTrue="1" operator="lessThan">
      <formula>0</formula>
    </cfRule>
    <cfRule type="cellIs" dxfId="2201" priority="2199" stopIfTrue="1" operator="lessThan">
      <formula>0</formula>
    </cfRule>
  </conditionalFormatting>
  <conditionalFormatting sqref="H211:H227">
    <cfRule type="cellIs" dxfId="2200" priority="2196" stopIfTrue="1" operator="lessThan">
      <formula>0.05</formula>
    </cfRule>
    <cfRule type="cellIs" dxfId="2199" priority="2197" stopIfTrue="1" operator="lessThan">
      <formula>0</formula>
    </cfRule>
  </conditionalFormatting>
  <conditionalFormatting sqref="H211:H227">
    <cfRule type="cellIs" dxfId="2198" priority="2194" stopIfTrue="1" operator="lessThan">
      <formula>0</formula>
    </cfRule>
    <cfRule type="cellIs" dxfId="2197" priority="2195" stopIfTrue="1" operator="lessThan">
      <formula>0</formula>
    </cfRule>
  </conditionalFormatting>
  <conditionalFormatting sqref="H211:H227">
    <cfRule type="cellIs" dxfId="2196" priority="2192" stopIfTrue="1" operator="lessThan">
      <formula>0</formula>
    </cfRule>
    <cfRule type="cellIs" dxfId="2195" priority="2193" stopIfTrue="1" operator="lessThan">
      <formula>0</formula>
    </cfRule>
  </conditionalFormatting>
  <conditionalFormatting sqref="H211:H227">
    <cfRule type="cellIs" dxfId="2194" priority="2190" stopIfTrue="1" operator="lessThan">
      <formula>0.05</formula>
    </cfRule>
    <cfRule type="cellIs" dxfId="2193" priority="2191" stopIfTrue="1" operator="lessThan">
      <formula>0</formula>
    </cfRule>
  </conditionalFormatting>
  <conditionalFormatting sqref="H211:H227">
    <cfRule type="cellIs" dxfId="2192" priority="2188" stopIfTrue="1" operator="lessThan">
      <formula>0</formula>
    </cfRule>
    <cfRule type="cellIs" dxfId="2191" priority="2189" stopIfTrue="1" operator="lessThan">
      <formula>0</formula>
    </cfRule>
  </conditionalFormatting>
  <conditionalFormatting sqref="H211:H227">
    <cfRule type="cellIs" dxfId="2190" priority="2186" stopIfTrue="1" operator="lessThan">
      <formula>0</formula>
    </cfRule>
    <cfRule type="cellIs" dxfId="2189" priority="2187" stopIfTrue="1" operator="lessThan">
      <formula>0</formula>
    </cfRule>
  </conditionalFormatting>
  <conditionalFormatting sqref="H211:H227">
    <cfRule type="cellIs" dxfId="2188" priority="2184" stopIfTrue="1" operator="lessThan">
      <formula>0.05</formula>
    </cfRule>
    <cfRule type="cellIs" dxfId="2187" priority="2185" stopIfTrue="1" operator="lessThan">
      <formula>0</formula>
    </cfRule>
  </conditionalFormatting>
  <conditionalFormatting sqref="H211:H227">
    <cfRule type="cellIs" dxfId="2186" priority="2182" stopIfTrue="1" operator="lessThan">
      <formula>0</formula>
    </cfRule>
    <cfRule type="cellIs" dxfId="2185" priority="2183" stopIfTrue="1" operator="lessThan">
      <formula>0</formula>
    </cfRule>
  </conditionalFormatting>
  <conditionalFormatting sqref="H211:H227">
    <cfRule type="cellIs" dxfId="2184" priority="2180" stopIfTrue="1" operator="lessThan">
      <formula>0</formula>
    </cfRule>
    <cfRule type="cellIs" dxfId="2183" priority="2181" stopIfTrue="1" operator="lessThan">
      <formula>0</formula>
    </cfRule>
  </conditionalFormatting>
  <conditionalFormatting sqref="H211:H227">
    <cfRule type="cellIs" dxfId="2182" priority="2178" stopIfTrue="1" operator="lessThan">
      <formula>0.05</formula>
    </cfRule>
    <cfRule type="cellIs" dxfId="2181" priority="2179" stopIfTrue="1" operator="lessThan">
      <formula>0</formula>
    </cfRule>
  </conditionalFormatting>
  <conditionalFormatting sqref="H211:H227">
    <cfRule type="cellIs" dxfId="2180" priority="2176" stopIfTrue="1" operator="lessThan">
      <formula>0</formula>
    </cfRule>
    <cfRule type="cellIs" dxfId="2179" priority="2177" stopIfTrue="1" operator="lessThan">
      <formula>0</formula>
    </cfRule>
  </conditionalFormatting>
  <conditionalFormatting sqref="H211:H227">
    <cfRule type="cellIs" dxfId="2178" priority="2174" stopIfTrue="1" operator="lessThan">
      <formula>0</formula>
    </cfRule>
    <cfRule type="cellIs" dxfId="2177" priority="2175" stopIfTrue="1" operator="lessThan">
      <formula>0</formula>
    </cfRule>
  </conditionalFormatting>
  <conditionalFormatting sqref="H211:H227">
    <cfRule type="cellIs" dxfId="2176" priority="2172" stopIfTrue="1" operator="lessThan">
      <formula>0.05</formula>
    </cfRule>
    <cfRule type="cellIs" dxfId="2175" priority="2173" stopIfTrue="1" operator="lessThan">
      <formula>0</formula>
    </cfRule>
  </conditionalFormatting>
  <conditionalFormatting sqref="H211:H227">
    <cfRule type="cellIs" dxfId="2174" priority="2170" stopIfTrue="1" operator="lessThan">
      <formula>0</formula>
    </cfRule>
    <cfRule type="cellIs" dxfId="2173" priority="2171" stopIfTrue="1" operator="lessThan">
      <formula>0</formula>
    </cfRule>
  </conditionalFormatting>
  <conditionalFormatting sqref="H211:H227">
    <cfRule type="cellIs" dxfId="2172" priority="2168" stopIfTrue="1" operator="lessThan">
      <formula>0</formula>
    </cfRule>
    <cfRule type="cellIs" dxfId="2171" priority="2169" stopIfTrue="1" operator="lessThan">
      <formula>0</formula>
    </cfRule>
  </conditionalFormatting>
  <conditionalFormatting sqref="H211:H227">
    <cfRule type="cellIs" dxfId="2170" priority="2166" stopIfTrue="1" operator="lessThan">
      <formula>0.05</formula>
    </cfRule>
    <cfRule type="cellIs" dxfId="2169" priority="2167" stopIfTrue="1" operator="lessThan">
      <formula>0</formula>
    </cfRule>
  </conditionalFormatting>
  <conditionalFormatting sqref="H211:H227">
    <cfRule type="cellIs" dxfId="2168" priority="2164" stopIfTrue="1" operator="lessThan">
      <formula>0</formula>
    </cfRule>
    <cfRule type="cellIs" dxfId="2167" priority="2165" stopIfTrue="1" operator="lessThan">
      <formula>0</formula>
    </cfRule>
  </conditionalFormatting>
  <conditionalFormatting sqref="H211:H227">
    <cfRule type="cellIs" dxfId="2166" priority="2162" stopIfTrue="1" operator="lessThan">
      <formula>0</formula>
    </cfRule>
    <cfRule type="cellIs" dxfId="2165" priority="2163" stopIfTrue="1" operator="lessThan">
      <formula>0</formula>
    </cfRule>
  </conditionalFormatting>
  <conditionalFormatting sqref="H211:H227">
    <cfRule type="cellIs" dxfId="2164" priority="2160" stopIfTrue="1" operator="lessThan">
      <formula>0.05</formula>
    </cfRule>
    <cfRule type="cellIs" dxfId="2163" priority="2161" stopIfTrue="1" operator="lessThan">
      <formula>0</formula>
    </cfRule>
  </conditionalFormatting>
  <conditionalFormatting sqref="H211:H227">
    <cfRule type="cellIs" dxfId="2162" priority="2158" stopIfTrue="1" operator="lessThan">
      <formula>0</formula>
    </cfRule>
    <cfRule type="cellIs" dxfId="2161" priority="2159" stopIfTrue="1" operator="lessThan">
      <formula>0</formula>
    </cfRule>
  </conditionalFormatting>
  <conditionalFormatting sqref="H211:H227">
    <cfRule type="cellIs" dxfId="2160" priority="2156" stopIfTrue="1" operator="lessThan">
      <formula>0</formula>
    </cfRule>
    <cfRule type="cellIs" dxfId="2159" priority="2157" stopIfTrue="1" operator="lessThan">
      <formula>0</formula>
    </cfRule>
  </conditionalFormatting>
  <conditionalFormatting sqref="H211:H227">
    <cfRule type="cellIs" dxfId="2158" priority="2154" stopIfTrue="1" operator="lessThan">
      <formula>0.05</formula>
    </cfRule>
    <cfRule type="cellIs" dxfId="2157" priority="2155" stopIfTrue="1" operator="lessThan">
      <formula>0</formula>
    </cfRule>
  </conditionalFormatting>
  <conditionalFormatting sqref="H211:H227">
    <cfRule type="cellIs" dxfId="2156" priority="2152" stopIfTrue="1" operator="lessThan">
      <formula>0</formula>
    </cfRule>
    <cfRule type="cellIs" dxfId="2155" priority="2153" stopIfTrue="1" operator="lessThan">
      <formula>0</formula>
    </cfRule>
  </conditionalFormatting>
  <conditionalFormatting sqref="H211:H227">
    <cfRule type="cellIs" dxfId="2154" priority="2150" stopIfTrue="1" operator="lessThan">
      <formula>0</formula>
    </cfRule>
    <cfRule type="cellIs" dxfId="2153" priority="2151" stopIfTrue="1" operator="lessThan">
      <formula>0</formula>
    </cfRule>
  </conditionalFormatting>
  <conditionalFormatting sqref="H211:H227">
    <cfRule type="cellIs" dxfId="2152" priority="2148" stopIfTrue="1" operator="lessThan">
      <formula>0.05</formula>
    </cfRule>
    <cfRule type="cellIs" dxfId="2151" priority="2149" stopIfTrue="1" operator="lessThan">
      <formula>0</formula>
    </cfRule>
  </conditionalFormatting>
  <conditionalFormatting sqref="H211:H227">
    <cfRule type="cellIs" dxfId="2150" priority="2146" stopIfTrue="1" operator="lessThan">
      <formula>0</formula>
    </cfRule>
    <cfRule type="cellIs" dxfId="2149" priority="2147" stopIfTrue="1" operator="lessThan">
      <formula>0</formula>
    </cfRule>
  </conditionalFormatting>
  <conditionalFormatting sqref="H211:H227">
    <cfRule type="cellIs" dxfId="2148" priority="2144" stopIfTrue="1" operator="lessThan">
      <formula>0</formula>
    </cfRule>
    <cfRule type="cellIs" dxfId="2147" priority="2145" stopIfTrue="1" operator="lessThan">
      <formula>0</formula>
    </cfRule>
  </conditionalFormatting>
  <conditionalFormatting sqref="H211:H227">
    <cfRule type="cellIs" dxfId="2146" priority="2142" stopIfTrue="1" operator="lessThan">
      <formula>0.05</formula>
    </cfRule>
    <cfRule type="cellIs" dxfId="2145" priority="2143" stopIfTrue="1" operator="lessThan">
      <formula>0</formula>
    </cfRule>
  </conditionalFormatting>
  <conditionalFormatting sqref="H211:H227">
    <cfRule type="cellIs" dxfId="2144" priority="2140" stopIfTrue="1" operator="lessThan">
      <formula>0</formula>
    </cfRule>
    <cfRule type="cellIs" dxfId="2143" priority="2141" stopIfTrue="1" operator="lessThan">
      <formula>0</formula>
    </cfRule>
  </conditionalFormatting>
  <conditionalFormatting sqref="H211:H227">
    <cfRule type="cellIs" dxfId="2142" priority="2138" stopIfTrue="1" operator="lessThan">
      <formula>0</formula>
    </cfRule>
    <cfRule type="cellIs" dxfId="2141" priority="2139" stopIfTrue="1" operator="lessThan">
      <formula>0</formula>
    </cfRule>
  </conditionalFormatting>
  <conditionalFormatting sqref="H211:H227">
    <cfRule type="cellIs" dxfId="2140" priority="2136" stopIfTrue="1" operator="lessThan">
      <formula>0.05</formula>
    </cfRule>
    <cfRule type="cellIs" dxfId="2139" priority="2137" stopIfTrue="1" operator="lessThan">
      <formula>0</formula>
    </cfRule>
  </conditionalFormatting>
  <conditionalFormatting sqref="H211:H227">
    <cfRule type="cellIs" dxfId="2138" priority="2134" stopIfTrue="1" operator="lessThan">
      <formula>0</formula>
    </cfRule>
    <cfRule type="cellIs" dxfId="2137" priority="2135" stopIfTrue="1" operator="lessThan">
      <formula>0</formula>
    </cfRule>
  </conditionalFormatting>
  <conditionalFormatting sqref="H211:H227">
    <cfRule type="cellIs" dxfId="2136" priority="2132" stopIfTrue="1" operator="lessThan">
      <formula>0</formula>
    </cfRule>
    <cfRule type="cellIs" dxfId="2135" priority="2133" stopIfTrue="1" operator="lessThan">
      <formula>0</formula>
    </cfRule>
  </conditionalFormatting>
  <conditionalFormatting sqref="H211:H227">
    <cfRule type="cellIs" dxfId="2134" priority="2130" stopIfTrue="1" operator="lessThan">
      <formula>0.05</formula>
    </cfRule>
    <cfRule type="cellIs" dxfId="2133" priority="2131" stopIfTrue="1" operator="lessThan">
      <formula>0</formula>
    </cfRule>
  </conditionalFormatting>
  <conditionalFormatting sqref="H211:H227">
    <cfRule type="cellIs" dxfId="2132" priority="2128" stopIfTrue="1" operator="lessThan">
      <formula>0</formula>
    </cfRule>
    <cfRule type="cellIs" dxfId="2131" priority="2129" stopIfTrue="1" operator="lessThan">
      <formula>0</formula>
    </cfRule>
  </conditionalFormatting>
  <conditionalFormatting sqref="H211:H227">
    <cfRule type="cellIs" dxfId="2130" priority="2126" stopIfTrue="1" operator="lessThan">
      <formula>0</formula>
    </cfRule>
    <cfRule type="cellIs" dxfId="2129" priority="2127" stopIfTrue="1" operator="lessThan">
      <formula>0</formula>
    </cfRule>
  </conditionalFormatting>
  <conditionalFormatting sqref="H211:H227">
    <cfRule type="cellIs" dxfId="2128" priority="2124" stopIfTrue="1" operator="lessThan">
      <formula>0.05</formula>
    </cfRule>
    <cfRule type="cellIs" dxfId="2127" priority="2125" stopIfTrue="1" operator="lessThan">
      <formula>0</formula>
    </cfRule>
  </conditionalFormatting>
  <conditionalFormatting sqref="H211:H227">
    <cfRule type="cellIs" dxfId="2126" priority="2122" stopIfTrue="1" operator="lessThan">
      <formula>0</formula>
    </cfRule>
    <cfRule type="cellIs" dxfId="2125" priority="2123" stopIfTrue="1" operator="lessThan">
      <formula>0</formula>
    </cfRule>
  </conditionalFormatting>
  <conditionalFormatting sqref="H211:H227">
    <cfRule type="cellIs" dxfId="2124" priority="2120" stopIfTrue="1" operator="lessThan">
      <formula>0.05</formula>
    </cfRule>
    <cfRule type="cellIs" dxfId="2123" priority="2121" stopIfTrue="1" operator="lessThan">
      <formula>0</formula>
    </cfRule>
  </conditionalFormatting>
  <conditionalFormatting sqref="H211:H227">
    <cfRule type="cellIs" dxfId="2122" priority="2118" stopIfTrue="1" operator="lessThan">
      <formula>0</formula>
    </cfRule>
    <cfRule type="cellIs" dxfId="2121" priority="2119" stopIfTrue="1" operator="lessThan">
      <formula>0</formula>
    </cfRule>
  </conditionalFormatting>
  <conditionalFormatting sqref="H211:H227">
    <cfRule type="cellIs" dxfId="2120" priority="2116" stopIfTrue="1" operator="lessThan">
      <formula>0.05</formula>
    </cfRule>
    <cfRule type="cellIs" dxfId="2119" priority="2117" stopIfTrue="1" operator="lessThan">
      <formula>0</formula>
    </cfRule>
  </conditionalFormatting>
  <conditionalFormatting sqref="H211:H227">
    <cfRule type="cellIs" dxfId="2118" priority="2114" stopIfTrue="1" operator="lessThan">
      <formula>0</formula>
    </cfRule>
    <cfRule type="cellIs" dxfId="2117" priority="2115" stopIfTrue="1" operator="lessThan">
      <formula>0</formula>
    </cfRule>
  </conditionalFormatting>
  <conditionalFormatting sqref="H211:H227">
    <cfRule type="cellIs" dxfId="2116" priority="2112" stopIfTrue="1" operator="lessThan">
      <formula>0</formula>
    </cfRule>
    <cfRule type="cellIs" dxfId="2115" priority="2113" stopIfTrue="1" operator="lessThan">
      <formula>0</formula>
    </cfRule>
  </conditionalFormatting>
  <conditionalFormatting sqref="H211:H227">
    <cfRule type="cellIs" dxfId="2114" priority="2110" stopIfTrue="1" operator="lessThan">
      <formula>0</formula>
    </cfRule>
    <cfRule type="cellIs" dxfId="2113" priority="2111" stopIfTrue="1" operator="lessThan">
      <formula>0</formula>
    </cfRule>
  </conditionalFormatting>
  <conditionalFormatting sqref="H211:H227">
    <cfRule type="cellIs" dxfId="2112" priority="2108" stopIfTrue="1" operator="lessThan">
      <formula>0.05</formula>
    </cfRule>
    <cfRule type="cellIs" dxfId="2111" priority="2109" stopIfTrue="1" operator="lessThan">
      <formula>0</formula>
    </cfRule>
  </conditionalFormatting>
  <conditionalFormatting sqref="H211:H227">
    <cfRule type="cellIs" dxfId="2110" priority="2106" stopIfTrue="1" operator="lessThan">
      <formula>0</formula>
    </cfRule>
    <cfRule type="cellIs" dxfId="2109" priority="2107" stopIfTrue="1" operator="lessThan">
      <formula>0</formula>
    </cfRule>
  </conditionalFormatting>
  <conditionalFormatting sqref="H211:H227">
    <cfRule type="cellIs" dxfId="2108" priority="2104" stopIfTrue="1" operator="lessThan">
      <formula>0.05</formula>
    </cfRule>
    <cfRule type="cellIs" dxfId="2107" priority="2105" stopIfTrue="1" operator="lessThan">
      <formula>0</formula>
    </cfRule>
  </conditionalFormatting>
  <conditionalFormatting sqref="H211:H227">
    <cfRule type="cellIs" dxfId="2106" priority="2102" stopIfTrue="1" operator="lessThan">
      <formula>0</formula>
    </cfRule>
    <cfRule type="cellIs" dxfId="2105" priority="2103" stopIfTrue="1" operator="lessThan">
      <formula>0</formula>
    </cfRule>
  </conditionalFormatting>
  <conditionalFormatting sqref="H211:H227">
    <cfRule type="cellIs" dxfId="2104" priority="2100" stopIfTrue="1" operator="lessThan">
      <formula>0.05</formula>
    </cfRule>
    <cfRule type="cellIs" dxfId="2103" priority="2101" stopIfTrue="1" operator="lessThan">
      <formula>0</formula>
    </cfRule>
  </conditionalFormatting>
  <conditionalFormatting sqref="H211:H227">
    <cfRule type="cellIs" dxfId="2102" priority="2098" stopIfTrue="1" operator="lessThan">
      <formula>0</formula>
    </cfRule>
    <cfRule type="cellIs" dxfId="2101" priority="2099" stopIfTrue="1" operator="lessThan">
      <formula>0</formula>
    </cfRule>
  </conditionalFormatting>
  <conditionalFormatting sqref="H211:H227">
    <cfRule type="cellIs" dxfId="2100" priority="2096" stopIfTrue="1" operator="lessThan">
      <formula>0</formula>
    </cfRule>
    <cfRule type="cellIs" dxfId="2099" priority="2097" stopIfTrue="1" operator="lessThan">
      <formula>0</formula>
    </cfRule>
  </conditionalFormatting>
  <conditionalFormatting sqref="H211:H227">
    <cfRule type="cellIs" dxfId="2098" priority="2094" stopIfTrue="1" operator="lessThan">
      <formula>0.05</formula>
    </cfRule>
    <cfRule type="cellIs" dxfId="2097" priority="2095" stopIfTrue="1" operator="lessThan">
      <formula>0</formula>
    </cfRule>
  </conditionalFormatting>
  <conditionalFormatting sqref="H211:H227">
    <cfRule type="cellIs" dxfId="2096" priority="2092" stopIfTrue="1" operator="lessThan">
      <formula>0</formula>
    </cfRule>
    <cfRule type="cellIs" dxfId="2095" priority="2093" stopIfTrue="1" operator="lessThan">
      <formula>0</formula>
    </cfRule>
  </conditionalFormatting>
  <conditionalFormatting sqref="H211:H227">
    <cfRule type="cellIs" dxfId="2094" priority="2090" stopIfTrue="1" operator="lessThan">
      <formula>0</formula>
    </cfRule>
    <cfRule type="cellIs" dxfId="2093" priority="2091" stopIfTrue="1" operator="lessThan">
      <formula>0</formula>
    </cfRule>
  </conditionalFormatting>
  <conditionalFormatting sqref="H211:H227">
    <cfRule type="cellIs" dxfId="2092" priority="2088" stopIfTrue="1" operator="lessThan">
      <formula>0.05</formula>
    </cfRule>
    <cfRule type="cellIs" dxfId="2091" priority="2089" stopIfTrue="1" operator="lessThan">
      <formula>0</formula>
    </cfRule>
  </conditionalFormatting>
  <conditionalFormatting sqref="H211:H227">
    <cfRule type="cellIs" dxfId="2090" priority="2086" stopIfTrue="1" operator="lessThan">
      <formula>0</formula>
    </cfRule>
    <cfRule type="cellIs" dxfId="2089" priority="2087" stopIfTrue="1" operator="lessThan">
      <formula>0</formula>
    </cfRule>
  </conditionalFormatting>
  <conditionalFormatting sqref="H211:H227">
    <cfRule type="cellIs" dxfId="2088" priority="2084" stopIfTrue="1" operator="lessThan">
      <formula>0</formula>
    </cfRule>
    <cfRule type="cellIs" dxfId="2087" priority="2085" stopIfTrue="1" operator="lessThan">
      <formula>0</formula>
    </cfRule>
  </conditionalFormatting>
  <conditionalFormatting sqref="H211:H227">
    <cfRule type="cellIs" dxfId="2086" priority="2082" stopIfTrue="1" operator="lessThan">
      <formula>0.05</formula>
    </cfRule>
    <cfRule type="cellIs" dxfId="2085" priority="2083" stopIfTrue="1" operator="lessThan">
      <formula>0</formula>
    </cfRule>
  </conditionalFormatting>
  <conditionalFormatting sqref="H211:H227">
    <cfRule type="cellIs" dxfId="2084" priority="2080" stopIfTrue="1" operator="lessThan">
      <formula>0</formula>
    </cfRule>
    <cfRule type="cellIs" dxfId="2083" priority="2081" stopIfTrue="1" operator="lessThan">
      <formula>0</formula>
    </cfRule>
  </conditionalFormatting>
  <conditionalFormatting sqref="H211:H227">
    <cfRule type="cellIs" dxfId="2082" priority="2078" stopIfTrue="1" operator="lessThan">
      <formula>0</formula>
    </cfRule>
    <cfRule type="cellIs" dxfId="2081" priority="2079" stopIfTrue="1" operator="lessThan">
      <formula>0</formula>
    </cfRule>
  </conditionalFormatting>
  <conditionalFormatting sqref="H211:H227">
    <cfRule type="cellIs" dxfId="2080" priority="2076" stopIfTrue="1" operator="lessThan">
      <formula>0.05</formula>
    </cfRule>
    <cfRule type="cellIs" dxfId="2079" priority="2077" stopIfTrue="1" operator="lessThan">
      <formula>0</formula>
    </cfRule>
  </conditionalFormatting>
  <conditionalFormatting sqref="H211:H227">
    <cfRule type="cellIs" dxfId="2078" priority="2074" stopIfTrue="1" operator="lessThan">
      <formula>0</formula>
    </cfRule>
    <cfRule type="cellIs" dxfId="2077" priority="2075" stopIfTrue="1" operator="lessThan">
      <formula>0</formula>
    </cfRule>
  </conditionalFormatting>
  <conditionalFormatting sqref="H211:H227">
    <cfRule type="cellIs" dxfId="2076" priority="2072" stopIfTrue="1" operator="lessThan">
      <formula>0</formula>
    </cfRule>
    <cfRule type="cellIs" dxfId="2075" priority="2073" stopIfTrue="1" operator="lessThan">
      <formula>0</formula>
    </cfRule>
  </conditionalFormatting>
  <conditionalFormatting sqref="H211:H227">
    <cfRule type="cellIs" dxfId="2074" priority="2070" stopIfTrue="1" operator="lessThan">
      <formula>0.05</formula>
    </cfRule>
    <cfRule type="cellIs" dxfId="2073" priority="2071" stopIfTrue="1" operator="lessThan">
      <formula>0</formula>
    </cfRule>
  </conditionalFormatting>
  <conditionalFormatting sqref="H211:H227">
    <cfRule type="cellIs" dxfId="2072" priority="2068" stopIfTrue="1" operator="lessThan">
      <formula>0</formula>
    </cfRule>
    <cfRule type="cellIs" dxfId="2071" priority="2069" stopIfTrue="1" operator="lessThan">
      <formula>0</formula>
    </cfRule>
  </conditionalFormatting>
  <conditionalFormatting sqref="H211:H227">
    <cfRule type="cellIs" dxfId="2070" priority="2066" stopIfTrue="1" operator="lessThan">
      <formula>0</formula>
    </cfRule>
    <cfRule type="cellIs" dxfId="2069" priority="2067" stopIfTrue="1" operator="lessThan">
      <formula>0</formula>
    </cfRule>
  </conditionalFormatting>
  <conditionalFormatting sqref="H211:H227">
    <cfRule type="cellIs" dxfId="2068" priority="2064" stopIfTrue="1" operator="lessThan">
      <formula>0.05</formula>
    </cfRule>
    <cfRule type="cellIs" dxfId="2067" priority="2065" stopIfTrue="1" operator="lessThan">
      <formula>0</formula>
    </cfRule>
  </conditionalFormatting>
  <conditionalFormatting sqref="H211:H227">
    <cfRule type="cellIs" dxfId="2066" priority="2062" stopIfTrue="1" operator="lessThan">
      <formula>0</formula>
    </cfRule>
    <cfRule type="cellIs" dxfId="2065" priority="2063" stopIfTrue="1" operator="lessThan">
      <formula>0</formula>
    </cfRule>
  </conditionalFormatting>
  <conditionalFormatting sqref="H211:H227">
    <cfRule type="cellIs" dxfId="2064" priority="2060" stopIfTrue="1" operator="lessThan">
      <formula>0</formula>
    </cfRule>
    <cfRule type="cellIs" dxfId="2063" priority="2061" stopIfTrue="1" operator="lessThan">
      <formula>0</formula>
    </cfRule>
  </conditionalFormatting>
  <conditionalFormatting sqref="H211:H227">
    <cfRule type="cellIs" dxfId="2062" priority="2058" stopIfTrue="1" operator="lessThan">
      <formula>0.05</formula>
    </cfRule>
    <cfRule type="cellIs" dxfId="2061" priority="2059" stopIfTrue="1" operator="lessThan">
      <formula>0</formula>
    </cfRule>
  </conditionalFormatting>
  <conditionalFormatting sqref="H211:H227">
    <cfRule type="cellIs" dxfId="2060" priority="2056" stopIfTrue="1" operator="lessThan">
      <formula>0</formula>
    </cfRule>
    <cfRule type="cellIs" dxfId="2059" priority="2057" stopIfTrue="1" operator="lessThan">
      <formula>0</formula>
    </cfRule>
  </conditionalFormatting>
  <conditionalFormatting sqref="H211:H227">
    <cfRule type="cellIs" dxfId="2058" priority="2054" stopIfTrue="1" operator="lessThan">
      <formula>0</formula>
    </cfRule>
    <cfRule type="cellIs" dxfId="2057" priority="2055" stopIfTrue="1" operator="lessThan">
      <formula>0</formula>
    </cfRule>
  </conditionalFormatting>
  <conditionalFormatting sqref="H211:H227">
    <cfRule type="cellIs" dxfId="2056" priority="2052" stopIfTrue="1" operator="lessThan">
      <formula>0.05</formula>
    </cfRule>
    <cfRule type="cellIs" dxfId="2055" priority="2053" stopIfTrue="1" operator="lessThan">
      <formula>0</formula>
    </cfRule>
  </conditionalFormatting>
  <conditionalFormatting sqref="H211:H227">
    <cfRule type="cellIs" dxfId="2054" priority="2050" stopIfTrue="1" operator="lessThan">
      <formula>0</formula>
    </cfRule>
    <cfRule type="cellIs" dxfId="2053" priority="2051" stopIfTrue="1" operator="lessThan">
      <formula>0</formula>
    </cfRule>
  </conditionalFormatting>
  <conditionalFormatting sqref="H211:H227">
    <cfRule type="cellIs" dxfId="2052" priority="2048" stopIfTrue="1" operator="lessThan">
      <formula>0</formula>
    </cfRule>
    <cfRule type="cellIs" dxfId="2051" priority="2049" stopIfTrue="1" operator="lessThan">
      <formula>0</formula>
    </cfRule>
  </conditionalFormatting>
  <conditionalFormatting sqref="H211:H227">
    <cfRule type="cellIs" dxfId="2050" priority="2046" stopIfTrue="1" operator="lessThan">
      <formula>0.05</formula>
    </cfRule>
    <cfRule type="cellIs" dxfId="2049" priority="2047" stopIfTrue="1" operator="lessThan">
      <formula>0</formula>
    </cfRule>
  </conditionalFormatting>
  <conditionalFormatting sqref="H211:H227">
    <cfRule type="cellIs" dxfId="2048" priority="2044" stopIfTrue="1" operator="lessThan">
      <formula>0</formula>
    </cfRule>
    <cfRule type="cellIs" dxfId="2047" priority="2045" stopIfTrue="1" operator="lessThan">
      <formula>0</formula>
    </cfRule>
  </conditionalFormatting>
  <conditionalFormatting sqref="H211:H227">
    <cfRule type="cellIs" dxfId="2046" priority="2042" stopIfTrue="1" operator="lessThan">
      <formula>0</formula>
    </cfRule>
    <cfRule type="cellIs" dxfId="2045" priority="2043" stopIfTrue="1" operator="lessThan">
      <formula>0</formula>
    </cfRule>
  </conditionalFormatting>
  <conditionalFormatting sqref="H211:H227">
    <cfRule type="cellIs" dxfId="2044" priority="2040" stopIfTrue="1" operator="lessThan">
      <formula>0.05</formula>
    </cfRule>
    <cfRule type="cellIs" dxfId="2043" priority="2041" stopIfTrue="1" operator="lessThan">
      <formula>0</formula>
    </cfRule>
  </conditionalFormatting>
  <conditionalFormatting sqref="H211:H227">
    <cfRule type="cellIs" dxfId="2042" priority="2038" stopIfTrue="1" operator="lessThan">
      <formula>0</formula>
    </cfRule>
    <cfRule type="cellIs" dxfId="2041" priority="2039" stopIfTrue="1" operator="lessThan">
      <formula>0</formula>
    </cfRule>
  </conditionalFormatting>
  <conditionalFormatting sqref="H211:H227">
    <cfRule type="cellIs" dxfId="2040" priority="2036" stopIfTrue="1" operator="lessThan">
      <formula>0</formula>
    </cfRule>
    <cfRule type="cellIs" dxfId="2039" priority="2037" stopIfTrue="1" operator="lessThan">
      <formula>0</formula>
    </cfRule>
  </conditionalFormatting>
  <conditionalFormatting sqref="H211:H227">
    <cfRule type="cellIs" dxfId="2038" priority="2034" stopIfTrue="1" operator="lessThan">
      <formula>0.05</formula>
    </cfRule>
    <cfRule type="cellIs" dxfId="2037" priority="2035" stopIfTrue="1" operator="lessThan">
      <formula>0</formula>
    </cfRule>
  </conditionalFormatting>
  <conditionalFormatting sqref="H211:H227">
    <cfRule type="cellIs" dxfId="2036" priority="2032" stopIfTrue="1" operator="lessThan">
      <formula>0</formula>
    </cfRule>
    <cfRule type="cellIs" dxfId="2035" priority="2033" stopIfTrue="1" operator="lessThan">
      <formula>0</formula>
    </cfRule>
  </conditionalFormatting>
  <conditionalFormatting sqref="H211:H227">
    <cfRule type="cellIs" dxfId="2034" priority="2030" stopIfTrue="1" operator="lessThan">
      <formula>0</formula>
    </cfRule>
    <cfRule type="cellIs" dxfId="2033" priority="2031" stopIfTrue="1" operator="lessThan">
      <formula>0</formula>
    </cfRule>
  </conditionalFormatting>
  <conditionalFormatting sqref="H211:H227">
    <cfRule type="cellIs" dxfId="2032" priority="2028" stopIfTrue="1" operator="lessThan">
      <formula>0.05</formula>
    </cfRule>
    <cfRule type="cellIs" dxfId="2031" priority="2029" stopIfTrue="1" operator="lessThan">
      <formula>0</formula>
    </cfRule>
  </conditionalFormatting>
  <conditionalFormatting sqref="H211:H227">
    <cfRule type="cellIs" dxfId="2030" priority="2026" stopIfTrue="1" operator="lessThan">
      <formula>0</formula>
    </cfRule>
    <cfRule type="cellIs" dxfId="2029" priority="2027" stopIfTrue="1" operator="lessThan">
      <formula>0</formula>
    </cfRule>
  </conditionalFormatting>
  <conditionalFormatting sqref="H211:H227">
    <cfRule type="cellIs" dxfId="2028" priority="2024" stopIfTrue="1" operator="lessThan">
      <formula>0</formula>
    </cfRule>
    <cfRule type="cellIs" dxfId="2027" priority="2025" stopIfTrue="1" operator="lessThan">
      <formula>0</formula>
    </cfRule>
  </conditionalFormatting>
  <conditionalFormatting sqref="H211:H227">
    <cfRule type="cellIs" dxfId="2026" priority="2022" stopIfTrue="1" operator="lessThan">
      <formula>0.05</formula>
    </cfRule>
    <cfRule type="cellIs" dxfId="2025" priority="2023" stopIfTrue="1" operator="lessThan">
      <formula>0</formula>
    </cfRule>
  </conditionalFormatting>
  <conditionalFormatting sqref="H211:H227">
    <cfRule type="cellIs" dxfId="2024" priority="2020" stopIfTrue="1" operator="lessThan">
      <formula>0</formula>
    </cfRule>
    <cfRule type="cellIs" dxfId="2023" priority="2021" stopIfTrue="1" operator="lessThan">
      <formula>0</formula>
    </cfRule>
  </conditionalFormatting>
  <conditionalFormatting sqref="H211:H227">
    <cfRule type="cellIs" dxfId="2022" priority="2018" stopIfTrue="1" operator="lessThan">
      <formula>0</formula>
    </cfRule>
    <cfRule type="cellIs" dxfId="2021" priority="2019" stopIfTrue="1" operator="lessThan">
      <formula>0</formula>
    </cfRule>
  </conditionalFormatting>
  <conditionalFormatting sqref="H211:H227">
    <cfRule type="cellIs" dxfId="2020" priority="2016" stopIfTrue="1" operator="lessThan">
      <formula>0.05</formula>
    </cfRule>
    <cfRule type="cellIs" dxfId="2019" priority="2017" stopIfTrue="1" operator="lessThan">
      <formula>0</formula>
    </cfRule>
  </conditionalFormatting>
  <conditionalFormatting sqref="H211:H227">
    <cfRule type="cellIs" dxfId="2018" priority="2014" stopIfTrue="1" operator="lessThan">
      <formula>0</formula>
    </cfRule>
    <cfRule type="cellIs" dxfId="2017" priority="2015" stopIfTrue="1" operator="lessThan">
      <formula>0</formula>
    </cfRule>
  </conditionalFormatting>
  <conditionalFormatting sqref="H211:H227">
    <cfRule type="cellIs" dxfId="2016" priority="2012" stopIfTrue="1" operator="lessThan">
      <formula>0.05</formula>
    </cfRule>
    <cfRule type="cellIs" dxfId="2015" priority="2013" stopIfTrue="1" operator="lessThan">
      <formula>0</formula>
    </cfRule>
  </conditionalFormatting>
  <conditionalFormatting sqref="H211:H227">
    <cfRule type="cellIs" dxfId="2014" priority="2010" stopIfTrue="1" operator="lessThan">
      <formula>0</formula>
    </cfRule>
    <cfRule type="cellIs" dxfId="2013" priority="2011" stopIfTrue="1" operator="lessThan">
      <formula>0</formula>
    </cfRule>
  </conditionalFormatting>
  <conditionalFormatting sqref="H211:H227">
    <cfRule type="cellIs" dxfId="2012" priority="2008" stopIfTrue="1" operator="lessThan">
      <formula>0.05</formula>
    </cfRule>
    <cfRule type="cellIs" dxfId="2011" priority="2009" stopIfTrue="1" operator="lessThan">
      <formula>0</formula>
    </cfRule>
  </conditionalFormatting>
  <conditionalFormatting sqref="H211:H227">
    <cfRule type="cellIs" dxfId="2010" priority="2006" stopIfTrue="1" operator="lessThan">
      <formula>0</formula>
    </cfRule>
    <cfRule type="cellIs" dxfId="2009" priority="2007" stopIfTrue="1" operator="lessThan">
      <formula>0</formula>
    </cfRule>
  </conditionalFormatting>
  <conditionalFormatting sqref="H211:H227">
    <cfRule type="cellIs" dxfId="2008" priority="2004" stopIfTrue="1" operator="lessThan">
      <formula>0</formula>
    </cfRule>
    <cfRule type="cellIs" dxfId="2007" priority="2005" stopIfTrue="1" operator="lessThan">
      <formula>0</formula>
    </cfRule>
  </conditionalFormatting>
  <conditionalFormatting sqref="H211:H227">
    <cfRule type="cellIs" dxfId="2006" priority="2002" stopIfTrue="1" operator="lessThan">
      <formula>0</formula>
    </cfRule>
    <cfRule type="cellIs" dxfId="2005" priority="2003" stopIfTrue="1" operator="lessThan">
      <formula>0</formula>
    </cfRule>
  </conditionalFormatting>
  <conditionalFormatting sqref="H211:H227">
    <cfRule type="cellIs" dxfId="2004" priority="2000" stopIfTrue="1" operator="lessThan">
      <formula>0.05</formula>
    </cfRule>
    <cfRule type="cellIs" dxfId="2003" priority="2001" stopIfTrue="1" operator="lessThan">
      <formula>0</formula>
    </cfRule>
  </conditionalFormatting>
  <conditionalFormatting sqref="H211:H227">
    <cfRule type="cellIs" dxfId="2002" priority="1998" stopIfTrue="1" operator="lessThan">
      <formula>0</formula>
    </cfRule>
    <cfRule type="cellIs" dxfId="2001" priority="1999" stopIfTrue="1" operator="lessThan">
      <formula>0</formula>
    </cfRule>
  </conditionalFormatting>
  <conditionalFormatting sqref="H211:H227">
    <cfRule type="cellIs" dxfId="2000" priority="1996" stopIfTrue="1" operator="lessThan">
      <formula>0.05</formula>
    </cfRule>
    <cfRule type="cellIs" dxfId="1999" priority="1997" stopIfTrue="1" operator="lessThan">
      <formula>0</formula>
    </cfRule>
  </conditionalFormatting>
  <conditionalFormatting sqref="H211:H227">
    <cfRule type="cellIs" dxfId="1998" priority="1994" stopIfTrue="1" operator="lessThan">
      <formula>0</formula>
    </cfRule>
    <cfRule type="cellIs" dxfId="1997" priority="1995" stopIfTrue="1" operator="lessThan">
      <formula>0</formula>
    </cfRule>
  </conditionalFormatting>
  <conditionalFormatting sqref="H211:H227">
    <cfRule type="cellIs" dxfId="1996" priority="1992" stopIfTrue="1" operator="lessThan">
      <formula>0.05</formula>
    </cfRule>
    <cfRule type="cellIs" dxfId="1995" priority="1993" stopIfTrue="1" operator="lessThan">
      <formula>0</formula>
    </cfRule>
  </conditionalFormatting>
  <conditionalFormatting sqref="H211:H227">
    <cfRule type="cellIs" dxfId="1994" priority="1990" stopIfTrue="1" operator="lessThan">
      <formula>0</formula>
    </cfRule>
    <cfRule type="cellIs" dxfId="1993" priority="1991" stopIfTrue="1" operator="lessThan">
      <formula>0</formula>
    </cfRule>
  </conditionalFormatting>
  <conditionalFormatting sqref="H211:H227">
    <cfRule type="cellIs" dxfId="1992" priority="1989" stopIfTrue="1" operator="lessThan">
      <formula>0.05</formula>
    </cfRule>
  </conditionalFormatting>
  <conditionalFormatting sqref="H191:H207">
    <cfRule type="cellIs" dxfId="1991" priority="1987" stopIfTrue="1" operator="lessThan">
      <formula>0</formula>
    </cfRule>
    <cfRule type="cellIs" dxfId="1990" priority="1988" stopIfTrue="1" operator="lessThan">
      <formula>0</formula>
    </cfRule>
  </conditionalFormatting>
  <conditionalFormatting sqref="H191:H207">
    <cfRule type="cellIs" dxfId="1989" priority="1985" stopIfTrue="1" operator="lessThan">
      <formula>0</formula>
    </cfRule>
    <cfRule type="cellIs" dxfId="1988" priority="1986" stopIfTrue="1" operator="lessThan">
      <formula>0</formula>
    </cfRule>
  </conditionalFormatting>
  <conditionalFormatting sqref="H191:H207">
    <cfRule type="cellIs" dxfId="1987" priority="1983" stopIfTrue="1" operator="lessThan">
      <formula>0.05</formula>
    </cfRule>
    <cfRule type="cellIs" dxfId="1986" priority="1984" stopIfTrue="1" operator="lessThan">
      <formula>0</formula>
    </cfRule>
  </conditionalFormatting>
  <conditionalFormatting sqref="H191:H207">
    <cfRule type="cellIs" dxfId="1985" priority="1981" stopIfTrue="1" operator="lessThan">
      <formula>0</formula>
    </cfRule>
    <cfRule type="cellIs" dxfId="1984" priority="1982" stopIfTrue="1" operator="lessThan">
      <formula>0</formula>
    </cfRule>
  </conditionalFormatting>
  <conditionalFormatting sqref="H191:H207">
    <cfRule type="cellIs" dxfId="1983" priority="1979" stopIfTrue="1" operator="lessThan">
      <formula>0.05</formula>
    </cfRule>
    <cfRule type="cellIs" dxfId="1982" priority="1980" stopIfTrue="1" operator="lessThan">
      <formula>0</formula>
    </cfRule>
  </conditionalFormatting>
  <conditionalFormatting sqref="H191:H207">
    <cfRule type="cellIs" dxfId="1981" priority="1977" stopIfTrue="1" operator="lessThan">
      <formula>0</formula>
    </cfRule>
    <cfRule type="cellIs" dxfId="1980" priority="1978" stopIfTrue="1" operator="lessThan">
      <formula>0</formula>
    </cfRule>
  </conditionalFormatting>
  <conditionalFormatting sqref="H191:H207">
    <cfRule type="cellIs" dxfId="1979" priority="1975" stopIfTrue="1" operator="lessThan">
      <formula>0.05</formula>
    </cfRule>
    <cfRule type="cellIs" dxfId="1978" priority="1976" stopIfTrue="1" operator="lessThan">
      <formula>0</formula>
    </cfRule>
  </conditionalFormatting>
  <conditionalFormatting sqref="H191:H207">
    <cfRule type="cellIs" dxfId="1977" priority="1973" stopIfTrue="1" operator="lessThan">
      <formula>0</formula>
    </cfRule>
    <cfRule type="cellIs" dxfId="1976" priority="1974" stopIfTrue="1" operator="lessThan">
      <formula>0</formula>
    </cfRule>
  </conditionalFormatting>
  <conditionalFormatting sqref="H191:H207">
    <cfRule type="cellIs" dxfId="1975" priority="1971" stopIfTrue="1" operator="lessThan">
      <formula>0</formula>
    </cfRule>
    <cfRule type="cellIs" dxfId="1974" priority="1972" stopIfTrue="1" operator="lessThan">
      <formula>0</formula>
    </cfRule>
  </conditionalFormatting>
  <conditionalFormatting sqref="H191:H207">
    <cfRule type="cellIs" dxfId="1973" priority="1969" stopIfTrue="1" operator="lessThan">
      <formula>0</formula>
    </cfRule>
    <cfRule type="cellIs" dxfId="1972" priority="1970" stopIfTrue="1" operator="lessThan">
      <formula>0</formula>
    </cfRule>
  </conditionalFormatting>
  <conditionalFormatting sqref="H191:H207">
    <cfRule type="cellIs" dxfId="1971" priority="1967" stopIfTrue="1" operator="lessThan">
      <formula>0.05</formula>
    </cfRule>
    <cfRule type="cellIs" dxfId="1970" priority="1968" stopIfTrue="1" operator="lessThan">
      <formula>0</formula>
    </cfRule>
  </conditionalFormatting>
  <conditionalFormatting sqref="H191:H207">
    <cfRule type="cellIs" dxfId="1969" priority="1965" stopIfTrue="1" operator="lessThan">
      <formula>0</formula>
    </cfRule>
    <cfRule type="cellIs" dxfId="1968" priority="1966" stopIfTrue="1" operator="lessThan">
      <formula>0</formula>
    </cfRule>
  </conditionalFormatting>
  <conditionalFormatting sqref="H191:H207">
    <cfRule type="cellIs" dxfId="1967" priority="1963" stopIfTrue="1" operator="lessThan">
      <formula>0.05</formula>
    </cfRule>
    <cfRule type="cellIs" dxfId="1966" priority="1964" stopIfTrue="1" operator="lessThan">
      <formula>0</formula>
    </cfRule>
  </conditionalFormatting>
  <conditionalFormatting sqref="H191:H207">
    <cfRule type="cellIs" dxfId="1965" priority="1961" stopIfTrue="1" operator="lessThan">
      <formula>0</formula>
    </cfRule>
    <cfRule type="cellIs" dxfId="1964" priority="1962" stopIfTrue="1" operator="lessThan">
      <formula>0</formula>
    </cfRule>
  </conditionalFormatting>
  <conditionalFormatting sqref="H191:H207">
    <cfRule type="cellIs" dxfId="1963" priority="1959" stopIfTrue="1" operator="lessThan">
      <formula>0.05</formula>
    </cfRule>
    <cfRule type="cellIs" dxfId="1962" priority="1960" stopIfTrue="1" operator="lessThan">
      <formula>0</formula>
    </cfRule>
  </conditionalFormatting>
  <conditionalFormatting sqref="H191:H207">
    <cfRule type="cellIs" dxfId="1961" priority="1957" stopIfTrue="1" operator="lessThan">
      <formula>0</formula>
    </cfRule>
    <cfRule type="cellIs" dxfId="1960" priority="1958" stopIfTrue="1" operator="lessThan">
      <formula>0</formula>
    </cfRule>
  </conditionalFormatting>
  <conditionalFormatting sqref="H191:H207">
    <cfRule type="cellIs" dxfId="1959" priority="1955" stopIfTrue="1" operator="lessThan">
      <formula>0</formula>
    </cfRule>
    <cfRule type="cellIs" dxfId="1958" priority="1956" stopIfTrue="1" operator="lessThan">
      <formula>0</formula>
    </cfRule>
  </conditionalFormatting>
  <conditionalFormatting sqref="H191:H207">
    <cfRule type="cellIs" dxfId="1957" priority="1953" stopIfTrue="1" operator="lessThan">
      <formula>0</formula>
    </cfRule>
    <cfRule type="cellIs" dxfId="1956" priority="1954" stopIfTrue="1" operator="lessThan">
      <formula>0</formula>
    </cfRule>
  </conditionalFormatting>
  <conditionalFormatting sqref="H191:H207">
    <cfRule type="cellIs" dxfId="1955" priority="1951" stopIfTrue="1" operator="lessThan">
      <formula>0.05</formula>
    </cfRule>
    <cfRule type="cellIs" dxfId="1954" priority="1952" stopIfTrue="1" operator="lessThan">
      <formula>0</formula>
    </cfRule>
  </conditionalFormatting>
  <conditionalFormatting sqref="H191:H207">
    <cfRule type="cellIs" dxfId="1953" priority="1949" stopIfTrue="1" operator="lessThan">
      <formula>0</formula>
    </cfRule>
    <cfRule type="cellIs" dxfId="1952" priority="1950" stopIfTrue="1" operator="lessThan">
      <formula>0</formula>
    </cfRule>
  </conditionalFormatting>
  <conditionalFormatting sqref="H191:H207">
    <cfRule type="cellIs" dxfId="1951" priority="1947" stopIfTrue="1" operator="lessThan">
      <formula>0.05</formula>
    </cfRule>
    <cfRule type="cellIs" dxfId="1950" priority="1948" stopIfTrue="1" operator="lessThan">
      <formula>0</formula>
    </cfRule>
  </conditionalFormatting>
  <conditionalFormatting sqref="H191:H207">
    <cfRule type="cellIs" dxfId="1949" priority="1945" stopIfTrue="1" operator="lessThan">
      <formula>0</formula>
    </cfRule>
    <cfRule type="cellIs" dxfId="1948" priority="1946" stopIfTrue="1" operator="lessThan">
      <formula>0</formula>
    </cfRule>
  </conditionalFormatting>
  <conditionalFormatting sqref="H191:H207">
    <cfRule type="cellIs" dxfId="1947" priority="1943" stopIfTrue="1" operator="lessThan">
      <formula>0.05</formula>
    </cfRule>
    <cfRule type="cellIs" dxfId="1946" priority="1944" stopIfTrue="1" operator="lessThan">
      <formula>0</formula>
    </cfRule>
  </conditionalFormatting>
  <conditionalFormatting sqref="H191:H207">
    <cfRule type="cellIs" dxfId="1945" priority="1941" stopIfTrue="1" operator="lessThan">
      <formula>0</formula>
    </cfRule>
    <cfRule type="cellIs" dxfId="1944" priority="1942" stopIfTrue="1" operator="lessThan">
      <formula>0</formula>
    </cfRule>
  </conditionalFormatting>
  <conditionalFormatting sqref="H191:H207">
    <cfRule type="cellIs" dxfId="1943" priority="1939" stopIfTrue="1" operator="lessThan">
      <formula>0</formula>
    </cfRule>
    <cfRule type="cellIs" dxfId="1942" priority="1940" stopIfTrue="1" operator="lessThan">
      <formula>0</formula>
    </cfRule>
  </conditionalFormatting>
  <conditionalFormatting sqref="H191:H207">
    <cfRule type="cellIs" dxfId="1941" priority="1937" stopIfTrue="1" operator="lessThan">
      <formula>0</formula>
    </cfRule>
    <cfRule type="cellIs" dxfId="1940" priority="1938" stopIfTrue="1" operator="lessThan">
      <formula>0</formula>
    </cfRule>
  </conditionalFormatting>
  <conditionalFormatting sqref="H191:H207">
    <cfRule type="cellIs" dxfId="1939" priority="1935" stopIfTrue="1" operator="lessThan">
      <formula>0.05</formula>
    </cfRule>
    <cfRule type="cellIs" dxfId="1938" priority="1936" stopIfTrue="1" operator="lessThan">
      <formula>0</formula>
    </cfRule>
  </conditionalFormatting>
  <conditionalFormatting sqref="H191:H207">
    <cfRule type="cellIs" dxfId="1937" priority="1933" stopIfTrue="1" operator="lessThan">
      <formula>0</formula>
    </cfRule>
    <cfRule type="cellIs" dxfId="1936" priority="1934" stopIfTrue="1" operator="lessThan">
      <formula>0</formula>
    </cfRule>
  </conditionalFormatting>
  <conditionalFormatting sqref="H191:H207">
    <cfRule type="cellIs" dxfId="1935" priority="1931" stopIfTrue="1" operator="lessThan">
      <formula>0.05</formula>
    </cfRule>
    <cfRule type="cellIs" dxfId="1934" priority="1932" stopIfTrue="1" operator="lessThan">
      <formula>0</formula>
    </cfRule>
  </conditionalFormatting>
  <conditionalFormatting sqref="H191:H207">
    <cfRule type="cellIs" dxfId="1933" priority="1929" stopIfTrue="1" operator="lessThan">
      <formula>0</formula>
    </cfRule>
    <cfRule type="cellIs" dxfId="1932" priority="1930" stopIfTrue="1" operator="lessThan">
      <formula>0</formula>
    </cfRule>
  </conditionalFormatting>
  <conditionalFormatting sqref="H191:H207">
    <cfRule type="cellIs" dxfId="1931" priority="1927" stopIfTrue="1" operator="lessThan">
      <formula>0.05</formula>
    </cfRule>
    <cfRule type="cellIs" dxfId="1930" priority="1928" stopIfTrue="1" operator="lessThan">
      <formula>0</formula>
    </cfRule>
  </conditionalFormatting>
  <conditionalFormatting sqref="H191:H207">
    <cfRule type="cellIs" dxfId="1929" priority="1925" stopIfTrue="1" operator="lessThan">
      <formula>0</formula>
    </cfRule>
    <cfRule type="cellIs" dxfId="1928" priority="1926" stopIfTrue="1" operator="lessThan">
      <formula>0</formula>
    </cfRule>
  </conditionalFormatting>
  <conditionalFormatting sqref="H191:H207">
    <cfRule type="cellIs" dxfId="1927" priority="1923" stopIfTrue="1" operator="lessThan">
      <formula>0</formula>
    </cfRule>
    <cfRule type="cellIs" dxfId="1926" priority="1924" stopIfTrue="1" operator="lessThan">
      <formula>0</formula>
    </cfRule>
  </conditionalFormatting>
  <conditionalFormatting sqref="H191:H207">
    <cfRule type="cellIs" dxfId="1925" priority="1921" stopIfTrue="1" operator="lessThan">
      <formula>0.05</formula>
    </cfRule>
    <cfRule type="cellIs" dxfId="1924" priority="1922" stopIfTrue="1" operator="lessThan">
      <formula>0</formula>
    </cfRule>
  </conditionalFormatting>
  <conditionalFormatting sqref="H191:H207">
    <cfRule type="cellIs" dxfId="1923" priority="1919" stopIfTrue="1" operator="lessThan">
      <formula>0</formula>
    </cfRule>
    <cfRule type="cellIs" dxfId="1922" priority="1920" stopIfTrue="1" operator="lessThan">
      <formula>0</formula>
    </cfRule>
  </conditionalFormatting>
  <conditionalFormatting sqref="H191:H207">
    <cfRule type="cellIs" dxfId="1921" priority="1917" stopIfTrue="1" operator="lessThan">
      <formula>0</formula>
    </cfRule>
    <cfRule type="cellIs" dxfId="1920" priority="1918" stopIfTrue="1" operator="lessThan">
      <formula>0</formula>
    </cfRule>
  </conditionalFormatting>
  <conditionalFormatting sqref="H191:H207">
    <cfRule type="cellIs" dxfId="1919" priority="1915" stopIfTrue="1" operator="lessThan">
      <formula>0.05</formula>
    </cfRule>
    <cfRule type="cellIs" dxfId="1918" priority="1916" stopIfTrue="1" operator="lessThan">
      <formula>0</formula>
    </cfRule>
  </conditionalFormatting>
  <conditionalFormatting sqref="H191:H207">
    <cfRule type="cellIs" dxfId="1917" priority="1913" stopIfTrue="1" operator="lessThan">
      <formula>0</formula>
    </cfRule>
    <cfRule type="cellIs" dxfId="1916" priority="1914" stopIfTrue="1" operator="lessThan">
      <formula>0</formula>
    </cfRule>
  </conditionalFormatting>
  <conditionalFormatting sqref="H191:H207">
    <cfRule type="cellIs" dxfId="1915" priority="1911" stopIfTrue="1" operator="lessThan">
      <formula>0</formula>
    </cfRule>
    <cfRule type="cellIs" dxfId="1914" priority="1912" stopIfTrue="1" operator="lessThan">
      <formula>0</formula>
    </cfRule>
  </conditionalFormatting>
  <conditionalFormatting sqref="H191:H207">
    <cfRule type="cellIs" dxfId="1913" priority="1909" stopIfTrue="1" operator="lessThan">
      <formula>0.05</formula>
    </cfRule>
    <cfRule type="cellIs" dxfId="1912" priority="1910" stopIfTrue="1" operator="lessThan">
      <formula>0</formula>
    </cfRule>
  </conditionalFormatting>
  <conditionalFormatting sqref="H191:H207">
    <cfRule type="cellIs" dxfId="1911" priority="1907" stopIfTrue="1" operator="lessThan">
      <formula>0</formula>
    </cfRule>
    <cfRule type="cellIs" dxfId="1910" priority="1908" stopIfTrue="1" operator="lessThan">
      <formula>0</formula>
    </cfRule>
  </conditionalFormatting>
  <conditionalFormatting sqref="H191:H207">
    <cfRule type="cellIs" dxfId="1909" priority="1905" stopIfTrue="1" operator="lessThan">
      <formula>0</formula>
    </cfRule>
    <cfRule type="cellIs" dxfId="1908" priority="1906" stopIfTrue="1" operator="lessThan">
      <formula>0</formula>
    </cfRule>
  </conditionalFormatting>
  <conditionalFormatting sqref="H191:H207">
    <cfRule type="cellIs" dxfId="1907" priority="1903" stopIfTrue="1" operator="lessThan">
      <formula>0.05</formula>
    </cfRule>
    <cfRule type="cellIs" dxfId="1906" priority="1904" stopIfTrue="1" operator="lessThan">
      <formula>0</formula>
    </cfRule>
  </conditionalFormatting>
  <conditionalFormatting sqref="H191:H207">
    <cfRule type="cellIs" dxfId="1905" priority="1901" stopIfTrue="1" operator="lessThan">
      <formula>0</formula>
    </cfRule>
    <cfRule type="cellIs" dxfId="1904" priority="1902" stopIfTrue="1" operator="lessThan">
      <formula>0</formula>
    </cfRule>
  </conditionalFormatting>
  <conditionalFormatting sqref="H191:H207">
    <cfRule type="cellIs" dxfId="1903" priority="1899" stopIfTrue="1" operator="lessThan">
      <formula>0</formula>
    </cfRule>
    <cfRule type="cellIs" dxfId="1902" priority="1900" stopIfTrue="1" operator="lessThan">
      <formula>0</formula>
    </cfRule>
  </conditionalFormatting>
  <conditionalFormatting sqref="H191:H207">
    <cfRule type="cellIs" dxfId="1901" priority="1897" stopIfTrue="1" operator="lessThan">
      <formula>0.05</formula>
    </cfRule>
    <cfRule type="cellIs" dxfId="1900" priority="1898" stopIfTrue="1" operator="lessThan">
      <formula>0</formula>
    </cfRule>
  </conditionalFormatting>
  <conditionalFormatting sqref="H191:H207">
    <cfRule type="cellIs" dxfId="1899" priority="1895" stopIfTrue="1" operator="lessThan">
      <formula>0</formula>
    </cfRule>
    <cfRule type="cellIs" dxfId="1898" priority="1896" stopIfTrue="1" operator="lessThan">
      <formula>0</formula>
    </cfRule>
  </conditionalFormatting>
  <conditionalFormatting sqref="H191:H207">
    <cfRule type="cellIs" dxfId="1897" priority="1893" stopIfTrue="1" operator="lessThan">
      <formula>0</formula>
    </cfRule>
    <cfRule type="cellIs" dxfId="1896" priority="1894" stopIfTrue="1" operator="lessThan">
      <formula>0</formula>
    </cfRule>
  </conditionalFormatting>
  <conditionalFormatting sqref="H191:H207">
    <cfRule type="cellIs" dxfId="1895" priority="1891" stopIfTrue="1" operator="lessThan">
      <formula>0.05</formula>
    </cfRule>
    <cfRule type="cellIs" dxfId="1894" priority="1892" stopIfTrue="1" operator="lessThan">
      <formula>0</formula>
    </cfRule>
  </conditionalFormatting>
  <conditionalFormatting sqref="H191:H207">
    <cfRule type="cellIs" dxfId="1893" priority="1889" stopIfTrue="1" operator="lessThan">
      <formula>0</formula>
    </cfRule>
    <cfRule type="cellIs" dxfId="1892" priority="1890" stopIfTrue="1" operator="lessThan">
      <formula>0</formula>
    </cfRule>
  </conditionalFormatting>
  <conditionalFormatting sqref="H191:H207">
    <cfRule type="cellIs" dxfId="1891" priority="1887" stopIfTrue="1" operator="lessThan">
      <formula>0</formula>
    </cfRule>
    <cfRule type="cellIs" dxfId="1890" priority="1888" stopIfTrue="1" operator="lessThan">
      <formula>0</formula>
    </cfRule>
  </conditionalFormatting>
  <conditionalFormatting sqref="H191:H207">
    <cfRule type="cellIs" dxfId="1889" priority="1885" stopIfTrue="1" operator="lessThan">
      <formula>0.05</formula>
    </cfRule>
    <cfRule type="cellIs" dxfId="1888" priority="1886" stopIfTrue="1" operator="lessThan">
      <formula>0</formula>
    </cfRule>
  </conditionalFormatting>
  <conditionalFormatting sqref="H191:H207">
    <cfRule type="cellIs" dxfId="1887" priority="1883" stopIfTrue="1" operator="lessThan">
      <formula>0</formula>
    </cfRule>
    <cfRule type="cellIs" dxfId="1886" priority="1884" stopIfTrue="1" operator="lessThan">
      <formula>0</formula>
    </cfRule>
  </conditionalFormatting>
  <conditionalFormatting sqref="H191:H207">
    <cfRule type="cellIs" dxfId="1885" priority="1881" stopIfTrue="1" operator="lessThan">
      <formula>0</formula>
    </cfRule>
    <cfRule type="cellIs" dxfId="1884" priority="1882" stopIfTrue="1" operator="lessThan">
      <formula>0</formula>
    </cfRule>
  </conditionalFormatting>
  <conditionalFormatting sqref="H191:H207">
    <cfRule type="cellIs" dxfId="1883" priority="1879" stopIfTrue="1" operator="lessThan">
      <formula>0.05</formula>
    </cfRule>
    <cfRule type="cellIs" dxfId="1882" priority="1880" stopIfTrue="1" operator="lessThan">
      <formula>0</formula>
    </cfRule>
  </conditionalFormatting>
  <conditionalFormatting sqref="H191:H207">
    <cfRule type="cellIs" dxfId="1881" priority="1877" stopIfTrue="1" operator="lessThan">
      <formula>0</formula>
    </cfRule>
    <cfRule type="cellIs" dxfId="1880" priority="1878" stopIfTrue="1" operator="lessThan">
      <formula>0</formula>
    </cfRule>
  </conditionalFormatting>
  <conditionalFormatting sqref="H191:H207">
    <cfRule type="cellIs" dxfId="1879" priority="1875" stopIfTrue="1" operator="lessThan">
      <formula>0</formula>
    </cfRule>
    <cfRule type="cellIs" dxfId="1878" priority="1876" stopIfTrue="1" operator="lessThan">
      <formula>0</formula>
    </cfRule>
  </conditionalFormatting>
  <conditionalFormatting sqref="H191:H207">
    <cfRule type="cellIs" dxfId="1877" priority="1873" stopIfTrue="1" operator="lessThan">
      <formula>0.05</formula>
    </cfRule>
    <cfRule type="cellIs" dxfId="1876" priority="1874" stopIfTrue="1" operator="lessThan">
      <formula>0</formula>
    </cfRule>
  </conditionalFormatting>
  <conditionalFormatting sqref="H191:H207">
    <cfRule type="cellIs" dxfId="1875" priority="1871" stopIfTrue="1" operator="lessThan">
      <formula>0</formula>
    </cfRule>
    <cfRule type="cellIs" dxfId="1874" priority="1872" stopIfTrue="1" operator="lessThan">
      <formula>0</formula>
    </cfRule>
  </conditionalFormatting>
  <conditionalFormatting sqref="H191:H207">
    <cfRule type="cellIs" dxfId="1873" priority="1869" stopIfTrue="1" operator="lessThan">
      <formula>0</formula>
    </cfRule>
    <cfRule type="cellIs" dxfId="1872" priority="1870" stopIfTrue="1" operator="lessThan">
      <formula>0</formula>
    </cfRule>
  </conditionalFormatting>
  <conditionalFormatting sqref="H191:H207">
    <cfRule type="cellIs" dxfId="1871" priority="1867" stopIfTrue="1" operator="lessThan">
      <formula>0.05</formula>
    </cfRule>
    <cfRule type="cellIs" dxfId="1870" priority="1868" stopIfTrue="1" operator="lessThan">
      <formula>0</formula>
    </cfRule>
  </conditionalFormatting>
  <conditionalFormatting sqref="H191:H207">
    <cfRule type="cellIs" dxfId="1869" priority="1865" stopIfTrue="1" operator="lessThan">
      <formula>0</formula>
    </cfRule>
    <cfRule type="cellIs" dxfId="1868" priority="1866" stopIfTrue="1" operator="lessThan">
      <formula>0</formula>
    </cfRule>
  </conditionalFormatting>
  <conditionalFormatting sqref="H191:H207">
    <cfRule type="cellIs" dxfId="1867" priority="1863" stopIfTrue="1" operator="lessThan">
      <formula>0</formula>
    </cfRule>
    <cfRule type="cellIs" dxfId="1866" priority="1864" stopIfTrue="1" operator="lessThan">
      <formula>0</formula>
    </cfRule>
  </conditionalFormatting>
  <conditionalFormatting sqref="H191:H207">
    <cfRule type="cellIs" dxfId="1865" priority="1861" stopIfTrue="1" operator="lessThan">
      <formula>0.05</formula>
    </cfRule>
    <cfRule type="cellIs" dxfId="1864" priority="1862" stopIfTrue="1" operator="lessThan">
      <formula>0</formula>
    </cfRule>
  </conditionalFormatting>
  <conditionalFormatting sqref="H191:H207">
    <cfRule type="cellIs" dxfId="1863" priority="1859" stopIfTrue="1" operator="lessThan">
      <formula>0</formula>
    </cfRule>
    <cfRule type="cellIs" dxfId="1862" priority="1860" stopIfTrue="1" operator="lessThan">
      <formula>0</formula>
    </cfRule>
  </conditionalFormatting>
  <conditionalFormatting sqref="H191:H207">
    <cfRule type="cellIs" dxfId="1861" priority="1857" stopIfTrue="1" operator="lessThan">
      <formula>0</formula>
    </cfRule>
    <cfRule type="cellIs" dxfId="1860" priority="1858" stopIfTrue="1" operator="lessThan">
      <formula>0</formula>
    </cfRule>
  </conditionalFormatting>
  <conditionalFormatting sqref="H191:H207">
    <cfRule type="cellIs" dxfId="1859" priority="1855" stopIfTrue="1" operator="lessThan">
      <formula>0.05</formula>
    </cfRule>
    <cfRule type="cellIs" dxfId="1858" priority="1856" stopIfTrue="1" operator="lessThan">
      <formula>0</formula>
    </cfRule>
  </conditionalFormatting>
  <conditionalFormatting sqref="H191:H207">
    <cfRule type="cellIs" dxfId="1857" priority="1853" stopIfTrue="1" operator="lessThan">
      <formula>0</formula>
    </cfRule>
    <cfRule type="cellIs" dxfId="1856" priority="1854" stopIfTrue="1" operator="lessThan">
      <formula>0</formula>
    </cfRule>
  </conditionalFormatting>
  <conditionalFormatting sqref="H191:H207">
    <cfRule type="cellIs" dxfId="1855" priority="1851" stopIfTrue="1" operator="lessThan">
      <formula>0</formula>
    </cfRule>
    <cfRule type="cellIs" dxfId="1854" priority="1852" stopIfTrue="1" operator="lessThan">
      <formula>0</formula>
    </cfRule>
  </conditionalFormatting>
  <conditionalFormatting sqref="H191:H207">
    <cfRule type="cellIs" dxfId="1853" priority="1849" stopIfTrue="1" operator="lessThan">
      <formula>0.05</formula>
    </cfRule>
    <cfRule type="cellIs" dxfId="1852" priority="1850" stopIfTrue="1" operator="lessThan">
      <formula>0</formula>
    </cfRule>
  </conditionalFormatting>
  <conditionalFormatting sqref="H191:H207">
    <cfRule type="cellIs" dxfId="1851" priority="1847" stopIfTrue="1" operator="lessThan">
      <formula>0</formula>
    </cfRule>
    <cfRule type="cellIs" dxfId="1850" priority="1848" stopIfTrue="1" operator="lessThan">
      <formula>0</formula>
    </cfRule>
  </conditionalFormatting>
  <conditionalFormatting sqref="H191:H207">
    <cfRule type="cellIs" dxfId="1849" priority="1845" stopIfTrue="1" operator="lessThan">
      <formula>0</formula>
    </cfRule>
    <cfRule type="cellIs" dxfId="1848" priority="1846" stopIfTrue="1" operator="lessThan">
      <formula>0</formula>
    </cfRule>
  </conditionalFormatting>
  <conditionalFormatting sqref="H191:H207">
    <cfRule type="cellIs" dxfId="1847" priority="1843" stopIfTrue="1" operator="lessThan">
      <formula>0.05</formula>
    </cfRule>
    <cfRule type="cellIs" dxfId="1846" priority="1844" stopIfTrue="1" operator="lessThan">
      <formula>0</formula>
    </cfRule>
  </conditionalFormatting>
  <conditionalFormatting sqref="H191:H207">
    <cfRule type="cellIs" dxfId="1845" priority="1841" stopIfTrue="1" operator="lessThan">
      <formula>0</formula>
    </cfRule>
    <cfRule type="cellIs" dxfId="1844" priority="1842" stopIfTrue="1" operator="lessThan">
      <formula>0</formula>
    </cfRule>
  </conditionalFormatting>
  <conditionalFormatting sqref="H191:H207">
    <cfRule type="cellIs" dxfId="1843" priority="1839" stopIfTrue="1" operator="lessThan">
      <formula>0</formula>
    </cfRule>
    <cfRule type="cellIs" dxfId="1842" priority="1840" stopIfTrue="1" operator="lessThan">
      <formula>0</formula>
    </cfRule>
  </conditionalFormatting>
  <conditionalFormatting sqref="H191:H207">
    <cfRule type="cellIs" dxfId="1841" priority="1837" stopIfTrue="1" operator="lessThan">
      <formula>0.05</formula>
    </cfRule>
    <cfRule type="cellIs" dxfId="1840" priority="1838" stopIfTrue="1" operator="lessThan">
      <formula>0</formula>
    </cfRule>
  </conditionalFormatting>
  <conditionalFormatting sqref="H191:H207">
    <cfRule type="cellIs" dxfId="1839" priority="1835" stopIfTrue="1" operator="lessThan">
      <formula>0</formula>
    </cfRule>
    <cfRule type="cellIs" dxfId="1838" priority="1836" stopIfTrue="1" operator="lessThan">
      <formula>0</formula>
    </cfRule>
  </conditionalFormatting>
  <conditionalFormatting sqref="H191:H207">
    <cfRule type="cellIs" dxfId="1837" priority="1833" stopIfTrue="1" operator="lessThan">
      <formula>0</formula>
    </cfRule>
    <cfRule type="cellIs" dxfId="1836" priority="1834" stopIfTrue="1" operator="lessThan">
      <formula>0</formula>
    </cfRule>
  </conditionalFormatting>
  <conditionalFormatting sqref="H191:H207">
    <cfRule type="cellIs" dxfId="1835" priority="1831" stopIfTrue="1" operator="lessThan">
      <formula>0.05</formula>
    </cfRule>
    <cfRule type="cellIs" dxfId="1834" priority="1832" stopIfTrue="1" operator="lessThan">
      <formula>0</formula>
    </cfRule>
  </conditionalFormatting>
  <conditionalFormatting sqref="H191:H207">
    <cfRule type="cellIs" dxfId="1833" priority="1829" stopIfTrue="1" operator="lessThan">
      <formula>0</formula>
    </cfRule>
    <cfRule type="cellIs" dxfId="1832" priority="1830" stopIfTrue="1" operator="lessThan">
      <formula>0</formula>
    </cfRule>
  </conditionalFormatting>
  <conditionalFormatting sqref="H191:H207">
    <cfRule type="cellIs" dxfId="1831" priority="1827" stopIfTrue="1" operator="lessThan">
      <formula>0.05</formula>
    </cfRule>
    <cfRule type="cellIs" dxfId="1830" priority="1828" stopIfTrue="1" operator="lessThan">
      <formula>0</formula>
    </cfRule>
  </conditionalFormatting>
  <conditionalFormatting sqref="H191:H207">
    <cfRule type="cellIs" dxfId="1829" priority="1825" stopIfTrue="1" operator="lessThan">
      <formula>0</formula>
    </cfRule>
    <cfRule type="cellIs" dxfId="1828" priority="1826" stopIfTrue="1" operator="lessThan">
      <formula>0</formula>
    </cfRule>
  </conditionalFormatting>
  <conditionalFormatting sqref="H191:H207">
    <cfRule type="cellIs" dxfId="1827" priority="1823" stopIfTrue="1" operator="lessThan">
      <formula>0.05</formula>
    </cfRule>
    <cfRule type="cellIs" dxfId="1826" priority="1824" stopIfTrue="1" operator="lessThan">
      <formula>0</formula>
    </cfRule>
  </conditionalFormatting>
  <conditionalFormatting sqref="H191:H207">
    <cfRule type="cellIs" dxfId="1825" priority="1821" stopIfTrue="1" operator="lessThan">
      <formula>0</formula>
    </cfRule>
    <cfRule type="cellIs" dxfId="1824" priority="1822" stopIfTrue="1" operator="lessThan">
      <formula>0</formula>
    </cfRule>
  </conditionalFormatting>
  <conditionalFormatting sqref="H191:H207">
    <cfRule type="cellIs" dxfId="1823" priority="1819" stopIfTrue="1" operator="lessThan">
      <formula>0</formula>
    </cfRule>
    <cfRule type="cellIs" dxfId="1822" priority="1820" stopIfTrue="1" operator="lessThan">
      <formula>0</formula>
    </cfRule>
  </conditionalFormatting>
  <conditionalFormatting sqref="H191:H207">
    <cfRule type="cellIs" dxfId="1821" priority="1817" stopIfTrue="1" operator="lessThan">
      <formula>0</formula>
    </cfRule>
    <cfRule type="cellIs" dxfId="1820" priority="1818" stopIfTrue="1" operator="lessThan">
      <formula>0</formula>
    </cfRule>
  </conditionalFormatting>
  <conditionalFormatting sqref="H191:H207">
    <cfRule type="cellIs" dxfId="1819" priority="1815" stopIfTrue="1" operator="lessThan">
      <formula>0.05</formula>
    </cfRule>
    <cfRule type="cellIs" dxfId="1818" priority="1816" stopIfTrue="1" operator="lessThan">
      <formula>0</formula>
    </cfRule>
  </conditionalFormatting>
  <conditionalFormatting sqref="H191:H207">
    <cfRule type="cellIs" dxfId="1817" priority="1813" stopIfTrue="1" operator="lessThan">
      <formula>0</formula>
    </cfRule>
    <cfRule type="cellIs" dxfId="1816" priority="1814" stopIfTrue="1" operator="lessThan">
      <formula>0</formula>
    </cfRule>
  </conditionalFormatting>
  <conditionalFormatting sqref="H191:H207">
    <cfRule type="cellIs" dxfId="1815" priority="1811" stopIfTrue="1" operator="lessThan">
      <formula>0.05</formula>
    </cfRule>
    <cfRule type="cellIs" dxfId="1814" priority="1812" stopIfTrue="1" operator="lessThan">
      <formula>0</formula>
    </cfRule>
  </conditionalFormatting>
  <conditionalFormatting sqref="H191:H207">
    <cfRule type="cellIs" dxfId="1813" priority="1809" stopIfTrue="1" operator="lessThan">
      <formula>0</formula>
    </cfRule>
    <cfRule type="cellIs" dxfId="1812" priority="1810" stopIfTrue="1" operator="lessThan">
      <formula>0</formula>
    </cfRule>
  </conditionalFormatting>
  <conditionalFormatting sqref="H191:H207">
    <cfRule type="cellIs" dxfId="1811" priority="1807" stopIfTrue="1" operator="lessThan">
      <formula>0.05</formula>
    </cfRule>
    <cfRule type="cellIs" dxfId="1810" priority="1808" stopIfTrue="1" operator="lessThan">
      <formula>0</formula>
    </cfRule>
  </conditionalFormatting>
  <conditionalFormatting sqref="H191:H207">
    <cfRule type="cellIs" dxfId="1809" priority="1805" stopIfTrue="1" operator="lessThan">
      <formula>0</formula>
    </cfRule>
    <cfRule type="cellIs" dxfId="1808" priority="1806" stopIfTrue="1" operator="lessThan">
      <formula>0</formula>
    </cfRule>
  </conditionalFormatting>
  <conditionalFormatting sqref="H191:H207">
    <cfRule type="cellIs" dxfId="1807" priority="1803" stopIfTrue="1" operator="lessThan">
      <formula>0</formula>
    </cfRule>
    <cfRule type="cellIs" dxfId="1806" priority="1804" stopIfTrue="1" operator="lessThan">
      <formula>0</formula>
    </cfRule>
  </conditionalFormatting>
  <conditionalFormatting sqref="H191:H207">
    <cfRule type="cellIs" dxfId="1805" priority="1801" stopIfTrue="1" operator="lessThan">
      <formula>0.05</formula>
    </cfRule>
    <cfRule type="cellIs" dxfId="1804" priority="1802" stopIfTrue="1" operator="lessThan">
      <formula>0</formula>
    </cfRule>
  </conditionalFormatting>
  <conditionalFormatting sqref="H191:H207">
    <cfRule type="cellIs" dxfId="1803" priority="1799" stopIfTrue="1" operator="lessThan">
      <formula>0</formula>
    </cfRule>
    <cfRule type="cellIs" dxfId="1802" priority="1800" stopIfTrue="1" operator="lessThan">
      <formula>0</formula>
    </cfRule>
  </conditionalFormatting>
  <conditionalFormatting sqref="H191:H207">
    <cfRule type="cellIs" dxfId="1801" priority="1797" stopIfTrue="1" operator="lessThan">
      <formula>0</formula>
    </cfRule>
    <cfRule type="cellIs" dxfId="1800" priority="1798" stopIfTrue="1" operator="lessThan">
      <formula>0</formula>
    </cfRule>
  </conditionalFormatting>
  <conditionalFormatting sqref="H191:H207">
    <cfRule type="cellIs" dxfId="1799" priority="1795" stopIfTrue="1" operator="lessThan">
      <formula>0.05</formula>
    </cfRule>
    <cfRule type="cellIs" dxfId="1798" priority="1796" stopIfTrue="1" operator="lessThan">
      <formula>0</formula>
    </cfRule>
  </conditionalFormatting>
  <conditionalFormatting sqref="H191:H207">
    <cfRule type="cellIs" dxfId="1797" priority="1793" stopIfTrue="1" operator="lessThan">
      <formula>0</formula>
    </cfRule>
    <cfRule type="cellIs" dxfId="1796" priority="1794" stopIfTrue="1" operator="lessThan">
      <formula>0</formula>
    </cfRule>
  </conditionalFormatting>
  <conditionalFormatting sqref="H191:H207">
    <cfRule type="cellIs" dxfId="1795" priority="1791" stopIfTrue="1" operator="lessThan">
      <formula>0</formula>
    </cfRule>
    <cfRule type="cellIs" dxfId="1794" priority="1792" stopIfTrue="1" operator="lessThan">
      <formula>0</formula>
    </cfRule>
  </conditionalFormatting>
  <conditionalFormatting sqref="H191:H207">
    <cfRule type="cellIs" dxfId="1793" priority="1789" stopIfTrue="1" operator="lessThan">
      <formula>0.05</formula>
    </cfRule>
    <cfRule type="cellIs" dxfId="1792" priority="1790" stopIfTrue="1" operator="lessThan">
      <formula>0</formula>
    </cfRule>
  </conditionalFormatting>
  <conditionalFormatting sqref="H191:H207">
    <cfRule type="cellIs" dxfId="1791" priority="1787" stopIfTrue="1" operator="lessThan">
      <formula>0</formula>
    </cfRule>
    <cfRule type="cellIs" dxfId="1790" priority="1788" stopIfTrue="1" operator="lessThan">
      <formula>0</formula>
    </cfRule>
  </conditionalFormatting>
  <conditionalFormatting sqref="H191:H207">
    <cfRule type="cellIs" dxfId="1789" priority="1785" stopIfTrue="1" operator="lessThan">
      <formula>0</formula>
    </cfRule>
    <cfRule type="cellIs" dxfId="1788" priority="1786" stopIfTrue="1" operator="lessThan">
      <formula>0</formula>
    </cfRule>
  </conditionalFormatting>
  <conditionalFormatting sqref="H191:H207">
    <cfRule type="cellIs" dxfId="1787" priority="1783" stopIfTrue="1" operator="lessThan">
      <formula>0.05</formula>
    </cfRule>
    <cfRule type="cellIs" dxfId="1786" priority="1784" stopIfTrue="1" operator="lessThan">
      <formula>0</formula>
    </cfRule>
  </conditionalFormatting>
  <conditionalFormatting sqref="H191:H207">
    <cfRule type="cellIs" dxfId="1785" priority="1781" stopIfTrue="1" operator="lessThan">
      <formula>0</formula>
    </cfRule>
    <cfRule type="cellIs" dxfId="1784" priority="1782" stopIfTrue="1" operator="lessThan">
      <formula>0</formula>
    </cfRule>
  </conditionalFormatting>
  <conditionalFormatting sqref="H191:H207">
    <cfRule type="cellIs" dxfId="1783" priority="1779" stopIfTrue="1" operator="lessThan">
      <formula>0</formula>
    </cfRule>
    <cfRule type="cellIs" dxfId="1782" priority="1780" stopIfTrue="1" operator="lessThan">
      <formula>0</formula>
    </cfRule>
  </conditionalFormatting>
  <conditionalFormatting sqref="H191:H207">
    <cfRule type="cellIs" dxfId="1781" priority="1777" stopIfTrue="1" operator="lessThan">
      <formula>0.05</formula>
    </cfRule>
    <cfRule type="cellIs" dxfId="1780" priority="1778" stopIfTrue="1" operator="lessThan">
      <formula>0</formula>
    </cfRule>
  </conditionalFormatting>
  <conditionalFormatting sqref="H191:H207">
    <cfRule type="cellIs" dxfId="1779" priority="1775" stopIfTrue="1" operator="lessThan">
      <formula>0</formula>
    </cfRule>
    <cfRule type="cellIs" dxfId="1778" priority="1776" stopIfTrue="1" operator="lessThan">
      <formula>0</formula>
    </cfRule>
  </conditionalFormatting>
  <conditionalFormatting sqref="H191:H207">
    <cfRule type="cellIs" dxfId="1777" priority="1773" stopIfTrue="1" operator="lessThan">
      <formula>0</formula>
    </cfRule>
    <cfRule type="cellIs" dxfId="1776" priority="1774" stopIfTrue="1" operator="lessThan">
      <formula>0</formula>
    </cfRule>
  </conditionalFormatting>
  <conditionalFormatting sqref="H191:H207">
    <cfRule type="cellIs" dxfId="1775" priority="1771" stopIfTrue="1" operator="lessThan">
      <formula>0.05</formula>
    </cfRule>
    <cfRule type="cellIs" dxfId="1774" priority="1772" stopIfTrue="1" operator="lessThan">
      <formula>0</formula>
    </cfRule>
  </conditionalFormatting>
  <conditionalFormatting sqref="H191:H207">
    <cfRule type="cellIs" dxfId="1773" priority="1769" stopIfTrue="1" operator="lessThan">
      <formula>0</formula>
    </cfRule>
    <cfRule type="cellIs" dxfId="1772" priority="1770" stopIfTrue="1" operator="lessThan">
      <formula>0</formula>
    </cfRule>
  </conditionalFormatting>
  <conditionalFormatting sqref="H191:H207">
    <cfRule type="cellIs" dxfId="1771" priority="1767" stopIfTrue="1" operator="lessThan">
      <formula>0</formula>
    </cfRule>
    <cfRule type="cellIs" dxfId="1770" priority="1768" stopIfTrue="1" operator="lessThan">
      <formula>0</formula>
    </cfRule>
  </conditionalFormatting>
  <conditionalFormatting sqref="H191:H207">
    <cfRule type="cellIs" dxfId="1769" priority="1765" stopIfTrue="1" operator="lessThan">
      <formula>0.05</formula>
    </cfRule>
    <cfRule type="cellIs" dxfId="1768" priority="1766" stopIfTrue="1" operator="lessThan">
      <formula>0</formula>
    </cfRule>
  </conditionalFormatting>
  <conditionalFormatting sqref="H191:H207">
    <cfRule type="cellIs" dxfId="1767" priority="1763" stopIfTrue="1" operator="lessThan">
      <formula>0</formula>
    </cfRule>
    <cfRule type="cellIs" dxfId="1766" priority="1764" stopIfTrue="1" operator="lessThan">
      <formula>0</formula>
    </cfRule>
  </conditionalFormatting>
  <conditionalFormatting sqref="H191:H207">
    <cfRule type="cellIs" dxfId="1765" priority="1761" stopIfTrue="1" operator="lessThan">
      <formula>0</formula>
    </cfRule>
    <cfRule type="cellIs" dxfId="1764" priority="1762" stopIfTrue="1" operator="lessThan">
      <formula>0</formula>
    </cfRule>
  </conditionalFormatting>
  <conditionalFormatting sqref="H191:H207">
    <cfRule type="cellIs" dxfId="1763" priority="1759" stopIfTrue="1" operator="lessThan">
      <formula>0.05</formula>
    </cfRule>
    <cfRule type="cellIs" dxfId="1762" priority="1760" stopIfTrue="1" operator="lessThan">
      <formula>0</formula>
    </cfRule>
  </conditionalFormatting>
  <conditionalFormatting sqref="H191:H207">
    <cfRule type="cellIs" dxfId="1761" priority="1757" stopIfTrue="1" operator="lessThan">
      <formula>0</formula>
    </cfRule>
    <cfRule type="cellIs" dxfId="1760" priority="1758" stopIfTrue="1" operator="lessThan">
      <formula>0</formula>
    </cfRule>
  </conditionalFormatting>
  <conditionalFormatting sqref="H191:H207">
    <cfRule type="cellIs" dxfId="1759" priority="1755" stopIfTrue="1" operator="lessThan">
      <formula>0</formula>
    </cfRule>
    <cfRule type="cellIs" dxfId="1758" priority="1756" stopIfTrue="1" operator="lessThan">
      <formula>0</formula>
    </cfRule>
  </conditionalFormatting>
  <conditionalFormatting sqref="H191:H207">
    <cfRule type="cellIs" dxfId="1757" priority="1753" stopIfTrue="1" operator="lessThan">
      <formula>0.05</formula>
    </cfRule>
    <cfRule type="cellIs" dxfId="1756" priority="1754" stopIfTrue="1" operator="lessThan">
      <formula>0</formula>
    </cfRule>
  </conditionalFormatting>
  <conditionalFormatting sqref="H191:H207">
    <cfRule type="cellIs" dxfId="1755" priority="1751" stopIfTrue="1" operator="lessThan">
      <formula>0</formula>
    </cfRule>
    <cfRule type="cellIs" dxfId="1754" priority="1752" stopIfTrue="1" operator="lessThan">
      <formula>0</formula>
    </cfRule>
  </conditionalFormatting>
  <conditionalFormatting sqref="H191:H207">
    <cfRule type="cellIs" dxfId="1753" priority="1749" stopIfTrue="1" operator="lessThan">
      <formula>0</formula>
    </cfRule>
    <cfRule type="cellIs" dxfId="1752" priority="1750" stopIfTrue="1" operator="lessThan">
      <formula>0</formula>
    </cfRule>
  </conditionalFormatting>
  <conditionalFormatting sqref="H191:H207">
    <cfRule type="cellIs" dxfId="1751" priority="1747" stopIfTrue="1" operator="lessThan">
      <formula>0.05</formula>
    </cfRule>
    <cfRule type="cellIs" dxfId="1750" priority="1748" stopIfTrue="1" operator="lessThan">
      <formula>0</formula>
    </cfRule>
  </conditionalFormatting>
  <conditionalFormatting sqref="H191:H207">
    <cfRule type="cellIs" dxfId="1749" priority="1745" stopIfTrue="1" operator="lessThan">
      <formula>0</formula>
    </cfRule>
    <cfRule type="cellIs" dxfId="1748" priority="1746" stopIfTrue="1" operator="lessThan">
      <formula>0</formula>
    </cfRule>
  </conditionalFormatting>
  <conditionalFormatting sqref="H191:H207">
    <cfRule type="cellIs" dxfId="1747" priority="1743" stopIfTrue="1" operator="lessThan">
      <formula>0</formula>
    </cfRule>
    <cfRule type="cellIs" dxfId="1746" priority="1744" stopIfTrue="1" operator="lessThan">
      <formula>0</formula>
    </cfRule>
  </conditionalFormatting>
  <conditionalFormatting sqref="H191:H207">
    <cfRule type="cellIs" dxfId="1745" priority="1741" stopIfTrue="1" operator="lessThan">
      <formula>0.05</formula>
    </cfRule>
    <cfRule type="cellIs" dxfId="1744" priority="1742" stopIfTrue="1" operator="lessThan">
      <formula>0</formula>
    </cfRule>
  </conditionalFormatting>
  <conditionalFormatting sqref="H191:H207">
    <cfRule type="cellIs" dxfId="1743" priority="1739" stopIfTrue="1" operator="lessThan">
      <formula>0</formula>
    </cfRule>
    <cfRule type="cellIs" dxfId="1742" priority="1740" stopIfTrue="1" operator="lessThan">
      <formula>0</formula>
    </cfRule>
  </conditionalFormatting>
  <conditionalFormatting sqref="H191:H207">
    <cfRule type="cellIs" dxfId="1741" priority="1737" stopIfTrue="1" operator="lessThan">
      <formula>0</formula>
    </cfRule>
    <cfRule type="cellIs" dxfId="1740" priority="1738" stopIfTrue="1" operator="lessThan">
      <formula>0</formula>
    </cfRule>
  </conditionalFormatting>
  <conditionalFormatting sqref="H191:H207">
    <cfRule type="cellIs" dxfId="1739" priority="1735" stopIfTrue="1" operator="lessThan">
      <formula>0.05</formula>
    </cfRule>
    <cfRule type="cellIs" dxfId="1738" priority="1736" stopIfTrue="1" operator="lessThan">
      <formula>0</formula>
    </cfRule>
  </conditionalFormatting>
  <conditionalFormatting sqref="H191:H207">
    <cfRule type="cellIs" dxfId="1737" priority="1733" stopIfTrue="1" operator="lessThan">
      <formula>0</formula>
    </cfRule>
    <cfRule type="cellIs" dxfId="1736" priority="1734" stopIfTrue="1" operator="lessThan">
      <formula>0</formula>
    </cfRule>
  </conditionalFormatting>
  <conditionalFormatting sqref="H191:H207">
    <cfRule type="cellIs" dxfId="1735" priority="1731" stopIfTrue="1" operator="lessThan">
      <formula>0.05</formula>
    </cfRule>
    <cfRule type="cellIs" dxfId="1734" priority="1732" stopIfTrue="1" operator="lessThan">
      <formula>0</formula>
    </cfRule>
  </conditionalFormatting>
  <conditionalFormatting sqref="H191:H207">
    <cfRule type="cellIs" dxfId="1733" priority="1729" stopIfTrue="1" operator="lessThan">
      <formula>0</formula>
    </cfRule>
    <cfRule type="cellIs" dxfId="1732" priority="1730" stopIfTrue="1" operator="lessThan">
      <formula>0</formula>
    </cfRule>
  </conditionalFormatting>
  <conditionalFormatting sqref="H191:H207">
    <cfRule type="cellIs" dxfId="1731" priority="1727" stopIfTrue="1" operator="lessThan">
      <formula>0.05</formula>
    </cfRule>
    <cfRule type="cellIs" dxfId="1730" priority="1728" stopIfTrue="1" operator="lessThan">
      <formula>0</formula>
    </cfRule>
  </conditionalFormatting>
  <conditionalFormatting sqref="H191:H207">
    <cfRule type="cellIs" dxfId="1729" priority="1725" stopIfTrue="1" operator="lessThan">
      <formula>0</formula>
    </cfRule>
    <cfRule type="cellIs" dxfId="1728" priority="1726" stopIfTrue="1" operator="lessThan">
      <formula>0</formula>
    </cfRule>
  </conditionalFormatting>
  <conditionalFormatting sqref="H191:H207">
    <cfRule type="cellIs" dxfId="1727" priority="1723" stopIfTrue="1" operator="lessThan">
      <formula>0</formula>
    </cfRule>
    <cfRule type="cellIs" dxfId="1726" priority="1724" stopIfTrue="1" operator="lessThan">
      <formula>0</formula>
    </cfRule>
  </conditionalFormatting>
  <conditionalFormatting sqref="H191:H207">
    <cfRule type="cellIs" dxfId="1725" priority="1721" stopIfTrue="1" operator="lessThan">
      <formula>0</formula>
    </cfRule>
    <cfRule type="cellIs" dxfId="1724" priority="1722" stopIfTrue="1" operator="lessThan">
      <formula>0</formula>
    </cfRule>
  </conditionalFormatting>
  <conditionalFormatting sqref="H191:H207">
    <cfRule type="cellIs" dxfId="1723" priority="1719" stopIfTrue="1" operator="lessThan">
      <formula>0.05</formula>
    </cfRule>
    <cfRule type="cellIs" dxfId="1722" priority="1720" stopIfTrue="1" operator="lessThan">
      <formula>0</formula>
    </cfRule>
  </conditionalFormatting>
  <conditionalFormatting sqref="H191:H207">
    <cfRule type="cellIs" dxfId="1721" priority="1717" stopIfTrue="1" operator="lessThan">
      <formula>0</formula>
    </cfRule>
    <cfRule type="cellIs" dxfId="1720" priority="1718" stopIfTrue="1" operator="lessThan">
      <formula>0</formula>
    </cfRule>
  </conditionalFormatting>
  <conditionalFormatting sqref="H191:H207">
    <cfRule type="cellIs" dxfId="1719" priority="1715" stopIfTrue="1" operator="lessThan">
      <formula>0.05</formula>
    </cfRule>
    <cfRule type="cellIs" dxfId="1718" priority="1716" stopIfTrue="1" operator="lessThan">
      <formula>0</formula>
    </cfRule>
  </conditionalFormatting>
  <conditionalFormatting sqref="H191:H207">
    <cfRule type="cellIs" dxfId="1717" priority="1713" stopIfTrue="1" operator="lessThan">
      <formula>0</formula>
    </cfRule>
    <cfRule type="cellIs" dxfId="1716" priority="1714" stopIfTrue="1" operator="lessThan">
      <formula>0</formula>
    </cfRule>
  </conditionalFormatting>
  <conditionalFormatting sqref="H191:H207">
    <cfRule type="cellIs" dxfId="1715" priority="1711" stopIfTrue="1" operator="lessThan">
      <formula>0.05</formula>
    </cfRule>
    <cfRule type="cellIs" dxfId="1714" priority="1712" stopIfTrue="1" operator="lessThan">
      <formula>0</formula>
    </cfRule>
  </conditionalFormatting>
  <conditionalFormatting sqref="H191:H207">
    <cfRule type="cellIs" dxfId="1713" priority="1709" stopIfTrue="1" operator="lessThan">
      <formula>0</formula>
    </cfRule>
    <cfRule type="cellIs" dxfId="1712" priority="1710" stopIfTrue="1" operator="lessThan">
      <formula>0</formula>
    </cfRule>
  </conditionalFormatting>
  <conditionalFormatting sqref="H191:H207">
    <cfRule type="cellIs" dxfId="1711" priority="1707" stopIfTrue="1" operator="lessThan">
      <formula>0</formula>
    </cfRule>
    <cfRule type="cellIs" dxfId="1710" priority="1708" stopIfTrue="1" operator="lessThan">
      <formula>0</formula>
    </cfRule>
  </conditionalFormatting>
  <conditionalFormatting sqref="H191:H207">
    <cfRule type="cellIs" dxfId="1709" priority="1705" stopIfTrue="1" operator="lessThan">
      <formula>0.05</formula>
    </cfRule>
    <cfRule type="cellIs" dxfId="1708" priority="1706" stopIfTrue="1" operator="lessThan">
      <formula>0</formula>
    </cfRule>
  </conditionalFormatting>
  <conditionalFormatting sqref="H191:H207">
    <cfRule type="cellIs" dxfId="1707" priority="1703" stopIfTrue="1" operator="lessThan">
      <formula>0</formula>
    </cfRule>
    <cfRule type="cellIs" dxfId="1706" priority="1704" stopIfTrue="1" operator="lessThan">
      <formula>0</formula>
    </cfRule>
  </conditionalFormatting>
  <conditionalFormatting sqref="H191:H207">
    <cfRule type="cellIs" dxfId="1705" priority="1701" stopIfTrue="1" operator="lessThan">
      <formula>0</formula>
    </cfRule>
    <cfRule type="cellIs" dxfId="1704" priority="1702" stopIfTrue="1" operator="lessThan">
      <formula>0</formula>
    </cfRule>
  </conditionalFormatting>
  <conditionalFormatting sqref="H191:H207">
    <cfRule type="cellIs" dxfId="1703" priority="1699" stopIfTrue="1" operator="lessThan">
      <formula>0.05</formula>
    </cfRule>
    <cfRule type="cellIs" dxfId="1702" priority="1700" stopIfTrue="1" operator="lessThan">
      <formula>0</formula>
    </cfRule>
  </conditionalFormatting>
  <conditionalFormatting sqref="H191:H207">
    <cfRule type="cellIs" dxfId="1701" priority="1697" stopIfTrue="1" operator="lessThan">
      <formula>0</formula>
    </cfRule>
    <cfRule type="cellIs" dxfId="1700" priority="1698" stopIfTrue="1" operator="lessThan">
      <formula>0</formula>
    </cfRule>
  </conditionalFormatting>
  <conditionalFormatting sqref="H191:H207">
    <cfRule type="cellIs" dxfId="1699" priority="1695" stopIfTrue="1" operator="lessThan">
      <formula>0</formula>
    </cfRule>
    <cfRule type="cellIs" dxfId="1698" priority="1696" stopIfTrue="1" operator="lessThan">
      <formula>0</formula>
    </cfRule>
  </conditionalFormatting>
  <conditionalFormatting sqref="H191:H207">
    <cfRule type="cellIs" dxfId="1697" priority="1693" stopIfTrue="1" operator="lessThan">
      <formula>0.05</formula>
    </cfRule>
    <cfRule type="cellIs" dxfId="1696" priority="1694" stopIfTrue="1" operator="lessThan">
      <formula>0</formula>
    </cfRule>
  </conditionalFormatting>
  <conditionalFormatting sqref="H191:H207">
    <cfRule type="cellIs" dxfId="1695" priority="1691" stopIfTrue="1" operator="lessThan">
      <formula>0</formula>
    </cfRule>
    <cfRule type="cellIs" dxfId="1694" priority="1692" stopIfTrue="1" operator="lessThan">
      <formula>0</formula>
    </cfRule>
  </conditionalFormatting>
  <conditionalFormatting sqref="H191:H207">
    <cfRule type="cellIs" dxfId="1693" priority="1689" stopIfTrue="1" operator="lessThan">
      <formula>0</formula>
    </cfRule>
    <cfRule type="cellIs" dxfId="1692" priority="1690" stopIfTrue="1" operator="lessThan">
      <formula>0</formula>
    </cfRule>
  </conditionalFormatting>
  <conditionalFormatting sqref="H191:H207">
    <cfRule type="cellIs" dxfId="1691" priority="1687" stopIfTrue="1" operator="lessThan">
      <formula>0.05</formula>
    </cfRule>
    <cfRule type="cellIs" dxfId="1690" priority="1688" stopIfTrue="1" operator="lessThan">
      <formula>0</formula>
    </cfRule>
  </conditionalFormatting>
  <conditionalFormatting sqref="H191:H207">
    <cfRule type="cellIs" dxfId="1689" priority="1685" stopIfTrue="1" operator="lessThan">
      <formula>0</formula>
    </cfRule>
    <cfRule type="cellIs" dxfId="1688" priority="1686" stopIfTrue="1" operator="lessThan">
      <formula>0</formula>
    </cfRule>
  </conditionalFormatting>
  <conditionalFormatting sqref="H191:H207">
    <cfRule type="cellIs" dxfId="1687" priority="1683" stopIfTrue="1" operator="lessThan">
      <formula>0</formula>
    </cfRule>
    <cfRule type="cellIs" dxfId="1686" priority="1684" stopIfTrue="1" operator="lessThan">
      <formula>0</formula>
    </cfRule>
  </conditionalFormatting>
  <conditionalFormatting sqref="H191:H207">
    <cfRule type="cellIs" dxfId="1685" priority="1681" stopIfTrue="1" operator="lessThan">
      <formula>0.05</formula>
    </cfRule>
    <cfRule type="cellIs" dxfId="1684" priority="1682" stopIfTrue="1" operator="lessThan">
      <formula>0</formula>
    </cfRule>
  </conditionalFormatting>
  <conditionalFormatting sqref="H191:H207">
    <cfRule type="cellIs" dxfId="1683" priority="1679" stopIfTrue="1" operator="lessThan">
      <formula>0</formula>
    </cfRule>
    <cfRule type="cellIs" dxfId="1682" priority="1680" stopIfTrue="1" operator="lessThan">
      <formula>0</formula>
    </cfRule>
  </conditionalFormatting>
  <conditionalFormatting sqref="H191:H207">
    <cfRule type="cellIs" dxfId="1681" priority="1677" stopIfTrue="1" operator="lessThan">
      <formula>0</formula>
    </cfRule>
    <cfRule type="cellIs" dxfId="1680" priority="1678" stopIfTrue="1" operator="lessThan">
      <formula>0</formula>
    </cfRule>
  </conditionalFormatting>
  <conditionalFormatting sqref="H191:H207">
    <cfRule type="cellIs" dxfId="1679" priority="1675" stopIfTrue="1" operator="lessThan">
      <formula>0.05</formula>
    </cfRule>
    <cfRule type="cellIs" dxfId="1678" priority="1676" stopIfTrue="1" operator="lessThan">
      <formula>0</formula>
    </cfRule>
  </conditionalFormatting>
  <conditionalFormatting sqref="H191:H207">
    <cfRule type="cellIs" dxfId="1677" priority="1673" stopIfTrue="1" operator="lessThan">
      <formula>0</formula>
    </cfRule>
    <cfRule type="cellIs" dxfId="1676" priority="1674" stopIfTrue="1" operator="lessThan">
      <formula>0</formula>
    </cfRule>
  </conditionalFormatting>
  <conditionalFormatting sqref="H191:H207">
    <cfRule type="cellIs" dxfId="1675" priority="1671" stopIfTrue="1" operator="lessThan">
      <formula>0</formula>
    </cfRule>
    <cfRule type="cellIs" dxfId="1674" priority="1672" stopIfTrue="1" operator="lessThan">
      <formula>0</formula>
    </cfRule>
  </conditionalFormatting>
  <conditionalFormatting sqref="H191:H207">
    <cfRule type="cellIs" dxfId="1673" priority="1669" stopIfTrue="1" operator="lessThan">
      <formula>0.05</formula>
    </cfRule>
    <cfRule type="cellIs" dxfId="1672" priority="1670" stopIfTrue="1" operator="lessThan">
      <formula>0</formula>
    </cfRule>
  </conditionalFormatting>
  <conditionalFormatting sqref="H191:H207">
    <cfRule type="cellIs" dxfId="1671" priority="1667" stopIfTrue="1" operator="lessThan">
      <formula>0</formula>
    </cfRule>
    <cfRule type="cellIs" dxfId="1670" priority="1668" stopIfTrue="1" operator="lessThan">
      <formula>0</formula>
    </cfRule>
  </conditionalFormatting>
  <conditionalFormatting sqref="H191:H207">
    <cfRule type="cellIs" dxfId="1669" priority="1665" stopIfTrue="1" operator="lessThan">
      <formula>0</formula>
    </cfRule>
    <cfRule type="cellIs" dxfId="1668" priority="1666" stopIfTrue="1" operator="lessThan">
      <formula>0</formula>
    </cfRule>
  </conditionalFormatting>
  <conditionalFormatting sqref="H191:H207">
    <cfRule type="cellIs" dxfId="1667" priority="1663" stopIfTrue="1" operator="lessThan">
      <formula>0.05</formula>
    </cfRule>
    <cfRule type="cellIs" dxfId="1666" priority="1664" stopIfTrue="1" operator="lessThan">
      <formula>0</formula>
    </cfRule>
  </conditionalFormatting>
  <conditionalFormatting sqref="H191:H207">
    <cfRule type="cellIs" dxfId="1665" priority="1661" stopIfTrue="1" operator="lessThan">
      <formula>0</formula>
    </cfRule>
    <cfRule type="cellIs" dxfId="1664" priority="1662" stopIfTrue="1" operator="lessThan">
      <formula>0</formula>
    </cfRule>
  </conditionalFormatting>
  <conditionalFormatting sqref="H191:H207">
    <cfRule type="cellIs" dxfId="1663" priority="1659" stopIfTrue="1" operator="lessThan">
      <formula>0</formula>
    </cfRule>
    <cfRule type="cellIs" dxfId="1662" priority="1660" stopIfTrue="1" operator="lessThan">
      <formula>0</formula>
    </cfRule>
  </conditionalFormatting>
  <conditionalFormatting sqref="H191:H207">
    <cfRule type="cellIs" dxfId="1661" priority="1657" stopIfTrue="1" operator="lessThan">
      <formula>0.05</formula>
    </cfRule>
    <cfRule type="cellIs" dxfId="1660" priority="1658" stopIfTrue="1" operator="lessThan">
      <formula>0</formula>
    </cfRule>
  </conditionalFormatting>
  <conditionalFormatting sqref="H191:H207">
    <cfRule type="cellIs" dxfId="1659" priority="1655" stopIfTrue="1" operator="lessThan">
      <formula>0</formula>
    </cfRule>
    <cfRule type="cellIs" dxfId="1658" priority="1656" stopIfTrue="1" operator="lessThan">
      <formula>0</formula>
    </cfRule>
  </conditionalFormatting>
  <conditionalFormatting sqref="H191:H207">
    <cfRule type="cellIs" dxfId="1657" priority="1653" stopIfTrue="1" operator="lessThan">
      <formula>0</formula>
    </cfRule>
    <cfRule type="cellIs" dxfId="1656" priority="1654" stopIfTrue="1" operator="lessThan">
      <formula>0</formula>
    </cfRule>
  </conditionalFormatting>
  <conditionalFormatting sqref="H191:H207">
    <cfRule type="cellIs" dxfId="1655" priority="1651" stopIfTrue="1" operator="lessThan">
      <formula>0.05</formula>
    </cfRule>
    <cfRule type="cellIs" dxfId="1654" priority="1652" stopIfTrue="1" operator="lessThan">
      <formula>0</formula>
    </cfRule>
  </conditionalFormatting>
  <conditionalFormatting sqref="H191:H207">
    <cfRule type="cellIs" dxfId="1653" priority="1649" stopIfTrue="1" operator="lessThan">
      <formula>0</formula>
    </cfRule>
    <cfRule type="cellIs" dxfId="1652" priority="1650" stopIfTrue="1" operator="lessThan">
      <formula>0</formula>
    </cfRule>
  </conditionalFormatting>
  <conditionalFormatting sqref="H191:H207">
    <cfRule type="cellIs" dxfId="1651" priority="1647" stopIfTrue="1" operator="lessThan">
      <formula>0</formula>
    </cfRule>
    <cfRule type="cellIs" dxfId="1650" priority="1648" stopIfTrue="1" operator="lessThan">
      <formula>0</formula>
    </cfRule>
  </conditionalFormatting>
  <conditionalFormatting sqref="H191:H207">
    <cfRule type="cellIs" dxfId="1649" priority="1645" stopIfTrue="1" operator="lessThan">
      <formula>0.05</formula>
    </cfRule>
    <cfRule type="cellIs" dxfId="1648" priority="1646" stopIfTrue="1" operator="lessThan">
      <formula>0</formula>
    </cfRule>
  </conditionalFormatting>
  <conditionalFormatting sqref="H191:H207">
    <cfRule type="cellIs" dxfId="1647" priority="1643" stopIfTrue="1" operator="lessThan">
      <formula>0</formula>
    </cfRule>
    <cfRule type="cellIs" dxfId="1646" priority="1644" stopIfTrue="1" operator="lessThan">
      <formula>0</formula>
    </cfRule>
  </conditionalFormatting>
  <conditionalFormatting sqref="H191:H207">
    <cfRule type="cellIs" dxfId="1645" priority="1641" stopIfTrue="1" operator="lessThan">
      <formula>0</formula>
    </cfRule>
    <cfRule type="cellIs" dxfId="1644" priority="1642" stopIfTrue="1" operator="lessThan">
      <formula>0</formula>
    </cfRule>
  </conditionalFormatting>
  <conditionalFormatting sqref="H191:H207">
    <cfRule type="cellIs" dxfId="1643" priority="1639" stopIfTrue="1" operator="lessThan">
      <formula>0.05</formula>
    </cfRule>
    <cfRule type="cellIs" dxfId="1642" priority="1640" stopIfTrue="1" operator="lessThan">
      <formula>0</formula>
    </cfRule>
  </conditionalFormatting>
  <conditionalFormatting sqref="H191:H207">
    <cfRule type="cellIs" dxfId="1641" priority="1637" stopIfTrue="1" operator="lessThan">
      <formula>0</formula>
    </cfRule>
    <cfRule type="cellIs" dxfId="1640" priority="1638" stopIfTrue="1" operator="lessThan">
      <formula>0</formula>
    </cfRule>
  </conditionalFormatting>
  <conditionalFormatting sqref="H191:H207">
    <cfRule type="cellIs" dxfId="1639" priority="1635" stopIfTrue="1" operator="lessThan">
      <formula>0</formula>
    </cfRule>
    <cfRule type="cellIs" dxfId="1638" priority="1636" stopIfTrue="1" operator="lessThan">
      <formula>0</formula>
    </cfRule>
  </conditionalFormatting>
  <conditionalFormatting sqref="H191:H207">
    <cfRule type="cellIs" dxfId="1637" priority="1633" stopIfTrue="1" operator="lessThan">
      <formula>0.05</formula>
    </cfRule>
    <cfRule type="cellIs" dxfId="1636" priority="1634" stopIfTrue="1" operator="lessThan">
      <formula>0</formula>
    </cfRule>
  </conditionalFormatting>
  <conditionalFormatting sqref="H191:H207">
    <cfRule type="cellIs" dxfId="1635" priority="1631" stopIfTrue="1" operator="lessThan">
      <formula>0</formula>
    </cfRule>
    <cfRule type="cellIs" dxfId="1634" priority="1632" stopIfTrue="1" operator="lessThan">
      <formula>0</formula>
    </cfRule>
  </conditionalFormatting>
  <conditionalFormatting sqref="H191:H207">
    <cfRule type="cellIs" dxfId="1633" priority="1629" stopIfTrue="1" operator="lessThan">
      <formula>0</formula>
    </cfRule>
    <cfRule type="cellIs" dxfId="1632" priority="1630" stopIfTrue="1" operator="lessThan">
      <formula>0</formula>
    </cfRule>
  </conditionalFormatting>
  <conditionalFormatting sqref="H191:H207">
    <cfRule type="cellIs" dxfId="1631" priority="1627" stopIfTrue="1" operator="lessThan">
      <formula>0.05</formula>
    </cfRule>
    <cfRule type="cellIs" dxfId="1630" priority="1628" stopIfTrue="1" operator="lessThan">
      <formula>0</formula>
    </cfRule>
  </conditionalFormatting>
  <conditionalFormatting sqref="H191:H207">
    <cfRule type="cellIs" dxfId="1629" priority="1625" stopIfTrue="1" operator="lessThan">
      <formula>0</formula>
    </cfRule>
    <cfRule type="cellIs" dxfId="1628" priority="1626" stopIfTrue="1" operator="lessThan">
      <formula>0</formula>
    </cfRule>
  </conditionalFormatting>
  <conditionalFormatting sqref="H191:H207">
    <cfRule type="cellIs" dxfId="1627" priority="1623" stopIfTrue="1" operator="lessThan">
      <formula>0.05</formula>
    </cfRule>
    <cfRule type="cellIs" dxfId="1626" priority="1624" stopIfTrue="1" operator="lessThan">
      <formula>0</formula>
    </cfRule>
  </conditionalFormatting>
  <conditionalFormatting sqref="H191:H207">
    <cfRule type="cellIs" dxfId="1625" priority="1621" stopIfTrue="1" operator="lessThan">
      <formula>0</formula>
    </cfRule>
    <cfRule type="cellIs" dxfId="1624" priority="1622" stopIfTrue="1" operator="lessThan">
      <formula>0</formula>
    </cfRule>
  </conditionalFormatting>
  <conditionalFormatting sqref="H191:H207">
    <cfRule type="cellIs" dxfId="1623" priority="1619" stopIfTrue="1" operator="lessThan">
      <formula>0.05</formula>
    </cfRule>
    <cfRule type="cellIs" dxfId="1622" priority="1620" stopIfTrue="1" operator="lessThan">
      <formula>0</formula>
    </cfRule>
  </conditionalFormatting>
  <conditionalFormatting sqref="H191:H207">
    <cfRule type="cellIs" dxfId="1621" priority="1617" stopIfTrue="1" operator="lessThan">
      <formula>0</formula>
    </cfRule>
    <cfRule type="cellIs" dxfId="1620" priority="1618" stopIfTrue="1" operator="lessThan">
      <formula>0</formula>
    </cfRule>
  </conditionalFormatting>
  <conditionalFormatting sqref="H191:H207">
    <cfRule type="cellIs" dxfId="1619" priority="1615" stopIfTrue="1" operator="lessThan">
      <formula>0</formula>
    </cfRule>
    <cfRule type="cellIs" dxfId="1618" priority="1616" stopIfTrue="1" operator="lessThan">
      <formula>0</formula>
    </cfRule>
  </conditionalFormatting>
  <conditionalFormatting sqref="H191:H207">
    <cfRule type="cellIs" dxfId="1617" priority="1613" stopIfTrue="1" operator="lessThan">
      <formula>0</formula>
    </cfRule>
    <cfRule type="cellIs" dxfId="1616" priority="1614" stopIfTrue="1" operator="lessThan">
      <formula>0</formula>
    </cfRule>
  </conditionalFormatting>
  <conditionalFormatting sqref="H191:H207">
    <cfRule type="cellIs" dxfId="1615" priority="1611" stopIfTrue="1" operator="lessThan">
      <formula>0.05</formula>
    </cfRule>
    <cfRule type="cellIs" dxfId="1614" priority="1612" stopIfTrue="1" operator="lessThan">
      <formula>0</formula>
    </cfRule>
  </conditionalFormatting>
  <conditionalFormatting sqref="H191:H207">
    <cfRule type="cellIs" dxfId="1613" priority="1609" stopIfTrue="1" operator="lessThan">
      <formula>0</formula>
    </cfRule>
    <cfRule type="cellIs" dxfId="1612" priority="1610" stopIfTrue="1" operator="lessThan">
      <formula>0</formula>
    </cfRule>
  </conditionalFormatting>
  <conditionalFormatting sqref="H191:H207">
    <cfRule type="cellIs" dxfId="1611" priority="1607" stopIfTrue="1" operator="lessThan">
      <formula>0.05</formula>
    </cfRule>
    <cfRule type="cellIs" dxfId="1610" priority="1608" stopIfTrue="1" operator="lessThan">
      <formula>0</formula>
    </cfRule>
  </conditionalFormatting>
  <conditionalFormatting sqref="H191:H207">
    <cfRule type="cellIs" dxfId="1609" priority="1605" stopIfTrue="1" operator="lessThan">
      <formula>0</formula>
    </cfRule>
    <cfRule type="cellIs" dxfId="1608" priority="1606" stopIfTrue="1" operator="lessThan">
      <formula>0</formula>
    </cfRule>
  </conditionalFormatting>
  <conditionalFormatting sqref="H191:H207">
    <cfRule type="cellIs" dxfId="1607" priority="1603" stopIfTrue="1" operator="lessThan">
      <formula>0.05</formula>
    </cfRule>
    <cfRule type="cellIs" dxfId="1606" priority="1604" stopIfTrue="1" operator="lessThan">
      <formula>0</formula>
    </cfRule>
  </conditionalFormatting>
  <conditionalFormatting sqref="H191:H207">
    <cfRule type="cellIs" dxfId="1605" priority="1601" stopIfTrue="1" operator="lessThan">
      <formula>0</formula>
    </cfRule>
    <cfRule type="cellIs" dxfId="1604" priority="1602" stopIfTrue="1" operator="lessThan">
      <formula>0</formula>
    </cfRule>
  </conditionalFormatting>
  <conditionalFormatting sqref="H191:H207">
    <cfRule type="cellIs" dxfId="1603" priority="1600" stopIfTrue="1" operator="lessThan">
      <formula>0.05</formula>
    </cfRule>
  </conditionalFormatting>
  <conditionalFormatting sqref="H211:H227">
    <cfRule type="cellIs" dxfId="1602" priority="1598" stopIfTrue="1" operator="lessThan">
      <formula>0</formula>
    </cfRule>
    <cfRule type="cellIs" dxfId="1601" priority="1599" stopIfTrue="1" operator="lessThan">
      <formula>0</formula>
    </cfRule>
  </conditionalFormatting>
  <conditionalFormatting sqref="H211:H227">
    <cfRule type="cellIs" dxfId="1600" priority="1596" stopIfTrue="1" operator="lessThan">
      <formula>0</formula>
    </cfRule>
    <cfRule type="cellIs" dxfId="1599" priority="1597" stopIfTrue="1" operator="lessThan">
      <formula>0</formula>
    </cfRule>
  </conditionalFormatting>
  <conditionalFormatting sqref="H211:H227">
    <cfRule type="cellIs" dxfId="1598" priority="1594" stopIfTrue="1" operator="lessThan">
      <formula>0.05</formula>
    </cfRule>
    <cfRule type="cellIs" dxfId="1597" priority="1595" stopIfTrue="1" operator="lessThan">
      <formula>0</formula>
    </cfRule>
  </conditionalFormatting>
  <conditionalFormatting sqref="H211:H227">
    <cfRule type="cellIs" dxfId="1596" priority="1592" stopIfTrue="1" operator="lessThan">
      <formula>0</formula>
    </cfRule>
    <cfRule type="cellIs" dxfId="1595" priority="1593" stopIfTrue="1" operator="lessThan">
      <formula>0</formula>
    </cfRule>
  </conditionalFormatting>
  <conditionalFormatting sqref="H211:H227">
    <cfRule type="cellIs" dxfId="1594" priority="1590" stopIfTrue="1" operator="lessThan">
      <formula>0.05</formula>
    </cfRule>
    <cfRule type="cellIs" dxfId="1593" priority="1591" stopIfTrue="1" operator="lessThan">
      <formula>0</formula>
    </cfRule>
  </conditionalFormatting>
  <conditionalFormatting sqref="H211:H227">
    <cfRule type="cellIs" dxfId="1592" priority="1588" stopIfTrue="1" operator="lessThan">
      <formula>0</formula>
    </cfRule>
    <cfRule type="cellIs" dxfId="1591" priority="1589" stopIfTrue="1" operator="lessThan">
      <formula>0</formula>
    </cfRule>
  </conditionalFormatting>
  <conditionalFormatting sqref="H211:H227">
    <cfRule type="cellIs" dxfId="1590" priority="1586" stopIfTrue="1" operator="lessThan">
      <formula>0.05</formula>
    </cfRule>
    <cfRule type="cellIs" dxfId="1589" priority="1587" stopIfTrue="1" operator="lessThan">
      <formula>0</formula>
    </cfRule>
  </conditionalFormatting>
  <conditionalFormatting sqref="H211:H227">
    <cfRule type="cellIs" dxfId="1588" priority="1584" stopIfTrue="1" operator="lessThan">
      <formula>0</formula>
    </cfRule>
    <cfRule type="cellIs" dxfId="1587" priority="1585" stopIfTrue="1" operator="lessThan">
      <formula>0</formula>
    </cfRule>
  </conditionalFormatting>
  <conditionalFormatting sqref="H211:H227">
    <cfRule type="cellIs" dxfId="1586" priority="1582" stopIfTrue="1" operator="lessThan">
      <formula>0</formula>
    </cfRule>
    <cfRule type="cellIs" dxfId="1585" priority="1583" stopIfTrue="1" operator="lessThan">
      <formula>0</formula>
    </cfRule>
  </conditionalFormatting>
  <conditionalFormatting sqref="H211:H227">
    <cfRule type="cellIs" dxfId="1584" priority="1580" stopIfTrue="1" operator="lessThan">
      <formula>0</formula>
    </cfRule>
    <cfRule type="cellIs" dxfId="1583" priority="1581" stopIfTrue="1" operator="lessThan">
      <formula>0</formula>
    </cfRule>
  </conditionalFormatting>
  <conditionalFormatting sqref="H211:H227">
    <cfRule type="cellIs" dxfId="1582" priority="1578" stopIfTrue="1" operator="lessThan">
      <formula>0.05</formula>
    </cfRule>
    <cfRule type="cellIs" dxfId="1581" priority="1579" stopIfTrue="1" operator="lessThan">
      <formula>0</formula>
    </cfRule>
  </conditionalFormatting>
  <conditionalFormatting sqref="H211:H227">
    <cfRule type="cellIs" dxfId="1580" priority="1576" stopIfTrue="1" operator="lessThan">
      <formula>0</formula>
    </cfRule>
    <cfRule type="cellIs" dxfId="1579" priority="1577" stopIfTrue="1" operator="lessThan">
      <formula>0</formula>
    </cfRule>
  </conditionalFormatting>
  <conditionalFormatting sqref="H211:H227">
    <cfRule type="cellIs" dxfId="1578" priority="1574" stopIfTrue="1" operator="lessThan">
      <formula>0.05</formula>
    </cfRule>
    <cfRule type="cellIs" dxfId="1577" priority="1575" stopIfTrue="1" operator="lessThan">
      <formula>0</formula>
    </cfRule>
  </conditionalFormatting>
  <conditionalFormatting sqref="H211:H227">
    <cfRule type="cellIs" dxfId="1576" priority="1572" stopIfTrue="1" operator="lessThan">
      <formula>0</formula>
    </cfRule>
    <cfRule type="cellIs" dxfId="1575" priority="1573" stopIfTrue="1" operator="lessThan">
      <formula>0</formula>
    </cfRule>
  </conditionalFormatting>
  <conditionalFormatting sqref="H211:H227">
    <cfRule type="cellIs" dxfId="1574" priority="1570" stopIfTrue="1" operator="lessThan">
      <formula>0.05</formula>
    </cfRule>
    <cfRule type="cellIs" dxfId="1573" priority="1571" stopIfTrue="1" operator="lessThan">
      <formula>0</formula>
    </cfRule>
  </conditionalFormatting>
  <conditionalFormatting sqref="H211:H227">
    <cfRule type="cellIs" dxfId="1572" priority="1568" stopIfTrue="1" operator="lessThan">
      <formula>0</formula>
    </cfRule>
    <cfRule type="cellIs" dxfId="1571" priority="1569" stopIfTrue="1" operator="lessThan">
      <formula>0</formula>
    </cfRule>
  </conditionalFormatting>
  <conditionalFormatting sqref="H211:H227">
    <cfRule type="cellIs" dxfId="1570" priority="1566" stopIfTrue="1" operator="lessThan">
      <formula>0</formula>
    </cfRule>
    <cfRule type="cellIs" dxfId="1569" priority="1567" stopIfTrue="1" operator="lessThan">
      <formula>0</formula>
    </cfRule>
  </conditionalFormatting>
  <conditionalFormatting sqref="H211:H227">
    <cfRule type="cellIs" dxfId="1568" priority="1564" stopIfTrue="1" operator="lessThan">
      <formula>0</formula>
    </cfRule>
    <cfRule type="cellIs" dxfId="1567" priority="1565" stopIfTrue="1" operator="lessThan">
      <formula>0</formula>
    </cfRule>
  </conditionalFormatting>
  <conditionalFormatting sqref="H211:H227">
    <cfRule type="cellIs" dxfId="1566" priority="1562" stopIfTrue="1" operator="lessThan">
      <formula>0.05</formula>
    </cfRule>
    <cfRule type="cellIs" dxfId="1565" priority="1563" stopIfTrue="1" operator="lessThan">
      <formula>0</formula>
    </cfRule>
  </conditionalFormatting>
  <conditionalFormatting sqref="H211:H227">
    <cfRule type="cellIs" dxfId="1564" priority="1560" stopIfTrue="1" operator="lessThan">
      <formula>0</formula>
    </cfRule>
    <cfRule type="cellIs" dxfId="1563" priority="1561" stopIfTrue="1" operator="lessThan">
      <formula>0</formula>
    </cfRule>
  </conditionalFormatting>
  <conditionalFormatting sqref="H211:H227">
    <cfRule type="cellIs" dxfId="1562" priority="1558" stopIfTrue="1" operator="lessThan">
      <formula>0.05</formula>
    </cfRule>
    <cfRule type="cellIs" dxfId="1561" priority="1559" stopIfTrue="1" operator="lessThan">
      <formula>0</formula>
    </cfRule>
  </conditionalFormatting>
  <conditionalFormatting sqref="H211:H227">
    <cfRule type="cellIs" dxfId="1560" priority="1556" stopIfTrue="1" operator="lessThan">
      <formula>0</formula>
    </cfRule>
    <cfRule type="cellIs" dxfId="1559" priority="1557" stopIfTrue="1" operator="lessThan">
      <formula>0</formula>
    </cfRule>
  </conditionalFormatting>
  <conditionalFormatting sqref="H211:H227">
    <cfRule type="cellIs" dxfId="1558" priority="1554" stopIfTrue="1" operator="lessThan">
      <formula>0.05</formula>
    </cfRule>
    <cfRule type="cellIs" dxfId="1557" priority="1555" stopIfTrue="1" operator="lessThan">
      <formula>0</formula>
    </cfRule>
  </conditionalFormatting>
  <conditionalFormatting sqref="H211:H227">
    <cfRule type="cellIs" dxfId="1556" priority="1552" stopIfTrue="1" operator="lessThan">
      <formula>0</formula>
    </cfRule>
    <cfRule type="cellIs" dxfId="1555" priority="1553" stopIfTrue="1" operator="lessThan">
      <formula>0</formula>
    </cfRule>
  </conditionalFormatting>
  <conditionalFormatting sqref="H211:H227">
    <cfRule type="cellIs" dxfId="1554" priority="1550" stopIfTrue="1" operator="lessThan">
      <formula>0</formula>
    </cfRule>
    <cfRule type="cellIs" dxfId="1553" priority="1551" stopIfTrue="1" operator="lessThan">
      <formula>0</formula>
    </cfRule>
  </conditionalFormatting>
  <conditionalFormatting sqref="H211:H227">
    <cfRule type="cellIs" dxfId="1552" priority="1548" stopIfTrue="1" operator="lessThan">
      <formula>0</formula>
    </cfRule>
    <cfRule type="cellIs" dxfId="1551" priority="1549" stopIfTrue="1" operator="lessThan">
      <formula>0</formula>
    </cfRule>
  </conditionalFormatting>
  <conditionalFormatting sqref="H211:H227">
    <cfRule type="cellIs" dxfId="1550" priority="1546" stopIfTrue="1" operator="lessThan">
      <formula>0.05</formula>
    </cfRule>
    <cfRule type="cellIs" dxfId="1549" priority="1547" stopIfTrue="1" operator="lessThan">
      <formula>0</formula>
    </cfRule>
  </conditionalFormatting>
  <conditionalFormatting sqref="H211:H227">
    <cfRule type="cellIs" dxfId="1548" priority="1544" stopIfTrue="1" operator="lessThan">
      <formula>0</formula>
    </cfRule>
    <cfRule type="cellIs" dxfId="1547" priority="1545" stopIfTrue="1" operator="lessThan">
      <formula>0</formula>
    </cfRule>
  </conditionalFormatting>
  <conditionalFormatting sqref="H211:H227">
    <cfRule type="cellIs" dxfId="1546" priority="1542" stopIfTrue="1" operator="lessThan">
      <formula>0.05</formula>
    </cfRule>
    <cfRule type="cellIs" dxfId="1545" priority="1543" stopIfTrue="1" operator="lessThan">
      <formula>0</formula>
    </cfRule>
  </conditionalFormatting>
  <conditionalFormatting sqref="H211:H227">
    <cfRule type="cellIs" dxfId="1544" priority="1540" stopIfTrue="1" operator="lessThan">
      <formula>0</formula>
    </cfRule>
    <cfRule type="cellIs" dxfId="1543" priority="1541" stopIfTrue="1" operator="lessThan">
      <formula>0</formula>
    </cfRule>
  </conditionalFormatting>
  <conditionalFormatting sqref="H211:H227">
    <cfRule type="cellIs" dxfId="1542" priority="1538" stopIfTrue="1" operator="lessThan">
      <formula>0.05</formula>
    </cfRule>
    <cfRule type="cellIs" dxfId="1541" priority="1539" stopIfTrue="1" operator="lessThan">
      <formula>0</formula>
    </cfRule>
  </conditionalFormatting>
  <conditionalFormatting sqref="H211:H227">
    <cfRule type="cellIs" dxfId="1540" priority="1536" stopIfTrue="1" operator="lessThan">
      <formula>0</formula>
    </cfRule>
    <cfRule type="cellIs" dxfId="1539" priority="1537" stopIfTrue="1" operator="lessThan">
      <formula>0</formula>
    </cfRule>
  </conditionalFormatting>
  <conditionalFormatting sqref="H211:H227">
    <cfRule type="cellIs" dxfId="1538" priority="1534" stopIfTrue="1" operator="lessThan">
      <formula>0</formula>
    </cfRule>
    <cfRule type="cellIs" dxfId="1537" priority="1535" stopIfTrue="1" operator="lessThan">
      <formula>0</formula>
    </cfRule>
  </conditionalFormatting>
  <conditionalFormatting sqref="H211:H227">
    <cfRule type="cellIs" dxfId="1536" priority="1532" stopIfTrue="1" operator="lessThan">
      <formula>0.05</formula>
    </cfRule>
    <cfRule type="cellIs" dxfId="1535" priority="1533" stopIfTrue="1" operator="lessThan">
      <formula>0</formula>
    </cfRule>
  </conditionalFormatting>
  <conditionalFormatting sqref="H211:H227">
    <cfRule type="cellIs" dxfId="1534" priority="1530" stopIfTrue="1" operator="lessThan">
      <formula>0</formula>
    </cfRule>
    <cfRule type="cellIs" dxfId="1533" priority="1531" stopIfTrue="1" operator="lessThan">
      <formula>0</formula>
    </cfRule>
  </conditionalFormatting>
  <conditionalFormatting sqref="H211:H227">
    <cfRule type="cellIs" dxfId="1532" priority="1528" stopIfTrue="1" operator="lessThan">
      <formula>0</formula>
    </cfRule>
    <cfRule type="cellIs" dxfId="1531" priority="1529" stopIfTrue="1" operator="lessThan">
      <formula>0</formula>
    </cfRule>
  </conditionalFormatting>
  <conditionalFormatting sqref="H211:H227">
    <cfRule type="cellIs" dxfId="1530" priority="1526" stopIfTrue="1" operator="lessThan">
      <formula>0.05</formula>
    </cfRule>
    <cfRule type="cellIs" dxfId="1529" priority="1527" stopIfTrue="1" operator="lessThan">
      <formula>0</formula>
    </cfRule>
  </conditionalFormatting>
  <conditionalFormatting sqref="H211:H227">
    <cfRule type="cellIs" dxfId="1528" priority="1524" stopIfTrue="1" operator="lessThan">
      <formula>0</formula>
    </cfRule>
    <cfRule type="cellIs" dxfId="1527" priority="1525" stopIfTrue="1" operator="lessThan">
      <formula>0</formula>
    </cfRule>
  </conditionalFormatting>
  <conditionalFormatting sqref="H211:H227">
    <cfRule type="cellIs" dxfId="1526" priority="1522" stopIfTrue="1" operator="lessThan">
      <formula>0</formula>
    </cfRule>
    <cfRule type="cellIs" dxfId="1525" priority="1523" stopIfTrue="1" operator="lessThan">
      <formula>0</formula>
    </cfRule>
  </conditionalFormatting>
  <conditionalFormatting sqref="H211:H227">
    <cfRule type="cellIs" dxfId="1524" priority="1520" stopIfTrue="1" operator="lessThan">
      <formula>0.05</formula>
    </cfRule>
    <cfRule type="cellIs" dxfId="1523" priority="1521" stopIfTrue="1" operator="lessThan">
      <formula>0</formula>
    </cfRule>
  </conditionalFormatting>
  <conditionalFormatting sqref="H211:H227">
    <cfRule type="cellIs" dxfId="1522" priority="1518" stopIfTrue="1" operator="lessThan">
      <formula>0</formula>
    </cfRule>
    <cfRule type="cellIs" dxfId="1521" priority="1519" stopIfTrue="1" operator="lessThan">
      <formula>0</formula>
    </cfRule>
  </conditionalFormatting>
  <conditionalFormatting sqref="H211:H227">
    <cfRule type="cellIs" dxfId="1520" priority="1516" stopIfTrue="1" operator="lessThan">
      <formula>0</formula>
    </cfRule>
    <cfRule type="cellIs" dxfId="1519" priority="1517" stopIfTrue="1" operator="lessThan">
      <formula>0</formula>
    </cfRule>
  </conditionalFormatting>
  <conditionalFormatting sqref="H211:H227">
    <cfRule type="cellIs" dxfId="1518" priority="1514" stopIfTrue="1" operator="lessThan">
      <formula>0.05</formula>
    </cfRule>
    <cfRule type="cellIs" dxfId="1517" priority="1515" stopIfTrue="1" operator="lessThan">
      <formula>0</formula>
    </cfRule>
  </conditionalFormatting>
  <conditionalFormatting sqref="H211:H227">
    <cfRule type="cellIs" dxfId="1516" priority="1512" stopIfTrue="1" operator="lessThan">
      <formula>0</formula>
    </cfRule>
    <cfRule type="cellIs" dxfId="1515" priority="1513" stopIfTrue="1" operator="lessThan">
      <formula>0</formula>
    </cfRule>
  </conditionalFormatting>
  <conditionalFormatting sqref="H211:H227">
    <cfRule type="cellIs" dxfId="1514" priority="1510" stopIfTrue="1" operator="lessThan">
      <formula>0</formula>
    </cfRule>
    <cfRule type="cellIs" dxfId="1513" priority="1511" stopIfTrue="1" operator="lessThan">
      <formula>0</formula>
    </cfRule>
  </conditionalFormatting>
  <conditionalFormatting sqref="H211:H227">
    <cfRule type="cellIs" dxfId="1512" priority="1508" stopIfTrue="1" operator="lessThan">
      <formula>0.05</formula>
    </cfRule>
    <cfRule type="cellIs" dxfId="1511" priority="1509" stopIfTrue="1" operator="lessThan">
      <formula>0</formula>
    </cfRule>
  </conditionalFormatting>
  <conditionalFormatting sqref="H211:H227">
    <cfRule type="cellIs" dxfId="1510" priority="1506" stopIfTrue="1" operator="lessThan">
      <formula>0</formula>
    </cfRule>
    <cfRule type="cellIs" dxfId="1509" priority="1507" stopIfTrue="1" operator="lessThan">
      <formula>0</formula>
    </cfRule>
  </conditionalFormatting>
  <conditionalFormatting sqref="H211:H227">
    <cfRule type="cellIs" dxfId="1508" priority="1504" stopIfTrue="1" operator="lessThan">
      <formula>0</formula>
    </cfRule>
    <cfRule type="cellIs" dxfId="1507" priority="1505" stopIfTrue="1" operator="lessThan">
      <formula>0</formula>
    </cfRule>
  </conditionalFormatting>
  <conditionalFormatting sqref="H211:H227">
    <cfRule type="cellIs" dxfId="1506" priority="1502" stopIfTrue="1" operator="lessThan">
      <formula>0.05</formula>
    </cfRule>
    <cfRule type="cellIs" dxfId="1505" priority="1503" stopIfTrue="1" operator="lessThan">
      <formula>0</formula>
    </cfRule>
  </conditionalFormatting>
  <conditionalFormatting sqref="H211:H227">
    <cfRule type="cellIs" dxfId="1504" priority="1500" stopIfTrue="1" operator="lessThan">
      <formula>0</formula>
    </cfRule>
    <cfRule type="cellIs" dxfId="1503" priority="1501" stopIfTrue="1" operator="lessThan">
      <formula>0</formula>
    </cfRule>
  </conditionalFormatting>
  <conditionalFormatting sqref="H211:H227">
    <cfRule type="cellIs" dxfId="1502" priority="1498" stopIfTrue="1" operator="lessThan">
      <formula>0</formula>
    </cfRule>
    <cfRule type="cellIs" dxfId="1501" priority="1499" stopIfTrue="1" operator="lessThan">
      <formula>0</formula>
    </cfRule>
  </conditionalFormatting>
  <conditionalFormatting sqref="H211:H227">
    <cfRule type="cellIs" dxfId="1500" priority="1496" stopIfTrue="1" operator="lessThan">
      <formula>0.05</formula>
    </cfRule>
    <cfRule type="cellIs" dxfId="1499" priority="1497" stopIfTrue="1" operator="lessThan">
      <formula>0</formula>
    </cfRule>
  </conditionalFormatting>
  <conditionalFormatting sqref="H211:H227">
    <cfRule type="cellIs" dxfId="1498" priority="1494" stopIfTrue="1" operator="lessThan">
      <formula>0</formula>
    </cfRule>
    <cfRule type="cellIs" dxfId="1497" priority="1495" stopIfTrue="1" operator="lessThan">
      <formula>0</formula>
    </cfRule>
  </conditionalFormatting>
  <conditionalFormatting sqref="H211:H227">
    <cfRule type="cellIs" dxfId="1496" priority="1492" stopIfTrue="1" operator="lessThan">
      <formula>0</formula>
    </cfRule>
    <cfRule type="cellIs" dxfId="1495" priority="1493" stopIfTrue="1" operator="lessThan">
      <formula>0</formula>
    </cfRule>
  </conditionalFormatting>
  <conditionalFormatting sqref="H211:H227">
    <cfRule type="cellIs" dxfId="1494" priority="1490" stopIfTrue="1" operator="lessThan">
      <formula>0.05</formula>
    </cfRule>
    <cfRule type="cellIs" dxfId="1493" priority="1491" stopIfTrue="1" operator="lessThan">
      <formula>0</formula>
    </cfRule>
  </conditionalFormatting>
  <conditionalFormatting sqref="H211:H227">
    <cfRule type="cellIs" dxfId="1492" priority="1488" stopIfTrue="1" operator="lessThan">
      <formula>0</formula>
    </cfRule>
    <cfRule type="cellIs" dxfId="1491" priority="1489" stopIfTrue="1" operator="lessThan">
      <formula>0</formula>
    </cfRule>
  </conditionalFormatting>
  <conditionalFormatting sqref="H211:H227">
    <cfRule type="cellIs" dxfId="1490" priority="1486" stopIfTrue="1" operator="lessThan">
      <formula>0</formula>
    </cfRule>
    <cfRule type="cellIs" dxfId="1489" priority="1487" stopIfTrue="1" operator="lessThan">
      <formula>0</formula>
    </cfRule>
  </conditionalFormatting>
  <conditionalFormatting sqref="H211:H227">
    <cfRule type="cellIs" dxfId="1488" priority="1484" stopIfTrue="1" operator="lessThan">
      <formula>0.05</formula>
    </cfRule>
    <cfRule type="cellIs" dxfId="1487" priority="1485" stopIfTrue="1" operator="lessThan">
      <formula>0</formula>
    </cfRule>
  </conditionalFormatting>
  <conditionalFormatting sqref="H211:H227">
    <cfRule type="cellIs" dxfId="1486" priority="1482" stopIfTrue="1" operator="lessThan">
      <formula>0</formula>
    </cfRule>
    <cfRule type="cellIs" dxfId="1485" priority="1483" stopIfTrue="1" operator="lessThan">
      <formula>0</formula>
    </cfRule>
  </conditionalFormatting>
  <conditionalFormatting sqref="H211:H227">
    <cfRule type="cellIs" dxfId="1484" priority="1480" stopIfTrue="1" operator="lessThan">
      <formula>0</formula>
    </cfRule>
    <cfRule type="cellIs" dxfId="1483" priority="1481" stopIfTrue="1" operator="lessThan">
      <formula>0</formula>
    </cfRule>
  </conditionalFormatting>
  <conditionalFormatting sqref="H211:H227">
    <cfRule type="cellIs" dxfId="1482" priority="1478" stopIfTrue="1" operator="lessThan">
      <formula>0.05</formula>
    </cfRule>
    <cfRule type="cellIs" dxfId="1481" priority="1479" stopIfTrue="1" operator="lessThan">
      <formula>0</formula>
    </cfRule>
  </conditionalFormatting>
  <conditionalFormatting sqref="H211:H227">
    <cfRule type="cellIs" dxfId="1480" priority="1476" stopIfTrue="1" operator="lessThan">
      <formula>0</formula>
    </cfRule>
    <cfRule type="cellIs" dxfId="1479" priority="1477" stopIfTrue="1" operator="lessThan">
      <formula>0</formula>
    </cfRule>
  </conditionalFormatting>
  <conditionalFormatting sqref="H211:H227">
    <cfRule type="cellIs" dxfId="1478" priority="1474" stopIfTrue="1" operator="lessThan">
      <formula>0</formula>
    </cfRule>
    <cfRule type="cellIs" dxfId="1477" priority="1475" stopIfTrue="1" operator="lessThan">
      <formula>0</formula>
    </cfRule>
  </conditionalFormatting>
  <conditionalFormatting sqref="H211:H227">
    <cfRule type="cellIs" dxfId="1476" priority="1472" stopIfTrue="1" operator="lessThan">
      <formula>0.05</formula>
    </cfRule>
    <cfRule type="cellIs" dxfId="1475" priority="1473" stopIfTrue="1" operator="lessThan">
      <formula>0</formula>
    </cfRule>
  </conditionalFormatting>
  <conditionalFormatting sqref="H211:H227">
    <cfRule type="cellIs" dxfId="1474" priority="1470" stopIfTrue="1" operator="lessThan">
      <formula>0</formula>
    </cfRule>
    <cfRule type="cellIs" dxfId="1473" priority="1471" stopIfTrue="1" operator="lessThan">
      <formula>0</formula>
    </cfRule>
  </conditionalFormatting>
  <conditionalFormatting sqref="H211:H227">
    <cfRule type="cellIs" dxfId="1472" priority="1468" stopIfTrue="1" operator="lessThan">
      <formula>0</formula>
    </cfRule>
    <cfRule type="cellIs" dxfId="1471" priority="1469" stopIfTrue="1" operator="lessThan">
      <formula>0</formula>
    </cfRule>
  </conditionalFormatting>
  <conditionalFormatting sqref="H211:H227">
    <cfRule type="cellIs" dxfId="1470" priority="1466" stopIfTrue="1" operator="lessThan">
      <formula>0.05</formula>
    </cfRule>
    <cfRule type="cellIs" dxfId="1469" priority="1467" stopIfTrue="1" operator="lessThan">
      <formula>0</formula>
    </cfRule>
  </conditionalFormatting>
  <conditionalFormatting sqref="H211:H227">
    <cfRule type="cellIs" dxfId="1468" priority="1464" stopIfTrue="1" operator="lessThan">
      <formula>0</formula>
    </cfRule>
    <cfRule type="cellIs" dxfId="1467" priority="1465" stopIfTrue="1" operator="lessThan">
      <formula>0</formula>
    </cfRule>
  </conditionalFormatting>
  <conditionalFormatting sqref="H211:H227">
    <cfRule type="cellIs" dxfId="1466" priority="1462" stopIfTrue="1" operator="lessThan">
      <formula>0</formula>
    </cfRule>
    <cfRule type="cellIs" dxfId="1465" priority="1463" stopIfTrue="1" operator="lessThan">
      <formula>0</formula>
    </cfRule>
  </conditionalFormatting>
  <conditionalFormatting sqref="H211:H227">
    <cfRule type="cellIs" dxfId="1464" priority="1460" stopIfTrue="1" operator="lessThan">
      <formula>0.05</formula>
    </cfRule>
    <cfRule type="cellIs" dxfId="1463" priority="1461" stopIfTrue="1" operator="lessThan">
      <formula>0</formula>
    </cfRule>
  </conditionalFormatting>
  <conditionalFormatting sqref="H211:H227">
    <cfRule type="cellIs" dxfId="1462" priority="1458" stopIfTrue="1" operator="lessThan">
      <formula>0</formula>
    </cfRule>
    <cfRule type="cellIs" dxfId="1461" priority="1459" stopIfTrue="1" operator="lessThan">
      <formula>0</formula>
    </cfRule>
  </conditionalFormatting>
  <conditionalFormatting sqref="H211:H227">
    <cfRule type="cellIs" dxfId="1460" priority="1456" stopIfTrue="1" operator="lessThan">
      <formula>0</formula>
    </cfRule>
    <cfRule type="cellIs" dxfId="1459" priority="1457" stopIfTrue="1" operator="lessThan">
      <formula>0</formula>
    </cfRule>
  </conditionalFormatting>
  <conditionalFormatting sqref="H211:H227">
    <cfRule type="cellIs" dxfId="1458" priority="1454" stopIfTrue="1" operator="lessThan">
      <formula>0.05</formula>
    </cfRule>
    <cfRule type="cellIs" dxfId="1457" priority="1455" stopIfTrue="1" operator="lessThan">
      <formula>0</formula>
    </cfRule>
  </conditionalFormatting>
  <conditionalFormatting sqref="H211:H227">
    <cfRule type="cellIs" dxfId="1456" priority="1452" stopIfTrue="1" operator="lessThan">
      <formula>0</formula>
    </cfRule>
    <cfRule type="cellIs" dxfId="1455" priority="1453" stopIfTrue="1" operator="lessThan">
      <formula>0</formula>
    </cfRule>
  </conditionalFormatting>
  <conditionalFormatting sqref="H211:H227">
    <cfRule type="cellIs" dxfId="1454" priority="1450" stopIfTrue="1" operator="lessThan">
      <formula>0</formula>
    </cfRule>
    <cfRule type="cellIs" dxfId="1453" priority="1451" stopIfTrue="1" operator="lessThan">
      <formula>0</formula>
    </cfRule>
  </conditionalFormatting>
  <conditionalFormatting sqref="H211:H227">
    <cfRule type="cellIs" dxfId="1452" priority="1448" stopIfTrue="1" operator="lessThan">
      <formula>0.05</formula>
    </cfRule>
    <cfRule type="cellIs" dxfId="1451" priority="1449" stopIfTrue="1" operator="lessThan">
      <formula>0</formula>
    </cfRule>
  </conditionalFormatting>
  <conditionalFormatting sqref="H211:H227">
    <cfRule type="cellIs" dxfId="1450" priority="1446" stopIfTrue="1" operator="lessThan">
      <formula>0</formula>
    </cfRule>
    <cfRule type="cellIs" dxfId="1449" priority="1447" stopIfTrue="1" operator="lessThan">
      <formula>0</formula>
    </cfRule>
  </conditionalFormatting>
  <conditionalFormatting sqref="H211:H227">
    <cfRule type="cellIs" dxfId="1448" priority="1444" stopIfTrue="1" operator="lessThan">
      <formula>0</formula>
    </cfRule>
    <cfRule type="cellIs" dxfId="1447" priority="1445" stopIfTrue="1" operator="lessThan">
      <formula>0</formula>
    </cfRule>
  </conditionalFormatting>
  <conditionalFormatting sqref="H211:H227">
    <cfRule type="cellIs" dxfId="1446" priority="1442" stopIfTrue="1" operator="lessThan">
      <formula>0.05</formula>
    </cfRule>
    <cfRule type="cellIs" dxfId="1445" priority="1443" stopIfTrue="1" operator="lessThan">
      <formula>0</formula>
    </cfRule>
  </conditionalFormatting>
  <conditionalFormatting sqref="H211:H227">
    <cfRule type="cellIs" dxfId="1444" priority="1440" stopIfTrue="1" operator="lessThan">
      <formula>0</formula>
    </cfRule>
    <cfRule type="cellIs" dxfId="1443" priority="1441" stopIfTrue="1" operator="lessThan">
      <formula>0</formula>
    </cfRule>
  </conditionalFormatting>
  <conditionalFormatting sqref="H211:H227">
    <cfRule type="cellIs" dxfId="1442" priority="1438" stopIfTrue="1" operator="lessThan">
      <formula>0.05</formula>
    </cfRule>
    <cfRule type="cellIs" dxfId="1441" priority="1439" stopIfTrue="1" operator="lessThan">
      <formula>0</formula>
    </cfRule>
  </conditionalFormatting>
  <conditionalFormatting sqref="H211:H227">
    <cfRule type="cellIs" dxfId="1440" priority="1436" stopIfTrue="1" operator="lessThan">
      <formula>0</formula>
    </cfRule>
    <cfRule type="cellIs" dxfId="1439" priority="1437" stopIfTrue="1" operator="lessThan">
      <formula>0</formula>
    </cfRule>
  </conditionalFormatting>
  <conditionalFormatting sqref="H211:H227">
    <cfRule type="cellIs" dxfId="1438" priority="1434" stopIfTrue="1" operator="lessThan">
      <formula>0.05</formula>
    </cfRule>
    <cfRule type="cellIs" dxfId="1437" priority="1435" stopIfTrue="1" operator="lessThan">
      <formula>0</formula>
    </cfRule>
  </conditionalFormatting>
  <conditionalFormatting sqref="H211:H227">
    <cfRule type="cellIs" dxfId="1436" priority="1432" stopIfTrue="1" operator="lessThan">
      <formula>0</formula>
    </cfRule>
    <cfRule type="cellIs" dxfId="1435" priority="1433" stopIfTrue="1" operator="lessThan">
      <formula>0</formula>
    </cfRule>
  </conditionalFormatting>
  <conditionalFormatting sqref="H211:H227">
    <cfRule type="cellIs" dxfId="1434" priority="1430" stopIfTrue="1" operator="lessThan">
      <formula>0</formula>
    </cfRule>
    <cfRule type="cellIs" dxfId="1433" priority="1431" stopIfTrue="1" operator="lessThan">
      <formula>0</formula>
    </cfRule>
  </conditionalFormatting>
  <conditionalFormatting sqref="H211:H227">
    <cfRule type="cellIs" dxfId="1432" priority="1428" stopIfTrue="1" operator="lessThan">
      <formula>0</formula>
    </cfRule>
    <cfRule type="cellIs" dxfId="1431" priority="1429" stopIfTrue="1" operator="lessThan">
      <formula>0</formula>
    </cfRule>
  </conditionalFormatting>
  <conditionalFormatting sqref="H211:H227">
    <cfRule type="cellIs" dxfId="1430" priority="1426" stopIfTrue="1" operator="lessThan">
      <formula>0.05</formula>
    </cfRule>
    <cfRule type="cellIs" dxfId="1429" priority="1427" stopIfTrue="1" operator="lessThan">
      <formula>0</formula>
    </cfRule>
  </conditionalFormatting>
  <conditionalFormatting sqref="H211:H227">
    <cfRule type="cellIs" dxfId="1428" priority="1424" stopIfTrue="1" operator="lessThan">
      <formula>0</formula>
    </cfRule>
    <cfRule type="cellIs" dxfId="1427" priority="1425" stopIfTrue="1" operator="lessThan">
      <formula>0</formula>
    </cfRule>
  </conditionalFormatting>
  <conditionalFormatting sqref="H211:H227">
    <cfRule type="cellIs" dxfId="1426" priority="1422" stopIfTrue="1" operator="lessThan">
      <formula>0.05</formula>
    </cfRule>
    <cfRule type="cellIs" dxfId="1425" priority="1423" stopIfTrue="1" operator="lessThan">
      <formula>0</formula>
    </cfRule>
  </conditionalFormatting>
  <conditionalFormatting sqref="H211:H227">
    <cfRule type="cellIs" dxfId="1424" priority="1420" stopIfTrue="1" operator="lessThan">
      <formula>0</formula>
    </cfRule>
    <cfRule type="cellIs" dxfId="1423" priority="1421" stopIfTrue="1" operator="lessThan">
      <formula>0</formula>
    </cfRule>
  </conditionalFormatting>
  <conditionalFormatting sqref="H211:H227">
    <cfRule type="cellIs" dxfId="1422" priority="1418" stopIfTrue="1" operator="lessThan">
      <formula>0.05</formula>
    </cfRule>
    <cfRule type="cellIs" dxfId="1421" priority="1419" stopIfTrue="1" operator="lessThan">
      <formula>0</formula>
    </cfRule>
  </conditionalFormatting>
  <conditionalFormatting sqref="H211:H227">
    <cfRule type="cellIs" dxfId="1420" priority="1416" stopIfTrue="1" operator="lessThan">
      <formula>0</formula>
    </cfRule>
    <cfRule type="cellIs" dxfId="1419" priority="1417" stopIfTrue="1" operator="lessThan">
      <formula>0</formula>
    </cfRule>
  </conditionalFormatting>
  <conditionalFormatting sqref="H211:H227">
    <cfRule type="cellIs" dxfId="1418" priority="1414" stopIfTrue="1" operator="lessThan">
      <formula>0</formula>
    </cfRule>
    <cfRule type="cellIs" dxfId="1417" priority="1415" stopIfTrue="1" operator="lessThan">
      <formula>0</formula>
    </cfRule>
  </conditionalFormatting>
  <conditionalFormatting sqref="H211:H227">
    <cfRule type="cellIs" dxfId="1416" priority="1412" stopIfTrue="1" operator="lessThan">
      <formula>0.05</formula>
    </cfRule>
    <cfRule type="cellIs" dxfId="1415" priority="1413" stopIfTrue="1" operator="lessThan">
      <formula>0</formula>
    </cfRule>
  </conditionalFormatting>
  <conditionalFormatting sqref="H211:H227">
    <cfRule type="cellIs" dxfId="1414" priority="1410" stopIfTrue="1" operator="lessThan">
      <formula>0</formula>
    </cfRule>
    <cfRule type="cellIs" dxfId="1413" priority="1411" stopIfTrue="1" operator="lessThan">
      <formula>0</formula>
    </cfRule>
  </conditionalFormatting>
  <conditionalFormatting sqref="H211:H227">
    <cfRule type="cellIs" dxfId="1412" priority="1408" stopIfTrue="1" operator="lessThan">
      <formula>0</formula>
    </cfRule>
    <cfRule type="cellIs" dxfId="1411" priority="1409" stopIfTrue="1" operator="lessThan">
      <formula>0</formula>
    </cfRule>
  </conditionalFormatting>
  <conditionalFormatting sqref="H211:H227">
    <cfRule type="cellIs" dxfId="1410" priority="1406" stopIfTrue="1" operator="lessThan">
      <formula>0.05</formula>
    </cfRule>
    <cfRule type="cellIs" dxfId="1409" priority="1407" stopIfTrue="1" operator="lessThan">
      <formula>0</formula>
    </cfRule>
  </conditionalFormatting>
  <conditionalFormatting sqref="H211:H227">
    <cfRule type="cellIs" dxfId="1408" priority="1404" stopIfTrue="1" operator="lessThan">
      <formula>0</formula>
    </cfRule>
    <cfRule type="cellIs" dxfId="1407" priority="1405" stopIfTrue="1" operator="lessThan">
      <formula>0</formula>
    </cfRule>
  </conditionalFormatting>
  <conditionalFormatting sqref="H211:H227">
    <cfRule type="cellIs" dxfId="1406" priority="1402" stopIfTrue="1" operator="lessThan">
      <formula>0</formula>
    </cfRule>
    <cfRule type="cellIs" dxfId="1405" priority="1403" stopIfTrue="1" operator="lessThan">
      <formula>0</formula>
    </cfRule>
  </conditionalFormatting>
  <conditionalFormatting sqref="H211:H227">
    <cfRule type="cellIs" dxfId="1404" priority="1400" stopIfTrue="1" operator="lessThan">
      <formula>0.05</formula>
    </cfRule>
    <cfRule type="cellIs" dxfId="1403" priority="1401" stopIfTrue="1" operator="lessThan">
      <formula>0</formula>
    </cfRule>
  </conditionalFormatting>
  <conditionalFormatting sqref="H211:H227">
    <cfRule type="cellIs" dxfId="1402" priority="1398" stopIfTrue="1" operator="lessThan">
      <formula>0</formula>
    </cfRule>
    <cfRule type="cellIs" dxfId="1401" priority="1399" stopIfTrue="1" operator="lessThan">
      <formula>0</formula>
    </cfRule>
  </conditionalFormatting>
  <conditionalFormatting sqref="H211:H227">
    <cfRule type="cellIs" dxfId="1400" priority="1396" stopIfTrue="1" operator="lessThan">
      <formula>0</formula>
    </cfRule>
    <cfRule type="cellIs" dxfId="1399" priority="1397" stopIfTrue="1" operator="lessThan">
      <formula>0</formula>
    </cfRule>
  </conditionalFormatting>
  <conditionalFormatting sqref="H211:H227">
    <cfRule type="cellIs" dxfId="1398" priority="1394" stopIfTrue="1" operator="lessThan">
      <formula>0.05</formula>
    </cfRule>
    <cfRule type="cellIs" dxfId="1397" priority="1395" stopIfTrue="1" operator="lessThan">
      <formula>0</formula>
    </cfRule>
  </conditionalFormatting>
  <conditionalFormatting sqref="H211:H227">
    <cfRule type="cellIs" dxfId="1396" priority="1392" stopIfTrue="1" operator="lessThan">
      <formula>0</formula>
    </cfRule>
    <cfRule type="cellIs" dxfId="1395" priority="1393" stopIfTrue="1" operator="lessThan">
      <formula>0</formula>
    </cfRule>
  </conditionalFormatting>
  <conditionalFormatting sqref="H211:H227">
    <cfRule type="cellIs" dxfId="1394" priority="1390" stopIfTrue="1" operator="lessThan">
      <formula>0</formula>
    </cfRule>
    <cfRule type="cellIs" dxfId="1393" priority="1391" stopIfTrue="1" operator="lessThan">
      <formula>0</formula>
    </cfRule>
  </conditionalFormatting>
  <conditionalFormatting sqref="H211:H227">
    <cfRule type="cellIs" dxfId="1392" priority="1388" stopIfTrue="1" operator="lessThan">
      <formula>0.05</formula>
    </cfRule>
    <cfRule type="cellIs" dxfId="1391" priority="1389" stopIfTrue="1" operator="lessThan">
      <formula>0</formula>
    </cfRule>
  </conditionalFormatting>
  <conditionalFormatting sqref="H211:H227">
    <cfRule type="cellIs" dxfId="1390" priority="1386" stopIfTrue="1" operator="lessThan">
      <formula>0</formula>
    </cfRule>
    <cfRule type="cellIs" dxfId="1389" priority="1387" stopIfTrue="1" operator="lessThan">
      <formula>0</formula>
    </cfRule>
  </conditionalFormatting>
  <conditionalFormatting sqref="H211:H227">
    <cfRule type="cellIs" dxfId="1388" priority="1384" stopIfTrue="1" operator="lessThan">
      <formula>0</formula>
    </cfRule>
    <cfRule type="cellIs" dxfId="1387" priority="1385" stopIfTrue="1" operator="lessThan">
      <formula>0</formula>
    </cfRule>
  </conditionalFormatting>
  <conditionalFormatting sqref="H211:H227">
    <cfRule type="cellIs" dxfId="1386" priority="1382" stopIfTrue="1" operator="lessThan">
      <formula>0.05</formula>
    </cfRule>
    <cfRule type="cellIs" dxfId="1385" priority="1383" stopIfTrue="1" operator="lessThan">
      <formula>0</formula>
    </cfRule>
  </conditionalFormatting>
  <conditionalFormatting sqref="H211:H227">
    <cfRule type="cellIs" dxfId="1384" priority="1380" stopIfTrue="1" operator="lessThan">
      <formula>0</formula>
    </cfRule>
    <cfRule type="cellIs" dxfId="1383" priority="1381" stopIfTrue="1" operator="lessThan">
      <formula>0</formula>
    </cfRule>
  </conditionalFormatting>
  <conditionalFormatting sqref="H211:H227">
    <cfRule type="cellIs" dxfId="1382" priority="1378" stopIfTrue="1" operator="lessThan">
      <formula>0</formula>
    </cfRule>
    <cfRule type="cellIs" dxfId="1381" priority="1379" stopIfTrue="1" operator="lessThan">
      <formula>0</formula>
    </cfRule>
  </conditionalFormatting>
  <conditionalFormatting sqref="H211:H227">
    <cfRule type="cellIs" dxfId="1380" priority="1376" stopIfTrue="1" operator="lessThan">
      <formula>0.05</formula>
    </cfRule>
    <cfRule type="cellIs" dxfId="1379" priority="1377" stopIfTrue="1" operator="lessThan">
      <formula>0</formula>
    </cfRule>
  </conditionalFormatting>
  <conditionalFormatting sqref="H211:H227">
    <cfRule type="cellIs" dxfId="1378" priority="1374" stopIfTrue="1" operator="lessThan">
      <formula>0</formula>
    </cfRule>
    <cfRule type="cellIs" dxfId="1377" priority="1375" stopIfTrue="1" operator="lessThan">
      <formula>0</formula>
    </cfRule>
  </conditionalFormatting>
  <conditionalFormatting sqref="H211:H227">
    <cfRule type="cellIs" dxfId="1376" priority="1372" stopIfTrue="1" operator="lessThan">
      <formula>0</formula>
    </cfRule>
    <cfRule type="cellIs" dxfId="1375" priority="1373" stopIfTrue="1" operator="lessThan">
      <formula>0</formula>
    </cfRule>
  </conditionalFormatting>
  <conditionalFormatting sqref="H211:H227">
    <cfRule type="cellIs" dxfId="1374" priority="1370" stopIfTrue="1" operator="lessThan">
      <formula>0.05</formula>
    </cfRule>
    <cfRule type="cellIs" dxfId="1373" priority="1371" stopIfTrue="1" operator="lessThan">
      <formula>0</formula>
    </cfRule>
  </conditionalFormatting>
  <conditionalFormatting sqref="H211:H227">
    <cfRule type="cellIs" dxfId="1372" priority="1368" stopIfTrue="1" operator="lessThan">
      <formula>0</formula>
    </cfRule>
    <cfRule type="cellIs" dxfId="1371" priority="1369" stopIfTrue="1" operator="lessThan">
      <formula>0</formula>
    </cfRule>
  </conditionalFormatting>
  <conditionalFormatting sqref="H211:H227">
    <cfRule type="cellIs" dxfId="1370" priority="1366" stopIfTrue="1" operator="lessThan">
      <formula>0</formula>
    </cfRule>
    <cfRule type="cellIs" dxfId="1369" priority="1367" stopIfTrue="1" operator="lessThan">
      <formula>0</formula>
    </cfRule>
  </conditionalFormatting>
  <conditionalFormatting sqref="H211:H227">
    <cfRule type="cellIs" dxfId="1368" priority="1364" stopIfTrue="1" operator="lessThan">
      <formula>0.05</formula>
    </cfRule>
    <cfRule type="cellIs" dxfId="1367" priority="1365" stopIfTrue="1" operator="lessThan">
      <formula>0</formula>
    </cfRule>
  </conditionalFormatting>
  <conditionalFormatting sqref="H211:H227">
    <cfRule type="cellIs" dxfId="1366" priority="1362" stopIfTrue="1" operator="lessThan">
      <formula>0</formula>
    </cfRule>
    <cfRule type="cellIs" dxfId="1365" priority="1363" stopIfTrue="1" operator="lessThan">
      <formula>0</formula>
    </cfRule>
  </conditionalFormatting>
  <conditionalFormatting sqref="H211:H227">
    <cfRule type="cellIs" dxfId="1364" priority="1360" stopIfTrue="1" operator="lessThan">
      <formula>0</formula>
    </cfRule>
    <cfRule type="cellIs" dxfId="1363" priority="1361" stopIfTrue="1" operator="lessThan">
      <formula>0</formula>
    </cfRule>
  </conditionalFormatting>
  <conditionalFormatting sqref="H211:H227">
    <cfRule type="cellIs" dxfId="1362" priority="1358" stopIfTrue="1" operator="lessThan">
      <formula>0.05</formula>
    </cfRule>
    <cfRule type="cellIs" dxfId="1361" priority="1359" stopIfTrue="1" operator="lessThan">
      <formula>0</formula>
    </cfRule>
  </conditionalFormatting>
  <conditionalFormatting sqref="H211:H227">
    <cfRule type="cellIs" dxfId="1360" priority="1356" stopIfTrue="1" operator="lessThan">
      <formula>0</formula>
    </cfRule>
    <cfRule type="cellIs" dxfId="1359" priority="1357" stopIfTrue="1" operator="lessThan">
      <formula>0</formula>
    </cfRule>
  </conditionalFormatting>
  <conditionalFormatting sqref="H211:H227">
    <cfRule type="cellIs" dxfId="1358" priority="1354" stopIfTrue="1" operator="lessThan">
      <formula>0</formula>
    </cfRule>
    <cfRule type="cellIs" dxfId="1357" priority="1355" stopIfTrue="1" operator="lessThan">
      <formula>0</formula>
    </cfRule>
  </conditionalFormatting>
  <conditionalFormatting sqref="H211:H227">
    <cfRule type="cellIs" dxfId="1356" priority="1352" stopIfTrue="1" operator="lessThan">
      <formula>0.05</formula>
    </cfRule>
    <cfRule type="cellIs" dxfId="1355" priority="1353" stopIfTrue="1" operator="lessThan">
      <formula>0</formula>
    </cfRule>
  </conditionalFormatting>
  <conditionalFormatting sqref="H211:H227">
    <cfRule type="cellIs" dxfId="1354" priority="1350" stopIfTrue="1" operator="lessThan">
      <formula>0</formula>
    </cfRule>
    <cfRule type="cellIs" dxfId="1353" priority="1351" stopIfTrue="1" operator="lessThan">
      <formula>0</formula>
    </cfRule>
  </conditionalFormatting>
  <conditionalFormatting sqref="H211:H227">
    <cfRule type="cellIs" dxfId="1352" priority="1348" stopIfTrue="1" operator="lessThan">
      <formula>0</formula>
    </cfRule>
    <cfRule type="cellIs" dxfId="1351" priority="1349" stopIfTrue="1" operator="lessThan">
      <formula>0</formula>
    </cfRule>
  </conditionalFormatting>
  <conditionalFormatting sqref="H211:H227">
    <cfRule type="cellIs" dxfId="1350" priority="1346" stopIfTrue="1" operator="lessThan">
      <formula>0.05</formula>
    </cfRule>
    <cfRule type="cellIs" dxfId="1349" priority="1347" stopIfTrue="1" operator="lessThan">
      <formula>0</formula>
    </cfRule>
  </conditionalFormatting>
  <conditionalFormatting sqref="H211:H227">
    <cfRule type="cellIs" dxfId="1348" priority="1344" stopIfTrue="1" operator="lessThan">
      <formula>0</formula>
    </cfRule>
    <cfRule type="cellIs" dxfId="1347" priority="1345" stopIfTrue="1" operator="lessThan">
      <formula>0</formula>
    </cfRule>
  </conditionalFormatting>
  <conditionalFormatting sqref="H211:H227">
    <cfRule type="cellIs" dxfId="1346" priority="1342" stopIfTrue="1" operator="lessThan">
      <formula>0.05</formula>
    </cfRule>
    <cfRule type="cellIs" dxfId="1345" priority="1343" stopIfTrue="1" operator="lessThan">
      <formula>0</formula>
    </cfRule>
  </conditionalFormatting>
  <conditionalFormatting sqref="H211:H227">
    <cfRule type="cellIs" dxfId="1344" priority="1340" stopIfTrue="1" operator="lessThan">
      <formula>0</formula>
    </cfRule>
    <cfRule type="cellIs" dxfId="1343" priority="1341" stopIfTrue="1" operator="lessThan">
      <formula>0</formula>
    </cfRule>
  </conditionalFormatting>
  <conditionalFormatting sqref="H211:H227">
    <cfRule type="cellIs" dxfId="1342" priority="1338" stopIfTrue="1" operator="lessThan">
      <formula>0.05</formula>
    </cfRule>
    <cfRule type="cellIs" dxfId="1341" priority="1339" stopIfTrue="1" operator="lessThan">
      <formula>0</formula>
    </cfRule>
  </conditionalFormatting>
  <conditionalFormatting sqref="H211:H227">
    <cfRule type="cellIs" dxfId="1340" priority="1336" stopIfTrue="1" operator="lessThan">
      <formula>0</formula>
    </cfRule>
    <cfRule type="cellIs" dxfId="1339" priority="1337" stopIfTrue="1" operator="lessThan">
      <formula>0</formula>
    </cfRule>
  </conditionalFormatting>
  <conditionalFormatting sqref="H211:H227">
    <cfRule type="cellIs" dxfId="1338" priority="1334" stopIfTrue="1" operator="lessThan">
      <formula>0</formula>
    </cfRule>
    <cfRule type="cellIs" dxfId="1337" priority="1335" stopIfTrue="1" operator="lessThan">
      <formula>0</formula>
    </cfRule>
  </conditionalFormatting>
  <conditionalFormatting sqref="H211:H227">
    <cfRule type="cellIs" dxfId="1336" priority="1332" stopIfTrue="1" operator="lessThan">
      <formula>0</formula>
    </cfRule>
    <cfRule type="cellIs" dxfId="1335" priority="1333" stopIfTrue="1" operator="lessThan">
      <formula>0</formula>
    </cfRule>
  </conditionalFormatting>
  <conditionalFormatting sqref="H211:H227">
    <cfRule type="cellIs" dxfId="1334" priority="1330" stopIfTrue="1" operator="lessThan">
      <formula>0.05</formula>
    </cfRule>
    <cfRule type="cellIs" dxfId="1333" priority="1331" stopIfTrue="1" operator="lessThan">
      <formula>0</formula>
    </cfRule>
  </conditionalFormatting>
  <conditionalFormatting sqref="H211:H227">
    <cfRule type="cellIs" dxfId="1332" priority="1328" stopIfTrue="1" operator="lessThan">
      <formula>0</formula>
    </cfRule>
    <cfRule type="cellIs" dxfId="1331" priority="1329" stopIfTrue="1" operator="lessThan">
      <formula>0</formula>
    </cfRule>
  </conditionalFormatting>
  <conditionalFormatting sqref="H211:H227">
    <cfRule type="cellIs" dxfId="1330" priority="1326" stopIfTrue="1" operator="lessThan">
      <formula>0.05</formula>
    </cfRule>
    <cfRule type="cellIs" dxfId="1329" priority="1327" stopIfTrue="1" operator="lessThan">
      <formula>0</formula>
    </cfRule>
  </conditionalFormatting>
  <conditionalFormatting sqref="H211:H227">
    <cfRule type="cellIs" dxfId="1328" priority="1324" stopIfTrue="1" operator="lessThan">
      <formula>0</formula>
    </cfRule>
    <cfRule type="cellIs" dxfId="1327" priority="1325" stopIfTrue="1" operator="lessThan">
      <formula>0</formula>
    </cfRule>
  </conditionalFormatting>
  <conditionalFormatting sqref="H211:H227">
    <cfRule type="cellIs" dxfId="1326" priority="1322" stopIfTrue="1" operator="lessThan">
      <formula>0.05</formula>
    </cfRule>
    <cfRule type="cellIs" dxfId="1325" priority="1323" stopIfTrue="1" operator="lessThan">
      <formula>0</formula>
    </cfRule>
  </conditionalFormatting>
  <conditionalFormatting sqref="H211:H227">
    <cfRule type="cellIs" dxfId="1324" priority="1320" stopIfTrue="1" operator="lessThan">
      <formula>0</formula>
    </cfRule>
    <cfRule type="cellIs" dxfId="1323" priority="1321" stopIfTrue="1" operator="lessThan">
      <formula>0</formula>
    </cfRule>
  </conditionalFormatting>
  <conditionalFormatting sqref="H211:H227">
    <cfRule type="cellIs" dxfId="1322" priority="1318" stopIfTrue="1" operator="lessThan">
      <formula>0</formula>
    </cfRule>
    <cfRule type="cellIs" dxfId="1321" priority="1319" stopIfTrue="1" operator="lessThan">
      <formula>0</formula>
    </cfRule>
  </conditionalFormatting>
  <conditionalFormatting sqref="H211:H227">
    <cfRule type="cellIs" dxfId="1320" priority="1316" stopIfTrue="1" operator="lessThan">
      <formula>0.05</formula>
    </cfRule>
    <cfRule type="cellIs" dxfId="1319" priority="1317" stopIfTrue="1" operator="lessThan">
      <formula>0</formula>
    </cfRule>
  </conditionalFormatting>
  <conditionalFormatting sqref="H211:H227">
    <cfRule type="cellIs" dxfId="1318" priority="1314" stopIfTrue="1" operator="lessThan">
      <formula>0</formula>
    </cfRule>
    <cfRule type="cellIs" dxfId="1317" priority="1315" stopIfTrue="1" operator="lessThan">
      <formula>0</formula>
    </cfRule>
  </conditionalFormatting>
  <conditionalFormatting sqref="H211:H227">
    <cfRule type="cellIs" dxfId="1316" priority="1312" stopIfTrue="1" operator="lessThan">
      <formula>0</formula>
    </cfRule>
    <cfRule type="cellIs" dxfId="1315" priority="1313" stopIfTrue="1" operator="lessThan">
      <formula>0</formula>
    </cfRule>
  </conditionalFormatting>
  <conditionalFormatting sqref="H211:H227">
    <cfRule type="cellIs" dxfId="1314" priority="1310" stopIfTrue="1" operator="lessThan">
      <formula>0.05</formula>
    </cfRule>
    <cfRule type="cellIs" dxfId="1313" priority="1311" stopIfTrue="1" operator="lessThan">
      <formula>0</formula>
    </cfRule>
  </conditionalFormatting>
  <conditionalFormatting sqref="H211:H227">
    <cfRule type="cellIs" dxfId="1312" priority="1308" stopIfTrue="1" operator="lessThan">
      <formula>0</formula>
    </cfRule>
    <cfRule type="cellIs" dxfId="1311" priority="1309" stopIfTrue="1" operator="lessThan">
      <formula>0</formula>
    </cfRule>
  </conditionalFormatting>
  <conditionalFormatting sqref="H211:H227">
    <cfRule type="cellIs" dxfId="1310" priority="1306" stopIfTrue="1" operator="lessThan">
      <formula>0</formula>
    </cfRule>
    <cfRule type="cellIs" dxfId="1309" priority="1307" stopIfTrue="1" operator="lessThan">
      <formula>0</formula>
    </cfRule>
  </conditionalFormatting>
  <conditionalFormatting sqref="H211:H227">
    <cfRule type="cellIs" dxfId="1308" priority="1304" stopIfTrue="1" operator="lessThan">
      <formula>0.05</formula>
    </cfRule>
    <cfRule type="cellIs" dxfId="1307" priority="1305" stopIfTrue="1" operator="lessThan">
      <formula>0</formula>
    </cfRule>
  </conditionalFormatting>
  <conditionalFormatting sqref="H211:H227">
    <cfRule type="cellIs" dxfId="1306" priority="1302" stopIfTrue="1" operator="lessThan">
      <formula>0</formula>
    </cfRule>
    <cfRule type="cellIs" dxfId="1305" priority="1303" stopIfTrue="1" operator="lessThan">
      <formula>0</formula>
    </cfRule>
  </conditionalFormatting>
  <conditionalFormatting sqref="H211:H227">
    <cfRule type="cellIs" dxfId="1304" priority="1300" stopIfTrue="1" operator="lessThan">
      <formula>0</formula>
    </cfRule>
    <cfRule type="cellIs" dxfId="1303" priority="1301" stopIfTrue="1" operator="lessThan">
      <formula>0</formula>
    </cfRule>
  </conditionalFormatting>
  <conditionalFormatting sqref="H211:H227">
    <cfRule type="cellIs" dxfId="1302" priority="1298" stopIfTrue="1" operator="lessThan">
      <formula>0.05</formula>
    </cfRule>
    <cfRule type="cellIs" dxfId="1301" priority="1299" stopIfTrue="1" operator="lessThan">
      <formula>0</formula>
    </cfRule>
  </conditionalFormatting>
  <conditionalFormatting sqref="H211:H227">
    <cfRule type="cellIs" dxfId="1300" priority="1296" stopIfTrue="1" operator="lessThan">
      <formula>0</formula>
    </cfRule>
    <cfRule type="cellIs" dxfId="1299" priority="1297" stopIfTrue="1" operator="lessThan">
      <formula>0</formula>
    </cfRule>
  </conditionalFormatting>
  <conditionalFormatting sqref="H211:H227">
    <cfRule type="cellIs" dxfId="1298" priority="1294" stopIfTrue="1" operator="lessThan">
      <formula>0</formula>
    </cfRule>
    <cfRule type="cellIs" dxfId="1297" priority="1295" stopIfTrue="1" operator="lessThan">
      <formula>0</formula>
    </cfRule>
  </conditionalFormatting>
  <conditionalFormatting sqref="H211:H227">
    <cfRule type="cellIs" dxfId="1296" priority="1292" stopIfTrue="1" operator="lessThan">
      <formula>0.05</formula>
    </cfRule>
    <cfRule type="cellIs" dxfId="1295" priority="1293" stopIfTrue="1" operator="lessThan">
      <formula>0</formula>
    </cfRule>
  </conditionalFormatting>
  <conditionalFormatting sqref="H211:H227">
    <cfRule type="cellIs" dxfId="1294" priority="1290" stopIfTrue="1" operator="lessThan">
      <formula>0</formula>
    </cfRule>
    <cfRule type="cellIs" dxfId="1293" priority="1291" stopIfTrue="1" operator="lessThan">
      <formula>0</formula>
    </cfRule>
  </conditionalFormatting>
  <conditionalFormatting sqref="H211:H227">
    <cfRule type="cellIs" dxfId="1292" priority="1288" stopIfTrue="1" operator="lessThan">
      <formula>0</formula>
    </cfRule>
    <cfRule type="cellIs" dxfId="1291" priority="1289" stopIfTrue="1" operator="lessThan">
      <formula>0</formula>
    </cfRule>
  </conditionalFormatting>
  <conditionalFormatting sqref="H211:H227">
    <cfRule type="cellIs" dxfId="1290" priority="1286" stopIfTrue="1" operator="lessThan">
      <formula>0.05</formula>
    </cfRule>
    <cfRule type="cellIs" dxfId="1289" priority="1287" stopIfTrue="1" operator="lessThan">
      <formula>0</formula>
    </cfRule>
  </conditionalFormatting>
  <conditionalFormatting sqref="H211:H227">
    <cfRule type="cellIs" dxfId="1288" priority="1284" stopIfTrue="1" operator="lessThan">
      <formula>0</formula>
    </cfRule>
    <cfRule type="cellIs" dxfId="1287" priority="1285" stopIfTrue="1" operator="lessThan">
      <formula>0</formula>
    </cfRule>
  </conditionalFormatting>
  <conditionalFormatting sqref="H211:H227">
    <cfRule type="cellIs" dxfId="1286" priority="1282" stopIfTrue="1" operator="lessThan">
      <formula>0</formula>
    </cfRule>
    <cfRule type="cellIs" dxfId="1285" priority="1283" stopIfTrue="1" operator="lessThan">
      <formula>0</formula>
    </cfRule>
  </conditionalFormatting>
  <conditionalFormatting sqref="H211:H227">
    <cfRule type="cellIs" dxfId="1284" priority="1280" stopIfTrue="1" operator="lessThan">
      <formula>0.05</formula>
    </cfRule>
    <cfRule type="cellIs" dxfId="1283" priority="1281" stopIfTrue="1" operator="lessThan">
      <formula>0</formula>
    </cfRule>
  </conditionalFormatting>
  <conditionalFormatting sqref="H211:H227">
    <cfRule type="cellIs" dxfId="1282" priority="1278" stopIfTrue="1" operator="lessThan">
      <formula>0</formula>
    </cfRule>
    <cfRule type="cellIs" dxfId="1281" priority="1279" stopIfTrue="1" operator="lessThan">
      <formula>0</formula>
    </cfRule>
  </conditionalFormatting>
  <conditionalFormatting sqref="H211:H227">
    <cfRule type="cellIs" dxfId="1280" priority="1276" stopIfTrue="1" operator="lessThan">
      <formula>0</formula>
    </cfRule>
    <cfRule type="cellIs" dxfId="1279" priority="1277" stopIfTrue="1" operator="lessThan">
      <formula>0</formula>
    </cfRule>
  </conditionalFormatting>
  <conditionalFormatting sqref="H211:H227">
    <cfRule type="cellIs" dxfId="1278" priority="1274" stopIfTrue="1" operator="lessThan">
      <formula>0.05</formula>
    </cfRule>
    <cfRule type="cellIs" dxfId="1277" priority="1275" stopIfTrue="1" operator="lessThan">
      <formula>0</formula>
    </cfRule>
  </conditionalFormatting>
  <conditionalFormatting sqref="H211:H227">
    <cfRule type="cellIs" dxfId="1276" priority="1272" stopIfTrue="1" operator="lessThan">
      <formula>0</formula>
    </cfRule>
    <cfRule type="cellIs" dxfId="1275" priority="1273" stopIfTrue="1" operator="lessThan">
      <formula>0</formula>
    </cfRule>
  </conditionalFormatting>
  <conditionalFormatting sqref="H211:H227">
    <cfRule type="cellIs" dxfId="1274" priority="1270" stopIfTrue="1" operator="lessThan">
      <formula>0</formula>
    </cfRule>
    <cfRule type="cellIs" dxfId="1273" priority="1271" stopIfTrue="1" operator="lessThan">
      <formula>0</formula>
    </cfRule>
  </conditionalFormatting>
  <conditionalFormatting sqref="H211:H227">
    <cfRule type="cellIs" dxfId="1272" priority="1268" stopIfTrue="1" operator="lessThan">
      <formula>0.05</formula>
    </cfRule>
    <cfRule type="cellIs" dxfId="1271" priority="1269" stopIfTrue="1" operator="lessThan">
      <formula>0</formula>
    </cfRule>
  </conditionalFormatting>
  <conditionalFormatting sqref="H211:H227">
    <cfRule type="cellIs" dxfId="1270" priority="1266" stopIfTrue="1" operator="lessThan">
      <formula>0</formula>
    </cfRule>
    <cfRule type="cellIs" dxfId="1269" priority="1267" stopIfTrue="1" operator="lessThan">
      <formula>0</formula>
    </cfRule>
  </conditionalFormatting>
  <conditionalFormatting sqref="H211:H227">
    <cfRule type="cellIs" dxfId="1268" priority="1264" stopIfTrue="1" operator="lessThan">
      <formula>0</formula>
    </cfRule>
    <cfRule type="cellIs" dxfId="1267" priority="1265" stopIfTrue="1" operator="lessThan">
      <formula>0</formula>
    </cfRule>
  </conditionalFormatting>
  <conditionalFormatting sqref="H211:H227">
    <cfRule type="cellIs" dxfId="1266" priority="1262" stopIfTrue="1" operator="lessThan">
      <formula>0.05</formula>
    </cfRule>
    <cfRule type="cellIs" dxfId="1265" priority="1263" stopIfTrue="1" operator="lessThan">
      <formula>0</formula>
    </cfRule>
  </conditionalFormatting>
  <conditionalFormatting sqref="H211:H227">
    <cfRule type="cellIs" dxfId="1264" priority="1260" stopIfTrue="1" operator="lessThan">
      <formula>0</formula>
    </cfRule>
    <cfRule type="cellIs" dxfId="1263" priority="1261" stopIfTrue="1" operator="lessThan">
      <formula>0</formula>
    </cfRule>
  </conditionalFormatting>
  <conditionalFormatting sqref="H211:H227">
    <cfRule type="cellIs" dxfId="1262" priority="1258" stopIfTrue="1" operator="lessThan">
      <formula>0</formula>
    </cfRule>
    <cfRule type="cellIs" dxfId="1261" priority="1259" stopIfTrue="1" operator="lessThan">
      <formula>0</formula>
    </cfRule>
  </conditionalFormatting>
  <conditionalFormatting sqref="H211:H227">
    <cfRule type="cellIs" dxfId="1260" priority="1256" stopIfTrue="1" operator="lessThan">
      <formula>0.05</formula>
    </cfRule>
    <cfRule type="cellIs" dxfId="1259" priority="1257" stopIfTrue="1" operator="lessThan">
      <formula>0</formula>
    </cfRule>
  </conditionalFormatting>
  <conditionalFormatting sqref="H211:H227">
    <cfRule type="cellIs" dxfId="1258" priority="1254" stopIfTrue="1" operator="lessThan">
      <formula>0</formula>
    </cfRule>
    <cfRule type="cellIs" dxfId="1257" priority="1255" stopIfTrue="1" operator="lessThan">
      <formula>0</formula>
    </cfRule>
  </conditionalFormatting>
  <conditionalFormatting sqref="H211:H227">
    <cfRule type="cellIs" dxfId="1256" priority="1252" stopIfTrue="1" operator="lessThan">
      <formula>0</formula>
    </cfRule>
    <cfRule type="cellIs" dxfId="1255" priority="1253" stopIfTrue="1" operator="lessThan">
      <formula>0</formula>
    </cfRule>
  </conditionalFormatting>
  <conditionalFormatting sqref="H211:H227">
    <cfRule type="cellIs" dxfId="1254" priority="1250" stopIfTrue="1" operator="lessThan">
      <formula>0.05</formula>
    </cfRule>
    <cfRule type="cellIs" dxfId="1253" priority="1251" stopIfTrue="1" operator="lessThan">
      <formula>0</formula>
    </cfRule>
  </conditionalFormatting>
  <conditionalFormatting sqref="H211:H227">
    <cfRule type="cellIs" dxfId="1252" priority="1248" stopIfTrue="1" operator="lessThan">
      <formula>0</formula>
    </cfRule>
    <cfRule type="cellIs" dxfId="1251" priority="1249" stopIfTrue="1" operator="lessThan">
      <formula>0</formula>
    </cfRule>
  </conditionalFormatting>
  <conditionalFormatting sqref="H211:H227">
    <cfRule type="cellIs" dxfId="1250" priority="1246" stopIfTrue="1" operator="lessThan">
      <formula>0</formula>
    </cfRule>
    <cfRule type="cellIs" dxfId="1249" priority="1247" stopIfTrue="1" operator="lessThan">
      <formula>0</formula>
    </cfRule>
  </conditionalFormatting>
  <conditionalFormatting sqref="H211:H227">
    <cfRule type="cellIs" dxfId="1248" priority="1244" stopIfTrue="1" operator="lessThan">
      <formula>0.05</formula>
    </cfRule>
    <cfRule type="cellIs" dxfId="1247" priority="1245" stopIfTrue="1" operator="lessThan">
      <formula>0</formula>
    </cfRule>
  </conditionalFormatting>
  <conditionalFormatting sqref="H211:H227">
    <cfRule type="cellIs" dxfId="1246" priority="1242" stopIfTrue="1" operator="lessThan">
      <formula>0</formula>
    </cfRule>
    <cfRule type="cellIs" dxfId="1245" priority="1243" stopIfTrue="1" operator="lessThan">
      <formula>0</formula>
    </cfRule>
  </conditionalFormatting>
  <conditionalFormatting sqref="H211:H227">
    <cfRule type="cellIs" dxfId="1244" priority="1240" stopIfTrue="1" operator="lessThan">
      <formula>0</formula>
    </cfRule>
    <cfRule type="cellIs" dxfId="1243" priority="1241" stopIfTrue="1" operator="lessThan">
      <formula>0</formula>
    </cfRule>
  </conditionalFormatting>
  <conditionalFormatting sqref="H211:H227">
    <cfRule type="cellIs" dxfId="1242" priority="1238" stopIfTrue="1" operator="lessThan">
      <formula>0.05</formula>
    </cfRule>
    <cfRule type="cellIs" dxfId="1241" priority="1239" stopIfTrue="1" operator="lessThan">
      <formula>0</formula>
    </cfRule>
  </conditionalFormatting>
  <conditionalFormatting sqref="H211:H227">
    <cfRule type="cellIs" dxfId="1240" priority="1236" stopIfTrue="1" operator="lessThan">
      <formula>0</formula>
    </cfRule>
    <cfRule type="cellIs" dxfId="1239" priority="1237" stopIfTrue="1" operator="lessThan">
      <formula>0</formula>
    </cfRule>
  </conditionalFormatting>
  <conditionalFormatting sqref="H211:H227">
    <cfRule type="cellIs" dxfId="1238" priority="1234" stopIfTrue="1" operator="lessThan">
      <formula>0.05</formula>
    </cfRule>
    <cfRule type="cellIs" dxfId="1237" priority="1235" stopIfTrue="1" operator="lessThan">
      <formula>0</formula>
    </cfRule>
  </conditionalFormatting>
  <conditionalFormatting sqref="H211:H227">
    <cfRule type="cellIs" dxfId="1236" priority="1232" stopIfTrue="1" operator="lessThan">
      <formula>0</formula>
    </cfRule>
    <cfRule type="cellIs" dxfId="1235" priority="1233" stopIfTrue="1" operator="lessThan">
      <formula>0</formula>
    </cfRule>
  </conditionalFormatting>
  <conditionalFormatting sqref="H211:H227">
    <cfRule type="cellIs" dxfId="1234" priority="1230" stopIfTrue="1" operator="lessThan">
      <formula>0.05</formula>
    </cfRule>
    <cfRule type="cellIs" dxfId="1233" priority="1231" stopIfTrue="1" operator="lessThan">
      <formula>0</formula>
    </cfRule>
  </conditionalFormatting>
  <conditionalFormatting sqref="H211:H227">
    <cfRule type="cellIs" dxfId="1232" priority="1228" stopIfTrue="1" operator="lessThan">
      <formula>0</formula>
    </cfRule>
    <cfRule type="cellIs" dxfId="1231" priority="1229" stopIfTrue="1" operator="lessThan">
      <formula>0</formula>
    </cfRule>
  </conditionalFormatting>
  <conditionalFormatting sqref="H211:H227">
    <cfRule type="cellIs" dxfId="1230" priority="1226" stopIfTrue="1" operator="lessThan">
      <formula>0</formula>
    </cfRule>
    <cfRule type="cellIs" dxfId="1229" priority="1227" stopIfTrue="1" operator="lessThan">
      <formula>0</formula>
    </cfRule>
  </conditionalFormatting>
  <conditionalFormatting sqref="H211:H227">
    <cfRule type="cellIs" dxfId="1228" priority="1224" stopIfTrue="1" operator="lessThan">
      <formula>0</formula>
    </cfRule>
    <cfRule type="cellIs" dxfId="1227" priority="1225" stopIfTrue="1" operator="lessThan">
      <formula>0</formula>
    </cfRule>
  </conditionalFormatting>
  <conditionalFormatting sqref="H211:H227">
    <cfRule type="cellIs" dxfId="1226" priority="1222" stopIfTrue="1" operator="lessThan">
      <formula>0.05</formula>
    </cfRule>
    <cfRule type="cellIs" dxfId="1225" priority="1223" stopIfTrue="1" operator="lessThan">
      <formula>0</formula>
    </cfRule>
  </conditionalFormatting>
  <conditionalFormatting sqref="H211:H227">
    <cfRule type="cellIs" dxfId="1224" priority="1220" stopIfTrue="1" operator="lessThan">
      <formula>0</formula>
    </cfRule>
    <cfRule type="cellIs" dxfId="1223" priority="1221" stopIfTrue="1" operator="lessThan">
      <formula>0</formula>
    </cfRule>
  </conditionalFormatting>
  <conditionalFormatting sqref="H211:H227">
    <cfRule type="cellIs" dxfId="1222" priority="1218" stopIfTrue="1" operator="lessThan">
      <formula>0.05</formula>
    </cfRule>
    <cfRule type="cellIs" dxfId="1221" priority="1219" stopIfTrue="1" operator="lessThan">
      <formula>0</formula>
    </cfRule>
  </conditionalFormatting>
  <conditionalFormatting sqref="H211:H227">
    <cfRule type="cellIs" dxfId="1220" priority="1216" stopIfTrue="1" operator="lessThan">
      <formula>0</formula>
    </cfRule>
    <cfRule type="cellIs" dxfId="1219" priority="1217" stopIfTrue="1" operator="lessThan">
      <formula>0</formula>
    </cfRule>
  </conditionalFormatting>
  <conditionalFormatting sqref="H211:H227">
    <cfRule type="cellIs" dxfId="1218" priority="1214" stopIfTrue="1" operator="lessThan">
      <formula>0.05</formula>
    </cfRule>
    <cfRule type="cellIs" dxfId="1217" priority="1215" stopIfTrue="1" operator="lessThan">
      <formula>0</formula>
    </cfRule>
  </conditionalFormatting>
  <conditionalFormatting sqref="H211:H227">
    <cfRule type="cellIs" dxfId="1216" priority="1212" stopIfTrue="1" operator="lessThan">
      <formula>0</formula>
    </cfRule>
    <cfRule type="cellIs" dxfId="1215" priority="1213" stopIfTrue="1" operator="lessThan">
      <formula>0</formula>
    </cfRule>
  </conditionalFormatting>
  <conditionalFormatting sqref="H211:H227">
    <cfRule type="cellIs" dxfId="1214" priority="1211" stopIfTrue="1" operator="lessThan">
      <formula>0.05</formula>
    </cfRule>
  </conditionalFormatting>
  <conditionalFormatting sqref="H211:H227">
    <cfRule type="cellIs" dxfId="1213" priority="1209" stopIfTrue="1" operator="lessThan">
      <formula>0</formula>
    </cfRule>
    <cfRule type="cellIs" dxfId="1212" priority="1210" stopIfTrue="1" operator="lessThan">
      <formula>0</formula>
    </cfRule>
  </conditionalFormatting>
  <conditionalFormatting sqref="H211:H227">
    <cfRule type="cellIs" dxfId="1211" priority="1207" stopIfTrue="1" operator="lessThan">
      <formula>0</formula>
    </cfRule>
    <cfRule type="cellIs" dxfId="1210" priority="1208" stopIfTrue="1" operator="lessThan">
      <formula>0</formula>
    </cfRule>
  </conditionalFormatting>
  <conditionalFormatting sqref="H211:H227">
    <cfRule type="cellIs" dxfId="1209" priority="1205" stopIfTrue="1" operator="lessThan">
      <formula>0.05</formula>
    </cfRule>
    <cfRule type="cellIs" dxfId="1208" priority="1206" stopIfTrue="1" operator="lessThan">
      <formula>0</formula>
    </cfRule>
  </conditionalFormatting>
  <conditionalFormatting sqref="H211:H227">
    <cfRule type="cellIs" dxfId="1207" priority="1203" stopIfTrue="1" operator="lessThan">
      <formula>0</formula>
    </cfRule>
    <cfRule type="cellIs" dxfId="1206" priority="1204" stopIfTrue="1" operator="lessThan">
      <formula>0</formula>
    </cfRule>
  </conditionalFormatting>
  <conditionalFormatting sqref="H211:H227">
    <cfRule type="cellIs" dxfId="1205" priority="1201" stopIfTrue="1" operator="lessThan">
      <formula>0.05</formula>
    </cfRule>
    <cfRule type="cellIs" dxfId="1204" priority="1202" stopIfTrue="1" operator="lessThan">
      <formula>0</formula>
    </cfRule>
  </conditionalFormatting>
  <conditionalFormatting sqref="H211:H227">
    <cfRule type="cellIs" dxfId="1203" priority="1199" stopIfTrue="1" operator="lessThan">
      <formula>0</formula>
    </cfRule>
    <cfRule type="cellIs" dxfId="1202" priority="1200" stopIfTrue="1" operator="lessThan">
      <formula>0</formula>
    </cfRule>
  </conditionalFormatting>
  <conditionalFormatting sqref="H211:H227">
    <cfRule type="cellIs" dxfId="1201" priority="1197" stopIfTrue="1" operator="lessThan">
      <formula>0.05</formula>
    </cfRule>
    <cfRule type="cellIs" dxfId="1200" priority="1198" stopIfTrue="1" operator="lessThan">
      <formula>0</formula>
    </cfRule>
  </conditionalFormatting>
  <conditionalFormatting sqref="H211:H227">
    <cfRule type="cellIs" dxfId="1199" priority="1195" stopIfTrue="1" operator="lessThan">
      <formula>0</formula>
    </cfRule>
    <cfRule type="cellIs" dxfId="1198" priority="1196" stopIfTrue="1" operator="lessThan">
      <formula>0</formula>
    </cfRule>
  </conditionalFormatting>
  <conditionalFormatting sqref="H211:H227">
    <cfRule type="cellIs" dxfId="1197" priority="1193" stopIfTrue="1" operator="lessThan">
      <formula>0</formula>
    </cfRule>
    <cfRule type="cellIs" dxfId="1196" priority="1194" stopIfTrue="1" operator="lessThan">
      <formula>0</formula>
    </cfRule>
  </conditionalFormatting>
  <conditionalFormatting sqref="H211:H227">
    <cfRule type="cellIs" dxfId="1195" priority="1191" stopIfTrue="1" operator="lessThan">
      <formula>0</formula>
    </cfRule>
    <cfRule type="cellIs" dxfId="1194" priority="1192" stopIfTrue="1" operator="lessThan">
      <formula>0</formula>
    </cfRule>
  </conditionalFormatting>
  <conditionalFormatting sqref="H211:H227">
    <cfRule type="cellIs" dxfId="1193" priority="1189" stopIfTrue="1" operator="lessThan">
      <formula>0.05</formula>
    </cfRule>
    <cfRule type="cellIs" dxfId="1192" priority="1190" stopIfTrue="1" operator="lessThan">
      <formula>0</formula>
    </cfRule>
  </conditionalFormatting>
  <conditionalFormatting sqref="H211:H227">
    <cfRule type="cellIs" dxfId="1191" priority="1187" stopIfTrue="1" operator="lessThan">
      <formula>0</formula>
    </cfRule>
    <cfRule type="cellIs" dxfId="1190" priority="1188" stopIfTrue="1" operator="lessThan">
      <formula>0</formula>
    </cfRule>
  </conditionalFormatting>
  <conditionalFormatting sqref="H211:H227">
    <cfRule type="cellIs" dxfId="1189" priority="1185" stopIfTrue="1" operator="lessThan">
      <formula>0.05</formula>
    </cfRule>
    <cfRule type="cellIs" dxfId="1188" priority="1186" stopIfTrue="1" operator="lessThan">
      <formula>0</formula>
    </cfRule>
  </conditionalFormatting>
  <conditionalFormatting sqref="H211:H227">
    <cfRule type="cellIs" dxfId="1187" priority="1183" stopIfTrue="1" operator="lessThan">
      <formula>0</formula>
    </cfRule>
    <cfRule type="cellIs" dxfId="1186" priority="1184" stopIfTrue="1" operator="lessThan">
      <formula>0</formula>
    </cfRule>
  </conditionalFormatting>
  <conditionalFormatting sqref="H211:H227">
    <cfRule type="cellIs" dxfId="1185" priority="1181" stopIfTrue="1" operator="lessThan">
      <formula>0.05</formula>
    </cfRule>
    <cfRule type="cellIs" dxfId="1184" priority="1182" stopIfTrue="1" operator="lessThan">
      <formula>0</formula>
    </cfRule>
  </conditionalFormatting>
  <conditionalFormatting sqref="H211:H227">
    <cfRule type="cellIs" dxfId="1183" priority="1179" stopIfTrue="1" operator="lessThan">
      <formula>0</formula>
    </cfRule>
    <cfRule type="cellIs" dxfId="1182" priority="1180" stopIfTrue="1" operator="lessThan">
      <formula>0</formula>
    </cfRule>
  </conditionalFormatting>
  <conditionalFormatting sqref="H211:H227">
    <cfRule type="cellIs" dxfId="1181" priority="1177" stopIfTrue="1" operator="lessThan">
      <formula>0</formula>
    </cfRule>
    <cfRule type="cellIs" dxfId="1180" priority="1178" stopIfTrue="1" operator="lessThan">
      <formula>0</formula>
    </cfRule>
  </conditionalFormatting>
  <conditionalFormatting sqref="H211:H227">
    <cfRule type="cellIs" dxfId="1179" priority="1175" stopIfTrue="1" operator="lessThan">
      <formula>0</formula>
    </cfRule>
    <cfRule type="cellIs" dxfId="1178" priority="1176" stopIfTrue="1" operator="lessThan">
      <formula>0</formula>
    </cfRule>
  </conditionalFormatting>
  <conditionalFormatting sqref="H211:H227">
    <cfRule type="cellIs" dxfId="1177" priority="1173" stopIfTrue="1" operator="lessThan">
      <formula>0.05</formula>
    </cfRule>
    <cfRule type="cellIs" dxfId="1176" priority="1174" stopIfTrue="1" operator="lessThan">
      <formula>0</formula>
    </cfRule>
  </conditionalFormatting>
  <conditionalFormatting sqref="H211:H227">
    <cfRule type="cellIs" dxfId="1175" priority="1171" stopIfTrue="1" operator="lessThan">
      <formula>0</formula>
    </cfRule>
    <cfRule type="cellIs" dxfId="1174" priority="1172" stopIfTrue="1" operator="lessThan">
      <formula>0</formula>
    </cfRule>
  </conditionalFormatting>
  <conditionalFormatting sqref="H211:H227">
    <cfRule type="cellIs" dxfId="1173" priority="1169" stopIfTrue="1" operator="lessThan">
      <formula>0.05</formula>
    </cfRule>
    <cfRule type="cellIs" dxfId="1172" priority="1170" stopIfTrue="1" operator="lessThan">
      <formula>0</formula>
    </cfRule>
  </conditionalFormatting>
  <conditionalFormatting sqref="H211:H227">
    <cfRule type="cellIs" dxfId="1171" priority="1167" stopIfTrue="1" operator="lessThan">
      <formula>0</formula>
    </cfRule>
    <cfRule type="cellIs" dxfId="1170" priority="1168" stopIfTrue="1" operator="lessThan">
      <formula>0</formula>
    </cfRule>
  </conditionalFormatting>
  <conditionalFormatting sqref="H211:H227">
    <cfRule type="cellIs" dxfId="1169" priority="1165" stopIfTrue="1" operator="lessThan">
      <formula>0.05</formula>
    </cfRule>
    <cfRule type="cellIs" dxfId="1168" priority="1166" stopIfTrue="1" operator="lessThan">
      <formula>0</formula>
    </cfRule>
  </conditionalFormatting>
  <conditionalFormatting sqref="H211:H227">
    <cfRule type="cellIs" dxfId="1167" priority="1163" stopIfTrue="1" operator="lessThan">
      <formula>0</formula>
    </cfRule>
    <cfRule type="cellIs" dxfId="1166" priority="1164" stopIfTrue="1" operator="lessThan">
      <formula>0</formula>
    </cfRule>
  </conditionalFormatting>
  <conditionalFormatting sqref="H211:H227">
    <cfRule type="cellIs" dxfId="1165" priority="1161" stopIfTrue="1" operator="lessThan">
      <formula>0</formula>
    </cfRule>
    <cfRule type="cellIs" dxfId="1164" priority="1162" stopIfTrue="1" operator="lessThan">
      <formula>0</formula>
    </cfRule>
  </conditionalFormatting>
  <conditionalFormatting sqref="H211:H227">
    <cfRule type="cellIs" dxfId="1163" priority="1159" stopIfTrue="1" operator="lessThan">
      <formula>0</formula>
    </cfRule>
    <cfRule type="cellIs" dxfId="1162" priority="1160" stopIfTrue="1" operator="lessThan">
      <formula>0</formula>
    </cfRule>
  </conditionalFormatting>
  <conditionalFormatting sqref="H211:H227">
    <cfRule type="cellIs" dxfId="1161" priority="1157" stopIfTrue="1" operator="lessThan">
      <formula>0.05</formula>
    </cfRule>
    <cfRule type="cellIs" dxfId="1160" priority="1158" stopIfTrue="1" operator="lessThan">
      <formula>0</formula>
    </cfRule>
  </conditionalFormatting>
  <conditionalFormatting sqref="H211:H227">
    <cfRule type="cellIs" dxfId="1159" priority="1155" stopIfTrue="1" operator="lessThan">
      <formula>0</formula>
    </cfRule>
    <cfRule type="cellIs" dxfId="1158" priority="1156" stopIfTrue="1" operator="lessThan">
      <formula>0</formula>
    </cfRule>
  </conditionalFormatting>
  <conditionalFormatting sqref="H211:H227">
    <cfRule type="cellIs" dxfId="1157" priority="1153" stopIfTrue="1" operator="lessThan">
      <formula>0.05</formula>
    </cfRule>
    <cfRule type="cellIs" dxfId="1156" priority="1154" stopIfTrue="1" operator="lessThan">
      <formula>0</formula>
    </cfRule>
  </conditionalFormatting>
  <conditionalFormatting sqref="H211:H227">
    <cfRule type="cellIs" dxfId="1155" priority="1151" stopIfTrue="1" operator="lessThan">
      <formula>0</formula>
    </cfRule>
    <cfRule type="cellIs" dxfId="1154" priority="1152" stopIfTrue="1" operator="lessThan">
      <formula>0</formula>
    </cfRule>
  </conditionalFormatting>
  <conditionalFormatting sqref="H211:H227">
    <cfRule type="cellIs" dxfId="1153" priority="1149" stopIfTrue="1" operator="lessThan">
      <formula>0.05</formula>
    </cfRule>
    <cfRule type="cellIs" dxfId="1152" priority="1150" stopIfTrue="1" operator="lessThan">
      <formula>0</formula>
    </cfRule>
  </conditionalFormatting>
  <conditionalFormatting sqref="H211:H227">
    <cfRule type="cellIs" dxfId="1151" priority="1147" stopIfTrue="1" operator="lessThan">
      <formula>0</formula>
    </cfRule>
    <cfRule type="cellIs" dxfId="1150" priority="1148" stopIfTrue="1" operator="lessThan">
      <formula>0</formula>
    </cfRule>
  </conditionalFormatting>
  <conditionalFormatting sqref="H211:H227">
    <cfRule type="cellIs" dxfId="1149" priority="1145" stopIfTrue="1" operator="lessThan">
      <formula>0</formula>
    </cfRule>
    <cfRule type="cellIs" dxfId="1148" priority="1146" stopIfTrue="1" operator="lessThan">
      <formula>0</formula>
    </cfRule>
  </conditionalFormatting>
  <conditionalFormatting sqref="H211:H227">
    <cfRule type="cellIs" dxfId="1147" priority="1143" stopIfTrue="1" operator="lessThan">
      <formula>0.05</formula>
    </cfRule>
    <cfRule type="cellIs" dxfId="1146" priority="1144" stopIfTrue="1" operator="lessThan">
      <formula>0</formula>
    </cfRule>
  </conditionalFormatting>
  <conditionalFormatting sqref="H211:H227">
    <cfRule type="cellIs" dxfId="1145" priority="1141" stopIfTrue="1" operator="lessThan">
      <formula>0</formula>
    </cfRule>
    <cfRule type="cellIs" dxfId="1144" priority="1142" stopIfTrue="1" operator="lessThan">
      <formula>0</formula>
    </cfRule>
  </conditionalFormatting>
  <conditionalFormatting sqref="H211:H227">
    <cfRule type="cellIs" dxfId="1143" priority="1139" stopIfTrue="1" operator="lessThan">
      <formula>0</formula>
    </cfRule>
    <cfRule type="cellIs" dxfId="1142" priority="1140" stopIfTrue="1" operator="lessThan">
      <formula>0</formula>
    </cfRule>
  </conditionalFormatting>
  <conditionalFormatting sqref="H211:H227">
    <cfRule type="cellIs" dxfId="1141" priority="1137" stopIfTrue="1" operator="lessThan">
      <formula>0.05</formula>
    </cfRule>
    <cfRule type="cellIs" dxfId="1140" priority="1138" stopIfTrue="1" operator="lessThan">
      <formula>0</formula>
    </cfRule>
  </conditionalFormatting>
  <conditionalFormatting sqref="H211:H227">
    <cfRule type="cellIs" dxfId="1139" priority="1135" stopIfTrue="1" operator="lessThan">
      <formula>0</formula>
    </cfRule>
    <cfRule type="cellIs" dxfId="1138" priority="1136" stopIfTrue="1" operator="lessThan">
      <formula>0</formula>
    </cfRule>
  </conditionalFormatting>
  <conditionalFormatting sqref="H211:H227">
    <cfRule type="cellIs" dxfId="1137" priority="1133" stopIfTrue="1" operator="lessThan">
      <formula>0</formula>
    </cfRule>
    <cfRule type="cellIs" dxfId="1136" priority="1134" stopIfTrue="1" operator="lessThan">
      <formula>0</formula>
    </cfRule>
  </conditionalFormatting>
  <conditionalFormatting sqref="H211:H227">
    <cfRule type="cellIs" dxfId="1135" priority="1131" stopIfTrue="1" operator="lessThan">
      <formula>0.05</formula>
    </cfRule>
    <cfRule type="cellIs" dxfId="1134" priority="1132" stopIfTrue="1" operator="lessThan">
      <formula>0</formula>
    </cfRule>
  </conditionalFormatting>
  <conditionalFormatting sqref="H211:H227">
    <cfRule type="cellIs" dxfId="1133" priority="1129" stopIfTrue="1" operator="lessThan">
      <formula>0</formula>
    </cfRule>
    <cfRule type="cellIs" dxfId="1132" priority="1130" stopIfTrue="1" operator="lessThan">
      <formula>0</formula>
    </cfRule>
  </conditionalFormatting>
  <conditionalFormatting sqref="H211:H227">
    <cfRule type="cellIs" dxfId="1131" priority="1127" stopIfTrue="1" operator="lessThan">
      <formula>0</formula>
    </cfRule>
    <cfRule type="cellIs" dxfId="1130" priority="1128" stopIfTrue="1" operator="lessThan">
      <formula>0</formula>
    </cfRule>
  </conditionalFormatting>
  <conditionalFormatting sqref="H211:H227">
    <cfRule type="cellIs" dxfId="1129" priority="1125" stopIfTrue="1" operator="lessThan">
      <formula>0.05</formula>
    </cfRule>
    <cfRule type="cellIs" dxfId="1128" priority="1126" stopIfTrue="1" operator="lessThan">
      <formula>0</formula>
    </cfRule>
  </conditionalFormatting>
  <conditionalFormatting sqref="H211:H227">
    <cfRule type="cellIs" dxfId="1127" priority="1123" stopIfTrue="1" operator="lessThan">
      <formula>0</formula>
    </cfRule>
    <cfRule type="cellIs" dxfId="1126" priority="1124" stopIfTrue="1" operator="lessThan">
      <formula>0</formula>
    </cfRule>
  </conditionalFormatting>
  <conditionalFormatting sqref="H211:H227">
    <cfRule type="cellIs" dxfId="1125" priority="1121" stopIfTrue="1" operator="lessThan">
      <formula>0</formula>
    </cfRule>
    <cfRule type="cellIs" dxfId="1124" priority="1122" stopIfTrue="1" operator="lessThan">
      <formula>0</formula>
    </cfRule>
  </conditionalFormatting>
  <conditionalFormatting sqref="H211:H227">
    <cfRule type="cellIs" dxfId="1123" priority="1119" stopIfTrue="1" operator="lessThan">
      <formula>0.05</formula>
    </cfRule>
    <cfRule type="cellIs" dxfId="1122" priority="1120" stopIfTrue="1" operator="lessThan">
      <formula>0</formula>
    </cfRule>
  </conditionalFormatting>
  <conditionalFormatting sqref="H211:H227">
    <cfRule type="cellIs" dxfId="1121" priority="1117" stopIfTrue="1" operator="lessThan">
      <formula>0</formula>
    </cfRule>
    <cfRule type="cellIs" dxfId="1120" priority="1118" stopIfTrue="1" operator="lessThan">
      <formula>0</formula>
    </cfRule>
  </conditionalFormatting>
  <conditionalFormatting sqref="H211:H227">
    <cfRule type="cellIs" dxfId="1119" priority="1115" stopIfTrue="1" operator="lessThan">
      <formula>0</formula>
    </cfRule>
    <cfRule type="cellIs" dxfId="1118" priority="1116" stopIfTrue="1" operator="lessThan">
      <formula>0</formula>
    </cfRule>
  </conditionalFormatting>
  <conditionalFormatting sqref="H211:H227">
    <cfRule type="cellIs" dxfId="1117" priority="1113" stopIfTrue="1" operator="lessThan">
      <formula>0.05</formula>
    </cfRule>
    <cfRule type="cellIs" dxfId="1116" priority="1114" stopIfTrue="1" operator="lessThan">
      <formula>0</formula>
    </cfRule>
  </conditionalFormatting>
  <conditionalFormatting sqref="H211:H227">
    <cfRule type="cellIs" dxfId="1115" priority="1111" stopIfTrue="1" operator="lessThan">
      <formula>0</formula>
    </cfRule>
    <cfRule type="cellIs" dxfId="1114" priority="1112" stopIfTrue="1" operator="lessThan">
      <formula>0</formula>
    </cfRule>
  </conditionalFormatting>
  <conditionalFormatting sqref="H211:H227">
    <cfRule type="cellIs" dxfId="1113" priority="1109" stopIfTrue="1" operator="lessThan">
      <formula>0</formula>
    </cfRule>
    <cfRule type="cellIs" dxfId="1112" priority="1110" stopIfTrue="1" operator="lessThan">
      <formula>0</formula>
    </cfRule>
  </conditionalFormatting>
  <conditionalFormatting sqref="H211:H227">
    <cfRule type="cellIs" dxfId="1111" priority="1107" stopIfTrue="1" operator="lessThan">
      <formula>0.05</formula>
    </cfRule>
    <cfRule type="cellIs" dxfId="1110" priority="1108" stopIfTrue="1" operator="lessThan">
      <formula>0</formula>
    </cfRule>
  </conditionalFormatting>
  <conditionalFormatting sqref="H211:H227">
    <cfRule type="cellIs" dxfId="1109" priority="1105" stopIfTrue="1" operator="lessThan">
      <formula>0</formula>
    </cfRule>
    <cfRule type="cellIs" dxfId="1108" priority="1106" stopIfTrue="1" operator="lessThan">
      <formula>0</formula>
    </cfRule>
  </conditionalFormatting>
  <conditionalFormatting sqref="H211:H227">
    <cfRule type="cellIs" dxfId="1107" priority="1103" stopIfTrue="1" operator="lessThan">
      <formula>0</formula>
    </cfRule>
    <cfRule type="cellIs" dxfId="1106" priority="1104" stopIfTrue="1" operator="lessThan">
      <formula>0</formula>
    </cfRule>
  </conditionalFormatting>
  <conditionalFormatting sqref="H211:H227">
    <cfRule type="cellIs" dxfId="1105" priority="1101" stopIfTrue="1" operator="lessThan">
      <formula>0.05</formula>
    </cfRule>
    <cfRule type="cellIs" dxfId="1104" priority="1102" stopIfTrue="1" operator="lessThan">
      <formula>0</formula>
    </cfRule>
  </conditionalFormatting>
  <conditionalFormatting sqref="H211:H227">
    <cfRule type="cellIs" dxfId="1103" priority="1099" stopIfTrue="1" operator="lessThan">
      <formula>0</formula>
    </cfRule>
    <cfRule type="cellIs" dxfId="1102" priority="1100" stopIfTrue="1" operator="lessThan">
      <formula>0</formula>
    </cfRule>
  </conditionalFormatting>
  <conditionalFormatting sqref="H211:H227">
    <cfRule type="cellIs" dxfId="1101" priority="1097" stopIfTrue="1" operator="lessThan">
      <formula>0</formula>
    </cfRule>
    <cfRule type="cellIs" dxfId="1100" priority="1098" stopIfTrue="1" operator="lessThan">
      <formula>0</formula>
    </cfRule>
  </conditionalFormatting>
  <conditionalFormatting sqref="H211:H227">
    <cfRule type="cellIs" dxfId="1099" priority="1095" stopIfTrue="1" operator="lessThan">
      <formula>0.05</formula>
    </cfRule>
    <cfRule type="cellIs" dxfId="1098" priority="1096" stopIfTrue="1" operator="lessThan">
      <formula>0</formula>
    </cfRule>
  </conditionalFormatting>
  <conditionalFormatting sqref="H211:H227">
    <cfRule type="cellIs" dxfId="1097" priority="1093" stopIfTrue="1" operator="lessThan">
      <formula>0</formula>
    </cfRule>
    <cfRule type="cellIs" dxfId="1096" priority="1094" stopIfTrue="1" operator="lessThan">
      <formula>0</formula>
    </cfRule>
  </conditionalFormatting>
  <conditionalFormatting sqref="H211:H227">
    <cfRule type="cellIs" dxfId="1095" priority="1091" stopIfTrue="1" operator="lessThan">
      <formula>0</formula>
    </cfRule>
    <cfRule type="cellIs" dxfId="1094" priority="1092" stopIfTrue="1" operator="lessThan">
      <formula>0</formula>
    </cfRule>
  </conditionalFormatting>
  <conditionalFormatting sqref="H211:H227">
    <cfRule type="cellIs" dxfId="1093" priority="1089" stopIfTrue="1" operator="lessThan">
      <formula>0.05</formula>
    </cfRule>
    <cfRule type="cellIs" dxfId="1092" priority="1090" stopIfTrue="1" operator="lessThan">
      <formula>0</formula>
    </cfRule>
  </conditionalFormatting>
  <conditionalFormatting sqref="H211:H227">
    <cfRule type="cellIs" dxfId="1091" priority="1087" stopIfTrue="1" operator="lessThan">
      <formula>0</formula>
    </cfRule>
    <cfRule type="cellIs" dxfId="1090" priority="1088" stopIfTrue="1" operator="lessThan">
      <formula>0</formula>
    </cfRule>
  </conditionalFormatting>
  <conditionalFormatting sqref="H211:H227">
    <cfRule type="cellIs" dxfId="1089" priority="1085" stopIfTrue="1" operator="lessThan">
      <formula>0</formula>
    </cfRule>
    <cfRule type="cellIs" dxfId="1088" priority="1086" stopIfTrue="1" operator="lessThan">
      <formula>0</formula>
    </cfRule>
  </conditionalFormatting>
  <conditionalFormatting sqref="H211:H227">
    <cfRule type="cellIs" dxfId="1087" priority="1083" stopIfTrue="1" operator="lessThan">
      <formula>0.05</formula>
    </cfRule>
    <cfRule type="cellIs" dxfId="1086" priority="1084" stopIfTrue="1" operator="lessThan">
      <formula>0</formula>
    </cfRule>
  </conditionalFormatting>
  <conditionalFormatting sqref="H211:H227">
    <cfRule type="cellIs" dxfId="1085" priority="1081" stopIfTrue="1" operator="lessThan">
      <formula>0</formula>
    </cfRule>
    <cfRule type="cellIs" dxfId="1084" priority="1082" stopIfTrue="1" operator="lessThan">
      <formula>0</formula>
    </cfRule>
  </conditionalFormatting>
  <conditionalFormatting sqref="H211:H227">
    <cfRule type="cellIs" dxfId="1083" priority="1079" stopIfTrue="1" operator="lessThan">
      <formula>0</formula>
    </cfRule>
    <cfRule type="cellIs" dxfId="1082" priority="1080" stopIfTrue="1" operator="lessThan">
      <formula>0</formula>
    </cfRule>
  </conditionalFormatting>
  <conditionalFormatting sqref="H211:H227">
    <cfRule type="cellIs" dxfId="1081" priority="1077" stopIfTrue="1" operator="lessThan">
      <formula>0.05</formula>
    </cfRule>
    <cfRule type="cellIs" dxfId="1080" priority="1078" stopIfTrue="1" operator="lessThan">
      <formula>0</formula>
    </cfRule>
  </conditionalFormatting>
  <conditionalFormatting sqref="H211:H227">
    <cfRule type="cellIs" dxfId="1079" priority="1075" stopIfTrue="1" operator="lessThan">
      <formula>0</formula>
    </cfRule>
    <cfRule type="cellIs" dxfId="1078" priority="1076" stopIfTrue="1" operator="lessThan">
      <formula>0</formula>
    </cfRule>
  </conditionalFormatting>
  <conditionalFormatting sqref="H211:H227">
    <cfRule type="cellIs" dxfId="1077" priority="1073" stopIfTrue="1" operator="lessThan">
      <formula>0</formula>
    </cfRule>
    <cfRule type="cellIs" dxfId="1076" priority="1074" stopIfTrue="1" operator="lessThan">
      <formula>0</formula>
    </cfRule>
  </conditionalFormatting>
  <conditionalFormatting sqref="H211:H227">
    <cfRule type="cellIs" dxfId="1075" priority="1071" stopIfTrue="1" operator="lessThan">
      <formula>0.05</formula>
    </cfRule>
    <cfRule type="cellIs" dxfId="1074" priority="1072" stopIfTrue="1" operator="lessThan">
      <formula>0</formula>
    </cfRule>
  </conditionalFormatting>
  <conditionalFormatting sqref="H211:H227">
    <cfRule type="cellIs" dxfId="1073" priority="1069" stopIfTrue="1" operator="lessThan">
      <formula>0</formula>
    </cfRule>
    <cfRule type="cellIs" dxfId="1072" priority="1070" stopIfTrue="1" operator="lessThan">
      <formula>0</formula>
    </cfRule>
  </conditionalFormatting>
  <conditionalFormatting sqref="H211:H227">
    <cfRule type="cellIs" dxfId="1071" priority="1067" stopIfTrue="1" operator="lessThan">
      <formula>0</formula>
    </cfRule>
    <cfRule type="cellIs" dxfId="1070" priority="1068" stopIfTrue="1" operator="lessThan">
      <formula>0</formula>
    </cfRule>
  </conditionalFormatting>
  <conditionalFormatting sqref="H211:H227">
    <cfRule type="cellIs" dxfId="1069" priority="1065" stopIfTrue="1" operator="lessThan">
      <formula>0.05</formula>
    </cfRule>
    <cfRule type="cellIs" dxfId="1068" priority="1066" stopIfTrue="1" operator="lessThan">
      <formula>0</formula>
    </cfRule>
  </conditionalFormatting>
  <conditionalFormatting sqref="H211:H227">
    <cfRule type="cellIs" dxfId="1067" priority="1063" stopIfTrue="1" operator="lessThan">
      <formula>0</formula>
    </cfRule>
    <cfRule type="cellIs" dxfId="1066" priority="1064" stopIfTrue="1" operator="lessThan">
      <formula>0</formula>
    </cfRule>
  </conditionalFormatting>
  <conditionalFormatting sqref="H211:H227">
    <cfRule type="cellIs" dxfId="1065" priority="1061" stopIfTrue="1" operator="lessThan">
      <formula>0</formula>
    </cfRule>
    <cfRule type="cellIs" dxfId="1064" priority="1062" stopIfTrue="1" operator="lessThan">
      <formula>0</formula>
    </cfRule>
  </conditionalFormatting>
  <conditionalFormatting sqref="H211:H227">
    <cfRule type="cellIs" dxfId="1063" priority="1059" stopIfTrue="1" operator="lessThan">
      <formula>0.05</formula>
    </cfRule>
    <cfRule type="cellIs" dxfId="1062" priority="1060" stopIfTrue="1" operator="lessThan">
      <formula>0</formula>
    </cfRule>
  </conditionalFormatting>
  <conditionalFormatting sqref="H211:H227">
    <cfRule type="cellIs" dxfId="1061" priority="1057" stopIfTrue="1" operator="lessThan">
      <formula>0</formula>
    </cfRule>
    <cfRule type="cellIs" dxfId="1060" priority="1058" stopIfTrue="1" operator="lessThan">
      <formula>0</formula>
    </cfRule>
  </conditionalFormatting>
  <conditionalFormatting sqref="H211:H227">
    <cfRule type="cellIs" dxfId="1059" priority="1055" stopIfTrue="1" operator="lessThan">
      <formula>0</formula>
    </cfRule>
    <cfRule type="cellIs" dxfId="1058" priority="1056" stopIfTrue="1" operator="lessThan">
      <formula>0</formula>
    </cfRule>
  </conditionalFormatting>
  <conditionalFormatting sqref="H211:H227">
    <cfRule type="cellIs" dxfId="1057" priority="1053" stopIfTrue="1" operator="lessThan">
      <formula>0.05</formula>
    </cfRule>
    <cfRule type="cellIs" dxfId="1056" priority="1054" stopIfTrue="1" operator="lessThan">
      <formula>0</formula>
    </cfRule>
  </conditionalFormatting>
  <conditionalFormatting sqref="H211:H227">
    <cfRule type="cellIs" dxfId="1055" priority="1051" stopIfTrue="1" operator="lessThan">
      <formula>0</formula>
    </cfRule>
    <cfRule type="cellIs" dxfId="1054" priority="1052" stopIfTrue="1" operator="lessThan">
      <formula>0</formula>
    </cfRule>
  </conditionalFormatting>
  <conditionalFormatting sqref="H211:H227">
    <cfRule type="cellIs" dxfId="1053" priority="1049" stopIfTrue="1" operator="lessThan">
      <formula>0.05</formula>
    </cfRule>
    <cfRule type="cellIs" dxfId="1052" priority="1050" stopIfTrue="1" operator="lessThan">
      <formula>0</formula>
    </cfRule>
  </conditionalFormatting>
  <conditionalFormatting sqref="H211:H227">
    <cfRule type="cellIs" dxfId="1051" priority="1047" stopIfTrue="1" operator="lessThan">
      <formula>0</formula>
    </cfRule>
    <cfRule type="cellIs" dxfId="1050" priority="1048" stopIfTrue="1" operator="lessThan">
      <formula>0</formula>
    </cfRule>
  </conditionalFormatting>
  <conditionalFormatting sqref="H211:H227">
    <cfRule type="cellIs" dxfId="1049" priority="1045" stopIfTrue="1" operator="lessThan">
      <formula>0.05</formula>
    </cfRule>
    <cfRule type="cellIs" dxfId="1048" priority="1046" stopIfTrue="1" operator="lessThan">
      <formula>0</formula>
    </cfRule>
  </conditionalFormatting>
  <conditionalFormatting sqref="H211:H227">
    <cfRule type="cellIs" dxfId="1047" priority="1043" stopIfTrue="1" operator="lessThan">
      <formula>0</formula>
    </cfRule>
    <cfRule type="cellIs" dxfId="1046" priority="1044" stopIfTrue="1" operator="lessThan">
      <formula>0</formula>
    </cfRule>
  </conditionalFormatting>
  <conditionalFormatting sqref="H211:H227">
    <cfRule type="cellIs" dxfId="1045" priority="1041" stopIfTrue="1" operator="lessThan">
      <formula>0</formula>
    </cfRule>
    <cfRule type="cellIs" dxfId="1044" priority="1042" stopIfTrue="1" operator="lessThan">
      <formula>0</formula>
    </cfRule>
  </conditionalFormatting>
  <conditionalFormatting sqref="H211:H227">
    <cfRule type="cellIs" dxfId="1043" priority="1039" stopIfTrue="1" operator="lessThan">
      <formula>0</formula>
    </cfRule>
    <cfRule type="cellIs" dxfId="1042" priority="1040" stopIfTrue="1" operator="lessThan">
      <formula>0</formula>
    </cfRule>
  </conditionalFormatting>
  <conditionalFormatting sqref="H211:H227">
    <cfRule type="cellIs" dxfId="1041" priority="1037" stopIfTrue="1" operator="lessThan">
      <formula>0.05</formula>
    </cfRule>
    <cfRule type="cellIs" dxfId="1040" priority="1038" stopIfTrue="1" operator="lessThan">
      <formula>0</formula>
    </cfRule>
  </conditionalFormatting>
  <conditionalFormatting sqref="H211:H227">
    <cfRule type="cellIs" dxfId="1039" priority="1035" stopIfTrue="1" operator="lessThan">
      <formula>0</formula>
    </cfRule>
    <cfRule type="cellIs" dxfId="1038" priority="1036" stopIfTrue="1" operator="lessThan">
      <formula>0</formula>
    </cfRule>
  </conditionalFormatting>
  <conditionalFormatting sqref="H211:H227">
    <cfRule type="cellIs" dxfId="1037" priority="1033" stopIfTrue="1" operator="lessThan">
      <formula>0.05</formula>
    </cfRule>
    <cfRule type="cellIs" dxfId="1036" priority="1034" stopIfTrue="1" operator="lessThan">
      <formula>0</formula>
    </cfRule>
  </conditionalFormatting>
  <conditionalFormatting sqref="H211:H227">
    <cfRule type="cellIs" dxfId="1035" priority="1031" stopIfTrue="1" operator="lessThan">
      <formula>0</formula>
    </cfRule>
    <cfRule type="cellIs" dxfId="1034" priority="1032" stopIfTrue="1" operator="lessThan">
      <formula>0</formula>
    </cfRule>
  </conditionalFormatting>
  <conditionalFormatting sqref="H211:H227">
    <cfRule type="cellIs" dxfId="1033" priority="1029" stopIfTrue="1" operator="lessThan">
      <formula>0.05</formula>
    </cfRule>
    <cfRule type="cellIs" dxfId="1032" priority="1030" stopIfTrue="1" operator="lessThan">
      <formula>0</formula>
    </cfRule>
  </conditionalFormatting>
  <conditionalFormatting sqref="H211:H227">
    <cfRule type="cellIs" dxfId="1031" priority="1027" stopIfTrue="1" operator="lessThan">
      <formula>0</formula>
    </cfRule>
    <cfRule type="cellIs" dxfId="1030" priority="1028" stopIfTrue="1" operator="lessThan">
      <formula>0</formula>
    </cfRule>
  </conditionalFormatting>
  <conditionalFormatting sqref="H211:H227">
    <cfRule type="cellIs" dxfId="1029" priority="1025" stopIfTrue="1" operator="lessThan">
      <formula>0</formula>
    </cfRule>
    <cfRule type="cellIs" dxfId="1028" priority="1026" stopIfTrue="1" operator="lessThan">
      <formula>0</formula>
    </cfRule>
  </conditionalFormatting>
  <conditionalFormatting sqref="H211:H227">
    <cfRule type="cellIs" dxfId="1027" priority="1023" stopIfTrue="1" operator="lessThan">
      <formula>0.05</formula>
    </cfRule>
    <cfRule type="cellIs" dxfId="1026" priority="1024" stopIfTrue="1" operator="lessThan">
      <formula>0</formula>
    </cfRule>
  </conditionalFormatting>
  <conditionalFormatting sqref="H211:H227">
    <cfRule type="cellIs" dxfId="1025" priority="1021" stopIfTrue="1" operator="lessThan">
      <formula>0</formula>
    </cfRule>
    <cfRule type="cellIs" dxfId="1024" priority="1022" stopIfTrue="1" operator="lessThan">
      <formula>0</formula>
    </cfRule>
  </conditionalFormatting>
  <conditionalFormatting sqref="H211:H227">
    <cfRule type="cellIs" dxfId="1023" priority="1019" stopIfTrue="1" operator="lessThan">
      <formula>0</formula>
    </cfRule>
    <cfRule type="cellIs" dxfId="1022" priority="1020" stopIfTrue="1" operator="lessThan">
      <formula>0</formula>
    </cfRule>
  </conditionalFormatting>
  <conditionalFormatting sqref="H211:H227">
    <cfRule type="cellIs" dxfId="1021" priority="1017" stopIfTrue="1" operator="lessThan">
      <formula>0.05</formula>
    </cfRule>
    <cfRule type="cellIs" dxfId="1020" priority="1018" stopIfTrue="1" operator="lessThan">
      <formula>0</formula>
    </cfRule>
  </conditionalFormatting>
  <conditionalFormatting sqref="H211:H227">
    <cfRule type="cellIs" dxfId="1019" priority="1015" stopIfTrue="1" operator="lessThan">
      <formula>0</formula>
    </cfRule>
    <cfRule type="cellIs" dxfId="1018" priority="1016" stopIfTrue="1" operator="lessThan">
      <formula>0</formula>
    </cfRule>
  </conditionalFormatting>
  <conditionalFormatting sqref="H211:H227">
    <cfRule type="cellIs" dxfId="1017" priority="1013" stopIfTrue="1" operator="lessThan">
      <formula>0</formula>
    </cfRule>
    <cfRule type="cellIs" dxfId="1016" priority="1014" stopIfTrue="1" operator="lessThan">
      <formula>0</formula>
    </cfRule>
  </conditionalFormatting>
  <conditionalFormatting sqref="H211:H227">
    <cfRule type="cellIs" dxfId="1015" priority="1011" stopIfTrue="1" operator="lessThan">
      <formula>0.05</formula>
    </cfRule>
    <cfRule type="cellIs" dxfId="1014" priority="1012" stopIfTrue="1" operator="lessThan">
      <formula>0</formula>
    </cfRule>
  </conditionalFormatting>
  <conditionalFormatting sqref="H211:H227">
    <cfRule type="cellIs" dxfId="1013" priority="1009" stopIfTrue="1" operator="lessThan">
      <formula>0</formula>
    </cfRule>
    <cfRule type="cellIs" dxfId="1012" priority="1010" stopIfTrue="1" operator="lessThan">
      <formula>0</formula>
    </cfRule>
  </conditionalFormatting>
  <conditionalFormatting sqref="H211:H227">
    <cfRule type="cellIs" dxfId="1011" priority="1007" stopIfTrue="1" operator="lessThan">
      <formula>0</formula>
    </cfRule>
    <cfRule type="cellIs" dxfId="1010" priority="1008" stopIfTrue="1" operator="lessThan">
      <formula>0</formula>
    </cfRule>
  </conditionalFormatting>
  <conditionalFormatting sqref="H211:H227">
    <cfRule type="cellIs" dxfId="1009" priority="1005" stopIfTrue="1" operator="lessThan">
      <formula>0.05</formula>
    </cfRule>
    <cfRule type="cellIs" dxfId="1008" priority="1006" stopIfTrue="1" operator="lessThan">
      <formula>0</formula>
    </cfRule>
  </conditionalFormatting>
  <conditionalFormatting sqref="H211:H227">
    <cfRule type="cellIs" dxfId="1007" priority="1003" stopIfTrue="1" operator="lessThan">
      <formula>0</formula>
    </cfRule>
    <cfRule type="cellIs" dxfId="1006" priority="1004" stopIfTrue="1" operator="lessThan">
      <formula>0</formula>
    </cfRule>
  </conditionalFormatting>
  <conditionalFormatting sqref="H211:H227">
    <cfRule type="cellIs" dxfId="1005" priority="1001" stopIfTrue="1" operator="lessThan">
      <formula>0</formula>
    </cfRule>
    <cfRule type="cellIs" dxfId="1004" priority="1002" stopIfTrue="1" operator="lessThan">
      <formula>0</formula>
    </cfRule>
  </conditionalFormatting>
  <conditionalFormatting sqref="H211:H227">
    <cfRule type="cellIs" dxfId="1003" priority="999" stopIfTrue="1" operator="lessThan">
      <formula>0.05</formula>
    </cfRule>
    <cfRule type="cellIs" dxfId="1002" priority="1000" stopIfTrue="1" operator="lessThan">
      <formula>0</formula>
    </cfRule>
  </conditionalFormatting>
  <conditionalFormatting sqref="H211:H227">
    <cfRule type="cellIs" dxfId="1001" priority="997" stopIfTrue="1" operator="lessThan">
      <formula>0</formula>
    </cfRule>
    <cfRule type="cellIs" dxfId="1000" priority="998" stopIfTrue="1" operator="lessThan">
      <formula>0</formula>
    </cfRule>
  </conditionalFormatting>
  <conditionalFormatting sqref="H211:H227">
    <cfRule type="cellIs" dxfId="999" priority="995" stopIfTrue="1" operator="lessThan">
      <formula>0</formula>
    </cfRule>
    <cfRule type="cellIs" dxfId="998" priority="996" stopIfTrue="1" operator="lessThan">
      <formula>0</formula>
    </cfRule>
  </conditionalFormatting>
  <conditionalFormatting sqref="H211:H227">
    <cfRule type="cellIs" dxfId="997" priority="993" stopIfTrue="1" operator="lessThan">
      <formula>0.05</formula>
    </cfRule>
    <cfRule type="cellIs" dxfId="996" priority="994" stopIfTrue="1" operator="lessThan">
      <formula>0</formula>
    </cfRule>
  </conditionalFormatting>
  <conditionalFormatting sqref="H211:H227">
    <cfRule type="cellIs" dxfId="995" priority="991" stopIfTrue="1" operator="lessThan">
      <formula>0</formula>
    </cfRule>
    <cfRule type="cellIs" dxfId="994" priority="992" stopIfTrue="1" operator="lessThan">
      <formula>0</formula>
    </cfRule>
  </conditionalFormatting>
  <conditionalFormatting sqref="H211:H227">
    <cfRule type="cellIs" dxfId="993" priority="989" stopIfTrue="1" operator="lessThan">
      <formula>0</formula>
    </cfRule>
    <cfRule type="cellIs" dxfId="992" priority="990" stopIfTrue="1" operator="lessThan">
      <formula>0</formula>
    </cfRule>
  </conditionalFormatting>
  <conditionalFormatting sqref="H211:H227">
    <cfRule type="cellIs" dxfId="991" priority="987" stopIfTrue="1" operator="lessThan">
      <formula>0.05</formula>
    </cfRule>
    <cfRule type="cellIs" dxfId="990" priority="988" stopIfTrue="1" operator="lessThan">
      <formula>0</formula>
    </cfRule>
  </conditionalFormatting>
  <conditionalFormatting sqref="H211:H227">
    <cfRule type="cellIs" dxfId="989" priority="985" stopIfTrue="1" operator="lessThan">
      <formula>0</formula>
    </cfRule>
    <cfRule type="cellIs" dxfId="988" priority="986" stopIfTrue="1" operator="lessThan">
      <formula>0</formula>
    </cfRule>
  </conditionalFormatting>
  <conditionalFormatting sqref="H211:H227">
    <cfRule type="cellIs" dxfId="987" priority="983" stopIfTrue="1" operator="lessThan">
      <formula>0</formula>
    </cfRule>
    <cfRule type="cellIs" dxfId="986" priority="984" stopIfTrue="1" operator="lessThan">
      <formula>0</formula>
    </cfRule>
  </conditionalFormatting>
  <conditionalFormatting sqref="H211:H227">
    <cfRule type="cellIs" dxfId="985" priority="981" stopIfTrue="1" operator="lessThan">
      <formula>0.05</formula>
    </cfRule>
    <cfRule type="cellIs" dxfId="984" priority="982" stopIfTrue="1" operator="lessThan">
      <formula>0</formula>
    </cfRule>
  </conditionalFormatting>
  <conditionalFormatting sqref="H211:H227">
    <cfRule type="cellIs" dxfId="983" priority="979" stopIfTrue="1" operator="lessThan">
      <formula>0</formula>
    </cfRule>
    <cfRule type="cellIs" dxfId="982" priority="980" stopIfTrue="1" operator="lessThan">
      <formula>0</formula>
    </cfRule>
  </conditionalFormatting>
  <conditionalFormatting sqref="H211:H227">
    <cfRule type="cellIs" dxfId="981" priority="977" stopIfTrue="1" operator="lessThan">
      <formula>0</formula>
    </cfRule>
    <cfRule type="cellIs" dxfId="980" priority="978" stopIfTrue="1" operator="lessThan">
      <formula>0</formula>
    </cfRule>
  </conditionalFormatting>
  <conditionalFormatting sqref="H211:H227">
    <cfRule type="cellIs" dxfId="979" priority="975" stopIfTrue="1" operator="lessThan">
      <formula>0.05</formula>
    </cfRule>
    <cfRule type="cellIs" dxfId="978" priority="976" stopIfTrue="1" operator="lessThan">
      <formula>0</formula>
    </cfRule>
  </conditionalFormatting>
  <conditionalFormatting sqref="H211:H227">
    <cfRule type="cellIs" dxfId="977" priority="973" stopIfTrue="1" operator="lessThan">
      <formula>0</formula>
    </cfRule>
    <cfRule type="cellIs" dxfId="976" priority="974" stopIfTrue="1" operator="lessThan">
      <formula>0</formula>
    </cfRule>
  </conditionalFormatting>
  <conditionalFormatting sqref="H211:H227">
    <cfRule type="cellIs" dxfId="975" priority="971" stopIfTrue="1" operator="lessThan">
      <formula>0</formula>
    </cfRule>
    <cfRule type="cellIs" dxfId="974" priority="972" stopIfTrue="1" operator="lessThan">
      <formula>0</formula>
    </cfRule>
  </conditionalFormatting>
  <conditionalFormatting sqref="H211:H227">
    <cfRule type="cellIs" dxfId="973" priority="969" stopIfTrue="1" operator="lessThan">
      <formula>0.05</formula>
    </cfRule>
    <cfRule type="cellIs" dxfId="972" priority="970" stopIfTrue="1" operator="lessThan">
      <formula>0</formula>
    </cfRule>
  </conditionalFormatting>
  <conditionalFormatting sqref="H211:H227">
    <cfRule type="cellIs" dxfId="971" priority="967" stopIfTrue="1" operator="lessThan">
      <formula>0</formula>
    </cfRule>
    <cfRule type="cellIs" dxfId="970" priority="968" stopIfTrue="1" operator="lessThan">
      <formula>0</formula>
    </cfRule>
  </conditionalFormatting>
  <conditionalFormatting sqref="H211:H227">
    <cfRule type="cellIs" dxfId="969" priority="965" stopIfTrue="1" operator="lessThan">
      <formula>0</formula>
    </cfRule>
    <cfRule type="cellIs" dxfId="968" priority="966" stopIfTrue="1" operator="lessThan">
      <formula>0</formula>
    </cfRule>
  </conditionalFormatting>
  <conditionalFormatting sqref="H211:H227">
    <cfRule type="cellIs" dxfId="967" priority="963" stopIfTrue="1" operator="lessThan">
      <formula>0.05</formula>
    </cfRule>
    <cfRule type="cellIs" dxfId="966" priority="964" stopIfTrue="1" operator="lessThan">
      <formula>0</formula>
    </cfRule>
  </conditionalFormatting>
  <conditionalFormatting sqref="H211:H227">
    <cfRule type="cellIs" dxfId="965" priority="961" stopIfTrue="1" operator="lessThan">
      <formula>0</formula>
    </cfRule>
    <cfRule type="cellIs" dxfId="964" priority="962" stopIfTrue="1" operator="lessThan">
      <formula>0</formula>
    </cfRule>
  </conditionalFormatting>
  <conditionalFormatting sqref="H211:H227">
    <cfRule type="cellIs" dxfId="963" priority="959" stopIfTrue="1" operator="lessThan">
      <formula>0</formula>
    </cfRule>
    <cfRule type="cellIs" dxfId="962" priority="960" stopIfTrue="1" operator="lessThan">
      <formula>0</formula>
    </cfRule>
  </conditionalFormatting>
  <conditionalFormatting sqref="H211:H227">
    <cfRule type="cellIs" dxfId="961" priority="957" stopIfTrue="1" operator="lessThan">
      <formula>0.05</formula>
    </cfRule>
    <cfRule type="cellIs" dxfId="960" priority="958" stopIfTrue="1" operator="lessThan">
      <formula>0</formula>
    </cfRule>
  </conditionalFormatting>
  <conditionalFormatting sqref="H211:H227">
    <cfRule type="cellIs" dxfId="959" priority="955" stopIfTrue="1" operator="lessThan">
      <formula>0</formula>
    </cfRule>
    <cfRule type="cellIs" dxfId="958" priority="956" stopIfTrue="1" operator="lessThan">
      <formula>0</formula>
    </cfRule>
  </conditionalFormatting>
  <conditionalFormatting sqref="H211:H227">
    <cfRule type="cellIs" dxfId="957" priority="953" stopIfTrue="1" operator="lessThan">
      <formula>0.05</formula>
    </cfRule>
    <cfRule type="cellIs" dxfId="956" priority="954" stopIfTrue="1" operator="lessThan">
      <formula>0</formula>
    </cfRule>
  </conditionalFormatting>
  <conditionalFormatting sqref="H211:H227">
    <cfRule type="cellIs" dxfId="955" priority="951" stopIfTrue="1" operator="lessThan">
      <formula>0</formula>
    </cfRule>
    <cfRule type="cellIs" dxfId="954" priority="952" stopIfTrue="1" operator="lessThan">
      <formula>0</formula>
    </cfRule>
  </conditionalFormatting>
  <conditionalFormatting sqref="H211:H227">
    <cfRule type="cellIs" dxfId="953" priority="949" stopIfTrue="1" operator="lessThan">
      <formula>0.05</formula>
    </cfRule>
    <cfRule type="cellIs" dxfId="952" priority="950" stopIfTrue="1" operator="lessThan">
      <formula>0</formula>
    </cfRule>
  </conditionalFormatting>
  <conditionalFormatting sqref="H211:H227">
    <cfRule type="cellIs" dxfId="951" priority="947" stopIfTrue="1" operator="lessThan">
      <formula>0</formula>
    </cfRule>
    <cfRule type="cellIs" dxfId="950" priority="948" stopIfTrue="1" operator="lessThan">
      <formula>0</formula>
    </cfRule>
  </conditionalFormatting>
  <conditionalFormatting sqref="H211:H227">
    <cfRule type="cellIs" dxfId="949" priority="945" stopIfTrue="1" operator="lessThan">
      <formula>0</formula>
    </cfRule>
    <cfRule type="cellIs" dxfId="948" priority="946" stopIfTrue="1" operator="lessThan">
      <formula>0</formula>
    </cfRule>
  </conditionalFormatting>
  <conditionalFormatting sqref="H211:H227">
    <cfRule type="cellIs" dxfId="947" priority="943" stopIfTrue="1" operator="lessThan">
      <formula>0</formula>
    </cfRule>
    <cfRule type="cellIs" dxfId="946" priority="944" stopIfTrue="1" operator="lessThan">
      <formula>0</formula>
    </cfRule>
  </conditionalFormatting>
  <conditionalFormatting sqref="H211:H227">
    <cfRule type="cellIs" dxfId="945" priority="941" stopIfTrue="1" operator="lessThan">
      <formula>0.05</formula>
    </cfRule>
    <cfRule type="cellIs" dxfId="944" priority="942" stopIfTrue="1" operator="lessThan">
      <formula>0</formula>
    </cfRule>
  </conditionalFormatting>
  <conditionalFormatting sqref="H211:H227">
    <cfRule type="cellIs" dxfId="943" priority="939" stopIfTrue="1" operator="lessThan">
      <formula>0</formula>
    </cfRule>
    <cfRule type="cellIs" dxfId="942" priority="940" stopIfTrue="1" operator="lessThan">
      <formula>0</formula>
    </cfRule>
  </conditionalFormatting>
  <conditionalFormatting sqref="H211:H227">
    <cfRule type="cellIs" dxfId="941" priority="937" stopIfTrue="1" operator="lessThan">
      <formula>0.05</formula>
    </cfRule>
    <cfRule type="cellIs" dxfId="940" priority="938" stopIfTrue="1" operator="lessThan">
      <formula>0</formula>
    </cfRule>
  </conditionalFormatting>
  <conditionalFormatting sqref="H211:H227">
    <cfRule type="cellIs" dxfId="939" priority="935" stopIfTrue="1" operator="lessThan">
      <formula>0</formula>
    </cfRule>
    <cfRule type="cellIs" dxfId="938" priority="936" stopIfTrue="1" operator="lessThan">
      <formula>0</formula>
    </cfRule>
  </conditionalFormatting>
  <conditionalFormatting sqref="H211:H227">
    <cfRule type="cellIs" dxfId="937" priority="933" stopIfTrue="1" operator="lessThan">
      <formula>0.05</formula>
    </cfRule>
    <cfRule type="cellIs" dxfId="936" priority="934" stopIfTrue="1" operator="lessThan">
      <formula>0</formula>
    </cfRule>
  </conditionalFormatting>
  <conditionalFormatting sqref="H211:H227">
    <cfRule type="cellIs" dxfId="935" priority="931" stopIfTrue="1" operator="lessThan">
      <formula>0</formula>
    </cfRule>
    <cfRule type="cellIs" dxfId="934" priority="932" stopIfTrue="1" operator="lessThan">
      <formula>0</formula>
    </cfRule>
  </conditionalFormatting>
  <conditionalFormatting sqref="H211:H227">
    <cfRule type="cellIs" dxfId="933" priority="929" stopIfTrue="1" operator="lessThan">
      <formula>0</formula>
    </cfRule>
    <cfRule type="cellIs" dxfId="932" priority="930" stopIfTrue="1" operator="lessThan">
      <formula>0</formula>
    </cfRule>
  </conditionalFormatting>
  <conditionalFormatting sqref="H211:H227">
    <cfRule type="cellIs" dxfId="931" priority="927" stopIfTrue="1" operator="lessThan">
      <formula>0.05</formula>
    </cfRule>
    <cfRule type="cellIs" dxfId="930" priority="928" stopIfTrue="1" operator="lessThan">
      <formula>0</formula>
    </cfRule>
  </conditionalFormatting>
  <conditionalFormatting sqref="H211:H227">
    <cfRule type="cellIs" dxfId="929" priority="925" stopIfTrue="1" operator="lessThan">
      <formula>0</formula>
    </cfRule>
    <cfRule type="cellIs" dxfId="928" priority="926" stopIfTrue="1" operator="lessThan">
      <formula>0</formula>
    </cfRule>
  </conditionalFormatting>
  <conditionalFormatting sqref="H211:H227">
    <cfRule type="cellIs" dxfId="927" priority="923" stopIfTrue="1" operator="lessThan">
      <formula>0</formula>
    </cfRule>
    <cfRule type="cellIs" dxfId="926" priority="924" stopIfTrue="1" operator="lessThan">
      <formula>0</formula>
    </cfRule>
  </conditionalFormatting>
  <conditionalFormatting sqref="H211:H227">
    <cfRule type="cellIs" dxfId="925" priority="921" stopIfTrue="1" operator="lessThan">
      <formula>0.05</formula>
    </cfRule>
    <cfRule type="cellIs" dxfId="924" priority="922" stopIfTrue="1" operator="lessThan">
      <formula>0</formula>
    </cfRule>
  </conditionalFormatting>
  <conditionalFormatting sqref="H211:H227">
    <cfRule type="cellIs" dxfId="923" priority="919" stopIfTrue="1" operator="lessThan">
      <formula>0</formula>
    </cfRule>
    <cfRule type="cellIs" dxfId="922" priority="920" stopIfTrue="1" operator="lessThan">
      <formula>0</formula>
    </cfRule>
  </conditionalFormatting>
  <conditionalFormatting sqref="H211:H227">
    <cfRule type="cellIs" dxfId="921" priority="917" stopIfTrue="1" operator="lessThan">
      <formula>0</formula>
    </cfRule>
    <cfRule type="cellIs" dxfId="920" priority="918" stopIfTrue="1" operator="lessThan">
      <formula>0</formula>
    </cfRule>
  </conditionalFormatting>
  <conditionalFormatting sqref="H211:H227">
    <cfRule type="cellIs" dxfId="919" priority="915" stopIfTrue="1" operator="lessThan">
      <formula>0.05</formula>
    </cfRule>
    <cfRule type="cellIs" dxfId="918" priority="916" stopIfTrue="1" operator="lessThan">
      <formula>0</formula>
    </cfRule>
  </conditionalFormatting>
  <conditionalFormatting sqref="H211:H227">
    <cfRule type="cellIs" dxfId="917" priority="913" stopIfTrue="1" operator="lessThan">
      <formula>0</formula>
    </cfRule>
    <cfRule type="cellIs" dxfId="916" priority="914" stopIfTrue="1" operator="lessThan">
      <formula>0</formula>
    </cfRule>
  </conditionalFormatting>
  <conditionalFormatting sqref="H211:H227">
    <cfRule type="cellIs" dxfId="915" priority="911" stopIfTrue="1" operator="lessThan">
      <formula>0</formula>
    </cfRule>
    <cfRule type="cellIs" dxfId="914" priority="912" stopIfTrue="1" operator="lessThan">
      <formula>0</formula>
    </cfRule>
  </conditionalFormatting>
  <conditionalFormatting sqref="H211:H227">
    <cfRule type="cellIs" dxfId="913" priority="909" stopIfTrue="1" operator="lessThan">
      <formula>0.05</formula>
    </cfRule>
    <cfRule type="cellIs" dxfId="912" priority="910" stopIfTrue="1" operator="lessThan">
      <formula>0</formula>
    </cfRule>
  </conditionalFormatting>
  <conditionalFormatting sqref="H211:H227">
    <cfRule type="cellIs" dxfId="911" priority="907" stopIfTrue="1" operator="lessThan">
      <formula>0</formula>
    </cfRule>
    <cfRule type="cellIs" dxfId="910" priority="908" stopIfTrue="1" operator="lessThan">
      <formula>0</formula>
    </cfRule>
  </conditionalFormatting>
  <conditionalFormatting sqref="H211:H227">
    <cfRule type="cellIs" dxfId="909" priority="905" stopIfTrue="1" operator="lessThan">
      <formula>0</formula>
    </cfRule>
    <cfRule type="cellIs" dxfId="908" priority="906" stopIfTrue="1" operator="lessThan">
      <formula>0</formula>
    </cfRule>
  </conditionalFormatting>
  <conditionalFormatting sqref="H211:H227">
    <cfRule type="cellIs" dxfId="907" priority="903" stopIfTrue="1" operator="lessThan">
      <formula>0.05</formula>
    </cfRule>
    <cfRule type="cellIs" dxfId="906" priority="904" stopIfTrue="1" operator="lessThan">
      <formula>0</formula>
    </cfRule>
  </conditionalFormatting>
  <conditionalFormatting sqref="H211:H227">
    <cfRule type="cellIs" dxfId="905" priority="901" stopIfTrue="1" operator="lessThan">
      <formula>0</formula>
    </cfRule>
    <cfRule type="cellIs" dxfId="904" priority="902" stopIfTrue="1" operator="lessThan">
      <formula>0</formula>
    </cfRule>
  </conditionalFormatting>
  <conditionalFormatting sqref="H211:H227">
    <cfRule type="cellIs" dxfId="903" priority="899" stopIfTrue="1" operator="lessThan">
      <formula>0</formula>
    </cfRule>
    <cfRule type="cellIs" dxfId="902" priority="900" stopIfTrue="1" operator="lessThan">
      <formula>0</formula>
    </cfRule>
  </conditionalFormatting>
  <conditionalFormatting sqref="H211:H227">
    <cfRule type="cellIs" dxfId="901" priority="897" stopIfTrue="1" operator="lessThan">
      <formula>0.05</formula>
    </cfRule>
    <cfRule type="cellIs" dxfId="900" priority="898" stopIfTrue="1" operator="lessThan">
      <formula>0</formula>
    </cfRule>
  </conditionalFormatting>
  <conditionalFormatting sqref="H211:H227">
    <cfRule type="cellIs" dxfId="899" priority="895" stopIfTrue="1" operator="lessThan">
      <formula>0</formula>
    </cfRule>
    <cfRule type="cellIs" dxfId="898" priority="896" stopIfTrue="1" operator="lessThan">
      <formula>0</formula>
    </cfRule>
  </conditionalFormatting>
  <conditionalFormatting sqref="H211:H227">
    <cfRule type="cellIs" dxfId="897" priority="893" stopIfTrue="1" operator="lessThan">
      <formula>0</formula>
    </cfRule>
    <cfRule type="cellIs" dxfId="896" priority="894" stopIfTrue="1" operator="lessThan">
      <formula>0</formula>
    </cfRule>
  </conditionalFormatting>
  <conditionalFormatting sqref="H211:H227">
    <cfRule type="cellIs" dxfId="895" priority="891" stopIfTrue="1" operator="lessThan">
      <formula>0.05</formula>
    </cfRule>
    <cfRule type="cellIs" dxfId="894" priority="892" stopIfTrue="1" operator="lessThan">
      <formula>0</formula>
    </cfRule>
  </conditionalFormatting>
  <conditionalFormatting sqref="H211:H227">
    <cfRule type="cellIs" dxfId="893" priority="889" stopIfTrue="1" operator="lessThan">
      <formula>0</formula>
    </cfRule>
    <cfRule type="cellIs" dxfId="892" priority="890" stopIfTrue="1" operator="lessThan">
      <formula>0</formula>
    </cfRule>
  </conditionalFormatting>
  <conditionalFormatting sqref="H211:H227">
    <cfRule type="cellIs" dxfId="891" priority="887" stopIfTrue="1" operator="lessThan">
      <formula>0</formula>
    </cfRule>
    <cfRule type="cellIs" dxfId="890" priority="888" stopIfTrue="1" operator="lessThan">
      <formula>0</formula>
    </cfRule>
  </conditionalFormatting>
  <conditionalFormatting sqref="H211:H227">
    <cfRule type="cellIs" dxfId="889" priority="885" stopIfTrue="1" operator="lessThan">
      <formula>0.05</formula>
    </cfRule>
    <cfRule type="cellIs" dxfId="888" priority="886" stopIfTrue="1" operator="lessThan">
      <formula>0</formula>
    </cfRule>
  </conditionalFormatting>
  <conditionalFormatting sqref="H211:H227">
    <cfRule type="cellIs" dxfId="887" priority="883" stopIfTrue="1" operator="lessThan">
      <formula>0</formula>
    </cfRule>
    <cfRule type="cellIs" dxfId="886" priority="884" stopIfTrue="1" operator="lessThan">
      <formula>0</formula>
    </cfRule>
  </conditionalFormatting>
  <conditionalFormatting sqref="H211:H227">
    <cfRule type="cellIs" dxfId="885" priority="881" stopIfTrue="1" operator="lessThan">
      <formula>0</formula>
    </cfRule>
    <cfRule type="cellIs" dxfId="884" priority="882" stopIfTrue="1" operator="lessThan">
      <formula>0</formula>
    </cfRule>
  </conditionalFormatting>
  <conditionalFormatting sqref="H211:H227">
    <cfRule type="cellIs" dxfId="883" priority="879" stopIfTrue="1" operator="lessThan">
      <formula>0.05</formula>
    </cfRule>
    <cfRule type="cellIs" dxfId="882" priority="880" stopIfTrue="1" operator="lessThan">
      <formula>0</formula>
    </cfRule>
  </conditionalFormatting>
  <conditionalFormatting sqref="H211:H227">
    <cfRule type="cellIs" dxfId="881" priority="877" stopIfTrue="1" operator="lessThan">
      <formula>0</formula>
    </cfRule>
    <cfRule type="cellIs" dxfId="880" priority="878" stopIfTrue="1" operator="lessThan">
      <formula>0</formula>
    </cfRule>
  </conditionalFormatting>
  <conditionalFormatting sqref="H211:H227">
    <cfRule type="cellIs" dxfId="879" priority="875" stopIfTrue="1" operator="lessThan">
      <formula>0</formula>
    </cfRule>
    <cfRule type="cellIs" dxfId="878" priority="876" stopIfTrue="1" operator="lessThan">
      <formula>0</formula>
    </cfRule>
  </conditionalFormatting>
  <conditionalFormatting sqref="H211:H227">
    <cfRule type="cellIs" dxfId="877" priority="873" stopIfTrue="1" operator="lessThan">
      <formula>0.05</formula>
    </cfRule>
    <cfRule type="cellIs" dxfId="876" priority="874" stopIfTrue="1" operator="lessThan">
      <formula>0</formula>
    </cfRule>
  </conditionalFormatting>
  <conditionalFormatting sqref="H211:H227">
    <cfRule type="cellIs" dxfId="875" priority="871" stopIfTrue="1" operator="lessThan">
      <formula>0</formula>
    </cfRule>
    <cfRule type="cellIs" dxfId="874" priority="872" stopIfTrue="1" operator="lessThan">
      <formula>0</formula>
    </cfRule>
  </conditionalFormatting>
  <conditionalFormatting sqref="H211:H227">
    <cfRule type="cellIs" dxfId="873" priority="869" stopIfTrue="1" operator="lessThan">
      <formula>0</formula>
    </cfRule>
    <cfRule type="cellIs" dxfId="872" priority="870" stopIfTrue="1" operator="lessThan">
      <formula>0</formula>
    </cfRule>
  </conditionalFormatting>
  <conditionalFormatting sqref="H211:H227">
    <cfRule type="cellIs" dxfId="871" priority="867" stopIfTrue="1" operator="lessThan">
      <formula>0.05</formula>
    </cfRule>
    <cfRule type="cellIs" dxfId="870" priority="868" stopIfTrue="1" operator="lessThan">
      <formula>0</formula>
    </cfRule>
  </conditionalFormatting>
  <conditionalFormatting sqref="H211:H227">
    <cfRule type="cellIs" dxfId="869" priority="865" stopIfTrue="1" operator="lessThan">
      <formula>0</formula>
    </cfRule>
    <cfRule type="cellIs" dxfId="868" priority="866" stopIfTrue="1" operator="lessThan">
      <formula>0</formula>
    </cfRule>
  </conditionalFormatting>
  <conditionalFormatting sqref="H211:H227">
    <cfRule type="cellIs" dxfId="867" priority="863" stopIfTrue="1" operator="lessThan">
      <formula>0</formula>
    </cfRule>
    <cfRule type="cellIs" dxfId="866" priority="864" stopIfTrue="1" operator="lessThan">
      <formula>0</formula>
    </cfRule>
  </conditionalFormatting>
  <conditionalFormatting sqref="H211:H227">
    <cfRule type="cellIs" dxfId="865" priority="861" stopIfTrue="1" operator="lessThan">
      <formula>0.05</formula>
    </cfRule>
    <cfRule type="cellIs" dxfId="864" priority="862" stopIfTrue="1" operator="lessThan">
      <formula>0</formula>
    </cfRule>
  </conditionalFormatting>
  <conditionalFormatting sqref="H211:H227">
    <cfRule type="cellIs" dxfId="863" priority="859" stopIfTrue="1" operator="lessThan">
      <formula>0</formula>
    </cfRule>
    <cfRule type="cellIs" dxfId="862" priority="860" stopIfTrue="1" operator="lessThan">
      <formula>0</formula>
    </cfRule>
  </conditionalFormatting>
  <conditionalFormatting sqref="H211:H227">
    <cfRule type="cellIs" dxfId="861" priority="857" stopIfTrue="1" operator="lessThan">
      <formula>0</formula>
    </cfRule>
    <cfRule type="cellIs" dxfId="860" priority="858" stopIfTrue="1" operator="lessThan">
      <formula>0</formula>
    </cfRule>
  </conditionalFormatting>
  <conditionalFormatting sqref="H211:H227">
    <cfRule type="cellIs" dxfId="859" priority="855" stopIfTrue="1" operator="lessThan">
      <formula>0.05</formula>
    </cfRule>
    <cfRule type="cellIs" dxfId="858" priority="856" stopIfTrue="1" operator="lessThan">
      <formula>0</formula>
    </cfRule>
  </conditionalFormatting>
  <conditionalFormatting sqref="H211:H227">
    <cfRule type="cellIs" dxfId="857" priority="853" stopIfTrue="1" operator="lessThan">
      <formula>0</formula>
    </cfRule>
    <cfRule type="cellIs" dxfId="856" priority="854" stopIfTrue="1" operator="lessThan">
      <formula>0</formula>
    </cfRule>
  </conditionalFormatting>
  <conditionalFormatting sqref="H211:H227">
    <cfRule type="cellIs" dxfId="855" priority="851" stopIfTrue="1" operator="lessThan">
      <formula>0</formula>
    </cfRule>
    <cfRule type="cellIs" dxfId="854" priority="852" stopIfTrue="1" operator="lessThan">
      <formula>0</formula>
    </cfRule>
  </conditionalFormatting>
  <conditionalFormatting sqref="H211:H227">
    <cfRule type="cellIs" dxfId="853" priority="849" stopIfTrue="1" operator="lessThan">
      <formula>0.05</formula>
    </cfRule>
    <cfRule type="cellIs" dxfId="852" priority="850" stopIfTrue="1" operator="lessThan">
      <formula>0</formula>
    </cfRule>
  </conditionalFormatting>
  <conditionalFormatting sqref="H211:H227">
    <cfRule type="cellIs" dxfId="851" priority="847" stopIfTrue="1" operator="lessThan">
      <formula>0</formula>
    </cfRule>
    <cfRule type="cellIs" dxfId="850" priority="848" stopIfTrue="1" operator="lessThan">
      <formula>0</formula>
    </cfRule>
  </conditionalFormatting>
  <conditionalFormatting sqref="H211:H227">
    <cfRule type="cellIs" dxfId="849" priority="845" stopIfTrue="1" operator="lessThan">
      <formula>0.05</formula>
    </cfRule>
    <cfRule type="cellIs" dxfId="848" priority="846" stopIfTrue="1" operator="lessThan">
      <formula>0</formula>
    </cfRule>
  </conditionalFormatting>
  <conditionalFormatting sqref="H211:H227">
    <cfRule type="cellIs" dxfId="847" priority="843" stopIfTrue="1" operator="lessThan">
      <formula>0</formula>
    </cfRule>
    <cfRule type="cellIs" dxfId="846" priority="844" stopIfTrue="1" operator="lessThan">
      <formula>0</formula>
    </cfRule>
  </conditionalFormatting>
  <conditionalFormatting sqref="H211:H227">
    <cfRule type="cellIs" dxfId="845" priority="841" stopIfTrue="1" operator="lessThan">
      <formula>0.05</formula>
    </cfRule>
    <cfRule type="cellIs" dxfId="844" priority="842" stopIfTrue="1" operator="lessThan">
      <formula>0</formula>
    </cfRule>
  </conditionalFormatting>
  <conditionalFormatting sqref="H211:H227">
    <cfRule type="cellIs" dxfId="843" priority="839" stopIfTrue="1" operator="lessThan">
      <formula>0</formula>
    </cfRule>
    <cfRule type="cellIs" dxfId="842" priority="840" stopIfTrue="1" operator="lessThan">
      <formula>0</formula>
    </cfRule>
  </conditionalFormatting>
  <conditionalFormatting sqref="H211:H227">
    <cfRule type="cellIs" dxfId="841" priority="837" stopIfTrue="1" operator="lessThan">
      <formula>0</formula>
    </cfRule>
    <cfRule type="cellIs" dxfId="840" priority="838" stopIfTrue="1" operator="lessThan">
      <formula>0</formula>
    </cfRule>
  </conditionalFormatting>
  <conditionalFormatting sqref="H211:H227">
    <cfRule type="cellIs" dxfId="839" priority="835" stopIfTrue="1" operator="lessThan">
      <formula>0</formula>
    </cfRule>
    <cfRule type="cellIs" dxfId="838" priority="836" stopIfTrue="1" operator="lessThan">
      <formula>0</formula>
    </cfRule>
  </conditionalFormatting>
  <conditionalFormatting sqref="H211:H227">
    <cfRule type="cellIs" dxfId="837" priority="833" stopIfTrue="1" operator="lessThan">
      <formula>0.05</formula>
    </cfRule>
    <cfRule type="cellIs" dxfId="836" priority="834" stopIfTrue="1" operator="lessThan">
      <formula>0</formula>
    </cfRule>
  </conditionalFormatting>
  <conditionalFormatting sqref="H211:H227">
    <cfRule type="cellIs" dxfId="835" priority="831" stopIfTrue="1" operator="lessThan">
      <formula>0</formula>
    </cfRule>
    <cfRule type="cellIs" dxfId="834" priority="832" stopIfTrue="1" operator="lessThan">
      <formula>0</formula>
    </cfRule>
  </conditionalFormatting>
  <conditionalFormatting sqref="H211:H227">
    <cfRule type="cellIs" dxfId="833" priority="829" stopIfTrue="1" operator="lessThan">
      <formula>0.05</formula>
    </cfRule>
    <cfRule type="cellIs" dxfId="832" priority="830" stopIfTrue="1" operator="lessThan">
      <formula>0</formula>
    </cfRule>
  </conditionalFormatting>
  <conditionalFormatting sqref="H211:H227">
    <cfRule type="cellIs" dxfId="831" priority="827" stopIfTrue="1" operator="lessThan">
      <formula>0</formula>
    </cfRule>
    <cfRule type="cellIs" dxfId="830" priority="828" stopIfTrue="1" operator="lessThan">
      <formula>0</formula>
    </cfRule>
  </conditionalFormatting>
  <conditionalFormatting sqref="H211:H227">
    <cfRule type="cellIs" dxfId="829" priority="825" stopIfTrue="1" operator="lessThan">
      <formula>0.05</formula>
    </cfRule>
    <cfRule type="cellIs" dxfId="828" priority="826" stopIfTrue="1" operator="lessThan">
      <formula>0</formula>
    </cfRule>
  </conditionalFormatting>
  <conditionalFormatting sqref="H211:H227">
    <cfRule type="cellIs" dxfId="827" priority="823" stopIfTrue="1" operator="lessThan">
      <formula>0</formula>
    </cfRule>
    <cfRule type="cellIs" dxfId="826" priority="824" stopIfTrue="1" operator="lessThan">
      <formula>0</formula>
    </cfRule>
  </conditionalFormatting>
  <conditionalFormatting sqref="H211:H227">
    <cfRule type="cellIs" dxfId="825" priority="822" stopIfTrue="1" operator="lessThan">
      <formula>0.05</formula>
    </cfRule>
  </conditionalFormatting>
  <conditionalFormatting sqref="H211:H227">
    <cfRule type="cellIs" dxfId="824" priority="820" stopIfTrue="1" operator="lessThan">
      <formula>0</formula>
    </cfRule>
    <cfRule type="cellIs" dxfId="823" priority="821" stopIfTrue="1" operator="lessThan">
      <formula>0</formula>
    </cfRule>
  </conditionalFormatting>
  <conditionalFormatting sqref="H211:H227">
    <cfRule type="cellIs" dxfId="822" priority="818" stopIfTrue="1" operator="lessThan">
      <formula>0</formula>
    </cfRule>
    <cfRule type="cellIs" dxfId="821" priority="819" stopIfTrue="1" operator="lessThan">
      <formula>0</formula>
    </cfRule>
  </conditionalFormatting>
  <conditionalFormatting sqref="H211:H227">
    <cfRule type="cellIs" dxfId="820" priority="816" stopIfTrue="1" operator="lessThan">
      <formula>0</formula>
    </cfRule>
    <cfRule type="cellIs" dxfId="819" priority="817" stopIfTrue="1" operator="lessThan">
      <formula>0</formula>
    </cfRule>
  </conditionalFormatting>
  <conditionalFormatting sqref="H211:H227">
    <cfRule type="cellIs" dxfId="818" priority="814" stopIfTrue="1" operator="lessThan">
      <formula>0</formula>
    </cfRule>
    <cfRule type="cellIs" dxfId="817" priority="815" stopIfTrue="1" operator="lessThan">
      <formula>0</formula>
    </cfRule>
  </conditionalFormatting>
  <conditionalFormatting sqref="H211:H227">
    <cfRule type="cellIs" dxfId="816" priority="812" stopIfTrue="1" operator="lessThan">
      <formula>0</formula>
    </cfRule>
    <cfRule type="cellIs" dxfId="815" priority="813" stopIfTrue="1" operator="lessThan">
      <formula>0</formula>
    </cfRule>
  </conditionalFormatting>
  <conditionalFormatting sqref="H211:H227">
    <cfRule type="cellIs" dxfId="814" priority="810" stopIfTrue="1" operator="lessThan">
      <formula>0</formula>
    </cfRule>
    <cfRule type="cellIs" dxfId="813" priority="811" stopIfTrue="1" operator="lessThan">
      <formula>0</formula>
    </cfRule>
  </conditionalFormatting>
  <conditionalFormatting sqref="H211:H227">
    <cfRule type="cellIs" dxfId="812" priority="808" stopIfTrue="1" operator="lessThan">
      <formula>0</formula>
    </cfRule>
    <cfRule type="cellIs" dxfId="811" priority="809" stopIfTrue="1" operator="lessThan">
      <formula>0</formula>
    </cfRule>
  </conditionalFormatting>
  <conditionalFormatting sqref="H211:H227">
    <cfRule type="cellIs" dxfId="810" priority="806" stopIfTrue="1" operator="lessThan">
      <formula>0</formula>
    </cfRule>
    <cfRule type="cellIs" dxfId="809" priority="807" stopIfTrue="1" operator="lessThan">
      <formula>0</formula>
    </cfRule>
  </conditionalFormatting>
  <conditionalFormatting sqref="H211:H227">
    <cfRule type="cellIs" dxfId="808" priority="804" stopIfTrue="1" operator="lessThan">
      <formula>0</formula>
    </cfRule>
    <cfRule type="cellIs" dxfId="807" priority="805" stopIfTrue="1" operator="lessThan">
      <formula>0</formula>
    </cfRule>
  </conditionalFormatting>
  <conditionalFormatting sqref="H211:H227">
    <cfRule type="cellIs" dxfId="806" priority="802" stopIfTrue="1" operator="lessThan">
      <formula>0</formula>
    </cfRule>
    <cfRule type="cellIs" dxfId="805" priority="803" stopIfTrue="1" operator="lessThan">
      <formula>0</formula>
    </cfRule>
  </conditionalFormatting>
  <conditionalFormatting sqref="H211:H227">
    <cfRule type="cellIs" dxfId="804" priority="800" stopIfTrue="1" operator="lessThan">
      <formula>0</formula>
    </cfRule>
    <cfRule type="cellIs" dxfId="803" priority="801" stopIfTrue="1" operator="lessThan">
      <formula>0</formula>
    </cfRule>
  </conditionalFormatting>
  <conditionalFormatting sqref="H211:H227">
    <cfRule type="cellIs" dxfId="802" priority="798" stopIfTrue="1" operator="lessThan">
      <formula>0</formula>
    </cfRule>
    <cfRule type="cellIs" dxfId="801" priority="799" stopIfTrue="1" operator="lessThan">
      <formula>0</formula>
    </cfRule>
  </conditionalFormatting>
  <conditionalFormatting sqref="H211:H227">
    <cfRule type="cellIs" dxfId="800" priority="797" stopIfTrue="1" operator="lessThan">
      <formula>0.05</formula>
    </cfRule>
  </conditionalFormatting>
  <conditionalFormatting sqref="H211:H227">
    <cfRule type="cellIs" dxfId="799" priority="795" stopIfTrue="1" operator="lessThan">
      <formula>0</formula>
    </cfRule>
    <cfRule type="cellIs" dxfId="798" priority="796" stopIfTrue="1" operator="lessThan">
      <formula>0</formula>
    </cfRule>
  </conditionalFormatting>
  <conditionalFormatting sqref="H211:H227">
    <cfRule type="cellIs" dxfId="797" priority="794" stopIfTrue="1" operator="lessThan">
      <formula>0.05</formula>
    </cfRule>
  </conditionalFormatting>
  <conditionalFormatting sqref="H211:H227">
    <cfRule type="cellIs" dxfId="796" priority="792" stopIfTrue="1" operator="lessThan">
      <formula>0</formula>
    </cfRule>
    <cfRule type="cellIs" dxfId="795" priority="793" stopIfTrue="1" operator="lessThan">
      <formula>0</formula>
    </cfRule>
  </conditionalFormatting>
  <conditionalFormatting sqref="H211:H227">
    <cfRule type="cellIs" dxfId="794" priority="791" stopIfTrue="1" operator="lessThan">
      <formula>0.05</formula>
    </cfRule>
  </conditionalFormatting>
  <conditionalFormatting sqref="H211:H227">
    <cfRule type="cellIs" dxfId="793" priority="789" stopIfTrue="1" operator="lessThan">
      <formula>0</formula>
    </cfRule>
    <cfRule type="cellIs" dxfId="792" priority="790" stopIfTrue="1" operator="lessThan">
      <formula>0</formula>
    </cfRule>
  </conditionalFormatting>
  <conditionalFormatting sqref="H211:H227">
    <cfRule type="cellIs" dxfId="791" priority="788" stopIfTrue="1" operator="lessThan">
      <formula>0.05</formula>
    </cfRule>
  </conditionalFormatting>
  <conditionalFormatting sqref="H211:H227">
    <cfRule type="cellIs" dxfId="790" priority="786" stopIfTrue="1" operator="lessThan">
      <formula>0</formula>
    </cfRule>
    <cfRule type="cellIs" dxfId="789" priority="787" stopIfTrue="1" operator="lessThan">
      <formula>0</formula>
    </cfRule>
  </conditionalFormatting>
  <conditionalFormatting sqref="H211:H227">
    <cfRule type="cellIs" dxfId="788" priority="785" stopIfTrue="1" operator="lessThan">
      <formula>0.05</formula>
    </cfRule>
  </conditionalFormatting>
  <conditionalFormatting sqref="H211:H227">
    <cfRule type="cellIs" dxfId="787" priority="783" stopIfTrue="1" operator="lessThan">
      <formula>0</formula>
    </cfRule>
    <cfRule type="cellIs" dxfId="786" priority="784" stopIfTrue="1" operator="lessThan">
      <formula>0</formula>
    </cfRule>
  </conditionalFormatting>
  <conditionalFormatting sqref="H211:H227">
    <cfRule type="cellIs" dxfId="785" priority="782" stopIfTrue="1" operator="lessThan">
      <formula>0.05</formula>
    </cfRule>
  </conditionalFormatting>
  <conditionalFormatting sqref="H211:H227">
    <cfRule type="cellIs" dxfId="784" priority="780" stopIfTrue="1" operator="lessThan">
      <formula>0</formula>
    </cfRule>
    <cfRule type="cellIs" dxfId="783" priority="781" stopIfTrue="1" operator="lessThan">
      <formula>0</formula>
    </cfRule>
  </conditionalFormatting>
  <conditionalFormatting sqref="H211:H227">
    <cfRule type="cellIs" dxfId="782" priority="779" stopIfTrue="1" operator="lessThan">
      <formula>0.05</formula>
    </cfRule>
  </conditionalFormatting>
  <conditionalFormatting sqref="H211:H227">
    <cfRule type="cellIs" dxfId="781" priority="777" stopIfTrue="1" operator="lessThan">
      <formula>0</formula>
    </cfRule>
    <cfRule type="cellIs" dxfId="780" priority="778" stopIfTrue="1" operator="lessThan">
      <formula>0</formula>
    </cfRule>
  </conditionalFormatting>
  <conditionalFormatting sqref="H211:H227">
    <cfRule type="cellIs" dxfId="779" priority="775" stopIfTrue="1" operator="lessThan">
      <formula>0</formula>
    </cfRule>
    <cfRule type="cellIs" dxfId="778" priority="776" stopIfTrue="1" operator="lessThan">
      <formula>0</formula>
    </cfRule>
  </conditionalFormatting>
  <conditionalFormatting sqref="H211:H227">
    <cfRule type="cellIs" dxfId="777" priority="773" stopIfTrue="1" operator="lessThan">
      <formula>0.05</formula>
    </cfRule>
    <cfRule type="cellIs" dxfId="776" priority="774" stopIfTrue="1" operator="lessThan">
      <formula>0</formula>
    </cfRule>
  </conditionalFormatting>
  <conditionalFormatting sqref="H211:H227">
    <cfRule type="cellIs" dxfId="775" priority="771" stopIfTrue="1" operator="lessThan">
      <formula>0</formula>
    </cfRule>
    <cfRule type="cellIs" dxfId="774" priority="772" stopIfTrue="1" operator="lessThan">
      <formula>0</formula>
    </cfRule>
  </conditionalFormatting>
  <conditionalFormatting sqref="H211:H227">
    <cfRule type="cellIs" dxfId="773" priority="769" stopIfTrue="1" operator="lessThan">
      <formula>0.05</formula>
    </cfRule>
    <cfRule type="cellIs" dxfId="772" priority="770" stopIfTrue="1" operator="lessThan">
      <formula>0</formula>
    </cfRule>
  </conditionalFormatting>
  <conditionalFormatting sqref="H211:H227">
    <cfRule type="cellIs" dxfId="771" priority="767" stopIfTrue="1" operator="lessThan">
      <formula>0</formula>
    </cfRule>
    <cfRule type="cellIs" dxfId="770" priority="768" stopIfTrue="1" operator="lessThan">
      <formula>0</formula>
    </cfRule>
  </conditionalFormatting>
  <conditionalFormatting sqref="H211:H227">
    <cfRule type="cellIs" dxfId="769" priority="765" stopIfTrue="1" operator="lessThan">
      <formula>0.05</formula>
    </cfRule>
    <cfRule type="cellIs" dxfId="768" priority="766" stopIfTrue="1" operator="lessThan">
      <formula>0</formula>
    </cfRule>
  </conditionalFormatting>
  <conditionalFormatting sqref="H211:H227">
    <cfRule type="cellIs" dxfId="767" priority="763" stopIfTrue="1" operator="lessThan">
      <formula>0</formula>
    </cfRule>
    <cfRule type="cellIs" dxfId="766" priority="764" stopIfTrue="1" operator="lessThan">
      <formula>0</formula>
    </cfRule>
  </conditionalFormatting>
  <conditionalFormatting sqref="H211:H227">
    <cfRule type="cellIs" dxfId="765" priority="761" stopIfTrue="1" operator="lessThan">
      <formula>0</formula>
    </cfRule>
    <cfRule type="cellIs" dxfId="764" priority="762" stopIfTrue="1" operator="lessThan">
      <formula>0</formula>
    </cfRule>
  </conditionalFormatting>
  <conditionalFormatting sqref="H211:H227">
    <cfRule type="cellIs" dxfId="763" priority="759" stopIfTrue="1" operator="lessThan">
      <formula>0</formula>
    </cfRule>
    <cfRule type="cellIs" dxfId="762" priority="760" stopIfTrue="1" operator="lessThan">
      <formula>0</formula>
    </cfRule>
  </conditionalFormatting>
  <conditionalFormatting sqref="H211:H227">
    <cfRule type="cellIs" dxfId="761" priority="757" stopIfTrue="1" operator="lessThan">
      <formula>0.05</formula>
    </cfRule>
    <cfRule type="cellIs" dxfId="760" priority="758" stopIfTrue="1" operator="lessThan">
      <formula>0</formula>
    </cfRule>
  </conditionalFormatting>
  <conditionalFormatting sqref="H211:H227">
    <cfRule type="cellIs" dxfId="759" priority="755" stopIfTrue="1" operator="lessThan">
      <formula>0</formula>
    </cfRule>
    <cfRule type="cellIs" dxfId="758" priority="756" stopIfTrue="1" operator="lessThan">
      <formula>0</formula>
    </cfRule>
  </conditionalFormatting>
  <conditionalFormatting sqref="H211:H227">
    <cfRule type="cellIs" dxfId="757" priority="753" stopIfTrue="1" operator="lessThan">
      <formula>0.05</formula>
    </cfRule>
    <cfRule type="cellIs" dxfId="756" priority="754" stopIfTrue="1" operator="lessThan">
      <formula>0</formula>
    </cfRule>
  </conditionalFormatting>
  <conditionalFormatting sqref="H211:H227">
    <cfRule type="cellIs" dxfId="755" priority="751" stopIfTrue="1" operator="lessThan">
      <formula>0</formula>
    </cfRule>
    <cfRule type="cellIs" dxfId="754" priority="752" stopIfTrue="1" operator="lessThan">
      <formula>0</formula>
    </cfRule>
  </conditionalFormatting>
  <conditionalFormatting sqref="H211:H227">
    <cfRule type="cellIs" dxfId="753" priority="749" stopIfTrue="1" operator="lessThan">
      <formula>0.05</formula>
    </cfRule>
    <cfRule type="cellIs" dxfId="752" priority="750" stopIfTrue="1" operator="lessThan">
      <formula>0</formula>
    </cfRule>
  </conditionalFormatting>
  <conditionalFormatting sqref="H211:H227">
    <cfRule type="cellIs" dxfId="751" priority="747" stopIfTrue="1" operator="lessThan">
      <formula>0</formula>
    </cfRule>
    <cfRule type="cellIs" dxfId="750" priority="748" stopIfTrue="1" operator="lessThan">
      <formula>0</formula>
    </cfRule>
  </conditionalFormatting>
  <conditionalFormatting sqref="H211:H227">
    <cfRule type="cellIs" dxfId="749" priority="745" stopIfTrue="1" operator="lessThan">
      <formula>0</formula>
    </cfRule>
    <cfRule type="cellIs" dxfId="748" priority="746" stopIfTrue="1" operator="lessThan">
      <formula>0</formula>
    </cfRule>
  </conditionalFormatting>
  <conditionalFormatting sqref="H211:H227">
    <cfRule type="cellIs" dxfId="747" priority="743" stopIfTrue="1" operator="lessThan">
      <formula>0</formula>
    </cfRule>
    <cfRule type="cellIs" dxfId="746" priority="744" stopIfTrue="1" operator="lessThan">
      <formula>0</formula>
    </cfRule>
  </conditionalFormatting>
  <conditionalFormatting sqref="H211:H227">
    <cfRule type="cellIs" dxfId="745" priority="741" stopIfTrue="1" operator="lessThan">
      <formula>0.05</formula>
    </cfRule>
    <cfRule type="cellIs" dxfId="744" priority="742" stopIfTrue="1" operator="lessThan">
      <formula>0</formula>
    </cfRule>
  </conditionalFormatting>
  <conditionalFormatting sqref="H211:H227">
    <cfRule type="cellIs" dxfId="743" priority="739" stopIfTrue="1" operator="lessThan">
      <formula>0</formula>
    </cfRule>
    <cfRule type="cellIs" dxfId="742" priority="740" stopIfTrue="1" operator="lessThan">
      <formula>0</formula>
    </cfRule>
  </conditionalFormatting>
  <conditionalFormatting sqref="H211:H227">
    <cfRule type="cellIs" dxfId="741" priority="737" stopIfTrue="1" operator="lessThan">
      <formula>0.05</formula>
    </cfRule>
    <cfRule type="cellIs" dxfId="740" priority="738" stopIfTrue="1" operator="lessThan">
      <formula>0</formula>
    </cfRule>
  </conditionalFormatting>
  <conditionalFormatting sqref="H211:H227">
    <cfRule type="cellIs" dxfId="739" priority="735" stopIfTrue="1" operator="lessThan">
      <formula>0</formula>
    </cfRule>
    <cfRule type="cellIs" dxfId="738" priority="736" stopIfTrue="1" operator="lessThan">
      <formula>0</formula>
    </cfRule>
  </conditionalFormatting>
  <conditionalFormatting sqref="H211:H227">
    <cfRule type="cellIs" dxfId="737" priority="733" stopIfTrue="1" operator="lessThan">
      <formula>0.05</formula>
    </cfRule>
    <cfRule type="cellIs" dxfId="736" priority="734" stopIfTrue="1" operator="lessThan">
      <formula>0</formula>
    </cfRule>
  </conditionalFormatting>
  <conditionalFormatting sqref="H211:H227">
    <cfRule type="cellIs" dxfId="735" priority="731" stopIfTrue="1" operator="lessThan">
      <formula>0</formula>
    </cfRule>
    <cfRule type="cellIs" dxfId="734" priority="732" stopIfTrue="1" operator="lessThan">
      <formula>0</formula>
    </cfRule>
  </conditionalFormatting>
  <conditionalFormatting sqref="H211:H227">
    <cfRule type="cellIs" dxfId="733" priority="729" stopIfTrue="1" operator="lessThan">
      <formula>0</formula>
    </cfRule>
    <cfRule type="cellIs" dxfId="732" priority="730" stopIfTrue="1" operator="lessThan">
      <formula>0</formula>
    </cfRule>
  </conditionalFormatting>
  <conditionalFormatting sqref="H211:H227">
    <cfRule type="cellIs" dxfId="731" priority="727" stopIfTrue="1" operator="lessThan">
      <formula>0</formula>
    </cfRule>
    <cfRule type="cellIs" dxfId="730" priority="728" stopIfTrue="1" operator="lessThan">
      <formula>0</formula>
    </cfRule>
  </conditionalFormatting>
  <conditionalFormatting sqref="H211:H227">
    <cfRule type="cellIs" dxfId="729" priority="725" stopIfTrue="1" operator="lessThan">
      <formula>0.05</formula>
    </cfRule>
    <cfRule type="cellIs" dxfId="728" priority="726" stopIfTrue="1" operator="lessThan">
      <formula>0</formula>
    </cfRule>
  </conditionalFormatting>
  <conditionalFormatting sqref="H211:H227">
    <cfRule type="cellIs" dxfId="727" priority="723" stopIfTrue="1" operator="lessThan">
      <formula>0</formula>
    </cfRule>
    <cfRule type="cellIs" dxfId="726" priority="724" stopIfTrue="1" operator="lessThan">
      <formula>0</formula>
    </cfRule>
  </conditionalFormatting>
  <conditionalFormatting sqref="H211:H227">
    <cfRule type="cellIs" dxfId="725" priority="721" stopIfTrue="1" operator="lessThan">
      <formula>0.05</formula>
    </cfRule>
    <cfRule type="cellIs" dxfId="724" priority="722" stopIfTrue="1" operator="lessThan">
      <formula>0</formula>
    </cfRule>
  </conditionalFormatting>
  <conditionalFormatting sqref="H211:H227">
    <cfRule type="cellIs" dxfId="723" priority="719" stopIfTrue="1" operator="lessThan">
      <formula>0</formula>
    </cfRule>
    <cfRule type="cellIs" dxfId="722" priority="720" stopIfTrue="1" operator="lessThan">
      <formula>0</formula>
    </cfRule>
  </conditionalFormatting>
  <conditionalFormatting sqref="H211:H227">
    <cfRule type="cellIs" dxfId="721" priority="717" stopIfTrue="1" operator="lessThan">
      <formula>0.05</formula>
    </cfRule>
    <cfRule type="cellIs" dxfId="720" priority="718" stopIfTrue="1" operator="lessThan">
      <formula>0</formula>
    </cfRule>
  </conditionalFormatting>
  <conditionalFormatting sqref="H211:H227">
    <cfRule type="cellIs" dxfId="719" priority="715" stopIfTrue="1" operator="lessThan">
      <formula>0</formula>
    </cfRule>
    <cfRule type="cellIs" dxfId="718" priority="716" stopIfTrue="1" operator="lessThan">
      <formula>0</formula>
    </cfRule>
  </conditionalFormatting>
  <conditionalFormatting sqref="H211:H227">
    <cfRule type="cellIs" dxfId="717" priority="713" stopIfTrue="1" operator="lessThan">
      <formula>0</formula>
    </cfRule>
    <cfRule type="cellIs" dxfId="716" priority="714" stopIfTrue="1" operator="lessThan">
      <formula>0</formula>
    </cfRule>
  </conditionalFormatting>
  <conditionalFormatting sqref="H211:H227">
    <cfRule type="cellIs" dxfId="715" priority="711" stopIfTrue="1" operator="lessThan">
      <formula>0.05</formula>
    </cfRule>
    <cfRule type="cellIs" dxfId="714" priority="712" stopIfTrue="1" operator="lessThan">
      <formula>0</formula>
    </cfRule>
  </conditionalFormatting>
  <conditionalFormatting sqref="H211:H227">
    <cfRule type="cellIs" dxfId="713" priority="709" stopIfTrue="1" operator="lessThan">
      <formula>0</formula>
    </cfRule>
    <cfRule type="cellIs" dxfId="712" priority="710" stopIfTrue="1" operator="lessThan">
      <formula>0</formula>
    </cfRule>
  </conditionalFormatting>
  <conditionalFormatting sqref="H211:H227">
    <cfRule type="cellIs" dxfId="711" priority="707" stopIfTrue="1" operator="lessThan">
      <formula>0</formula>
    </cfRule>
    <cfRule type="cellIs" dxfId="710" priority="708" stopIfTrue="1" operator="lessThan">
      <formula>0</formula>
    </cfRule>
  </conditionalFormatting>
  <conditionalFormatting sqref="H211:H227">
    <cfRule type="cellIs" dxfId="709" priority="705" stopIfTrue="1" operator="lessThan">
      <formula>0.05</formula>
    </cfRule>
    <cfRule type="cellIs" dxfId="708" priority="706" stopIfTrue="1" operator="lessThan">
      <formula>0</formula>
    </cfRule>
  </conditionalFormatting>
  <conditionalFormatting sqref="H211:H227">
    <cfRule type="cellIs" dxfId="707" priority="703" stopIfTrue="1" operator="lessThan">
      <formula>0</formula>
    </cfRule>
    <cfRule type="cellIs" dxfId="706" priority="704" stopIfTrue="1" operator="lessThan">
      <formula>0</formula>
    </cfRule>
  </conditionalFormatting>
  <conditionalFormatting sqref="H211:H227">
    <cfRule type="cellIs" dxfId="705" priority="701" stopIfTrue="1" operator="lessThan">
      <formula>0</formula>
    </cfRule>
    <cfRule type="cellIs" dxfId="704" priority="702" stopIfTrue="1" operator="lessThan">
      <formula>0</formula>
    </cfRule>
  </conditionalFormatting>
  <conditionalFormatting sqref="H211:H227">
    <cfRule type="cellIs" dxfId="703" priority="699" stopIfTrue="1" operator="lessThan">
      <formula>0.05</formula>
    </cfRule>
    <cfRule type="cellIs" dxfId="702" priority="700" stopIfTrue="1" operator="lessThan">
      <formula>0</formula>
    </cfRule>
  </conditionalFormatting>
  <conditionalFormatting sqref="H211:H227">
    <cfRule type="cellIs" dxfId="701" priority="697" stopIfTrue="1" operator="lessThan">
      <formula>0</formula>
    </cfRule>
    <cfRule type="cellIs" dxfId="700" priority="698" stopIfTrue="1" operator="lessThan">
      <formula>0</formula>
    </cfRule>
  </conditionalFormatting>
  <conditionalFormatting sqref="H211:H227">
    <cfRule type="cellIs" dxfId="699" priority="695" stopIfTrue="1" operator="lessThan">
      <formula>0</formula>
    </cfRule>
    <cfRule type="cellIs" dxfId="698" priority="696" stopIfTrue="1" operator="lessThan">
      <formula>0</formula>
    </cfRule>
  </conditionalFormatting>
  <conditionalFormatting sqref="H211:H227">
    <cfRule type="cellIs" dxfId="697" priority="693" stopIfTrue="1" operator="lessThan">
      <formula>0.05</formula>
    </cfRule>
    <cfRule type="cellIs" dxfId="696" priority="694" stopIfTrue="1" operator="lessThan">
      <formula>0</formula>
    </cfRule>
  </conditionalFormatting>
  <conditionalFormatting sqref="H211:H227">
    <cfRule type="cellIs" dxfId="695" priority="691" stopIfTrue="1" operator="lessThan">
      <formula>0</formula>
    </cfRule>
    <cfRule type="cellIs" dxfId="694" priority="692" stopIfTrue="1" operator="lessThan">
      <formula>0</formula>
    </cfRule>
  </conditionalFormatting>
  <conditionalFormatting sqref="H211:H227">
    <cfRule type="cellIs" dxfId="693" priority="689" stopIfTrue="1" operator="lessThan">
      <formula>0</formula>
    </cfRule>
    <cfRule type="cellIs" dxfId="692" priority="690" stopIfTrue="1" operator="lessThan">
      <formula>0</formula>
    </cfRule>
  </conditionalFormatting>
  <conditionalFormatting sqref="H211:H227">
    <cfRule type="cellIs" dxfId="691" priority="687" stopIfTrue="1" operator="lessThan">
      <formula>0.05</formula>
    </cfRule>
    <cfRule type="cellIs" dxfId="690" priority="688" stopIfTrue="1" operator="lessThan">
      <formula>0</formula>
    </cfRule>
  </conditionalFormatting>
  <conditionalFormatting sqref="H211:H227">
    <cfRule type="cellIs" dxfId="689" priority="685" stopIfTrue="1" operator="lessThan">
      <formula>0</formula>
    </cfRule>
    <cfRule type="cellIs" dxfId="688" priority="686" stopIfTrue="1" operator="lessThan">
      <formula>0</formula>
    </cfRule>
  </conditionalFormatting>
  <conditionalFormatting sqref="H211:H227">
    <cfRule type="cellIs" dxfId="687" priority="683" stopIfTrue="1" operator="lessThan">
      <formula>0</formula>
    </cfRule>
    <cfRule type="cellIs" dxfId="686" priority="684" stopIfTrue="1" operator="lessThan">
      <formula>0</formula>
    </cfRule>
  </conditionalFormatting>
  <conditionalFormatting sqref="H211:H227">
    <cfRule type="cellIs" dxfId="685" priority="681" stopIfTrue="1" operator="lessThan">
      <formula>0.05</formula>
    </cfRule>
    <cfRule type="cellIs" dxfId="684" priority="682" stopIfTrue="1" operator="lessThan">
      <formula>0</formula>
    </cfRule>
  </conditionalFormatting>
  <conditionalFormatting sqref="H211:H227">
    <cfRule type="cellIs" dxfId="683" priority="679" stopIfTrue="1" operator="lessThan">
      <formula>0</formula>
    </cfRule>
    <cfRule type="cellIs" dxfId="682" priority="680" stopIfTrue="1" operator="lessThan">
      <formula>0</formula>
    </cfRule>
  </conditionalFormatting>
  <conditionalFormatting sqref="H211:H227">
    <cfRule type="cellIs" dxfId="681" priority="677" stopIfTrue="1" operator="lessThan">
      <formula>0</formula>
    </cfRule>
    <cfRule type="cellIs" dxfId="680" priority="678" stopIfTrue="1" operator="lessThan">
      <formula>0</formula>
    </cfRule>
  </conditionalFormatting>
  <conditionalFormatting sqref="H211:H227">
    <cfRule type="cellIs" dxfId="679" priority="675" stopIfTrue="1" operator="lessThan">
      <formula>0.05</formula>
    </cfRule>
    <cfRule type="cellIs" dxfId="678" priority="676" stopIfTrue="1" operator="lessThan">
      <formula>0</formula>
    </cfRule>
  </conditionalFormatting>
  <conditionalFormatting sqref="H211:H227">
    <cfRule type="cellIs" dxfId="677" priority="673" stopIfTrue="1" operator="lessThan">
      <formula>0</formula>
    </cfRule>
    <cfRule type="cellIs" dxfId="676" priority="674" stopIfTrue="1" operator="lessThan">
      <formula>0</formula>
    </cfRule>
  </conditionalFormatting>
  <conditionalFormatting sqref="H211:H227">
    <cfRule type="cellIs" dxfId="675" priority="671" stopIfTrue="1" operator="lessThan">
      <formula>0</formula>
    </cfRule>
    <cfRule type="cellIs" dxfId="674" priority="672" stopIfTrue="1" operator="lessThan">
      <formula>0</formula>
    </cfRule>
  </conditionalFormatting>
  <conditionalFormatting sqref="H211:H227">
    <cfRule type="cellIs" dxfId="673" priority="669" stopIfTrue="1" operator="lessThan">
      <formula>0.05</formula>
    </cfRule>
    <cfRule type="cellIs" dxfId="672" priority="670" stopIfTrue="1" operator="lessThan">
      <formula>0</formula>
    </cfRule>
  </conditionalFormatting>
  <conditionalFormatting sqref="H211:H227">
    <cfRule type="cellIs" dxfId="671" priority="667" stopIfTrue="1" operator="lessThan">
      <formula>0</formula>
    </cfRule>
    <cfRule type="cellIs" dxfId="670" priority="668" stopIfTrue="1" operator="lessThan">
      <formula>0</formula>
    </cfRule>
  </conditionalFormatting>
  <conditionalFormatting sqref="H211:H227">
    <cfRule type="cellIs" dxfId="669" priority="665" stopIfTrue="1" operator="lessThan">
      <formula>0</formula>
    </cfRule>
    <cfRule type="cellIs" dxfId="668" priority="666" stopIfTrue="1" operator="lessThan">
      <formula>0</formula>
    </cfRule>
  </conditionalFormatting>
  <conditionalFormatting sqref="H211:H227">
    <cfRule type="cellIs" dxfId="667" priority="663" stopIfTrue="1" operator="lessThan">
      <formula>0.05</formula>
    </cfRule>
    <cfRule type="cellIs" dxfId="666" priority="664" stopIfTrue="1" operator="lessThan">
      <formula>0</formula>
    </cfRule>
  </conditionalFormatting>
  <conditionalFormatting sqref="H211:H227">
    <cfRule type="cellIs" dxfId="665" priority="661" stopIfTrue="1" operator="lessThan">
      <formula>0</formula>
    </cfRule>
    <cfRule type="cellIs" dxfId="664" priority="662" stopIfTrue="1" operator="lessThan">
      <formula>0</formula>
    </cfRule>
  </conditionalFormatting>
  <conditionalFormatting sqref="H211:H227">
    <cfRule type="cellIs" dxfId="663" priority="659" stopIfTrue="1" operator="lessThan">
      <formula>0</formula>
    </cfRule>
    <cfRule type="cellIs" dxfId="662" priority="660" stopIfTrue="1" operator="lessThan">
      <formula>0</formula>
    </cfRule>
  </conditionalFormatting>
  <conditionalFormatting sqref="H211:H227">
    <cfRule type="cellIs" dxfId="661" priority="657" stopIfTrue="1" operator="lessThan">
      <formula>0.05</formula>
    </cfRule>
    <cfRule type="cellIs" dxfId="660" priority="658" stopIfTrue="1" operator="lessThan">
      <formula>0</formula>
    </cfRule>
  </conditionalFormatting>
  <conditionalFormatting sqref="H211:H227">
    <cfRule type="cellIs" dxfId="659" priority="655" stopIfTrue="1" operator="lessThan">
      <formula>0</formula>
    </cfRule>
    <cfRule type="cellIs" dxfId="658" priority="656" stopIfTrue="1" operator="lessThan">
      <formula>0</formula>
    </cfRule>
  </conditionalFormatting>
  <conditionalFormatting sqref="H211:H227">
    <cfRule type="cellIs" dxfId="657" priority="653" stopIfTrue="1" operator="lessThan">
      <formula>0</formula>
    </cfRule>
    <cfRule type="cellIs" dxfId="656" priority="654" stopIfTrue="1" operator="lessThan">
      <formula>0</formula>
    </cfRule>
  </conditionalFormatting>
  <conditionalFormatting sqref="H211:H227">
    <cfRule type="cellIs" dxfId="655" priority="651" stopIfTrue="1" operator="lessThan">
      <formula>0.05</formula>
    </cfRule>
    <cfRule type="cellIs" dxfId="654" priority="652" stopIfTrue="1" operator="lessThan">
      <formula>0</formula>
    </cfRule>
  </conditionalFormatting>
  <conditionalFormatting sqref="H211:H227">
    <cfRule type="cellIs" dxfId="653" priority="649" stopIfTrue="1" operator="lessThan">
      <formula>0</formula>
    </cfRule>
    <cfRule type="cellIs" dxfId="652" priority="650" stopIfTrue="1" operator="lessThan">
      <formula>0</formula>
    </cfRule>
  </conditionalFormatting>
  <conditionalFormatting sqref="H211:H227">
    <cfRule type="cellIs" dxfId="651" priority="647" stopIfTrue="1" operator="lessThan">
      <formula>0</formula>
    </cfRule>
    <cfRule type="cellIs" dxfId="650" priority="648" stopIfTrue="1" operator="lessThan">
      <formula>0</formula>
    </cfRule>
  </conditionalFormatting>
  <conditionalFormatting sqref="H211:H227">
    <cfRule type="cellIs" dxfId="649" priority="645" stopIfTrue="1" operator="lessThan">
      <formula>0.05</formula>
    </cfRule>
    <cfRule type="cellIs" dxfId="648" priority="646" stopIfTrue="1" operator="lessThan">
      <formula>0</formula>
    </cfRule>
  </conditionalFormatting>
  <conditionalFormatting sqref="H211:H227">
    <cfRule type="cellIs" dxfId="647" priority="643" stopIfTrue="1" operator="lessThan">
      <formula>0</formula>
    </cfRule>
    <cfRule type="cellIs" dxfId="646" priority="644" stopIfTrue="1" operator="lessThan">
      <formula>0</formula>
    </cfRule>
  </conditionalFormatting>
  <conditionalFormatting sqref="H211:H227">
    <cfRule type="cellIs" dxfId="645" priority="641" stopIfTrue="1" operator="lessThan">
      <formula>0</formula>
    </cfRule>
    <cfRule type="cellIs" dxfId="644" priority="642" stopIfTrue="1" operator="lessThan">
      <formula>0</formula>
    </cfRule>
  </conditionalFormatting>
  <conditionalFormatting sqref="H211:H227">
    <cfRule type="cellIs" dxfId="643" priority="639" stopIfTrue="1" operator="lessThan">
      <formula>0.05</formula>
    </cfRule>
    <cfRule type="cellIs" dxfId="642" priority="640" stopIfTrue="1" operator="lessThan">
      <formula>0</formula>
    </cfRule>
  </conditionalFormatting>
  <conditionalFormatting sqref="H211:H227">
    <cfRule type="cellIs" dxfId="641" priority="637" stopIfTrue="1" operator="lessThan">
      <formula>0</formula>
    </cfRule>
    <cfRule type="cellIs" dxfId="640" priority="638" stopIfTrue="1" operator="lessThan">
      <formula>0</formula>
    </cfRule>
  </conditionalFormatting>
  <conditionalFormatting sqref="H211:H227">
    <cfRule type="cellIs" dxfId="639" priority="635" stopIfTrue="1" operator="lessThan">
      <formula>0</formula>
    </cfRule>
    <cfRule type="cellIs" dxfId="638" priority="636" stopIfTrue="1" operator="lessThan">
      <formula>0</formula>
    </cfRule>
  </conditionalFormatting>
  <conditionalFormatting sqref="H211:H227">
    <cfRule type="cellIs" dxfId="637" priority="633" stopIfTrue="1" operator="lessThan">
      <formula>0.05</formula>
    </cfRule>
    <cfRule type="cellIs" dxfId="636" priority="634" stopIfTrue="1" operator="lessThan">
      <formula>0</formula>
    </cfRule>
  </conditionalFormatting>
  <conditionalFormatting sqref="H211:H227">
    <cfRule type="cellIs" dxfId="635" priority="631" stopIfTrue="1" operator="lessThan">
      <formula>0</formula>
    </cfRule>
    <cfRule type="cellIs" dxfId="634" priority="632" stopIfTrue="1" operator="lessThan">
      <formula>0</formula>
    </cfRule>
  </conditionalFormatting>
  <conditionalFormatting sqref="H211:H227">
    <cfRule type="cellIs" dxfId="633" priority="629" stopIfTrue="1" operator="lessThan">
      <formula>0</formula>
    </cfRule>
    <cfRule type="cellIs" dxfId="632" priority="630" stopIfTrue="1" operator="lessThan">
      <formula>0</formula>
    </cfRule>
  </conditionalFormatting>
  <conditionalFormatting sqref="H211:H227">
    <cfRule type="cellIs" dxfId="631" priority="627" stopIfTrue="1" operator="lessThan">
      <formula>0.05</formula>
    </cfRule>
    <cfRule type="cellIs" dxfId="630" priority="628" stopIfTrue="1" operator="lessThan">
      <formula>0</formula>
    </cfRule>
  </conditionalFormatting>
  <conditionalFormatting sqref="H211:H227">
    <cfRule type="cellIs" dxfId="629" priority="625" stopIfTrue="1" operator="lessThan">
      <formula>0</formula>
    </cfRule>
    <cfRule type="cellIs" dxfId="628" priority="626" stopIfTrue="1" operator="lessThan">
      <formula>0</formula>
    </cfRule>
  </conditionalFormatting>
  <conditionalFormatting sqref="H211:H227">
    <cfRule type="cellIs" dxfId="627" priority="623" stopIfTrue="1" operator="lessThan">
      <formula>0</formula>
    </cfRule>
    <cfRule type="cellIs" dxfId="626" priority="624" stopIfTrue="1" operator="lessThan">
      <formula>0</formula>
    </cfRule>
  </conditionalFormatting>
  <conditionalFormatting sqref="H211:H227">
    <cfRule type="cellIs" dxfId="625" priority="621" stopIfTrue="1" operator="lessThan">
      <formula>0.05</formula>
    </cfRule>
    <cfRule type="cellIs" dxfId="624" priority="622" stopIfTrue="1" operator="lessThan">
      <formula>0</formula>
    </cfRule>
  </conditionalFormatting>
  <conditionalFormatting sqref="H211:H227">
    <cfRule type="cellIs" dxfId="623" priority="619" stopIfTrue="1" operator="lessThan">
      <formula>0</formula>
    </cfRule>
    <cfRule type="cellIs" dxfId="622" priority="620" stopIfTrue="1" operator="lessThan">
      <formula>0</formula>
    </cfRule>
  </conditionalFormatting>
  <conditionalFormatting sqref="H211:H227">
    <cfRule type="cellIs" dxfId="621" priority="617" stopIfTrue="1" operator="lessThan">
      <formula>0.05</formula>
    </cfRule>
    <cfRule type="cellIs" dxfId="620" priority="618" stopIfTrue="1" operator="lessThan">
      <formula>0</formula>
    </cfRule>
  </conditionalFormatting>
  <conditionalFormatting sqref="H211:H227">
    <cfRule type="cellIs" dxfId="619" priority="615" stopIfTrue="1" operator="lessThan">
      <formula>0</formula>
    </cfRule>
    <cfRule type="cellIs" dxfId="618" priority="616" stopIfTrue="1" operator="lessThan">
      <formula>0</formula>
    </cfRule>
  </conditionalFormatting>
  <conditionalFormatting sqref="H211:H227">
    <cfRule type="cellIs" dxfId="617" priority="613" stopIfTrue="1" operator="lessThan">
      <formula>0.05</formula>
    </cfRule>
    <cfRule type="cellIs" dxfId="616" priority="614" stopIfTrue="1" operator="lessThan">
      <formula>0</formula>
    </cfRule>
  </conditionalFormatting>
  <conditionalFormatting sqref="H211:H227">
    <cfRule type="cellIs" dxfId="615" priority="611" stopIfTrue="1" operator="lessThan">
      <formula>0</formula>
    </cfRule>
    <cfRule type="cellIs" dxfId="614" priority="612" stopIfTrue="1" operator="lessThan">
      <formula>0</formula>
    </cfRule>
  </conditionalFormatting>
  <conditionalFormatting sqref="H211:H227">
    <cfRule type="cellIs" dxfId="613" priority="609" stopIfTrue="1" operator="lessThan">
      <formula>0</formula>
    </cfRule>
    <cfRule type="cellIs" dxfId="612" priority="610" stopIfTrue="1" operator="lessThan">
      <formula>0</formula>
    </cfRule>
  </conditionalFormatting>
  <conditionalFormatting sqref="H211:H227">
    <cfRule type="cellIs" dxfId="611" priority="607" stopIfTrue="1" operator="lessThan">
      <formula>0</formula>
    </cfRule>
    <cfRule type="cellIs" dxfId="610" priority="608" stopIfTrue="1" operator="lessThan">
      <formula>0</formula>
    </cfRule>
  </conditionalFormatting>
  <conditionalFormatting sqref="H211:H227">
    <cfRule type="cellIs" dxfId="609" priority="605" stopIfTrue="1" operator="lessThan">
      <formula>0.05</formula>
    </cfRule>
    <cfRule type="cellIs" dxfId="608" priority="606" stopIfTrue="1" operator="lessThan">
      <formula>0</formula>
    </cfRule>
  </conditionalFormatting>
  <conditionalFormatting sqref="H211:H227">
    <cfRule type="cellIs" dxfId="607" priority="603" stopIfTrue="1" operator="lessThan">
      <formula>0</formula>
    </cfRule>
    <cfRule type="cellIs" dxfId="606" priority="604" stopIfTrue="1" operator="lessThan">
      <formula>0</formula>
    </cfRule>
  </conditionalFormatting>
  <conditionalFormatting sqref="H211:H227">
    <cfRule type="cellIs" dxfId="605" priority="601" stopIfTrue="1" operator="lessThan">
      <formula>0.05</formula>
    </cfRule>
    <cfRule type="cellIs" dxfId="604" priority="602" stopIfTrue="1" operator="lessThan">
      <formula>0</formula>
    </cfRule>
  </conditionalFormatting>
  <conditionalFormatting sqref="H211:H227">
    <cfRule type="cellIs" dxfId="603" priority="599" stopIfTrue="1" operator="lessThan">
      <formula>0</formula>
    </cfRule>
    <cfRule type="cellIs" dxfId="602" priority="600" stopIfTrue="1" operator="lessThan">
      <formula>0</formula>
    </cfRule>
  </conditionalFormatting>
  <conditionalFormatting sqref="H211:H227">
    <cfRule type="cellIs" dxfId="601" priority="597" stopIfTrue="1" operator="lessThan">
      <formula>0.05</formula>
    </cfRule>
    <cfRule type="cellIs" dxfId="600" priority="598" stopIfTrue="1" operator="lessThan">
      <formula>0</formula>
    </cfRule>
  </conditionalFormatting>
  <conditionalFormatting sqref="H211:H227">
    <cfRule type="cellIs" dxfId="599" priority="595" stopIfTrue="1" operator="lessThan">
      <formula>0</formula>
    </cfRule>
    <cfRule type="cellIs" dxfId="598" priority="596" stopIfTrue="1" operator="lessThan">
      <formula>0</formula>
    </cfRule>
  </conditionalFormatting>
  <conditionalFormatting sqref="H211:H227">
    <cfRule type="cellIs" dxfId="597" priority="593" stopIfTrue="1" operator="lessThan">
      <formula>0</formula>
    </cfRule>
    <cfRule type="cellIs" dxfId="596" priority="594" stopIfTrue="1" operator="lessThan">
      <formula>0</formula>
    </cfRule>
  </conditionalFormatting>
  <conditionalFormatting sqref="H211:H227">
    <cfRule type="cellIs" dxfId="595" priority="591" stopIfTrue="1" operator="lessThan">
      <formula>0.05</formula>
    </cfRule>
    <cfRule type="cellIs" dxfId="594" priority="592" stopIfTrue="1" operator="lessThan">
      <formula>0</formula>
    </cfRule>
  </conditionalFormatting>
  <conditionalFormatting sqref="H211:H227">
    <cfRule type="cellIs" dxfId="593" priority="589" stopIfTrue="1" operator="lessThan">
      <formula>0</formula>
    </cfRule>
    <cfRule type="cellIs" dxfId="592" priority="590" stopIfTrue="1" operator="lessThan">
      <formula>0</formula>
    </cfRule>
  </conditionalFormatting>
  <conditionalFormatting sqref="H211:H227">
    <cfRule type="cellIs" dxfId="591" priority="587" stopIfTrue="1" operator="lessThan">
      <formula>0</formula>
    </cfRule>
    <cfRule type="cellIs" dxfId="590" priority="588" stopIfTrue="1" operator="lessThan">
      <formula>0</formula>
    </cfRule>
  </conditionalFormatting>
  <conditionalFormatting sqref="H211:H227">
    <cfRule type="cellIs" dxfId="589" priority="585" stopIfTrue="1" operator="lessThan">
      <formula>0.05</formula>
    </cfRule>
    <cfRule type="cellIs" dxfId="588" priority="586" stopIfTrue="1" operator="lessThan">
      <formula>0</formula>
    </cfRule>
  </conditionalFormatting>
  <conditionalFormatting sqref="H211:H227">
    <cfRule type="cellIs" dxfId="587" priority="583" stopIfTrue="1" operator="lessThan">
      <formula>0</formula>
    </cfRule>
    <cfRule type="cellIs" dxfId="586" priority="584" stopIfTrue="1" operator="lessThan">
      <formula>0</formula>
    </cfRule>
  </conditionalFormatting>
  <conditionalFormatting sqref="H211:H227">
    <cfRule type="cellIs" dxfId="585" priority="581" stopIfTrue="1" operator="lessThan">
      <formula>0</formula>
    </cfRule>
    <cfRule type="cellIs" dxfId="584" priority="582" stopIfTrue="1" operator="lessThan">
      <formula>0</formula>
    </cfRule>
  </conditionalFormatting>
  <conditionalFormatting sqref="H211:H227">
    <cfRule type="cellIs" dxfId="583" priority="579" stopIfTrue="1" operator="lessThan">
      <formula>0.05</formula>
    </cfRule>
    <cfRule type="cellIs" dxfId="582" priority="580" stopIfTrue="1" operator="lessThan">
      <formula>0</formula>
    </cfRule>
  </conditionalFormatting>
  <conditionalFormatting sqref="H211:H227">
    <cfRule type="cellIs" dxfId="581" priority="577" stopIfTrue="1" operator="lessThan">
      <formula>0</formula>
    </cfRule>
    <cfRule type="cellIs" dxfId="580" priority="578" stopIfTrue="1" operator="lessThan">
      <formula>0</formula>
    </cfRule>
  </conditionalFormatting>
  <conditionalFormatting sqref="H211:H227">
    <cfRule type="cellIs" dxfId="579" priority="575" stopIfTrue="1" operator="lessThan">
      <formula>0</formula>
    </cfRule>
    <cfRule type="cellIs" dxfId="578" priority="576" stopIfTrue="1" operator="lessThan">
      <formula>0</formula>
    </cfRule>
  </conditionalFormatting>
  <conditionalFormatting sqref="H211:H227">
    <cfRule type="cellIs" dxfId="577" priority="573" stopIfTrue="1" operator="lessThan">
      <formula>0.05</formula>
    </cfRule>
    <cfRule type="cellIs" dxfId="576" priority="574" stopIfTrue="1" operator="lessThan">
      <formula>0</formula>
    </cfRule>
  </conditionalFormatting>
  <conditionalFormatting sqref="H211:H227">
    <cfRule type="cellIs" dxfId="575" priority="571" stopIfTrue="1" operator="lessThan">
      <formula>0</formula>
    </cfRule>
    <cfRule type="cellIs" dxfId="574" priority="572" stopIfTrue="1" operator="lessThan">
      <formula>0</formula>
    </cfRule>
  </conditionalFormatting>
  <conditionalFormatting sqref="H211:H227">
    <cfRule type="cellIs" dxfId="573" priority="569" stopIfTrue="1" operator="lessThan">
      <formula>0</formula>
    </cfRule>
    <cfRule type="cellIs" dxfId="572" priority="570" stopIfTrue="1" operator="lessThan">
      <formula>0</formula>
    </cfRule>
  </conditionalFormatting>
  <conditionalFormatting sqref="H211:H227">
    <cfRule type="cellIs" dxfId="571" priority="567" stopIfTrue="1" operator="lessThan">
      <formula>0.05</formula>
    </cfRule>
    <cfRule type="cellIs" dxfId="570" priority="568" stopIfTrue="1" operator="lessThan">
      <formula>0</formula>
    </cfRule>
  </conditionalFormatting>
  <conditionalFormatting sqref="H211:H227">
    <cfRule type="cellIs" dxfId="569" priority="565" stopIfTrue="1" operator="lessThan">
      <formula>0</formula>
    </cfRule>
    <cfRule type="cellIs" dxfId="568" priority="566" stopIfTrue="1" operator="lessThan">
      <formula>0</formula>
    </cfRule>
  </conditionalFormatting>
  <conditionalFormatting sqref="H211:H227">
    <cfRule type="cellIs" dxfId="567" priority="563" stopIfTrue="1" operator="lessThan">
      <formula>0</formula>
    </cfRule>
    <cfRule type="cellIs" dxfId="566" priority="564" stopIfTrue="1" operator="lessThan">
      <formula>0</formula>
    </cfRule>
  </conditionalFormatting>
  <conditionalFormatting sqref="H211:H227">
    <cfRule type="cellIs" dxfId="565" priority="561" stopIfTrue="1" operator="lessThan">
      <formula>0.05</formula>
    </cfRule>
    <cfRule type="cellIs" dxfId="564" priority="562" stopIfTrue="1" operator="lessThan">
      <formula>0</formula>
    </cfRule>
  </conditionalFormatting>
  <conditionalFormatting sqref="H211:H227">
    <cfRule type="cellIs" dxfId="563" priority="559" stopIfTrue="1" operator="lessThan">
      <formula>0</formula>
    </cfRule>
    <cfRule type="cellIs" dxfId="562" priority="560" stopIfTrue="1" operator="lessThan">
      <formula>0</formula>
    </cfRule>
  </conditionalFormatting>
  <conditionalFormatting sqref="H211:H227">
    <cfRule type="cellIs" dxfId="561" priority="557" stopIfTrue="1" operator="lessThan">
      <formula>0</formula>
    </cfRule>
    <cfRule type="cellIs" dxfId="560" priority="558" stopIfTrue="1" operator="lessThan">
      <formula>0</formula>
    </cfRule>
  </conditionalFormatting>
  <conditionalFormatting sqref="H211:H227">
    <cfRule type="cellIs" dxfId="559" priority="555" stopIfTrue="1" operator="lessThan">
      <formula>0.05</formula>
    </cfRule>
    <cfRule type="cellIs" dxfId="558" priority="556" stopIfTrue="1" operator="lessThan">
      <formula>0</formula>
    </cfRule>
  </conditionalFormatting>
  <conditionalFormatting sqref="H211:H227">
    <cfRule type="cellIs" dxfId="557" priority="553" stopIfTrue="1" operator="lessThan">
      <formula>0</formula>
    </cfRule>
    <cfRule type="cellIs" dxfId="556" priority="554" stopIfTrue="1" operator="lessThan">
      <formula>0</formula>
    </cfRule>
  </conditionalFormatting>
  <conditionalFormatting sqref="H211:H227">
    <cfRule type="cellIs" dxfId="555" priority="551" stopIfTrue="1" operator="lessThan">
      <formula>0</formula>
    </cfRule>
    <cfRule type="cellIs" dxfId="554" priority="552" stopIfTrue="1" operator="lessThan">
      <formula>0</formula>
    </cfRule>
  </conditionalFormatting>
  <conditionalFormatting sqref="H211:H227">
    <cfRule type="cellIs" dxfId="553" priority="549" stopIfTrue="1" operator="lessThan">
      <formula>0.05</formula>
    </cfRule>
    <cfRule type="cellIs" dxfId="552" priority="550" stopIfTrue="1" operator="lessThan">
      <formula>0</formula>
    </cfRule>
  </conditionalFormatting>
  <conditionalFormatting sqref="H211:H227">
    <cfRule type="cellIs" dxfId="551" priority="547" stopIfTrue="1" operator="lessThan">
      <formula>0</formula>
    </cfRule>
    <cfRule type="cellIs" dxfId="550" priority="548" stopIfTrue="1" operator="lessThan">
      <formula>0</formula>
    </cfRule>
  </conditionalFormatting>
  <conditionalFormatting sqref="H211:H227">
    <cfRule type="cellIs" dxfId="549" priority="545" stopIfTrue="1" operator="lessThan">
      <formula>0</formula>
    </cfRule>
    <cfRule type="cellIs" dxfId="548" priority="546" stopIfTrue="1" operator="lessThan">
      <formula>0</formula>
    </cfRule>
  </conditionalFormatting>
  <conditionalFormatting sqref="H211:H227">
    <cfRule type="cellIs" dxfId="547" priority="543" stopIfTrue="1" operator="lessThan">
      <formula>0.05</formula>
    </cfRule>
    <cfRule type="cellIs" dxfId="546" priority="544" stopIfTrue="1" operator="lessThan">
      <formula>0</formula>
    </cfRule>
  </conditionalFormatting>
  <conditionalFormatting sqref="H211:H227">
    <cfRule type="cellIs" dxfId="545" priority="541" stopIfTrue="1" operator="lessThan">
      <formula>0</formula>
    </cfRule>
    <cfRule type="cellIs" dxfId="544" priority="542" stopIfTrue="1" operator="lessThan">
      <formula>0</formula>
    </cfRule>
  </conditionalFormatting>
  <conditionalFormatting sqref="H211:H227">
    <cfRule type="cellIs" dxfId="543" priority="539" stopIfTrue="1" operator="lessThan">
      <formula>0</formula>
    </cfRule>
    <cfRule type="cellIs" dxfId="542" priority="540" stopIfTrue="1" operator="lessThan">
      <formula>0</formula>
    </cfRule>
  </conditionalFormatting>
  <conditionalFormatting sqref="H211:H227">
    <cfRule type="cellIs" dxfId="541" priority="537" stopIfTrue="1" operator="lessThan">
      <formula>0.05</formula>
    </cfRule>
    <cfRule type="cellIs" dxfId="540" priority="538" stopIfTrue="1" operator="lessThan">
      <formula>0</formula>
    </cfRule>
  </conditionalFormatting>
  <conditionalFormatting sqref="H211:H227">
    <cfRule type="cellIs" dxfId="539" priority="535" stopIfTrue="1" operator="lessThan">
      <formula>0</formula>
    </cfRule>
    <cfRule type="cellIs" dxfId="538" priority="536" stopIfTrue="1" operator="lessThan">
      <formula>0</formula>
    </cfRule>
  </conditionalFormatting>
  <conditionalFormatting sqref="H211:H227">
    <cfRule type="cellIs" dxfId="537" priority="533" stopIfTrue="1" operator="lessThan">
      <formula>0</formula>
    </cfRule>
    <cfRule type="cellIs" dxfId="536" priority="534" stopIfTrue="1" operator="lessThan">
      <formula>0</formula>
    </cfRule>
  </conditionalFormatting>
  <conditionalFormatting sqref="H211:H227">
    <cfRule type="cellIs" dxfId="535" priority="531" stopIfTrue="1" operator="lessThan">
      <formula>0.05</formula>
    </cfRule>
    <cfRule type="cellIs" dxfId="534" priority="532" stopIfTrue="1" operator="lessThan">
      <formula>0</formula>
    </cfRule>
  </conditionalFormatting>
  <conditionalFormatting sqref="H211:H227">
    <cfRule type="cellIs" dxfId="533" priority="529" stopIfTrue="1" operator="lessThan">
      <formula>0</formula>
    </cfRule>
    <cfRule type="cellIs" dxfId="532" priority="530" stopIfTrue="1" operator="lessThan">
      <formula>0</formula>
    </cfRule>
  </conditionalFormatting>
  <conditionalFormatting sqref="H211:H227">
    <cfRule type="cellIs" dxfId="531" priority="527" stopIfTrue="1" operator="lessThan">
      <formula>0</formula>
    </cfRule>
    <cfRule type="cellIs" dxfId="530" priority="528" stopIfTrue="1" operator="lessThan">
      <formula>0</formula>
    </cfRule>
  </conditionalFormatting>
  <conditionalFormatting sqref="H211:H227">
    <cfRule type="cellIs" dxfId="529" priority="525" stopIfTrue="1" operator="lessThan">
      <formula>0.05</formula>
    </cfRule>
    <cfRule type="cellIs" dxfId="528" priority="526" stopIfTrue="1" operator="lessThan">
      <formula>0</formula>
    </cfRule>
  </conditionalFormatting>
  <conditionalFormatting sqref="H211:H227">
    <cfRule type="cellIs" dxfId="527" priority="523" stopIfTrue="1" operator="lessThan">
      <formula>0</formula>
    </cfRule>
    <cfRule type="cellIs" dxfId="526" priority="524" stopIfTrue="1" operator="lessThan">
      <formula>0</formula>
    </cfRule>
  </conditionalFormatting>
  <conditionalFormatting sqref="H211:H227">
    <cfRule type="cellIs" dxfId="525" priority="521" stopIfTrue="1" operator="lessThan">
      <formula>0.05</formula>
    </cfRule>
    <cfRule type="cellIs" dxfId="524" priority="522" stopIfTrue="1" operator="lessThan">
      <formula>0</formula>
    </cfRule>
  </conditionalFormatting>
  <conditionalFormatting sqref="H211:H227">
    <cfRule type="cellIs" dxfId="523" priority="519" stopIfTrue="1" operator="lessThan">
      <formula>0</formula>
    </cfRule>
    <cfRule type="cellIs" dxfId="522" priority="520" stopIfTrue="1" operator="lessThan">
      <formula>0</formula>
    </cfRule>
  </conditionalFormatting>
  <conditionalFormatting sqref="H211:H227">
    <cfRule type="cellIs" dxfId="521" priority="517" stopIfTrue="1" operator="lessThan">
      <formula>0.05</formula>
    </cfRule>
    <cfRule type="cellIs" dxfId="520" priority="518" stopIfTrue="1" operator="lessThan">
      <formula>0</formula>
    </cfRule>
  </conditionalFormatting>
  <conditionalFormatting sqref="H211:H227">
    <cfRule type="cellIs" dxfId="519" priority="515" stopIfTrue="1" operator="lessThan">
      <formula>0</formula>
    </cfRule>
    <cfRule type="cellIs" dxfId="518" priority="516" stopIfTrue="1" operator="lessThan">
      <formula>0</formula>
    </cfRule>
  </conditionalFormatting>
  <conditionalFormatting sqref="H211:H227">
    <cfRule type="cellIs" dxfId="517" priority="513" stopIfTrue="1" operator="lessThan">
      <formula>0</formula>
    </cfRule>
    <cfRule type="cellIs" dxfId="516" priority="514" stopIfTrue="1" operator="lessThan">
      <formula>0</formula>
    </cfRule>
  </conditionalFormatting>
  <conditionalFormatting sqref="H211:H227">
    <cfRule type="cellIs" dxfId="515" priority="511" stopIfTrue="1" operator="lessThan">
      <formula>0</formula>
    </cfRule>
    <cfRule type="cellIs" dxfId="514" priority="512" stopIfTrue="1" operator="lessThan">
      <formula>0</formula>
    </cfRule>
  </conditionalFormatting>
  <conditionalFormatting sqref="H211:H227">
    <cfRule type="cellIs" dxfId="513" priority="509" stopIfTrue="1" operator="lessThan">
      <formula>0.05</formula>
    </cfRule>
    <cfRule type="cellIs" dxfId="512" priority="510" stopIfTrue="1" operator="lessThan">
      <formula>0</formula>
    </cfRule>
  </conditionalFormatting>
  <conditionalFormatting sqref="H211:H227">
    <cfRule type="cellIs" dxfId="511" priority="507" stopIfTrue="1" operator="lessThan">
      <formula>0</formula>
    </cfRule>
    <cfRule type="cellIs" dxfId="510" priority="508" stopIfTrue="1" operator="lessThan">
      <formula>0</formula>
    </cfRule>
  </conditionalFormatting>
  <conditionalFormatting sqref="H211:H227">
    <cfRule type="cellIs" dxfId="509" priority="505" stopIfTrue="1" operator="lessThan">
      <formula>0.05</formula>
    </cfRule>
    <cfRule type="cellIs" dxfId="508" priority="506" stopIfTrue="1" operator="lessThan">
      <formula>0</formula>
    </cfRule>
  </conditionalFormatting>
  <conditionalFormatting sqref="H211:H227">
    <cfRule type="cellIs" dxfId="507" priority="503" stopIfTrue="1" operator="lessThan">
      <formula>0</formula>
    </cfRule>
    <cfRule type="cellIs" dxfId="506" priority="504" stopIfTrue="1" operator="lessThan">
      <formula>0</formula>
    </cfRule>
  </conditionalFormatting>
  <conditionalFormatting sqref="H211:H227">
    <cfRule type="cellIs" dxfId="505" priority="501" stopIfTrue="1" operator="lessThan">
      <formula>0.05</formula>
    </cfRule>
    <cfRule type="cellIs" dxfId="504" priority="502" stopIfTrue="1" operator="lessThan">
      <formula>0</formula>
    </cfRule>
  </conditionalFormatting>
  <conditionalFormatting sqref="H211:H227">
    <cfRule type="cellIs" dxfId="503" priority="499" stopIfTrue="1" operator="lessThan">
      <formula>0</formula>
    </cfRule>
    <cfRule type="cellIs" dxfId="502" priority="500" stopIfTrue="1" operator="lessThan">
      <formula>0</formula>
    </cfRule>
  </conditionalFormatting>
  <conditionalFormatting sqref="H211:H227">
    <cfRule type="cellIs" dxfId="501" priority="497" stopIfTrue="1" operator="lessThan">
      <formula>0</formula>
    </cfRule>
    <cfRule type="cellIs" dxfId="500" priority="498" stopIfTrue="1" operator="lessThan">
      <formula>0</formula>
    </cfRule>
  </conditionalFormatting>
  <conditionalFormatting sqref="H211:H227">
    <cfRule type="cellIs" dxfId="499" priority="495" stopIfTrue="1" operator="lessThan">
      <formula>0.05</formula>
    </cfRule>
    <cfRule type="cellIs" dxfId="498" priority="496" stopIfTrue="1" operator="lessThan">
      <formula>0</formula>
    </cfRule>
  </conditionalFormatting>
  <conditionalFormatting sqref="H211:H227">
    <cfRule type="cellIs" dxfId="497" priority="493" stopIfTrue="1" operator="lessThan">
      <formula>0</formula>
    </cfRule>
    <cfRule type="cellIs" dxfId="496" priority="494" stopIfTrue="1" operator="lessThan">
      <formula>0</formula>
    </cfRule>
  </conditionalFormatting>
  <conditionalFormatting sqref="H211:H227">
    <cfRule type="cellIs" dxfId="495" priority="491" stopIfTrue="1" operator="lessThan">
      <formula>0</formula>
    </cfRule>
    <cfRule type="cellIs" dxfId="494" priority="492" stopIfTrue="1" operator="lessThan">
      <formula>0</formula>
    </cfRule>
  </conditionalFormatting>
  <conditionalFormatting sqref="H211:H227">
    <cfRule type="cellIs" dxfId="493" priority="489" stopIfTrue="1" operator="lessThan">
      <formula>0.05</formula>
    </cfRule>
    <cfRule type="cellIs" dxfId="492" priority="490" stopIfTrue="1" operator="lessThan">
      <formula>0</formula>
    </cfRule>
  </conditionalFormatting>
  <conditionalFormatting sqref="H211:H227">
    <cfRule type="cellIs" dxfId="491" priority="487" stopIfTrue="1" operator="lessThan">
      <formula>0</formula>
    </cfRule>
    <cfRule type="cellIs" dxfId="490" priority="488" stopIfTrue="1" operator="lessThan">
      <formula>0</formula>
    </cfRule>
  </conditionalFormatting>
  <conditionalFormatting sqref="H211:H227">
    <cfRule type="cellIs" dxfId="489" priority="485" stopIfTrue="1" operator="lessThan">
      <formula>0</formula>
    </cfRule>
    <cfRule type="cellIs" dxfId="488" priority="486" stopIfTrue="1" operator="lessThan">
      <formula>0</formula>
    </cfRule>
  </conditionalFormatting>
  <conditionalFormatting sqref="H211:H227">
    <cfRule type="cellIs" dxfId="487" priority="483" stopIfTrue="1" operator="lessThan">
      <formula>0.05</formula>
    </cfRule>
    <cfRule type="cellIs" dxfId="486" priority="484" stopIfTrue="1" operator="lessThan">
      <formula>0</formula>
    </cfRule>
  </conditionalFormatting>
  <conditionalFormatting sqref="H211:H227">
    <cfRule type="cellIs" dxfId="485" priority="481" stopIfTrue="1" operator="lessThan">
      <formula>0</formula>
    </cfRule>
    <cfRule type="cellIs" dxfId="484" priority="482" stopIfTrue="1" operator="lessThan">
      <formula>0</formula>
    </cfRule>
  </conditionalFormatting>
  <conditionalFormatting sqref="H211:H227">
    <cfRule type="cellIs" dxfId="483" priority="479" stopIfTrue="1" operator="lessThan">
      <formula>0</formula>
    </cfRule>
    <cfRule type="cellIs" dxfId="482" priority="480" stopIfTrue="1" operator="lessThan">
      <formula>0</formula>
    </cfRule>
  </conditionalFormatting>
  <conditionalFormatting sqref="H211:H227">
    <cfRule type="cellIs" dxfId="481" priority="477" stopIfTrue="1" operator="lessThan">
      <formula>0.05</formula>
    </cfRule>
    <cfRule type="cellIs" dxfId="480" priority="478" stopIfTrue="1" operator="lessThan">
      <formula>0</formula>
    </cfRule>
  </conditionalFormatting>
  <conditionalFormatting sqref="H211:H227">
    <cfRule type="cellIs" dxfId="479" priority="475" stopIfTrue="1" operator="lessThan">
      <formula>0</formula>
    </cfRule>
    <cfRule type="cellIs" dxfId="478" priority="476" stopIfTrue="1" operator="lessThan">
      <formula>0</formula>
    </cfRule>
  </conditionalFormatting>
  <conditionalFormatting sqref="H211:H227">
    <cfRule type="cellIs" dxfId="477" priority="473" stopIfTrue="1" operator="lessThan">
      <formula>0</formula>
    </cfRule>
    <cfRule type="cellIs" dxfId="476" priority="474" stopIfTrue="1" operator="lessThan">
      <formula>0</formula>
    </cfRule>
  </conditionalFormatting>
  <conditionalFormatting sqref="H211:H227">
    <cfRule type="cellIs" dxfId="475" priority="471" stopIfTrue="1" operator="lessThan">
      <formula>0.05</formula>
    </cfRule>
    <cfRule type="cellIs" dxfId="474" priority="472" stopIfTrue="1" operator="lessThan">
      <formula>0</formula>
    </cfRule>
  </conditionalFormatting>
  <conditionalFormatting sqref="H211:H227">
    <cfRule type="cellIs" dxfId="473" priority="469" stopIfTrue="1" operator="lessThan">
      <formula>0</formula>
    </cfRule>
    <cfRule type="cellIs" dxfId="472" priority="470" stopIfTrue="1" operator="lessThan">
      <formula>0</formula>
    </cfRule>
  </conditionalFormatting>
  <conditionalFormatting sqref="H211:H227">
    <cfRule type="cellIs" dxfId="471" priority="467" stopIfTrue="1" operator="lessThan">
      <formula>0</formula>
    </cfRule>
    <cfRule type="cellIs" dxfId="470" priority="468" stopIfTrue="1" operator="lessThan">
      <formula>0</formula>
    </cfRule>
  </conditionalFormatting>
  <conditionalFormatting sqref="H211:H227">
    <cfRule type="cellIs" dxfId="469" priority="465" stopIfTrue="1" operator="lessThan">
      <formula>0.05</formula>
    </cfRule>
    <cfRule type="cellIs" dxfId="468" priority="466" stopIfTrue="1" operator="lessThan">
      <formula>0</formula>
    </cfRule>
  </conditionalFormatting>
  <conditionalFormatting sqref="H211:H227">
    <cfRule type="cellIs" dxfId="467" priority="463" stopIfTrue="1" operator="lessThan">
      <formula>0</formula>
    </cfRule>
    <cfRule type="cellIs" dxfId="466" priority="464" stopIfTrue="1" operator="lessThan">
      <formula>0</formula>
    </cfRule>
  </conditionalFormatting>
  <conditionalFormatting sqref="H211:H227">
    <cfRule type="cellIs" dxfId="465" priority="461" stopIfTrue="1" operator="lessThan">
      <formula>0</formula>
    </cfRule>
    <cfRule type="cellIs" dxfId="464" priority="462" stopIfTrue="1" operator="lessThan">
      <formula>0</formula>
    </cfRule>
  </conditionalFormatting>
  <conditionalFormatting sqref="H211:H227">
    <cfRule type="cellIs" dxfId="463" priority="459" stopIfTrue="1" operator="lessThan">
      <formula>0.05</formula>
    </cfRule>
    <cfRule type="cellIs" dxfId="462" priority="460" stopIfTrue="1" operator="lessThan">
      <formula>0</formula>
    </cfRule>
  </conditionalFormatting>
  <conditionalFormatting sqref="H211:H227">
    <cfRule type="cellIs" dxfId="461" priority="457" stopIfTrue="1" operator="lessThan">
      <formula>0</formula>
    </cfRule>
    <cfRule type="cellIs" dxfId="460" priority="458" stopIfTrue="1" operator="lessThan">
      <formula>0</formula>
    </cfRule>
  </conditionalFormatting>
  <conditionalFormatting sqref="H211:H227">
    <cfRule type="cellIs" dxfId="459" priority="455" stopIfTrue="1" operator="lessThan">
      <formula>0</formula>
    </cfRule>
    <cfRule type="cellIs" dxfId="458" priority="456" stopIfTrue="1" operator="lessThan">
      <formula>0</formula>
    </cfRule>
  </conditionalFormatting>
  <conditionalFormatting sqref="H211:H227">
    <cfRule type="cellIs" dxfId="457" priority="453" stopIfTrue="1" operator="lessThan">
      <formula>0.05</formula>
    </cfRule>
    <cfRule type="cellIs" dxfId="456" priority="454" stopIfTrue="1" operator="lessThan">
      <formula>0</formula>
    </cfRule>
  </conditionalFormatting>
  <conditionalFormatting sqref="H211:H227">
    <cfRule type="cellIs" dxfId="455" priority="451" stopIfTrue="1" operator="lessThan">
      <formula>0</formula>
    </cfRule>
    <cfRule type="cellIs" dxfId="454" priority="452" stopIfTrue="1" operator="lessThan">
      <formula>0</formula>
    </cfRule>
  </conditionalFormatting>
  <conditionalFormatting sqref="H211:H227">
    <cfRule type="cellIs" dxfId="453" priority="449" stopIfTrue="1" operator="lessThan">
      <formula>0</formula>
    </cfRule>
    <cfRule type="cellIs" dxfId="452" priority="450" stopIfTrue="1" operator="lessThan">
      <formula>0</formula>
    </cfRule>
  </conditionalFormatting>
  <conditionalFormatting sqref="H211:H227">
    <cfRule type="cellIs" dxfId="451" priority="447" stopIfTrue="1" operator="lessThan">
      <formula>0.05</formula>
    </cfRule>
    <cfRule type="cellIs" dxfId="450" priority="448" stopIfTrue="1" operator="lessThan">
      <formula>0</formula>
    </cfRule>
  </conditionalFormatting>
  <conditionalFormatting sqref="H211:H227">
    <cfRule type="cellIs" dxfId="449" priority="445" stopIfTrue="1" operator="lessThan">
      <formula>0</formula>
    </cfRule>
    <cfRule type="cellIs" dxfId="448" priority="446" stopIfTrue="1" operator="lessThan">
      <formula>0</formula>
    </cfRule>
  </conditionalFormatting>
  <conditionalFormatting sqref="H211:H227">
    <cfRule type="cellIs" dxfId="447" priority="443" stopIfTrue="1" operator="lessThan">
      <formula>0</formula>
    </cfRule>
    <cfRule type="cellIs" dxfId="446" priority="444" stopIfTrue="1" operator="lessThan">
      <formula>0</formula>
    </cfRule>
  </conditionalFormatting>
  <conditionalFormatting sqref="H211:H227">
    <cfRule type="cellIs" dxfId="445" priority="441" stopIfTrue="1" operator="lessThan">
      <formula>0.05</formula>
    </cfRule>
    <cfRule type="cellIs" dxfId="444" priority="442" stopIfTrue="1" operator="lessThan">
      <formula>0</formula>
    </cfRule>
  </conditionalFormatting>
  <conditionalFormatting sqref="H211:H227">
    <cfRule type="cellIs" dxfId="443" priority="439" stopIfTrue="1" operator="lessThan">
      <formula>0</formula>
    </cfRule>
    <cfRule type="cellIs" dxfId="442" priority="440" stopIfTrue="1" operator="lessThan">
      <formula>0</formula>
    </cfRule>
  </conditionalFormatting>
  <conditionalFormatting sqref="H211:H227">
    <cfRule type="cellIs" dxfId="441" priority="437" stopIfTrue="1" operator="lessThan">
      <formula>0</formula>
    </cfRule>
    <cfRule type="cellIs" dxfId="440" priority="438" stopIfTrue="1" operator="lessThan">
      <formula>0</formula>
    </cfRule>
  </conditionalFormatting>
  <conditionalFormatting sqref="H211:H227">
    <cfRule type="cellIs" dxfId="439" priority="435" stopIfTrue="1" operator="lessThan">
      <formula>0.05</formula>
    </cfRule>
    <cfRule type="cellIs" dxfId="438" priority="436" stopIfTrue="1" operator="lessThan">
      <formula>0</formula>
    </cfRule>
  </conditionalFormatting>
  <conditionalFormatting sqref="H211:H227">
    <cfRule type="cellIs" dxfId="437" priority="433" stopIfTrue="1" operator="lessThan">
      <formula>0</formula>
    </cfRule>
    <cfRule type="cellIs" dxfId="436" priority="434" stopIfTrue="1" operator="lessThan">
      <formula>0</formula>
    </cfRule>
  </conditionalFormatting>
  <conditionalFormatting sqref="H211:H227">
    <cfRule type="cellIs" dxfId="435" priority="431" stopIfTrue="1" operator="lessThan">
      <formula>0</formula>
    </cfRule>
    <cfRule type="cellIs" dxfId="434" priority="432" stopIfTrue="1" operator="lessThan">
      <formula>0</formula>
    </cfRule>
  </conditionalFormatting>
  <conditionalFormatting sqref="H211:H227">
    <cfRule type="cellIs" dxfId="433" priority="429" stopIfTrue="1" operator="lessThan">
      <formula>0.05</formula>
    </cfRule>
    <cfRule type="cellIs" dxfId="432" priority="430" stopIfTrue="1" operator="lessThan">
      <formula>0</formula>
    </cfRule>
  </conditionalFormatting>
  <conditionalFormatting sqref="H211:H227">
    <cfRule type="cellIs" dxfId="431" priority="427" stopIfTrue="1" operator="lessThan">
      <formula>0</formula>
    </cfRule>
    <cfRule type="cellIs" dxfId="430" priority="428" stopIfTrue="1" operator="lessThan">
      <formula>0</formula>
    </cfRule>
  </conditionalFormatting>
  <conditionalFormatting sqref="H211:H227">
    <cfRule type="cellIs" dxfId="429" priority="425" stopIfTrue="1" operator="lessThan">
      <formula>0</formula>
    </cfRule>
    <cfRule type="cellIs" dxfId="428" priority="426" stopIfTrue="1" operator="lessThan">
      <formula>0</formula>
    </cfRule>
  </conditionalFormatting>
  <conditionalFormatting sqref="H211:H227">
    <cfRule type="cellIs" dxfId="427" priority="423" stopIfTrue="1" operator="lessThan">
      <formula>0.05</formula>
    </cfRule>
    <cfRule type="cellIs" dxfId="426" priority="424" stopIfTrue="1" operator="lessThan">
      <formula>0</formula>
    </cfRule>
  </conditionalFormatting>
  <conditionalFormatting sqref="H211:H227">
    <cfRule type="cellIs" dxfId="425" priority="421" stopIfTrue="1" operator="lessThan">
      <formula>0</formula>
    </cfRule>
    <cfRule type="cellIs" dxfId="424" priority="422" stopIfTrue="1" operator="lessThan">
      <formula>0</formula>
    </cfRule>
  </conditionalFormatting>
  <conditionalFormatting sqref="H211:H227">
    <cfRule type="cellIs" dxfId="423" priority="419" stopIfTrue="1" operator="lessThan">
      <formula>0</formula>
    </cfRule>
    <cfRule type="cellIs" dxfId="422" priority="420" stopIfTrue="1" operator="lessThan">
      <formula>0</formula>
    </cfRule>
  </conditionalFormatting>
  <conditionalFormatting sqref="H211:H227">
    <cfRule type="cellIs" dxfId="421" priority="417" stopIfTrue="1" operator="lessThan">
      <formula>0.05</formula>
    </cfRule>
    <cfRule type="cellIs" dxfId="420" priority="418" stopIfTrue="1" operator="lessThan">
      <formula>0</formula>
    </cfRule>
  </conditionalFormatting>
  <conditionalFormatting sqref="H211:H227">
    <cfRule type="cellIs" dxfId="419" priority="415" stopIfTrue="1" operator="lessThan">
      <formula>0</formula>
    </cfRule>
    <cfRule type="cellIs" dxfId="418" priority="416" stopIfTrue="1" operator="lessThan">
      <formula>0</formula>
    </cfRule>
  </conditionalFormatting>
  <conditionalFormatting sqref="H211:H227">
    <cfRule type="cellIs" dxfId="417" priority="413" stopIfTrue="1" operator="lessThan">
      <formula>0.05</formula>
    </cfRule>
    <cfRule type="cellIs" dxfId="416" priority="414" stopIfTrue="1" operator="lessThan">
      <formula>0</formula>
    </cfRule>
  </conditionalFormatting>
  <conditionalFormatting sqref="H211:H227">
    <cfRule type="cellIs" dxfId="415" priority="411" stopIfTrue="1" operator="lessThan">
      <formula>0</formula>
    </cfRule>
    <cfRule type="cellIs" dxfId="414" priority="412" stopIfTrue="1" operator="lessThan">
      <formula>0</formula>
    </cfRule>
  </conditionalFormatting>
  <conditionalFormatting sqref="H211:H227">
    <cfRule type="cellIs" dxfId="413" priority="409" stopIfTrue="1" operator="lessThan">
      <formula>0.05</formula>
    </cfRule>
    <cfRule type="cellIs" dxfId="412" priority="410" stopIfTrue="1" operator="lessThan">
      <formula>0</formula>
    </cfRule>
  </conditionalFormatting>
  <conditionalFormatting sqref="H211:H227">
    <cfRule type="cellIs" dxfId="411" priority="407" stopIfTrue="1" operator="lessThan">
      <formula>0</formula>
    </cfRule>
    <cfRule type="cellIs" dxfId="410" priority="408" stopIfTrue="1" operator="lessThan">
      <formula>0</formula>
    </cfRule>
  </conditionalFormatting>
  <conditionalFormatting sqref="H211:H227">
    <cfRule type="cellIs" dxfId="409" priority="405" stopIfTrue="1" operator="lessThan">
      <formula>0</formula>
    </cfRule>
    <cfRule type="cellIs" dxfId="408" priority="406" stopIfTrue="1" operator="lessThan">
      <formula>0</formula>
    </cfRule>
  </conditionalFormatting>
  <conditionalFormatting sqref="H211:H227">
    <cfRule type="cellIs" dxfId="407" priority="403" stopIfTrue="1" operator="lessThan">
      <formula>0</formula>
    </cfRule>
    <cfRule type="cellIs" dxfId="406" priority="404" stopIfTrue="1" operator="lessThan">
      <formula>0</formula>
    </cfRule>
  </conditionalFormatting>
  <conditionalFormatting sqref="H211:H227">
    <cfRule type="cellIs" dxfId="405" priority="401" stopIfTrue="1" operator="lessThan">
      <formula>0.05</formula>
    </cfRule>
    <cfRule type="cellIs" dxfId="404" priority="402" stopIfTrue="1" operator="lessThan">
      <formula>0</formula>
    </cfRule>
  </conditionalFormatting>
  <conditionalFormatting sqref="H211:H227">
    <cfRule type="cellIs" dxfId="403" priority="399" stopIfTrue="1" operator="lessThan">
      <formula>0</formula>
    </cfRule>
    <cfRule type="cellIs" dxfId="402" priority="400" stopIfTrue="1" operator="lessThan">
      <formula>0</formula>
    </cfRule>
  </conditionalFormatting>
  <conditionalFormatting sqref="H211:H227">
    <cfRule type="cellIs" dxfId="401" priority="397" stopIfTrue="1" operator="lessThan">
      <formula>0.05</formula>
    </cfRule>
    <cfRule type="cellIs" dxfId="400" priority="398" stopIfTrue="1" operator="lessThan">
      <formula>0</formula>
    </cfRule>
  </conditionalFormatting>
  <conditionalFormatting sqref="H211:H227">
    <cfRule type="cellIs" dxfId="399" priority="395" stopIfTrue="1" operator="lessThan">
      <formula>0</formula>
    </cfRule>
    <cfRule type="cellIs" dxfId="398" priority="396" stopIfTrue="1" operator="lessThan">
      <formula>0</formula>
    </cfRule>
  </conditionalFormatting>
  <conditionalFormatting sqref="H211:H227">
    <cfRule type="cellIs" dxfId="397" priority="393" stopIfTrue="1" operator="lessThan">
      <formula>0.05</formula>
    </cfRule>
    <cfRule type="cellIs" dxfId="396" priority="394" stopIfTrue="1" operator="lessThan">
      <formula>0</formula>
    </cfRule>
  </conditionalFormatting>
  <conditionalFormatting sqref="H211:H227">
    <cfRule type="cellIs" dxfId="395" priority="391" stopIfTrue="1" operator="lessThan">
      <formula>0</formula>
    </cfRule>
    <cfRule type="cellIs" dxfId="394" priority="392" stopIfTrue="1" operator="lessThan">
      <formula>0</formula>
    </cfRule>
  </conditionalFormatting>
  <conditionalFormatting sqref="H211:H227">
    <cfRule type="cellIs" dxfId="393" priority="390" stopIfTrue="1" operator="lessThan">
      <formula>0.05</formula>
    </cfRule>
  </conditionalFormatting>
  <conditionalFormatting sqref="H211:H227">
    <cfRule type="cellIs" dxfId="392" priority="388" stopIfTrue="1" operator="lessThan">
      <formula>0</formula>
    </cfRule>
    <cfRule type="cellIs" dxfId="391" priority="389" stopIfTrue="1" operator="lessThan">
      <formula>0</formula>
    </cfRule>
  </conditionalFormatting>
  <conditionalFormatting sqref="H211:H227">
    <cfRule type="cellIs" dxfId="390" priority="386" stopIfTrue="1" operator="lessThan">
      <formula>0</formula>
    </cfRule>
    <cfRule type="cellIs" dxfId="389" priority="387" stopIfTrue="1" operator="lessThan">
      <formula>0</formula>
    </cfRule>
  </conditionalFormatting>
  <conditionalFormatting sqref="H211:H227">
    <cfRule type="cellIs" dxfId="388" priority="384" stopIfTrue="1" operator="lessThan">
      <formula>0.05</formula>
    </cfRule>
    <cfRule type="cellIs" dxfId="387" priority="385" stopIfTrue="1" operator="lessThan">
      <formula>0</formula>
    </cfRule>
  </conditionalFormatting>
  <conditionalFormatting sqref="H211:H227">
    <cfRule type="cellIs" dxfId="386" priority="382" stopIfTrue="1" operator="lessThan">
      <formula>0</formula>
    </cfRule>
    <cfRule type="cellIs" dxfId="385" priority="383" stopIfTrue="1" operator="lessThan">
      <formula>0</formula>
    </cfRule>
  </conditionalFormatting>
  <conditionalFormatting sqref="H211:H227">
    <cfRule type="cellIs" dxfId="384" priority="380" stopIfTrue="1" operator="lessThan">
      <formula>0.05</formula>
    </cfRule>
    <cfRule type="cellIs" dxfId="383" priority="381" stopIfTrue="1" operator="lessThan">
      <formula>0</formula>
    </cfRule>
  </conditionalFormatting>
  <conditionalFormatting sqref="H211:H227">
    <cfRule type="cellIs" dxfId="382" priority="378" stopIfTrue="1" operator="lessThan">
      <formula>0</formula>
    </cfRule>
    <cfRule type="cellIs" dxfId="381" priority="379" stopIfTrue="1" operator="lessThan">
      <formula>0</formula>
    </cfRule>
  </conditionalFormatting>
  <conditionalFormatting sqref="H211:H227">
    <cfRule type="cellIs" dxfId="380" priority="376" stopIfTrue="1" operator="lessThan">
      <formula>0.05</formula>
    </cfRule>
    <cfRule type="cellIs" dxfId="379" priority="377" stopIfTrue="1" operator="lessThan">
      <formula>0</formula>
    </cfRule>
  </conditionalFormatting>
  <conditionalFormatting sqref="H211:H227">
    <cfRule type="cellIs" dxfId="378" priority="374" stopIfTrue="1" operator="lessThan">
      <formula>0</formula>
    </cfRule>
    <cfRule type="cellIs" dxfId="377" priority="375" stopIfTrue="1" operator="lessThan">
      <formula>0</formula>
    </cfRule>
  </conditionalFormatting>
  <conditionalFormatting sqref="H211:H227">
    <cfRule type="cellIs" dxfId="376" priority="372" stopIfTrue="1" operator="lessThan">
      <formula>0</formula>
    </cfRule>
    <cfRule type="cellIs" dxfId="375" priority="373" stopIfTrue="1" operator="lessThan">
      <formula>0</formula>
    </cfRule>
  </conditionalFormatting>
  <conditionalFormatting sqref="H211:H227">
    <cfRule type="cellIs" dxfId="374" priority="370" stopIfTrue="1" operator="lessThan">
      <formula>0</formula>
    </cfRule>
    <cfRule type="cellIs" dxfId="373" priority="371" stopIfTrue="1" operator="lessThan">
      <formula>0</formula>
    </cfRule>
  </conditionalFormatting>
  <conditionalFormatting sqref="H211:H227">
    <cfRule type="cellIs" dxfId="372" priority="368" stopIfTrue="1" operator="lessThan">
      <formula>0.05</formula>
    </cfRule>
    <cfRule type="cellIs" dxfId="371" priority="369" stopIfTrue="1" operator="lessThan">
      <formula>0</formula>
    </cfRule>
  </conditionalFormatting>
  <conditionalFormatting sqref="H211:H227">
    <cfRule type="cellIs" dxfId="370" priority="366" stopIfTrue="1" operator="lessThan">
      <formula>0</formula>
    </cfRule>
    <cfRule type="cellIs" dxfId="369" priority="367" stopIfTrue="1" operator="lessThan">
      <formula>0</formula>
    </cfRule>
  </conditionalFormatting>
  <conditionalFormatting sqref="H211:H227">
    <cfRule type="cellIs" dxfId="368" priority="364" stopIfTrue="1" operator="lessThan">
      <formula>0.05</formula>
    </cfRule>
    <cfRule type="cellIs" dxfId="367" priority="365" stopIfTrue="1" operator="lessThan">
      <formula>0</formula>
    </cfRule>
  </conditionalFormatting>
  <conditionalFormatting sqref="H211:H227">
    <cfRule type="cellIs" dxfId="366" priority="362" stopIfTrue="1" operator="lessThan">
      <formula>0</formula>
    </cfRule>
    <cfRule type="cellIs" dxfId="365" priority="363" stopIfTrue="1" operator="lessThan">
      <formula>0</formula>
    </cfRule>
  </conditionalFormatting>
  <conditionalFormatting sqref="H211:H227">
    <cfRule type="cellIs" dxfId="364" priority="360" stopIfTrue="1" operator="lessThan">
      <formula>0.05</formula>
    </cfRule>
    <cfRule type="cellIs" dxfId="363" priority="361" stopIfTrue="1" operator="lessThan">
      <formula>0</formula>
    </cfRule>
  </conditionalFormatting>
  <conditionalFormatting sqref="H211:H227">
    <cfRule type="cellIs" dxfId="362" priority="358" stopIfTrue="1" operator="lessThan">
      <formula>0</formula>
    </cfRule>
    <cfRule type="cellIs" dxfId="361" priority="359" stopIfTrue="1" operator="lessThan">
      <formula>0</formula>
    </cfRule>
  </conditionalFormatting>
  <conditionalFormatting sqref="H211:H227">
    <cfRule type="cellIs" dxfId="360" priority="356" stopIfTrue="1" operator="lessThan">
      <formula>0</formula>
    </cfRule>
    <cfRule type="cellIs" dxfId="359" priority="357" stopIfTrue="1" operator="lessThan">
      <formula>0</formula>
    </cfRule>
  </conditionalFormatting>
  <conditionalFormatting sqref="H211:H227">
    <cfRule type="cellIs" dxfId="358" priority="354" stopIfTrue="1" operator="lessThan">
      <formula>0</formula>
    </cfRule>
    <cfRule type="cellIs" dxfId="357" priority="355" stopIfTrue="1" operator="lessThan">
      <formula>0</formula>
    </cfRule>
  </conditionalFormatting>
  <conditionalFormatting sqref="H211:H227">
    <cfRule type="cellIs" dxfId="356" priority="352" stopIfTrue="1" operator="lessThan">
      <formula>0.05</formula>
    </cfRule>
    <cfRule type="cellIs" dxfId="355" priority="353" stopIfTrue="1" operator="lessThan">
      <formula>0</formula>
    </cfRule>
  </conditionalFormatting>
  <conditionalFormatting sqref="H211:H227">
    <cfRule type="cellIs" dxfId="354" priority="350" stopIfTrue="1" operator="lessThan">
      <formula>0</formula>
    </cfRule>
    <cfRule type="cellIs" dxfId="353" priority="351" stopIfTrue="1" operator="lessThan">
      <formula>0</formula>
    </cfRule>
  </conditionalFormatting>
  <conditionalFormatting sqref="H211:H227">
    <cfRule type="cellIs" dxfId="352" priority="348" stopIfTrue="1" operator="lessThan">
      <formula>0.05</formula>
    </cfRule>
    <cfRule type="cellIs" dxfId="351" priority="349" stopIfTrue="1" operator="lessThan">
      <formula>0</formula>
    </cfRule>
  </conditionalFormatting>
  <conditionalFormatting sqref="H211:H227">
    <cfRule type="cellIs" dxfId="350" priority="346" stopIfTrue="1" operator="lessThan">
      <formula>0</formula>
    </cfRule>
    <cfRule type="cellIs" dxfId="349" priority="347" stopIfTrue="1" operator="lessThan">
      <formula>0</formula>
    </cfRule>
  </conditionalFormatting>
  <conditionalFormatting sqref="H211:H227">
    <cfRule type="cellIs" dxfId="348" priority="344" stopIfTrue="1" operator="lessThan">
      <formula>0.05</formula>
    </cfRule>
    <cfRule type="cellIs" dxfId="347" priority="345" stopIfTrue="1" operator="lessThan">
      <formula>0</formula>
    </cfRule>
  </conditionalFormatting>
  <conditionalFormatting sqref="H211:H227">
    <cfRule type="cellIs" dxfId="346" priority="342" stopIfTrue="1" operator="lessThan">
      <formula>0</formula>
    </cfRule>
    <cfRule type="cellIs" dxfId="345" priority="343" stopIfTrue="1" operator="lessThan">
      <formula>0</formula>
    </cfRule>
  </conditionalFormatting>
  <conditionalFormatting sqref="H211:H227">
    <cfRule type="cellIs" dxfId="344" priority="340" stopIfTrue="1" operator="lessThan">
      <formula>0</formula>
    </cfRule>
    <cfRule type="cellIs" dxfId="343" priority="341" stopIfTrue="1" operator="lessThan">
      <formula>0</formula>
    </cfRule>
  </conditionalFormatting>
  <conditionalFormatting sqref="H211:H227">
    <cfRule type="cellIs" dxfId="342" priority="338" stopIfTrue="1" operator="lessThan">
      <formula>0</formula>
    </cfRule>
    <cfRule type="cellIs" dxfId="341" priority="339" stopIfTrue="1" operator="lessThan">
      <formula>0</formula>
    </cfRule>
  </conditionalFormatting>
  <conditionalFormatting sqref="H211:H227">
    <cfRule type="cellIs" dxfId="340" priority="336" stopIfTrue="1" operator="lessThan">
      <formula>0.05</formula>
    </cfRule>
    <cfRule type="cellIs" dxfId="339" priority="337" stopIfTrue="1" operator="lessThan">
      <formula>0</formula>
    </cfRule>
  </conditionalFormatting>
  <conditionalFormatting sqref="H211:H227">
    <cfRule type="cellIs" dxfId="338" priority="334" stopIfTrue="1" operator="lessThan">
      <formula>0</formula>
    </cfRule>
    <cfRule type="cellIs" dxfId="337" priority="335" stopIfTrue="1" operator="lessThan">
      <formula>0</formula>
    </cfRule>
  </conditionalFormatting>
  <conditionalFormatting sqref="H211:H227">
    <cfRule type="cellIs" dxfId="336" priority="332" stopIfTrue="1" operator="lessThan">
      <formula>0.05</formula>
    </cfRule>
    <cfRule type="cellIs" dxfId="335" priority="333" stopIfTrue="1" operator="lessThan">
      <formula>0</formula>
    </cfRule>
  </conditionalFormatting>
  <conditionalFormatting sqref="H211:H227">
    <cfRule type="cellIs" dxfId="334" priority="330" stopIfTrue="1" operator="lessThan">
      <formula>0</formula>
    </cfRule>
    <cfRule type="cellIs" dxfId="333" priority="331" stopIfTrue="1" operator="lessThan">
      <formula>0</formula>
    </cfRule>
  </conditionalFormatting>
  <conditionalFormatting sqref="H211:H227">
    <cfRule type="cellIs" dxfId="332" priority="328" stopIfTrue="1" operator="lessThan">
      <formula>0.05</formula>
    </cfRule>
    <cfRule type="cellIs" dxfId="331" priority="329" stopIfTrue="1" operator="lessThan">
      <formula>0</formula>
    </cfRule>
  </conditionalFormatting>
  <conditionalFormatting sqref="H211:H227">
    <cfRule type="cellIs" dxfId="330" priority="326" stopIfTrue="1" operator="lessThan">
      <formula>0</formula>
    </cfRule>
    <cfRule type="cellIs" dxfId="329" priority="327" stopIfTrue="1" operator="lessThan">
      <formula>0</formula>
    </cfRule>
  </conditionalFormatting>
  <conditionalFormatting sqref="H211:H227">
    <cfRule type="cellIs" dxfId="328" priority="324" stopIfTrue="1" operator="lessThan">
      <formula>0</formula>
    </cfRule>
    <cfRule type="cellIs" dxfId="327" priority="325" stopIfTrue="1" operator="lessThan">
      <formula>0</formula>
    </cfRule>
  </conditionalFormatting>
  <conditionalFormatting sqref="H211:H227">
    <cfRule type="cellIs" dxfId="326" priority="322" stopIfTrue="1" operator="lessThan">
      <formula>0.05</formula>
    </cfRule>
    <cfRule type="cellIs" dxfId="325" priority="323" stopIfTrue="1" operator="lessThan">
      <formula>0</formula>
    </cfRule>
  </conditionalFormatting>
  <conditionalFormatting sqref="H211:H227">
    <cfRule type="cellIs" dxfId="324" priority="320" stopIfTrue="1" operator="lessThan">
      <formula>0</formula>
    </cfRule>
    <cfRule type="cellIs" dxfId="323" priority="321" stopIfTrue="1" operator="lessThan">
      <formula>0</formula>
    </cfRule>
  </conditionalFormatting>
  <conditionalFormatting sqref="H211:H227">
    <cfRule type="cellIs" dxfId="322" priority="318" stopIfTrue="1" operator="lessThan">
      <formula>0</formula>
    </cfRule>
    <cfRule type="cellIs" dxfId="321" priority="319" stopIfTrue="1" operator="lessThan">
      <formula>0</formula>
    </cfRule>
  </conditionalFormatting>
  <conditionalFormatting sqref="H211:H227">
    <cfRule type="cellIs" dxfId="320" priority="316" stopIfTrue="1" operator="lessThan">
      <formula>0.05</formula>
    </cfRule>
    <cfRule type="cellIs" dxfId="319" priority="317" stopIfTrue="1" operator="lessThan">
      <formula>0</formula>
    </cfRule>
  </conditionalFormatting>
  <conditionalFormatting sqref="H211:H227">
    <cfRule type="cellIs" dxfId="318" priority="314" stopIfTrue="1" operator="lessThan">
      <formula>0</formula>
    </cfRule>
    <cfRule type="cellIs" dxfId="317" priority="315" stopIfTrue="1" operator="lessThan">
      <formula>0</formula>
    </cfRule>
  </conditionalFormatting>
  <conditionalFormatting sqref="H211:H227">
    <cfRule type="cellIs" dxfId="316" priority="312" stopIfTrue="1" operator="lessThan">
      <formula>0</formula>
    </cfRule>
    <cfRule type="cellIs" dxfId="315" priority="313" stopIfTrue="1" operator="lessThan">
      <formula>0</formula>
    </cfRule>
  </conditionalFormatting>
  <conditionalFormatting sqref="H211:H227">
    <cfRule type="cellIs" dxfId="314" priority="310" stopIfTrue="1" operator="lessThan">
      <formula>0.05</formula>
    </cfRule>
    <cfRule type="cellIs" dxfId="313" priority="311" stopIfTrue="1" operator="lessThan">
      <formula>0</formula>
    </cfRule>
  </conditionalFormatting>
  <conditionalFormatting sqref="H211:H227">
    <cfRule type="cellIs" dxfId="312" priority="308" stopIfTrue="1" operator="lessThan">
      <formula>0</formula>
    </cfRule>
    <cfRule type="cellIs" dxfId="311" priority="309" stopIfTrue="1" operator="lessThan">
      <formula>0</formula>
    </cfRule>
  </conditionalFormatting>
  <conditionalFormatting sqref="H211:H227">
    <cfRule type="cellIs" dxfId="310" priority="306" stopIfTrue="1" operator="lessThan">
      <formula>0</formula>
    </cfRule>
    <cfRule type="cellIs" dxfId="309" priority="307" stopIfTrue="1" operator="lessThan">
      <formula>0</formula>
    </cfRule>
  </conditionalFormatting>
  <conditionalFormatting sqref="H211:H227">
    <cfRule type="cellIs" dxfId="308" priority="304" stopIfTrue="1" operator="lessThan">
      <formula>0.05</formula>
    </cfRule>
    <cfRule type="cellIs" dxfId="307" priority="305" stopIfTrue="1" operator="lessThan">
      <formula>0</formula>
    </cfRule>
  </conditionalFormatting>
  <conditionalFormatting sqref="H211:H227">
    <cfRule type="cellIs" dxfId="306" priority="302" stopIfTrue="1" operator="lessThan">
      <formula>0</formula>
    </cfRule>
    <cfRule type="cellIs" dxfId="305" priority="303" stopIfTrue="1" operator="lessThan">
      <formula>0</formula>
    </cfRule>
  </conditionalFormatting>
  <conditionalFormatting sqref="H211:H227">
    <cfRule type="cellIs" dxfId="304" priority="300" stopIfTrue="1" operator="lessThan">
      <formula>0</formula>
    </cfRule>
    <cfRule type="cellIs" dxfId="303" priority="301" stopIfTrue="1" operator="lessThan">
      <formula>0</formula>
    </cfRule>
  </conditionalFormatting>
  <conditionalFormatting sqref="H211:H227">
    <cfRule type="cellIs" dxfId="302" priority="298" stopIfTrue="1" operator="lessThan">
      <formula>0.05</formula>
    </cfRule>
    <cfRule type="cellIs" dxfId="301" priority="299" stopIfTrue="1" operator="lessThan">
      <formula>0</formula>
    </cfRule>
  </conditionalFormatting>
  <conditionalFormatting sqref="H211:H227">
    <cfRule type="cellIs" dxfId="300" priority="296" stopIfTrue="1" operator="lessThan">
      <formula>0</formula>
    </cfRule>
    <cfRule type="cellIs" dxfId="299" priority="297" stopIfTrue="1" operator="lessThan">
      <formula>0</formula>
    </cfRule>
  </conditionalFormatting>
  <conditionalFormatting sqref="H211:H227">
    <cfRule type="cellIs" dxfId="298" priority="294" stopIfTrue="1" operator="lessThan">
      <formula>0</formula>
    </cfRule>
    <cfRule type="cellIs" dxfId="297" priority="295" stopIfTrue="1" operator="lessThan">
      <formula>0</formula>
    </cfRule>
  </conditionalFormatting>
  <conditionalFormatting sqref="H211:H227">
    <cfRule type="cellIs" dxfId="296" priority="292" stopIfTrue="1" operator="lessThan">
      <formula>0.05</formula>
    </cfRule>
    <cfRule type="cellIs" dxfId="295" priority="293" stopIfTrue="1" operator="lessThan">
      <formula>0</formula>
    </cfRule>
  </conditionalFormatting>
  <conditionalFormatting sqref="H211:H227">
    <cfRule type="cellIs" dxfId="294" priority="290" stopIfTrue="1" operator="lessThan">
      <formula>0</formula>
    </cfRule>
    <cfRule type="cellIs" dxfId="293" priority="291" stopIfTrue="1" operator="lessThan">
      <formula>0</formula>
    </cfRule>
  </conditionalFormatting>
  <conditionalFormatting sqref="H211:H227">
    <cfRule type="cellIs" dxfId="292" priority="288" stopIfTrue="1" operator="lessThan">
      <formula>0</formula>
    </cfRule>
    <cfRule type="cellIs" dxfId="291" priority="289" stopIfTrue="1" operator="lessThan">
      <formula>0</formula>
    </cfRule>
  </conditionalFormatting>
  <conditionalFormatting sqref="H211:H227">
    <cfRule type="cellIs" dxfId="290" priority="286" stopIfTrue="1" operator="lessThan">
      <formula>0.05</formula>
    </cfRule>
    <cfRule type="cellIs" dxfId="289" priority="287" stopIfTrue="1" operator="lessThan">
      <formula>0</formula>
    </cfRule>
  </conditionalFormatting>
  <conditionalFormatting sqref="H211:H227">
    <cfRule type="cellIs" dxfId="288" priority="284" stopIfTrue="1" operator="lessThan">
      <formula>0</formula>
    </cfRule>
    <cfRule type="cellIs" dxfId="287" priority="285" stopIfTrue="1" operator="lessThan">
      <formula>0</formula>
    </cfRule>
  </conditionalFormatting>
  <conditionalFormatting sqref="H211:H227">
    <cfRule type="cellIs" dxfId="286" priority="282" stopIfTrue="1" operator="lessThan">
      <formula>0</formula>
    </cfRule>
    <cfRule type="cellIs" dxfId="285" priority="283" stopIfTrue="1" operator="lessThan">
      <formula>0</formula>
    </cfRule>
  </conditionalFormatting>
  <conditionalFormatting sqref="H211:H227">
    <cfRule type="cellIs" dxfId="284" priority="280" stopIfTrue="1" operator="lessThan">
      <formula>0.05</formula>
    </cfRule>
    <cfRule type="cellIs" dxfId="283" priority="281" stopIfTrue="1" operator="lessThan">
      <formula>0</formula>
    </cfRule>
  </conditionalFormatting>
  <conditionalFormatting sqref="H211:H227">
    <cfRule type="cellIs" dxfId="282" priority="278" stopIfTrue="1" operator="lessThan">
      <formula>0</formula>
    </cfRule>
    <cfRule type="cellIs" dxfId="281" priority="279" stopIfTrue="1" operator="lessThan">
      <formula>0</formula>
    </cfRule>
  </conditionalFormatting>
  <conditionalFormatting sqref="H211:H227">
    <cfRule type="cellIs" dxfId="280" priority="276" stopIfTrue="1" operator="lessThan">
      <formula>0</formula>
    </cfRule>
    <cfRule type="cellIs" dxfId="279" priority="277" stopIfTrue="1" operator="lessThan">
      <formula>0</formula>
    </cfRule>
  </conditionalFormatting>
  <conditionalFormatting sqref="H211:H227">
    <cfRule type="cellIs" dxfId="278" priority="274" stopIfTrue="1" operator="lessThan">
      <formula>0.05</formula>
    </cfRule>
    <cfRule type="cellIs" dxfId="277" priority="275" stopIfTrue="1" operator="lessThan">
      <formula>0</formula>
    </cfRule>
  </conditionalFormatting>
  <conditionalFormatting sqref="H211:H227">
    <cfRule type="cellIs" dxfId="276" priority="272" stopIfTrue="1" operator="lessThan">
      <formula>0</formula>
    </cfRule>
    <cfRule type="cellIs" dxfId="275" priority="273" stopIfTrue="1" operator="lessThan">
      <formula>0</formula>
    </cfRule>
  </conditionalFormatting>
  <conditionalFormatting sqref="H211:H227">
    <cfRule type="cellIs" dxfId="274" priority="270" stopIfTrue="1" operator="lessThan">
      <formula>0</formula>
    </cfRule>
    <cfRule type="cellIs" dxfId="273" priority="271" stopIfTrue="1" operator="lessThan">
      <formula>0</formula>
    </cfRule>
  </conditionalFormatting>
  <conditionalFormatting sqref="H211:H227">
    <cfRule type="cellIs" dxfId="272" priority="268" stopIfTrue="1" operator="lessThan">
      <formula>0.05</formula>
    </cfRule>
    <cfRule type="cellIs" dxfId="271" priority="269" stopIfTrue="1" operator="lessThan">
      <formula>0</formula>
    </cfRule>
  </conditionalFormatting>
  <conditionalFormatting sqref="H211:H227">
    <cfRule type="cellIs" dxfId="270" priority="266" stopIfTrue="1" operator="lessThan">
      <formula>0</formula>
    </cfRule>
    <cfRule type="cellIs" dxfId="269" priority="267" stopIfTrue="1" operator="lessThan">
      <formula>0</formula>
    </cfRule>
  </conditionalFormatting>
  <conditionalFormatting sqref="H211:H227">
    <cfRule type="cellIs" dxfId="268" priority="264" stopIfTrue="1" operator="lessThan">
      <formula>0</formula>
    </cfRule>
    <cfRule type="cellIs" dxfId="267" priority="265" stopIfTrue="1" operator="lessThan">
      <formula>0</formula>
    </cfRule>
  </conditionalFormatting>
  <conditionalFormatting sqref="H211:H227">
    <cfRule type="cellIs" dxfId="266" priority="262" stopIfTrue="1" operator="lessThan">
      <formula>0.05</formula>
    </cfRule>
    <cfRule type="cellIs" dxfId="265" priority="263" stopIfTrue="1" operator="lessThan">
      <formula>0</formula>
    </cfRule>
  </conditionalFormatting>
  <conditionalFormatting sqref="H211:H227">
    <cfRule type="cellIs" dxfId="264" priority="260" stopIfTrue="1" operator="lessThan">
      <formula>0</formula>
    </cfRule>
    <cfRule type="cellIs" dxfId="263" priority="261" stopIfTrue="1" operator="lessThan">
      <formula>0</formula>
    </cfRule>
  </conditionalFormatting>
  <conditionalFormatting sqref="H211:H227">
    <cfRule type="cellIs" dxfId="262" priority="258" stopIfTrue="1" operator="lessThan">
      <formula>0</formula>
    </cfRule>
    <cfRule type="cellIs" dxfId="261" priority="259" stopIfTrue="1" operator="lessThan">
      <formula>0</formula>
    </cfRule>
  </conditionalFormatting>
  <conditionalFormatting sqref="H211:H227">
    <cfRule type="cellIs" dxfId="260" priority="256" stopIfTrue="1" operator="lessThan">
      <formula>0.05</formula>
    </cfRule>
    <cfRule type="cellIs" dxfId="259" priority="257" stopIfTrue="1" operator="lessThan">
      <formula>0</formula>
    </cfRule>
  </conditionalFormatting>
  <conditionalFormatting sqref="H211:H227">
    <cfRule type="cellIs" dxfId="258" priority="254" stopIfTrue="1" operator="lessThan">
      <formula>0</formula>
    </cfRule>
    <cfRule type="cellIs" dxfId="257" priority="255" stopIfTrue="1" operator="lessThan">
      <formula>0</formula>
    </cfRule>
  </conditionalFormatting>
  <conditionalFormatting sqref="H211:H227">
    <cfRule type="cellIs" dxfId="256" priority="252" stopIfTrue="1" operator="lessThan">
      <formula>0</formula>
    </cfRule>
    <cfRule type="cellIs" dxfId="255" priority="253" stopIfTrue="1" operator="lessThan">
      <formula>0</formula>
    </cfRule>
  </conditionalFormatting>
  <conditionalFormatting sqref="H211:H227">
    <cfRule type="cellIs" dxfId="254" priority="250" stopIfTrue="1" operator="lessThan">
      <formula>0.05</formula>
    </cfRule>
    <cfRule type="cellIs" dxfId="253" priority="251" stopIfTrue="1" operator="lessThan">
      <formula>0</formula>
    </cfRule>
  </conditionalFormatting>
  <conditionalFormatting sqref="H211:H227">
    <cfRule type="cellIs" dxfId="252" priority="248" stopIfTrue="1" operator="lessThan">
      <formula>0</formula>
    </cfRule>
    <cfRule type="cellIs" dxfId="251" priority="249" stopIfTrue="1" operator="lessThan">
      <formula>0</formula>
    </cfRule>
  </conditionalFormatting>
  <conditionalFormatting sqref="H211:H227">
    <cfRule type="cellIs" dxfId="250" priority="246" stopIfTrue="1" operator="lessThan">
      <formula>0</formula>
    </cfRule>
    <cfRule type="cellIs" dxfId="249" priority="247" stopIfTrue="1" operator="lessThan">
      <formula>0</formula>
    </cfRule>
  </conditionalFormatting>
  <conditionalFormatting sqref="H211:H227">
    <cfRule type="cellIs" dxfId="248" priority="244" stopIfTrue="1" operator="lessThan">
      <formula>0.05</formula>
    </cfRule>
    <cfRule type="cellIs" dxfId="247" priority="245" stopIfTrue="1" operator="lessThan">
      <formula>0</formula>
    </cfRule>
  </conditionalFormatting>
  <conditionalFormatting sqref="H211:H227">
    <cfRule type="cellIs" dxfId="246" priority="242" stopIfTrue="1" operator="lessThan">
      <formula>0</formula>
    </cfRule>
    <cfRule type="cellIs" dxfId="245" priority="243" stopIfTrue="1" operator="lessThan">
      <formula>0</formula>
    </cfRule>
  </conditionalFormatting>
  <conditionalFormatting sqref="H211:H227">
    <cfRule type="cellIs" dxfId="244" priority="240" stopIfTrue="1" operator="lessThan">
      <formula>0</formula>
    </cfRule>
    <cfRule type="cellIs" dxfId="243" priority="241" stopIfTrue="1" operator="lessThan">
      <formula>0</formula>
    </cfRule>
  </conditionalFormatting>
  <conditionalFormatting sqref="H211:H227">
    <cfRule type="cellIs" dxfId="242" priority="238" stopIfTrue="1" operator="lessThan">
      <formula>0.05</formula>
    </cfRule>
    <cfRule type="cellIs" dxfId="241" priority="239" stopIfTrue="1" operator="lessThan">
      <formula>0</formula>
    </cfRule>
  </conditionalFormatting>
  <conditionalFormatting sqref="H211:H227">
    <cfRule type="cellIs" dxfId="240" priority="236" stopIfTrue="1" operator="lessThan">
      <formula>0</formula>
    </cfRule>
    <cfRule type="cellIs" dxfId="239" priority="237" stopIfTrue="1" operator="lessThan">
      <formula>0</formula>
    </cfRule>
  </conditionalFormatting>
  <conditionalFormatting sqref="H211:H227">
    <cfRule type="cellIs" dxfId="238" priority="234" stopIfTrue="1" operator="lessThan">
      <formula>0</formula>
    </cfRule>
    <cfRule type="cellIs" dxfId="237" priority="235" stopIfTrue="1" operator="lessThan">
      <formula>0</formula>
    </cfRule>
  </conditionalFormatting>
  <conditionalFormatting sqref="H211:H227">
    <cfRule type="cellIs" dxfId="236" priority="232" stopIfTrue="1" operator="lessThan">
      <formula>0.05</formula>
    </cfRule>
    <cfRule type="cellIs" dxfId="235" priority="233" stopIfTrue="1" operator="lessThan">
      <formula>0</formula>
    </cfRule>
  </conditionalFormatting>
  <conditionalFormatting sqref="H211:H227">
    <cfRule type="cellIs" dxfId="234" priority="230" stopIfTrue="1" operator="lessThan">
      <formula>0</formula>
    </cfRule>
    <cfRule type="cellIs" dxfId="233" priority="231" stopIfTrue="1" operator="lessThan">
      <formula>0</formula>
    </cfRule>
  </conditionalFormatting>
  <conditionalFormatting sqref="H211:H227">
    <cfRule type="cellIs" dxfId="232" priority="228" stopIfTrue="1" operator="lessThan">
      <formula>0.05</formula>
    </cfRule>
    <cfRule type="cellIs" dxfId="231" priority="229" stopIfTrue="1" operator="lessThan">
      <formula>0</formula>
    </cfRule>
  </conditionalFormatting>
  <conditionalFormatting sqref="H211:H227">
    <cfRule type="cellIs" dxfId="230" priority="226" stopIfTrue="1" operator="lessThan">
      <formula>0</formula>
    </cfRule>
    <cfRule type="cellIs" dxfId="229" priority="227" stopIfTrue="1" operator="lessThan">
      <formula>0</formula>
    </cfRule>
  </conditionalFormatting>
  <conditionalFormatting sqref="H211:H227">
    <cfRule type="cellIs" dxfId="228" priority="224" stopIfTrue="1" operator="lessThan">
      <formula>0.05</formula>
    </cfRule>
    <cfRule type="cellIs" dxfId="227" priority="225" stopIfTrue="1" operator="lessThan">
      <formula>0</formula>
    </cfRule>
  </conditionalFormatting>
  <conditionalFormatting sqref="H211:H227">
    <cfRule type="cellIs" dxfId="226" priority="222" stopIfTrue="1" operator="lessThan">
      <formula>0</formula>
    </cfRule>
    <cfRule type="cellIs" dxfId="225" priority="223" stopIfTrue="1" operator="lessThan">
      <formula>0</formula>
    </cfRule>
  </conditionalFormatting>
  <conditionalFormatting sqref="H211:H227">
    <cfRule type="cellIs" dxfId="224" priority="220" stopIfTrue="1" operator="lessThan">
      <formula>0</formula>
    </cfRule>
    <cfRule type="cellIs" dxfId="223" priority="221" stopIfTrue="1" operator="lessThan">
      <formula>0</formula>
    </cfRule>
  </conditionalFormatting>
  <conditionalFormatting sqref="H211:H227">
    <cfRule type="cellIs" dxfId="222" priority="218" stopIfTrue="1" operator="lessThan">
      <formula>0</formula>
    </cfRule>
    <cfRule type="cellIs" dxfId="221" priority="219" stopIfTrue="1" operator="lessThan">
      <formula>0</formula>
    </cfRule>
  </conditionalFormatting>
  <conditionalFormatting sqref="H211:H227">
    <cfRule type="cellIs" dxfId="220" priority="216" stopIfTrue="1" operator="lessThan">
      <formula>0.05</formula>
    </cfRule>
    <cfRule type="cellIs" dxfId="219" priority="217" stopIfTrue="1" operator="lessThan">
      <formula>0</formula>
    </cfRule>
  </conditionalFormatting>
  <conditionalFormatting sqref="H211:H227">
    <cfRule type="cellIs" dxfId="218" priority="214" stopIfTrue="1" operator="lessThan">
      <formula>0</formula>
    </cfRule>
    <cfRule type="cellIs" dxfId="217" priority="215" stopIfTrue="1" operator="lessThan">
      <formula>0</formula>
    </cfRule>
  </conditionalFormatting>
  <conditionalFormatting sqref="H211:H227">
    <cfRule type="cellIs" dxfId="216" priority="212" stopIfTrue="1" operator="lessThan">
      <formula>0.05</formula>
    </cfRule>
    <cfRule type="cellIs" dxfId="215" priority="213" stopIfTrue="1" operator="lessThan">
      <formula>0</formula>
    </cfRule>
  </conditionalFormatting>
  <conditionalFormatting sqref="H211:H227">
    <cfRule type="cellIs" dxfId="214" priority="210" stopIfTrue="1" operator="lessThan">
      <formula>0</formula>
    </cfRule>
    <cfRule type="cellIs" dxfId="213" priority="211" stopIfTrue="1" operator="lessThan">
      <formula>0</formula>
    </cfRule>
  </conditionalFormatting>
  <conditionalFormatting sqref="H211:H227">
    <cfRule type="cellIs" dxfId="212" priority="208" stopIfTrue="1" operator="lessThan">
      <formula>0.05</formula>
    </cfRule>
    <cfRule type="cellIs" dxfId="211" priority="209" stopIfTrue="1" operator="lessThan">
      <formula>0</formula>
    </cfRule>
  </conditionalFormatting>
  <conditionalFormatting sqref="H211:H227">
    <cfRule type="cellIs" dxfId="210" priority="206" stopIfTrue="1" operator="lessThan">
      <formula>0</formula>
    </cfRule>
    <cfRule type="cellIs" dxfId="209" priority="207" stopIfTrue="1" operator="lessThan">
      <formula>0</formula>
    </cfRule>
  </conditionalFormatting>
  <conditionalFormatting sqref="H211:H227">
    <cfRule type="cellIs" dxfId="208" priority="204" stopIfTrue="1" operator="lessThan">
      <formula>0</formula>
    </cfRule>
    <cfRule type="cellIs" dxfId="207" priority="205" stopIfTrue="1" operator="lessThan">
      <formula>0</formula>
    </cfRule>
  </conditionalFormatting>
  <conditionalFormatting sqref="H211:H227">
    <cfRule type="cellIs" dxfId="206" priority="202" stopIfTrue="1" operator="lessThan">
      <formula>0.05</formula>
    </cfRule>
    <cfRule type="cellIs" dxfId="205" priority="203" stopIfTrue="1" operator="lessThan">
      <formula>0</formula>
    </cfRule>
  </conditionalFormatting>
  <conditionalFormatting sqref="H211:H227">
    <cfRule type="cellIs" dxfId="204" priority="200" stopIfTrue="1" operator="lessThan">
      <formula>0</formula>
    </cfRule>
    <cfRule type="cellIs" dxfId="203" priority="201" stopIfTrue="1" operator="lessThan">
      <formula>0</formula>
    </cfRule>
  </conditionalFormatting>
  <conditionalFormatting sqref="H211:H227">
    <cfRule type="cellIs" dxfId="202" priority="198" stopIfTrue="1" operator="lessThan">
      <formula>0</formula>
    </cfRule>
    <cfRule type="cellIs" dxfId="201" priority="199" stopIfTrue="1" operator="lessThan">
      <formula>0</formula>
    </cfRule>
  </conditionalFormatting>
  <conditionalFormatting sqref="H211:H227">
    <cfRule type="cellIs" dxfId="200" priority="196" stopIfTrue="1" operator="lessThan">
      <formula>0.05</formula>
    </cfRule>
    <cfRule type="cellIs" dxfId="199" priority="197" stopIfTrue="1" operator="lessThan">
      <formula>0</formula>
    </cfRule>
  </conditionalFormatting>
  <conditionalFormatting sqref="H211:H227">
    <cfRule type="cellIs" dxfId="198" priority="194" stopIfTrue="1" operator="lessThan">
      <formula>0</formula>
    </cfRule>
    <cfRule type="cellIs" dxfId="197" priority="195" stopIfTrue="1" operator="lessThan">
      <formula>0</formula>
    </cfRule>
  </conditionalFormatting>
  <conditionalFormatting sqref="H211:H227">
    <cfRule type="cellIs" dxfId="196" priority="192" stopIfTrue="1" operator="lessThan">
      <formula>0</formula>
    </cfRule>
    <cfRule type="cellIs" dxfId="195" priority="193" stopIfTrue="1" operator="lessThan">
      <formula>0</formula>
    </cfRule>
  </conditionalFormatting>
  <conditionalFormatting sqref="H211:H227">
    <cfRule type="cellIs" dxfId="194" priority="190" stopIfTrue="1" operator="lessThan">
      <formula>0.05</formula>
    </cfRule>
    <cfRule type="cellIs" dxfId="193" priority="191" stopIfTrue="1" operator="lessThan">
      <formula>0</formula>
    </cfRule>
  </conditionalFormatting>
  <conditionalFormatting sqref="H211:H227">
    <cfRule type="cellIs" dxfId="192" priority="188" stopIfTrue="1" operator="lessThan">
      <formula>0</formula>
    </cfRule>
    <cfRule type="cellIs" dxfId="191" priority="189" stopIfTrue="1" operator="lessThan">
      <formula>0</formula>
    </cfRule>
  </conditionalFormatting>
  <conditionalFormatting sqref="H211:H227">
    <cfRule type="cellIs" dxfId="190" priority="186" stopIfTrue="1" operator="lessThan">
      <formula>0</formula>
    </cfRule>
    <cfRule type="cellIs" dxfId="189" priority="187" stopIfTrue="1" operator="lessThan">
      <formula>0</formula>
    </cfRule>
  </conditionalFormatting>
  <conditionalFormatting sqref="H211:H227">
    <cfRule type="cellIs" dxfId="188" priority="184" stopIfTrue="1" operator="lessThan">
      <formula>0.05</formula>
    </cfRule>
    <cfRule type="cellIs" dxfId="187" priority="185" stopIfTrue="1" operator="lessThan">
      <formula>0</formula>
    </cfRule>
  </conditionalFormatting>
  <conditionalFormatting sqref="H211:H227">
    <cfRule type="cellIs" dxfId="186" priority="182" stopIfTrue="1" operator="lessThan">
      <formula>0</formula>
    </cfRule>
    <cfRule type="cellIs" dxfId="185" priority="183" stopIfTrue="1" operator="lessThan">
      <formula>0</formula>
    </cfRule>
  </conditionalFormatting>
  <conditionalFormatting sqref="H211:H227">
    <cfRule type="cellIs" dxfId="184" priority="180" stopIfTrue="1" operator="lessThan">
      <formula>0</formula>
    </cfRule>
    <cfRule type="cellIs" dxfId="183" priority="181" stopIfTrue="1" operator="lessThan">
      <formula>0</formula>
    </cfRule>
  </conditionalFormatting>
  <conditionalFormatting sqref="H211:H227">
    <cfRule type="cellIs" dxfId="182" priority="178" stopIfTrue="1" operator="lessThan">
      <formula>0.05</formula>
    </cfRule>
    <cfRule type="cellIs" dxfId="181" priority="179" stopIfTrue="1" operator="lessThan">
      <formula>0</formula>
    </cfRule>
  </conditionalFormatting>
  <conditionalFormatting sqref="H211:H227">
    <cfRule type="cellIs" dxfId="180" priority="176" stopIfTrue="1" operator="lessThan">
      <formula>0</formula>
    </cfRule>
    <cfRule type="cellIs" dxfId="179" priority="177" stopIfTrue="1" operator="lessThan">
      <formula>0</formula>
    </cfRule>
  </conditionalFormatting>
  <conditionalFormatting sqref="H211:H227">
    <cfRule type="cellIs" dxfId="178" priority="174" stopIfTrue="1" operator="lessThan">
      <formula>0</formula>
    </cfRule>
    <cfRule type="cellIs" dxfId="177" priority="175" stopIfTrue="1" operator="lessThan">
      <formula>0</formula>
    </cfRule>
  </conditionalFormatting>
  <conditionalFormatting sqref="H211:H227">
    <cfRule type="cellIs" dxfId="176" priority="172" stopIfTrue="1" operator="lessThan">
      <formula>0.05</formula>
    </cfRule>
    <cfRule type="cellIs" dxfId="175" priority="173" stopIfTrue="1" operator="lessThan">
      <formula>0</formula>
    </cfRule>
  </conditionalFormatting>
  <conditionalFormatting sqref="H211:H227">
    <cfRule type="cellIs" dxfId="174" priority="170" stopIfTrue="1" operator="lessThan">
      <formula>0</formula>
    </cfRule>
    <cfRule type="cellIs" dxfId="173" priority="171" stopIfTrue="1" operator="lessThan">
      <formula>0</formula>
    </cfRule>
  </conditionalFormatting>
  <conditionalFormatting sqref="H211:H227">
    <cfRule type="cellIs" dxfId="172" priority="168" stopIfTrue="1" operator="lessThan">
      <formula>0</formula>
    </cfRule>
    <cfRule type="cellIs" dxfId="171" priority="169" stopIfTrue="1" operator="lessThan">
      <formula>0</formula>
    </cfRule>
  </conditionalFormatting>
  <conditionalFormatting sqref="H211:H227">
    <cfRule type="cellIs" dxfId="170" priority="166" stopIfTrue="1" operator="lessThan">
      <formula>0.05</formula>
    </cfRule>
    <cfRule type="cellIs" dxfId="169" priority="167" stopIfTrue="1" operator="lessThan">
      <formula>0</formula>
    </cfRule>
  </conditionalFormatting>
  <conditionalFormatting sqref="H211:H227">
    <cfRule type="cellIs" dxfId="168" priority="164" stopIfTrue="1" operator="lessThan">
      <formula>0</formula>
    </cfRule>
    <cfRule type="cellIs" dxfId="167" priority="165" stopIfTrue="1" operator="lessThan">
      <formula>0</formula>
    </cfRule>
  </conditionalFormatting>
  <conditionalFormatting sqref="H211:H227">
    <cfRule type="cellIs" dxfId="166" priority="162" stopIfTrue="1" operator="lessThan">
      <formula>0</formula>
    </cfRule>
    <cfRule type="cellIs" dxfId="165" priority="163" stopIfTrue="1" operator="lessThan">
      <formula>0</formula>
    </cfRule>
  </conditionalFormatting>
  <conditionalFormatting sqref="H211:H227">
    <cfRule type="cellIs" dxfId="164" priority="160" stopIfTrue="1" operator="lessThan">
      <formula>0.05</formula>
    </cfRule>
    <cfRule type="cellIs" dxfId="163" priority="161" stopIfTrue="1" operator="lessThan">
      <formula>0</formula>
    </cfRule>
  </conditionalFormatting>
  <conditionalFormatting sqref="H211:H227">
    <cfRule type="cellIs" dxfId="162" priority="158" stopIfTrue="1" operator="lessThan">
      <formula>0</formula>
    </cfRule>
    <cfRule type="cellIs" dxfId="161" priority="159" stopIfTrue="1" operator="lessThan">
      <formula>0</formula>
    </cfRule>
  </conditionalFormatting>
  <conditionalFormatting sqref="H211:H227">
    <cfRule type="cellIs" dxfId="160" priority="156" stopIfTrue="1" operator="lessThan">
      <formula>0</formula>
    </cfRule>
    <cfRule type="cellIs" dxfId="159" priority="157" stopIfTrue="1" operator="lessThan">
      <formula>0</formula>
    </cfRule>
  </conditionalFormatting>
  <conditionalFormatting sqref="H211:H227">
    <cfRule type="cellIs" dxfId="158" priority="154" stopIfTrue="1" operator="lessThan">
      <formula>0.05</formula>
    </cfRule>
    <cfRule type="cellIs" dxfId="157" priority="155" stopIfTrue="1" operator="lessThan">
      <formula>0</formula>
    </cfRule>
  </conditionalFormatting>
  <conditionalFormatting sqref="H211:H227">
    <cfRule type="cellIs" dxfId="156" priority="152" stopIfTrue="1" operator="lessThan">
      <formula>0</formula>
    </cfRule>
    <cfRule type="cellIs" dxfId="155" priority="153" stopIfTrue="1" operator="lessThan">
      <formula>0</formula>
    </cfRule>
  </conditionalFormatting>
  <conditionalFormatting sqref="H211:H227">
    <cfRule type="cellIs" dxfId="154" priority="150" stopIfTrue="1" operator="lessThan">
      <formula>0</formula>
    </cfRule>
    <cfRule type="cellIs" dxfId="153" priority="151" stopIfTrue="1" operator="lessThan">
      <formula>0</formula>
    </cfRule>
  </conditionalFormatting>
  <conditionalFormatting sqref="H211:H227">
    <cfRule type="cellIs" dxfId="152" priority="148" stopIfTrue="1" operator="lessThan">
      <formula>0.05</formula>
    </cfRule>
    <cfRule type="cellIs" dxfId="151" priority="149" stopIfTrue="1" operator="lessThan">
      <formula>0</formula>
    </cfRule>
  </conditionalFormatting>
  <conditionalFormatting sqref="H211:H227">
    <cfRule type="cellIs" dxfId="150" priority="146" stopIfTrue="1" operator="lessThan">
      <formula>0</formula>
    </cfRule>
    <cfRule type="cellIs" dxfId="149" priority="147" stopIfTrue="1" operator="lessThan">
      <formula>0</formula>
    </cfRule>
  </conditionalFormatting>
  <conditionalFormatting sqref="H211:H227">
    <cfRule type="cellIs" dxfId="148" priority="144" stopIfTrue="1" operator="lessThan">
      <formula>0</formula>
    </cfRule>
    <cfRule type="cellIs" dxfId="147" priority="145" stopIfTrue="1" operator="lessThan">
      <formula>0</formula>
    </cfRule>
  </conditionalFormatting>
  <conditionalFormatting sqref="H211:H227">
    <cfRule type="cellIs" dxfId="146" priority="142" stopIfTrue="1" operator="lessThan">
      <formula>0.05</formula>
    </cfRule>
    <cfRule type="cellIs" dxfId="145" priority="143" stopIfTrue="1" operator="lessThan">
      <formula>0</formula>
    </cfRule>
  </conditionalFormatting>
  <conditionalFormatting sqref="H211:H227">
    <cfRule type="cellIs" dxfId="144" priority="140" stopIfTrue="1" operator="lessThan">
      <formula>0</formula>
    </cfRule>
    <cfRule type="cellIs" dxfId="143" priority="141" stopIfTrue="1" operator="lessThan">
      <formula>0</formula>
    </cfRule>
  </conditionalFormatting>
  <conditionalFormatting sqref="H211:H227">
    <cfRule type="cellIs" dxfId="142" priority="138" stopIfTrue="1" operator="lessThan">
      <formula>0</formula>
    </cfRule>
    <cfRule type="cellIs" dxfId="141" priority="139" stopIfTrue="1" operator="lessThan">
      <formula>0</formula>
    </cfRule>
  </conditionalFormatting>
  <conditionalFormatting sqref="H211:H227">
    <cfRule type="cellIs" dxfId="140" priority="136" stopIfTrue="1" operator="lessThan">
      <formula>0.05</formula>
    </cfRule>
    <cfRule type="cellIs" dxfId="139" priority="137" stopIfTrue="1" operator="lessThan">
      <formula>0</formula>
    </cfRule>
  </conditionalFormatting>
  <conditionalFormatting sqref="H211:H227">
    <cfRule type="cellIs" dxfId="138" priority="134" stopIfTrue="1" operator="lessThan">
      <formula>0</formula>
    </cfRule>
    <cfRule type="cellIs" dxfId="137" priority="135" stopIfTrue="1" operator="lessThan">
      <formula>0</formula>
    </cfRule>
  </conditionalFormatting>
  <conditionalFormatting sqref="H211:H227">
    <cfRule type="cellIs" dxfId="136" priority="132" stopIfTrue="1" operator="lessThan">
      <formula>0.05</formula>
    </cfRule>
    <cfRule type="cellIs" dxfId="135" priority="133" stopIfTrue="1" operator="lessThan">
      <formula>0</formula>
    </cfRule>
  </conditionalFormatting>
  <conditionalFormatting sqref="H211:H227">
    <cfRule type="cellIs" dxfId="134" priority="130" stopIfTrue="1" operator="lessThan">
      <formula>0</formula>
    </cfRule>
    <cfRule type="cellIs" dxfId="133" priority="131" stopIfTrue="1" operator="lessThan">
      <formula>0</formula>
    </cfRule>
  </conditionalFormatting>
  <conditionalFormatting sqref="H211:H227">
    <cfRule type="cellIs" dxfId="132" priority="128" stopIfTrue="1" operator="lessThan">
      <formula>0.05</formula>
    </cfRule>
    <cfRule type="cellIs" dxfId="131" priority="129" stopIfTrue="1" operator="lessThan">
      <formula>0</formula>
    </cfRule>
  </conditionalFormatting>
  <conditionalFormatting sqref="H211:H227">
    <cfRule type="cellIs" dxfId="130" priority="126" stopIfTrue="1" operator="lessThan">
      <formula>0</formula>
    </cfRule>
    <cfRule type="cellIs" dxfId="129" priority="127" stopIfTrue="1" operator="lessThan">
      <formula>0</formula>
    </cfRule>
  </conditionalFormatting>
  <conditionalFormatting sqref="H211:H227">
    <cfRule type="cellIs" dxfId="128" priority="124" stopIfTrue="1" operator="lessThan">
      <formula>0</formula>
    </cfRule>
    <cfRule type="cellIs" dxfId="127" priority="125" stopIfTrue="1" operator="lessThan">
      <formula>0</formula>
    </cfRule>
  </conditionalFormatting>
  <conditionalFormatting sqref="H211:H227">
    <cfRule type="cellIs" dxfId="126" priority="122" stopIfTrue="1" operator="lessThan">
      <formula>0</formula>
    </cfRule>
    <cfRule type="cellIs" dxfId="125" priority="123" stopIfTrue="1" operator="lessThan">
      <formula>0</formula>
    </cfRule>
  </conditionalFormatting>
  <conditionalFormatting sqref="H211:H227">
    <cfRule type="cellIs" dxfId="124" priority="120" stopIfTrue="1" operator="lessThan">
      <formula>0.05</formula>
    </cfRule>
    <cfRule type="cellIs" dxfId="123" priority="121" stopIfTrue="1" operator="lessThan">
      <formula>0</formula>
    </cfRule>
  </conditionalFormatting>
  <conditionalFormatting sqref="H211:H227">
    <cfRule type="cellIs" dxfId="122" priority="118" stopIfTrue="1" operator="lessThan">
      <formula>0</formula>
    </cfRule>
    <cfRule type="cellIs" dxfId="121" priority="119" stopIfTrue="1" operator="lessThan">
      <formula>0</formula>
    </cfRule>
  </conditionalFormatting>
  <conditionalFormatting sqref="H211:H227">
    <cfRule type="cellIs" dxfId="120" priority="116" stopIfTrue="1" operator="lessThan">
      <formula>0.05</formula>
    </cfRule>
    <cfRule type="cellIs" dxfId="119" priority="117" stopIfTrue="1" operator="lessThan">
      <formula>0</formula>
    </cfRule>
  </conditionalFormatting>
  <conditionalFormatting sqref="H211:H227">
    <cfRule type="cellIs" dxfId="118" priority="114" stopIfTrue="1" operator="lessThan">
      <formula>0</formula>
    </cfRule>
    <cfRule type="cellIs" dxfId="117" priority="115" stopIfTrue="1" operator="lessThan">
      <formula>0</formula>
    </cfRule>
  </conditionalFormatting>
  <conditionalFormatting sqref="H211:H227">
    <cfRule type="cellIs" dxfId="116" priority="112" stopIfTrue="1" operator="lessThan">
      <formula>0.05</formula>
    </cfRule>
    <cfRule type="cellIs" dxfId="115" priority="113" stopIfTrue="1" operator="lessThan">
      <formula>0</formula>
    </cfRule>
  </conditionalFormatting>
  <conditionalFormatting sqref="H211:H227">
    <cfRule type="cellIs" dxfId="114" priority="110" stopIfTrue="1" operator="lessThan">
      <formula>0</formula>
    </cfRule>
    <cfRule type="cellIs" dxfId="113" priority="111" stopIfTrue="1" operator="lessThan">
      <formula>0</formula>
    </cfRule>
  </conditionalFormatting>
  <conditionalFormatting sqref="H211:H227">
    <cfRule type="cellIs" dxfId="112" priority="108" stopIfTrue="1" operator="lessThan">
      <formula>0</formula>
    </cfRule>
    <cfRule type="cellIs" dxfId="111" priority="109" stopIfTrue="1" operator="lessThan">
      <formula>0</formula>
    </cfRule>
  </conditionalFormatting>
  <conditionalFormatting sqref="H211:H227">
    <cfRule type="cellIs" dxfId="110" priority="106" stopIfTrue="1" operator="lessThan">
      <formula>0.05</formula>
    </cfRule>
    <cfRule type="cellIs" dxfId="109" priority="107" stopIfTrue="1" operator="lessThan">
      <formula>0</formula>
    </cfRule>
  </conditionalFormatting>
  <conditionalFormatting sqref="H211:H227">
    <cfRule type="cellIs" dxfId="108" priority="104" stopIfTrue="1" operator="lessThan">
      <formula>0</formula>
    </cfRule>
    <cfRule type="cellIs" dxfId="107" priority="105" stopIfTrue="1" operator="lessThan">
      <formula>0</formula>
    </cfRule>
  </conditionalFormatting>
  <conditionalFormatting sqref="H211:H227">
    <cfRule type="cellIs" dxfId="106" priority="102" stopIfTrue="1" operator="lessThan">
      <formula>0</formula>
    </cfRule>
    <cfRule type="cellIs" dxfId="105" priority="103" stopIfTrue="1" operator="lessThan">
      <formula>0</formula>
    </cfRule>
  </conditionalFormatting>
  <conditionalFormatting sqref="H211:H227">
    <cfRule type="cellIs" dxfId="104" priority="100" stopIfTrue="1" operator="lessThan">
      <formula>0.05</formula>
    </cfRule>
    <cfRule type="cellIs" dxfId="103" priority="101" stopIfTrue="1" operator="lessThan">
      <formula>0</formula>
    </cfRule>
  </conditionalFormatting>
  <conditionalFormatting sqref="H211:H227">
    <cfRule type="cellIs" dxfId="102" priority="98" stopIfTrue="1" operator="lessThan">
      <formula>0</formula>
    </cfRule>
    <cfRule type="cellIs" dxfId="101" priority="99" stopIfTrue="1" operator="lessThan">
      <formula>0</formula>
    </cfRule>
  </conditionalFormatting>
  <conditionalFormatting sqref="H211:H227">
    <cfRule type="cellIs" dxfId="100" priority="96" stopIfTrue="1" operator="lessThan">
      <formula>0</formula>
    </cfRule>
    <cfRule type="cellIs" dxfId="99" priority="97" stopIfTrue="1" operator="lessThan">
      <formula>0</formula>
    </cfRule>
  </conditionalFormatting>
  <conditionalFormatting sqref="H211:H227">
    <cfRule type="cellIs" dxfId="98" priority="94" stopIfTrue="1" operator="lessThan">
      <formula>0.05</formula>
    </cfRule>
    <cfRule type="cellIs" dxfId="97" priority="95" stopIfTrue="1" operator="lessThan">
      <formula>0</formula>
    </cfRule>
  </conditionalFormatting>
  <conditionalFormatting sqref="H211:H227">
    <cfRule type="cellIs" dxfId="96" priority="92" stopIfTrue="1" operator="lessThan">
      <formula>0</formula>
    </cfRule>
    <cfRule type="cellIs" dxfId="95" priority="93" stopIfTrue="1" operator="lessThan">
      <formula>0</formula>
    </cfRule>
  </conditionalFormatting>
  <conditionalFormatting sqref="H211:H227">
    <cfRule type="cellIs" dxfId="94" priority="90" stopIfTrue="1" operator="lessThan">
      <formula>0</formula>
    </cfRule>
    <cfRule type="cellIs" dxfId="93" priority="91" stopIfTrue="1" operator="lessThan">
      <formula>0</formula>
    </cfRule>
  </conditionalFormatting>
  <conditionalFormatting sqref="H211:H227">
    <cfRule type="cellIs" dxfId="92" priority="88" stopIfTrue="1" operator="lessThan">
      <formula>0.05</formula>
    </cfRule>
    <cfRule type="cellIs" dxfId="91" priority="89" stopIfTrue="1" operator="lessThan">
      <formula>0</formula>
    </cfRule>
  </conditionalFormatting>
  <conditionalFormatting sqref="H211:H227">
    <cfRule type="cellIs" dxfId="90" priority="86" stopIfTrue="1" operator="lessThan">
      <formula>0</formula>
    </cfRule>
    <cfRule type="cellIs" dxfId="89" priority="87" stopIfTrue="1" operator="lessThan">
      <formula>0</formula>
    </cfRule>
  </conditionalFormatting>
  <conditionalFormatting sqref="H211:H227">
    <cfRule type="cellIs" dxfId="88" priority="84" stopIfTrue="1" operator="lessThan">
      <formula>0</formula>
    </cfRule>
    <cfRule type="cellIs" dxfId="87" priority="85" stopIfTrue="1" operator="lessThan">
      <formula>0</formula>
    </cfRule>
  </conditionalFormatting>
  <conditionalFormatting sqref="H211:H227">
    <cfRule type="cellIs" dxfId="86" priority="82" stopIfTrue="1" operator="lessThan">
      <formula>0.05</formula>
    </cfRule>
    <cfRule type="cellIs" dxfId="85" priority="83" stopIfTrue="1" operator="lessThan">
      <formula>0</formula>
    </cfRule>
  </conditionalFormatting>
  <conditionalFormatting sqref="H211:H227">
    <cfRule type="cellIs" dxfId="84" priority="80" stopIfTrue="1" operator="lessThan">
      <formula>0</formula>
    </cfRule>
    <cfRule type="cellIs" dxfId="83" priority="81" stopIfTrue="1" operator="lessThan">
      <formula>0</formula>
    </cfRule>
  </conditionalFormatting>
  <conditionalFormatting sqref="H211:H227">
    <cfRule type="cellIs" dxfId="82" priority="78" stopIfTrue="1" operator="lessThan">
      <formula>0</formula>
    </cfRule>
    <cfRule type="cellIs" dxfId="81" priority="79" stopIfTrue="1" operator="lessThan">
      <formula>0</formula>
    </cfRule>
  </conditionalFormatting>
  <conditionalFormatting sqref="H211:H227">
    <cfRule type="cellIs" dxfId="80" priority="76" stopIfTrue="1" operator="lessThan">
      <formula>0.05</formula>
    </cfRule>
    <cfRule type="cellIs" dxfId="79" priority="77" stopIfTrue="1" operator="lessThan">
      <formula>0</formula>
    </cfRule>
  </conditionalFormatting>
  <conditionalFormatting sqref="H211:H227">
    <cfRule type="cellIs" dxfId="78" priority="74" stopIfTrue="1" operator="lessThan">
      <formula>0</formula>
    </cfRule>
    <cfRule type="cellIs" dxfId="77" priority="75" stopIfTrue="1" operator="lessThan">
      <formula>0</formula>
    </cfRule>
  </conditionalFormatting>
  <conditionalFormatting sqref="H211:H227">
    <cfRule type="cellIs" dxfId="76" priority="72" stopIfTrue="1" operator="lessThan">
      <formula>0</formula>
    </cfRule>
    <cfRule type="cellIs" dxfId="75" priority="73" stopIfTrue="1" operator="lessThan">
      <formula>0</formula>
    </cfRule>
  </conditionalFormatting>
  <conditionalFormatting sqref="H211:H227">
    <cfRule type="cellIs" dxfId="74" priority="70" stopIfTrue="1" operator="lessThan">
      <formula>0.05</formula>
    </cfRule>
    <cfRule type="cellIs" dxfId="73" priority="71" stopIfTrue="1" operator="lessThan">
      <formula>0</formula>
    </cfRule>
  </conditionalFormatting>
  <conditionalFormatting sqref="H211:H227">
    <cfRule type="cellIs" dxfId="72" priority="68" stopIfTrue="1" operator="lessThan">
      <formula>0</formula>
    </cfRule>
    <cfRule type="cellIs" dxfId="71" priority="69" stopIfTrue="1" operator="lessThan">
      <formula>0</formula>
    </cfRule>
  </conditionalFormatting>
  <conditionalFormatting sqref="H211:H227">
    <cfRule type="cellIs" dxfId="70" priority="66" stopIfTrue="1" operator="lessThan">
      <formula>0</formula>
    </cfRule>
    <cfRule type="cellIs" dxfId="69" priority="67" stopIfTrue="1" operator="lessThan">
      <formula>0</formula>
    </cfRule>
  </conditionalFormatting>
  <conditionalFormatting sqref="H211:H227">
    <cfRule type="cellIs" dxfId="68" priority="64" stopIfTrue="1" operator="lessThan">
      <formula>0.05</formula>
    </cfRule>
    <cfRule type="cellIs" dxfId="67" priority="65" stopIfTrue="1" operator="lessThan">
      <formula>0</formula>
    </cfRule>
  </conditionalFormatting>
  <conditionalFormatting sqref="H211:H227">
    <cfRule type="cellIs" dxfId="66" priority="62" stopIfTrue="1" operator="lessThan">
      <formula>0</formula>
    </cfRule>
    <cfRule type="cellIs" dxfId="65" priority="63" stopIfTrue="1" operator="lessThan">
      <formula>0</formula>
    </cfRule>
  </conditionalFormatting>
  <conditionalFormatting sqref="H211:H227">
    <cfRule type="cellIs" dxfId="64" priority="60" stopIfTrue="1" operator="lessThan">
      <formula>0</formula>
    </cfRule>
    <cfRule type="cellIs" dxfId="63" priority="61" stopIfTrue="1" operator="lessThan">
      <formula>0</formula>
    </cfRule>
  </conditionalFormatting>
  <conditionalFormatting sqref="H211:H227">
    <cfRule type="cellIs" dxfId="62" priority="58" stopIfTrue="1" operator="lessThan">
      <formula>0.05</formula>
    </cfRule>
    <cfRule type="cellIs" dxfId="61" priority="59" stopIfTrue="1" operator="lessThan">
      <formula>0</formula>
    </cfRule>
  </conditionalFormatting>
  <conditionalFormatting sqref="H211:H227">
    <cfRule type="cellIs" dxfId="60" priority="56" stopIfTrue="1" operator="lessThan">
      <formula>0</formula>
    </cfRule>
    <cfRule type="cellIs" dxfId="59" priority="57" stopIfTrue="1" operator="lessThan">
      <formula>0</formula>
    </cfRule>
  </conditionalFormatting>
  <conditionalFormatting sqref="H211:H227">
    <cfRule type="cellIs" dxfId="58" priority="54" stopIfTrue="1" operator="lessThan">
      <formula>0</formula>
    </cfRule>
    <cfRule type="cellIs" dxfId="57" priority="55" stopIfTrue="1" operator="lessThan">
      <formula>0</formula>
    </cfRule>
  </conditionalFormatting>
  <conditionalFormatting sqref="H211:H227">
    <cfRule type="cellIs" dxfId="56" priority="52" stopIfTrue="1" operator="lessThan">
      <formula>0.05</formula>
    </cfRule>
    <cfRule type="cellIs" dxfId="55" priority="53" stopIfTrue="1" operator="lessThan">
      <formula>0</formula>
    </cfRule>
  </conditionalFormatting>
  <conditionalFormatting sqref="H211:H227">
    <cfRule type="cellIs" dxfId="54" priority="50" stopIfTrue="1" operator="lessThan">
      <formula>0</formula>
    </cfRule>
    <cfRule type="cellIs" dxfId="53" priority="51" stopIfTrue="1" operator="lessThan">
      <formula>0</formula>
    </cfRule>
  </conditionalFormatting>
  <conditionalFormatting sqref="H211:H227">
    <cfRule type="cellIs" dxfId="52" priority="48" stopIfTrue="1" operator="lessThan">
      <formula>0</formula>
    </cfRule>
    <cfRule type="cellIs" dxfId="51" priority="49" stopIfTrue="1" operator="lessThan">
      <formula>0</formula>
    </cfRule>
  </conditionalFormatting>
  <conditionalFormatting sqref="H211:H227">
    <cfRule type="cellIs" dxfId="50" priority="46" stopIfTrue="1" operator="lessThan">
      <formula>0.05</formula>
    </cfRule>
    <cfRule type="cellIs" dxfId="49" priority="47" stopIfTrue="1" operator="lessThan">
      <formula>0</formula>
    </cfRule>
  </conditionalFormatting>
  <conditionalFormatting sqref="H211:H227">
    <cfRule type="cellIs" dxfId="48" priority="44" stopIfTrue="1" operator="lessThan">
      <formula>0</formula>
    </cfRule>
    <cfRule type="cellIs" dxfId="47" priority="45" stopIfTrue="1" operator="lessThan">
      <formula>0</formula>
    </cfRule>
  </conditionalFormatting>
  <conditionalFormatting sqref="H211:H227">
    <cfRule type="cellIs" dxfId="46" priority="42" stopIfTrue="1" operator="lessThan">
      <formula>0</formula>
    </cfRule>
    <cfRule type="cellIs" dxfId="45" priority="43" stopIfTrue="1" operator="lessThan">
      <formula>0</formula>
    </cfRule>
  </conditionalFormatting>
  <conditionalFormatting sqref="H211:H227">
    <cfRule type="cellIs" dxfId="44" priority="40" stopIfTrue="1" operator="lessThan">
      <formula>0.05</formula>
    </cfRule>
    <cfRule type="cellIs" dxfId="43" priority="41" stopIfTrue="1" operator="lessThan">
      <formula>0</formula>
    </cfRule>
  </conditionalFormatting>
  <conditionalFormatting sqref="H211:H227">
    <cfRule type="cellIs" dxfId="42" priority="38" stopIfTrue="1" operator="lessThan">
      <formula>0</formula>
    </cfRule>
    <cfRule type="cellIs" dxfId="41" priority="39" stopIfTrue="1" operator="lessThan">
      <formula>0</formula>
    </cfRule>
  </conditionalFormatting>
  <conditionalFormatting sqref="H211:H227">
    <cfRule type="cellIs" dxfId="40" priority="36" stopIfTrue="1" operator="lessThan">
      <formula>0</formula>
    </cfRule>
    <cfRule type="cellIs" dxfId="39" priority="37" stopIfTrue="1" operator="lessThan">
      <formula>0</formula>
    </cfRule>
  </conditionalFormatting>
  <conditionalFormatting sqref="H211:H227">
    <cfRule type="cellIs" dxfId="38" priority="34" stopIfTrue="1" operator="lessThan">
      <formula>0.05</formula>
    </cfRule>
    <cfRule type="cellIs" dxfId="37" priority="35" stopIfTrue="1" operator="lessThan">
      <formula>0</formula>
    </cfRule>
  </conditionalFormatting>
  <conditionalFormatting sqref="H211:H227">
    <cfRule type="cellIs" dxfId="36" priority="32" stopIfTrue="1" operator="lessThan">
      <formula>0</formula>
    </cfRule>
    <cfRule type="cellIs" dxfId="35" priority="33" stopIfTrue="1" operator="lessThan">
      <formula>0</formula>
    </cfRule>
  </conditionalFormatting>
  <conditionalFormatting sqref="H211:H227">
    <cfRule type="cellIs" dxfId="34" priority="30" stopIfTrue="1" operator="lessThan">
      <formula>0</formula>
    </cfRule>
    <cfRule type="cellIs" dxfId="33" priority="31" stopIfTrue="1" operator="lessThan">
      <formula>0</formula>
    </cfRule>
  </conditionalFormatting>
  <conditionalFormatting sqref="H211:H227">
    <cfRule type="cellIs" dxfId="32" priority="28" stopIfTrue="1" operator="lessThan">
      <formula>0.05</formula>
    </cfRule>
    <cfRule type="cellIs" dxfId="31" priority="29" stopIfTrue="1" operator="lessThan">
      <formula>0</formula>
    </cfRule>
  </conditionalFormatting>
  <conditionalFormatting sqref="H211:H227">
    <cfRule type="cellIs" dxfId="30" priority="26" stopIfTrue="1" operator="lessThan">
      <formula>0</formula>
    </cfRule>
    <cfRule type="cellIs" dxfId="29" priority="27" stopIfTrue="1" operator="lessThan">
      <formula>0</formula>
    </cfRule>
  </conditionalFormatting>
  <conditionalFormatting sqref="H211:H227">
    <cfRule type="cellIs" dxfId="28" priority="24" stopIfTrue="1" operator="lessThan">
      <formula>0.05</formula>
    </cfRule>
    <cfRule type="cellIs" dxfId="27" priority="25" stopIfTrue="1" operator="lessThan">
      <formula>0</formula>
    </cfRule>
  </conditionalFormatting>
  <conditionalFormatting sqref="H211:H227">
    <cfRule type="cellIs" dxfId="26" priority="22" stopIfTrue="1" operator="lessThan">
      <formula>0</formula>
    </cfRule>
    <cfRule type="cellIs" dxfId="25" priority="23" stopIfTrue="1" operator="lessThan">
      <formula>0</formula>
    </cfRule>
  </conditionalFormatting>
  <conditionalFormatting sqref="H211:H227">
    <cfRule type="cellIs" dxfId="24" priority="20" stopIfTrue="1" operator="lessThan">
      <formula>0.05</formula>
    </cfRule>
    <cfRule type="cellIs" dxfId="23" priority="21" stopIfTrue="1" operator="lessThan">
      <formula>0</formula>
    </cfRule>
  </conditionalFormatting>
  <conditionalFormatting sqref="H211:H227">
    <cfRule type="cellIs" dxfId="22" priority="18" stopIfTrue="1" operator="lessThan">
      <formula>0</formula>
    </cfRule>
    <cfRule type="cellIs" dxfId="21" priority="19" stopIfTrue="1" operator="lessThan">
      <formula>0</formula>
    </cfRule>
  </conditionalFormatting>
  <conditionalFormatting sqref="H211:H227">
    <cfRule type="cellIs" dxfId="20" priority="16" stopIfTrue="1" operator="lessThan">
      <formula>0</formula>
    </cfRule>
    <cfRule type="cellIs" dxfId="19" priority="17" stopIfTrue="1" operator="lessThan">
      <formula>0</formula>
    </cfRule>
  </conditionalFormatting>
  <conditionalFormatting sqref="H211:H227">
    <cfRule type="cellIs" dxfId="18" priority="14" stopIfTrue="1" operator="lessThan">
      <formula>0</formula>
    </cfRule>
    <cfRule type="cellIs" dxfId="17" priority="15" stopIfTrue="1" operator="lessThan">
      <formula>0</formula>
    </cfRule>
  </conditionalFormatting>
  <conditionalFormatting sqref="H211:H227">
    <cfRule type="cellIs" dxfId="16" priority="12" stopIfTrue="1" operator="lessThan">
      <formula>0.05</formula>
    </cfRule>
    <cfRule type="cellIs" dxfId="15" priority="13" stopIfTrue="1" operator="lessThan">
      <formula>0</formula>
    </cfRule>
  </conditionalFormatting>
  <conditionalFormatting sqref="H211:H227">
    <cfRule type="cellIs" dxfId="14" priority="10" stopIfTrue="1" operator="lessThan">
      <formula>0</formula>
    </cfRule>
    <cfRule type="cellIs" dxfId="13" priority="11" stopIfTrue="1" operator="lessThan">
      <formula>0</formula>
    </cfRule>
  </conditionalFormatting>
  <conditionalFormatting sqref="H211:H227">
    <cfRule type="cellIs" dxfId="12" priority="8" stopIfTrue="1" operator="lessThan">
      <formula>0.05</formula>
    </cfRule>
    <cfRule type="cellIs" dxfId="11" priority="9" stopIfTrue="1" operator="lessThan">
      <formula>0</formula>
    </cfRule>
  </conditionalFormatting>
  <conditionalFormatting sqref="H211:H227">
    <cfRule type="cellIs" dxfId="10" priority="6" stopIfTrue="1" operator="lessThan">
      <formula>0</formula>
    </cfRule>
    <cfRule type="cellIs" dxfId="9" priority="7" stopIfTrue="1" operator="lessThan">
      <formula>0</formula>
    </cfRule>
  </conditionalFormatting>
  <conditionalFormatting sqref="H211:H227">
    <cfRule type="cellIs" dxfId="8" priority="4" stopIfTrue="1" operator="lessThan">
      <formula>0.05</formula>
    </cfRule>
    <cfRule type="cellIs" dxfId="7" priority="5" stopIfTrue="1" operator="lessThan">
      <formula>0</formula>
    </cfRule>
  </conditionalFormatting>
  <conditionalFormatting sqref="H211:H227">
    <cfRule type="cellIs" dxfId="6" priority="2" stopIfTrue="1" operator="lessThan">
      <formula>0</formula>
    </cfRule>
    <cfRule type="cellIs" dxfId="5" priority="3" stopIfTrue="1" operator="lessThan">
      <formula>0</formula>
    </cfRule>
  </conditionalFormatting>
  <conditionalFormatting sqref="H211:H227">
    <cfRule type="cellIs" dxfId="4" priority="1" stopIfTrue="1" operator="lessThan">
      <formula>0.05</formula>
    </cfRule>
  </conditionalFormatting>
  <pageMargins left="1.3385826771653544" right="0.74803149606299213" top="0.98425196850393704" bottom="0.98425196850393704" header="0" footer="0"/>
  <pageSetup paperSize="5" scale="90" orientation="landscape" r:id="rId1"/>
  <headerFooter alignWithMargins="0"/>
  <rowBreaks count="2" manualBreakCount="2">
    <brk id="37" max="16383" man="1"/>
    <brk id="102" max="16383" man="1"/>
  </rowBreaks>
  <legacyDrawing r:id="rId2"/>
  <oleObjects>
    <oleObject progId="MSPhotoEd.3" shapeId="8193" r:id="rId3"/>
  </oleObjects>
</worksheet>
</file>

<file path=xl/worksheets/sheet6.xml><?xml version="1.0" encoding="utf-8"?>
<worksheet xmlns="http://schemas.openxmlformats.org/spreadsheetml/2006/main" xmlns:r="http://schemas.openxmlformats.org/officeDocument/2006/relationships">
  <dimension ref="A2:AH555"/>
  <sheetViews>
    <sheetView topLeftCell="A31" zoomScale="64" zoomScaleNormal="64" zoomScaleSheetLayoutView="50" workbookViewId="0">
      <selection activeCell="Z90" sqref="Z90"/>
    </sheetView>
  </sheetViews>
  <sheetFormatPr baseColWidth="10" defaultColWidth="11.44140625" defaultRowHeight="13.2"/>
  <cols>
    <col min="1" max="1" width="11.44140625" style="189"/>
    <col min="2" max="2" width="13.33203125" style="189" bestFit="1" customWidth="1"/>
    <col min="3" max="3" width="13.33203125" style="189" customWidth="1"/>
    <col min="4" max="7" width="11.5546875" style="189" bestFit="1" customWidth="1"/>
    <col min="8" max="8" width="8.33203125" style="189" customWidth="1"/>
    <col min="9" max="10" width="8.109375" style="189" bestFit="1" customWidth="1"/>
    <col min="11" max="11" width="7.109375" style="189" bestFit="1" customWidth="1"/>
    <col min="12" max="12" width="7.33203125" style="189" bestFit="1" customWidth="1"/>
    <col min="13" max="13" width="7.109375" style="189" bestFit="1" customWidth="1"/>
    <col min="14" max="18" width="7.33203125" style="189" bestFit="1" customWidth="1"/>
    <col min="19" max="23" width="7.109375" style="189" bestFit="1" customWidth="1"/>
    <col min="24" max="24" width="8.109375" style="189" bestFit="1" customWidth="1"/>
    <col min="25" max="25" width="7.5546875" style="189" bestFit="1" customWidth="1"/>
    <col min="26" max="27" width="7.33203125" style="189" bestFit="1" customWidth="1"/>
    <col min="28" max="28" width="6.6640625" style="189" bestFit="1" customWidth="1"/>
    <col min="29" max="29" width="7.109375" style="189" bestFit="1" customWidth="1"/>
    <col min="30" max="30" width="8.109375" style="189" bestFit="1" customWidth="1"/>
    <col min="31" max="31" width="7.109375" style="189" bestFit="1" customWidth="1"/>
    <col min="32" max="32" width="6.109375" style="189" bestFit="1" customWidth="1"/>
    <col min="33" max="16384" width="11.44140625" style="189"/>
  </cols>
  <sheetData>
    <row r="2" spans="1:34" ht="15">
      <c r="A2" s="3854" t="s">
        <v>404</v>
      </c>
      <c r="B2" s="3855"/>
      <c r="C2" s="3855"/>
      <c r="D2" s="3855"/>
      <c r="E2" s="3855"/>
      <c r="F2" s="3855"/>
      <c r="G2" s="3855"/>
      <c r="H2" s="3855"/>
      <c r="I2" s="3855"/>
      <c r="J2" s="3855"/>
      <c r="K2" s="3855"/>
      <c r="L2" s="3855"/>
      <c r="M2" s="3855"/>
      <c r="N2" s="3855"/>
      <c r="O2" s="3855"/>
      <c r="P2" s="3855"/>
      <c r="Q2" s="3855"/>
      <c r="R2" s="3855"/>
      <c r="S2" s="3855"/>
      <c r="T2" s="3856"/>
      <c r="U2" s="14"/>
      <c r="V2" s="14"/>
      <c r="W2" s="14"/>
      <c r="X2" s="14"/>
      <c r="Y2" s="14"/>
      <c r="Z2" s="14"/>
      <c r="AA2" s="14"/>
      <c r="AB2" s="14"/>
      <c r="AC2" s="14"/>
      <c r="AD2" s="14"/>
      <c r="AE2" s="14"/>
      <c r="AF2" s="14"/>
      <c r="AG2" s="14"/>
      <c r="AH2" s="1"/>
    </row>
    <row r="3" spans="1:34" s="312" customFormat="1" ht="15">
      <c r="A3" s="387"/>
      <c r="B3" s="387"/>
      <c r="C3" s="387"/>
      <c r="D3" s="387"/>
      <c r="E3" s="387"/>
      <c r="F3" s="387"/>
      <c r="G3" s="387"/>
      <c r="H3" s="387"/>
      <c r="I3" s="387"/>
      <c r="J3" s="387"/>
      <c r="K3" s="387"/>
      <c r="L3" s="387"/>
      <c r="M3" s="387"/>
      <c r="N3" s="387"/>
      <c r="O3" s="387"/>
      <c r="P3" s="387"/>
      <c r="Q3" s="387"/>
      <c r="R3" s="387"/>
      <c r="S3" s="387"/>
      <c r="T3" s="387"/>
      <c r="U3" s="114"/>
      <c r="V3" s="114"/>
      <c r="W3" s="114"/>
      <c r="X3" s="114"/>
      <c r="Y3" s="114"/>
      <c r="Z3" s="114"/>
      <c r="AA3" s="114"/>
      <c r="AB3" s="114"/>
      <c r="AC3" s="114"/>
      <c r="AD3" s="114"/>
      <c r="AE3" s="114"/>
      <c r="AF3" s="114"/>
      <c r="AG3" s="114"/>
      <c r="AH3" s="114"/>
    </row>
    <row r="4" spans="1:34" s="312" customFormat="1" ht="15">
      <c r="A4" s="3873" t="s">
        <v>324</v>
      </c>
      <c r="B4" s="3874"/>
      <c r="C4" s="3874"/>
      <c r="D4" s="3874"/>
      <c r="E4" s="3874"/>
      <c r="F4" s="3874"/>
      <c r="G4" s="3874"/>
      <c r="H4" s="3874"/>
      <c r="I4" s="3874"/>
      <c r="J4" s="3874"/>
      <c r="K4" s="3874"/>
      <c r="L4" s="3874"/>
      <c r="M4" s="3874"/>
      <c r="N4" s="3874"/>
      <c r="O4" s="3874"/>
      <c r="P4" s="3874"/>
      <c r="Q4" s="3874"/>
      <c r="R4" s="3875"/>
      <c r="S4" s="387"/>
      <c r="T4" s="387"/>
      <c r="U4" s="114"/>
      <c r="V4" s="114"/>
      <c r="W4" s="114"/>
      <c r="X4" s="114"/>
      <c r="Y4" s="114"/>
      <c r="Z4" s="114"/>
      <c r="AA4" s="114"/>
      <c r="AB4" s="114"/>
      <c r="AC4" s="114"/>
      <c r="AD4" s="114"/>
      <c r="AE4" s="114"/>
      <c r="AF4" s="114"/>
      <c r="AG4" s="114"/>
      <c r="AH4" s="114"/>
    </row>
    <row r="5" spans="1:34" s="312" customFormat="1" ht="6.75" customHeight="1">
      <c r="A5" s="388"/>
      <c r="B5" s="389"/>
      <c r="C5" s="389"/>
      <c r="D5" s="389"/>
      <c r="E5" s="389"/>
      <c r="F5" s="389"/>
      <c r="G5" s="389"/>
      <c r="H5" s="389"/>
      <c r="I5" s="387"/>
      <c r="J5" s="387"/>
      <c r="K5" s="387"/>
      <c r="L5" s="387"/>
      <c r="M5" s="387"/>
      <c r="N5" s="387"/>
      <c r="O5" s="387"/>
      <c r="P5" s="387"/>
      <c r="Q5" s="387"/>
      <c r="R5" s="387"/>
      <c r="S5" s="387"/>
      <c r="T5" s="387"/>
      <c r="U5" s="114"/>
      <c r="V5" s="114"/>
      <c r="W5" s="114"/>
      <c r="X5" s="114"/>
      <c r="Y5" s="114"/>
      <c r="Z5" s="114"/>
      <c r="AA5" s="114"/>
      <c r="AB5" s="114"/>
      <c r="AC5" s="114"/>
      <c r="AD5" s="114"/>
      <c r="AE5" s="114"/>
      <c r="AF5" s="114"/>
      <c r="AG5" s="114"/>
      <c r="AH5" s="114"/>
    </row>
    <row r="6" spans="1:34" s="312" customFormat="1" ht="15">
      <c r="A6" s="3854" t="s">
        <v>325</v>
      </c>
      <c r="B6" s="3855"/>
      <c r="C6" s="3855"/>
      <c r="D6" s="3855"/>
      <c r="E6" s="3855"/>
      <c r="F6" s="3855"/>
      <c r="G6" s="3855"/>
      <c r="H6" s="3856"/>
      <c r="I6" s="14"/>
      <c r="J6" s="14"/>
      <c r="K6" s="3026" t="s">
        <v>1309</v>
      </c>
      <c r="L6" s="14"/>
      <c r="M6" s="14"/>
      <c r="N6" s="14"/>
      <c r="O6" s="14"/>
      <c r="P6" s="14"/>
      <c r="Q6" s="14"/>
      <c r="R6" s="14"/>
      <c r="S6" s="14"/>
      <c r="T6" s="14"/>
      <c r="U6" s="14"/>
      <c r="V6" s="14"/>
      <c r="W6" s="14"/>
      <c r="X6" s="14"/>
      <c r="Y6" s="14"/>
      <c r="Z6" s="14"/>
      <c r="AA6" s="14"/>
      <c r="AB6" s="14"/>
      <c r="AC6" s="14"/>
      <c r="AD6" s="14"/>
      <c r="AE6" s="14"/>
      <c r="AF6" s="14"/>
      <c r="AG6" s="14"/>
      <c r="AH6" s="14"/>
    </row>
    <row r="7" spans="1:34" s="312" customFormat="1" ht="15">
      <c r="A7" s="8" t="s">
        <v>142</v>
      </c>
      <c r="B7" s="8" t="s">
        <v>143</v>
      </c>
      <c r="C7" s="372">
        <v>1</v>
      </c>
      <c r="D7" s="73">
        <v>2</v>
      </c>
      <c r="E7" s="73">
        <v>3</v>
      </c>
      <c r="F7" s="73">
        <v>4</v>
      </c>
      <c r="G7" s="73">
        <v>5</v>
      </c>
      <c r="H7" s="73">
        <v>6</v>
      </c>
      <c r="I7" s="73">
        <v>7</v>
      </c>
      <c r="J7" s="73">
        <v>8</v>
      </c>
      <c r="K7" s="73">
        <v>9</v>
      </c>
      <c r="L7" s="73">
        <v>10</v>
      </c>
      <c r="M7" s="73">
        <v>11</v>
      </c>
      <c r="N7" s="73">
        <v>12</v>
      </c>
      <c r="O7" s="73">
        <v>13</v>
      </c>
      <c r="P7" s="73">
        <v>14</v>
      </c>
      <c r="Q7" s="73">
        <v>15</v>
      </c>
      <c r="R7" s="73">
        <v>16</v>
      </c>
      <c r="S7" s="73">
        <v>17</v>
      </c>
      <c r="T7" s="73">
        <v>18</v>
      </c>
      <c r="U7" s="73">
        <v>19</v>
      </c>
      <c r="V7" s="73">
        <v>20</v>
      </c>
      <c r="W7" s="73">
        <v>21</v>
      </c>
      <c r="X7" s="73">
        <v>22</v>
      </c>
      <c r="Y7" s="73">
        <v>23</v>
      </c>
      <c r="Z7" s="73">
        <v>24</v>
      </c>
      <c r="AA7" s="73">
        <v>25</v>
      </c>
      <c r="AB7" s="73">
        <v>26</v>
      </c>
      <c r="AC7" s="73">
        <v>27</v>
      </c>
      <c r="AD7" s="73">
        <v>28</v>
      </c>
      <c r="AE7" s="73">
        <v>29</v>
      </c>
      <c r="AF7" s="73">
        <v>30</v>
      </c>
      <c r="AG7" s="73">
        <v>31</v>
      </c>
      <c r="AH7" s="88" t="s">
        <v>144</v>
      </c>
    </row>
    <row r="8" spans="1:34" s="312" customFormat="1" ht="15">
      <c r="A8" s="375" t="s">
        <v>145</v>
      </c>
      <c r="B8" s="53">
        <f>+AH8</f>
        <v>947.51300000000015</v>
      </c>
      <c r="C8" s="473">
        <v>0</v>
      </c>
      <c r="D8" s="635">
        <v>85.807000000000002</v>
      </c>
      <c r="E8" s="635">
        <v>335.51800000000003</v>
      </c>
      <c r="F8" s="635">
        <v>156.98500000000001</v>
      </c>
      <c r="G8" s="635">
        <v>111.137</v>
      </c>
      <c r="H8" s="635">
        <v>35.573999999999998</v>
      </c>
      <c r="I8" s="638">
        <v>120.21400000000001</v>
      </c>
      <c r="J8" s="638">
        <v>0</v>
      </c>
      <c r="K8" s="638">
        <v>0</v>
      </c>
      <c r="L8" s="638">
        <v>0</v>
      </c>
      <c r="M8" s="635">
        <v>0</v>
      </c>
      <c r="N8" s="635">
        <v>0</v>
      </c>
      <c r="O8" s="635">
        <v>0</v>
      </c>
      <c r="P8" s="635">
        <v>25.44</v>
      </c>
      <c r="Q8" s="635">
        <v>0</v>
      </c>
      <c r="R8" s="635">
        <v>0</v>
      </c>
      <c r="S8" s="635">
        <v>0</v>
      </c>
      <c r="T8" s="635">
        <v>22.164999999999999</v>
      </c>
      <c r="U8" s="635">
        <v>27.163</v>
      </c>
      <c r="V8" s="635">
        <v>4.8099999999999996</v>
      </c>
      <c r="W8" s="639">
        <v>7.2</v>
      </c>
      <c r="X8" s="635">
        <v>0</v>
      </c>
      <c r="Y8" s="635">
        <v>5.3500000000000005</v>
      </c>
      <c r="Z8" s="635">
        <v>3.75</v>
      </c>
      <c r="AA8" s="635">
        <v>5.35</v>
      </c>
      <c r="AB8" s="635">
        <v>1.05</v>
      </c>
      <c r="AC8" s="635">
        <v>0</v>
      </c>
      <c r="AD8" s="635">
        <v>0</v>
      </c>
      <c r="AE8" s="635">
        <v>0</v>
      </c>
      <c r="AF8" s="635">
        <v>0</v>
      </c>
      <c r="AG8" s="635">
        <v>0</v>
      </c>
      <c r="AH8" s="107">
        <f>SUM(C8:AG8)</f>
        <v>947.51300000000015</v>
      </c>
    </row>
    <row r="9" spans="1:34" s="312" customFormat="1" ht="15">
      <c r="A9" s="375" t="s">
        <v>146</v>
      </c>
      <c r="B9" s="53">
        <f t="shared" ref="B9:B19" si="0">+AH9</f>
        <v>1186.7939999999999</v>
      </c>
      <c r="C9" s="473">
        <v>0</v>
      </c>
      <c r="D9" s="635">
        <v>0</v>
      </c>
      <c r="E9" s="635">
        <v>0</v>
      </c>
      <c r="F9" s="635">
        <v>1.01</v>
      </c>
      <c r="G9" s="635">
        <v>0</v>
      </c>
      <c r="H9" s="635">
        <v>89.771000000000001</v>
      </c>
      <c r="I9" s="635">
        <v>147.76400000000001</v>
      </c>
      <c r="J9" s="635">
        <v>121.628</v>
      </c>
      <c r="K9" s="635">
        <v>6.98</v>
      </c>
      <c r="L9" s="635">
        <v>3.6390000000000002</v>
      </c>
      <c r="M9" s="635">
        <v>2.74</v>
      </c>
      <c r="N9" s="635">
        <v>0</v>
      </c>
      <c r="O9" s="635">
        <v>57.452999999999996</v>
      </c>
      <c r="P9" s="635">
        <v>9.5649999999999995</v>
      </c>
      <c r="Q9" s="635">
        <v>93.378999999999991</v>
      </c>
      <c r="R9" s="635">
        <v>0.95</v>
      </c>
      <c r="S9" s="635">
        <v>2.8</v>
      </c>
      <c r="T9" s="635">
        <v>5.3100000000000005</v>
      </c>
      <c r="U9" s="635">
        <v>0</v>
      </c>
      <c r="V9" s="635">
        <v>43.687000000000005</v>
      </c>
      <c r="W9" s="635">
        <v>141.54</v>
      </c>
      <c r="X9" s="635">
        <v>148.99100000000001</v>
      </c>
      <c r="Y9" s="635">
        <v>23.959</v>
      </c>
      <c r="Z9" s="635">
        <v>57.661999999999992</v>
      </c>
      <c r="AA9" s="635">
        <v>56.489999999999995</v>
      </c>
      <c r="AB9" s="635">
        <v>0</v>
      </c>
      <c r="AC9" s="635">
        <v>50.218000000000004</v>
      </c>
      <c r="AD9" s="635">
        <v>107.90700000000001</v>
      </c>
      <c r="AE9" s="635">
        <v>13.351000000000001</v>
      </c>
      <c r="AF9" s="635"/>
      <c r="AG9" s="635"/>
      <c r="AH9" s="107">
        <f t="shared" ref="AH9:AH19" si="1">SUM(C9:AG9)</f>
        <v>1186.7939999999999</v>
      </c>
    </row>
    <row r="10" spans="1:34" s="312" customFormat="1" ht="15">
      <c r="A10" s="375" t="s">
        <v>147</v>
      </c>
      <c r="B10" s="53">
        <f t="shared" si="0"/>
        <v>3499.127</v>
      </c>
      <c r="C10" s="640">
        <v>0</v>
      </c>
      <c r="D10" s="641">
        <v>101.19999999999999</v>
      </c>
      <c r="E10" s="642">
        <v>1.3</v>
      </c>
      <c r="F10" s="642">
        <v>0</v>
      </c>
      <c r="G10" s="642">
        <v>304.27099999999996</v>
      </c>
      <c r="H10" s="642">
        <v>149.917</v>
      </c>
      <c r="I10" s="642">
        <v>0</v>
      </c>
      <c r="J10" s="642">
        <v>0</v>
      </c>
      <c r="K10" s="642">
        <v>27.448</v>
      </c>
      <c r="L10" s="642">
        <v>3.6</v>
      </c>
      <c r="M10" s="642">
        <v>0</v>
      </c>
      <c r="N10" s="642">
        <v>0</v>
      </c>
      <c r="O10" s="642">
        <v>369.44200000000001</v>
      </c>
      <c r="P10" s="642">
        <v>159.57399999999998</v>
      </c>
      <c r="Q10" s="642">
        <v>167.65600000000001</v>
      </c>
      <c r="R10" s="642">
        <v>0</v>
      </c>
      <c r="S10" s="642">
        <v>3.9950000000000001</v>
      </c>
      <c r="T10" s="642">
        <v>0</v>
      </c>
      <c r="U10" s="642">
        <v>0</v>
      </c>
      <c r="V10" s="642">
        <v>19.295999999999999</v>
      </c>
      <c r="W10" s="642">
        <v>2.82</v>
      </c>
      <c r="X10" s="642">
        <v>21.810000000000002</v>
      </c>
      <c r="Y10" s="642">
        <v>546.18200000000002</v>
      </c>
      <c r="Z10" s="642">
        <v>241.327</v>
      </c>
      <c r="AA10" s="642">
        <v>0</v>
      </c>
      <c r="AB10" s="642">
        <v>290.91700000000003</v>
      </c>
      <c r="AC10" s="642">
        <v>0</v>
      </c>
      <c r="AD10" s="642">
        <v>441.28000000000003</v>
      </c>
      <c r="AE10" s="642">
        <v>573.18799999999999</v>
      </c>
      <c r="AF10" s="642">
        <v>69.981999999999999</v>
      </c>
      <c r="AG10" s="642">
        <v>3.9220000000000002</v>
      </c>
      <c r="AH10" s="107">
        <f t="shared" si="1"/>
        <v>3499.127</v>
      </c>
    </row>
    <row r="11" spans="1:34" s="312" customFormat="1" ht="15">
      <c r="A11" s="375" t="s">
        <v>148</v>
      </c>
      <c r="B11" s="53">
        <f t="shared" si="0"/>
        <v>560.97799999999995</v>
      </c>
      <c r="C11" s="296">
        <v>0</v>
      </c>
      <c r="D11" s="297">
        <v>249.82499999999999</v>
      </c>
      <c r="E11" s="298">
        <v>73.561999999999998</v>
      </c>
      <c r="F11" s="298">
        <v>0</v>
      </c>
      <c r="G11" s="298">
        <v>0</v>
      </c>
      <c r="H11" s="298">
        <v>0</v>
      </c>
      <c r="I11" s="298">
        <v>0</v>
      </c>
      <c r="J11" s="298">
        <v>0</v>
      </c>
      <c r="K11" s="298">
        <v>60.207000000000001</v>
      </c>
      <c r="L11" s="298">
        <v>0</v>
      </c>
      <c r="M11" s="298">
        <v>43.512999999999998</v>
      </c>
      <c r="N11" s="298">
        <v>0</v>
      </c>
      <c r="O11" s="298">
        <v>42.787999999999997</v>
      </c>
      <c r="P11" s="298">
        <v>0</v>
      </c>
      <c r="Q11" s="298">
        <v>0</v>
      </c>
      <c r="R11" s="298">
        <v>0</v>
      </c>
      <c r="S11" s="298">
        <v>28.053000000000001</v>
      </c>
      <c r="T11" s="298">
        <v>0</v>
      </c>
      <c r="U11" s="298">
        <v>0</v>
      </c>
      <c r="V11" s="298">
        <v>0</v>
      </c>
      <c r="W11" s="298">
        <v>0</v>
      </c>
      <c r="X11" s="298">
        <v>0</v>
      </c>
      <c r="Y11" s="298">
        <v>0</v>
      </c>
      <c r="Z11" s="298">
        <v>58.03</v>
      </c>
      <c r="AA11" s="298">
        <v>5</v>
      </c>
      <c r="AB11" s="298">
        <v>0</v>
      </c>
      <c r="AC11" s="298">
        <v>0</v>
      </c>
      <c r="AD11" s="298">
        <v>0</v>
      </c>
      <c r="AE11" s="298">
        <v>0</v>
      </c>
      <c r="AF11" s="298">
        <v>0</v>
      </c>
      <c r="AG11" s="298"/>
      <c r="AH11" s="107">
        <f t="shared" si="1"/>
        <v>560.97799999999995</v>
      </c>
    </row>
    <row r="12" spans="1:34" s="312" customFormat="1" ht="15">
      <c r="A12" s="375" t="s">
        <v>149</v>
      </c>
      <c r="B12" s="53">
        <f t="shared" si="0"/>
        <v>106.122</v>
      </c>
      <c r="C12" s="296">
        <v>0</v>
      </c>
      <c r="D12" s="297">
        <v>0</v>
      </c>
      <c r="E12" s="298">
        <v>0</v>
      </c>
      <c r="F12" s="298">
        <v>0</v>
      </c>
      <c r="G12" s="298">
        <v>0</v>
      </c>
      <c r="H12" s="298">
        <v>0</v>
      </c>
      <c r="I12" s="298">
        <v>0</v>
      </c>
      <c r="J12" s="298">
        <v>0</v>
      </c>
      <c r="K12" s="298">
        <v>0</v>
      </c>
      <c r="L12" s="298">
        <v>0</v>
      </c>
      <c r="M12" s="298">
        <v>0</v>
      </c>
      <c r="N12" s="298">
        <v>0</v>
      </c>
      <c r="O12" s="298">
        <v>0</v>
      </c>
      <c r="P12" s="298">
        <v>0</v>
      </c>
      <c r="Q12" s="298">
        <v>0</v>
      </c>
      <c r="R12" s="298">
        <v>0</v>
      </c>
      <c r="S12" s="298">
        <v>0</v>
      </c>
      <c r="T12" s="298">
        <v>0</v>
      </c>
      <c r="U12" s="298">
        <v>0</v>
      </c>
      <c r="V12" s="298">
        <v>0</v>
      </c>
      <c r="W12" s="298">
        <v>0</v>
      </c>
      <c r="X12" s="298">
        <v>0</v>
      </c>
      <c r="Y12" s="298">
        <v>0</v>
      </c>
      <c r="Z12" s="298">
        <v>0</v>
      </c>
      <c r="AA12" s="298">
        <v>0.58699999999999997</v>
      </c>
      <c r="AB12" s="298">
        <v>0</v>
      </c>
      <c r="AC12" s="298">
        <v>0</v>
      </c>
      <c r="AD12" s="298">
        <v>0</v>
      </c>
      <c r="AE12" s="298">
        <v>0</v>
      </c>
      <c r="AF12" s="298">
        <v>0</v>
      </c>
      <c r="AG12" s="298">
        <v>105.535</v>
      </c>
      <c r="AH12" s="107">
        <f t="shared" si="1"/>
        <v>106.122</v>
      </c>
    </row>
    <row r="13" spans="1:34" s="312" customFormat="1" ht="15">
      <c r="A13" s="375" t="s">
        <v>150</v>
      </c>
      <c r="B13" s="53">
        <f t="shared" si="0"/>
        <v>1269.1590000000001</v>
      </c>
      <c r="C13" s="361">
        <v>5.1040000000000001</v>
      </c>
      <c r="D13" s="361">
        <v>68.215000000000003</v>
      </c>
      <c r="E13" s="361">
        <v>0</v>
      </c>
      <c r="F13" s="361">
        <v>70.753</v>
      </c>
      <c r="G13" s="361">
        <v>9.1620000000000008</v>
      </c>
      <c r="H13" s="361">
        <v>194.51999999999998</v>
      </c>
      <c r="I13" s="361">
        <v>0</v>
      </c>
      <c r="J13" s="361">
        <v>0</v>
      </c>
      <c r="K13" s="361">
        <v>97.01</v>
      </c>
      <c r="L13" s="361">
        <v>0</v>
      </c>
      <c r="M13" s="361">
        <v>65.742000000000004</v>
      </c>
      <c r="N13" s="361">
        <v>106.97199999999999</v>
      </c>
      <c r="O13" s="361">
        <v>62.650000000000006</v>
      </c>
      <c r="P13" s="361">
        <v>61.675999999999995</v>
      </c>
      <c r="Q13" s="361">
        <v>60.506</v>
      </c>
      <c r="R13" s="361">
        <v>8.1739999999999995</v>
      </c>
      <c r="S13" s="361">
        <v>0</v>
      </c>
      <c r="T13" s="361">
        <v>3.7</v>
      </c>
      <c r="U13" s="361">
        <v>6.6999999999999993</v>
      </c>
      <c r="V13" s="361">
        <v>9.1000000000000014</v>
      </c>
      <c r="W13" s="361">
        <v>1.1000000000000001</v>
      </c>
      <c r="X13" s="361">
        <v>0</v>
      </c>
      <c r="Y13" s="361">
        <v>0</v>
      </c>
      <c r="Z13" s="361">
        <v>0</v>
      </c>
      <c r="AA13" s="361">
        <v>13.352</v>
      </c>
      <c r="AB13" s="361">
        <v>144.57199999999997</v>
      </c>
      <c r="AC13" s="361">
        <v>135.61599999999999</v>
      </c>
      <c r="AD13" s="361">
        <v>134.96</v>
      </c>
      <c r="AE13" s="361">
        <v>1.5129999999999999</v>
      </c>
      <c r="AF13" s="361">
        <v>8.0619999999999994</v>
      </c>
      <c r="AG13" s="361"/>
      <c r="AH13" s="107">
        <f t="shared" si="1"/>
        <v>1269.1590000000001</v>
      </c>
    </row>
    <row r="14" spans="1:34" s="312" customFormat="1" ht="15">
      <c r="A14" s="375" t="s">
        <v>151</v>
      </c>
      <c r="B14" s="53">
        <f t="shared" si="0"/>
        <v>54.930000000000007</v>
      </c>
      <c r="C14" s="361">
        <v>0</v>
      </c>
      <c r="D14" s="361">
        <v>0</v>
      </c>
      <c r="E14" s="361">
        <v>0</v>
      </c>
      <c r="F14" s="361">
        <v>0</v>
      </c>
      <c r="G14" s="361">
        <v>0</v>
      </c>
      <c r="H14" s="361">
        <v>0</v>
      </c>
      <c r="I14" s="361">
        <v>0</v>
      </c>
      <c r="J14" s="361">
        <v>0</v>
      </c>
      <c r="K14" s="361">
        <v>3.8</v>
      </c>
      <c r="L14" s="361">
        <v>21.830000000000005</v>
      </c>
      <c r="M14" s="361">
        <v>0</v>
      </c>
      <c r="N14" s="361">
        <v>0.85</v>
      </c>
      <c r="O14" s="361">
        <v>0</v>
      </c>
      <c r="P14" s="361">
        <v>0</v>
      </c>
      <c r="Q14" s="361">
        <v>0</v>
      </c>
      <c r="R14" s="361">
        <v>0</v>
      </c>
      <c r="S14" s="361">
        <v>2.54</v>
      </c>
      <c r="T14" s="361">
        <v>12.01</v>
      </c>
      <c r="U14" s="361">
        <v>3.83</v>
      </c>
      <c r="V14" s="361">
        <v>5.2</v>
      </c>
      <c r="W14" s="361">
        <v>1.3</v>
      </c>
      <c r="X14" s="361">
        <v>0</v>
      </c>
      <c r="Y14" s="361">
        <v>0</v>
      </c>
      <c r="Z14" s="361">
        <v>3.57</v>
      </c>
      <c r="AA14" s="361">
        <v>0</v>
      </c>
      <c r="AB14" s="361">
        <v>0</v>
      </c>
      <c r="AC14" s="361">
        <v>0</v>
      </c>
      <c r="AD14" s="361">
        <v>0</v>
      </c>
      <c r="AE14" s="361">
        <v>0</v>
      </c>
      <c r="AF14" s="361">
        <v>0</v>
      </c>
      <c r="AG14" s="361"/>
      <c r="AH14" s="107">
        <f t="shared" si="1"/>
        <v>54.930000000000007</v>
      </c>
    </row>
    <row r="15" spans="1:34" s="312" customFormat="1" ht="15">
      <c r="A15" s="375" t="s">
        <v>152</v>
      </c>
      <c r="B15" s="53">
        <f t="shared" si="0"/>
        <v>13.790000000000001</v>
      </c>
      <c r="C15" s="361">
        <v>0</v>
      </c>
      <c r="D15" s="361">
        <v>0</v>
      </c>
      <c r="E15" s="361">
        <v>0</v>
      </c>
      <c r="F15" s="361">
        <v>0</v>
      </c>
      <c r="G15" s="361">
        <v>0</v>
      </c>
      <c r="H15" s="361">
        <v>0</v>
      </c>
      <c r="I15" s="361">
        <v>3.0300000000000002</v>
      </c>
      <c r="J15" s="361">
        <v>3.04</v>
      </c>
      <c r="K15" s="361">
        <v>0</v>
      </c>
      <c r="L15" s="361">
        <v>0</v>
      </c>
      <c r="M15" s="361">
        <v>2.4000000000000004</v>
      </c>
      <c r="N15" s="361">
        <v>0</v>
      </c>
      <c r="O15" s="361">
        <v>0</v>
      </c>
      <c r="P15" s="361">
        <v>0</v>
      </c>
      <c r="Q15" s="361">
        <v>0</v>
      </c>
      <c r="R15" s="361">
        <v>0</v>
      </c>
      <c r="S15" s="361">
        <v>0</v>
      </c>
      <c r="T15" s="361">
        <v>5.32</v>
      </c>
      <c r="U15" s="361">
        <v>0</v>
      </c>
      <c r="V15" s="361">
        <v>0</v>
      </c>
      <c r="W15" s="361">
        <v>0</v>
      </c>
      <c r="X15" s="361">
        <v>0</v>
      </c>
      <c r="Y15" s="361">
        <v>0</v>
      </c>
      <c r="Z15" s="361">
        <v>0</v>
      </c>
      <c r="AA15" s="360" t="s">
        <v>318</v>
      </c>
      <c r="AB15" s="360" t="s">
        <v>318</v>
      </c>
      <c r="AC15" s="360" t="s">
        <v>318</v>
      </c>
      <c r="AD15" s="360" t="s">
        <v>318</v>
      </c>
      <c r="AE15" s="360" t="s">
        <v>318</v>
      </c>
      <c r="AF15" s="360" t="s">
        <v>318</v>
      </c>
      <c r="AG15" s="360" t="s">
        <v>318</v>
      </c>
      <c r="AH15" s="107">
        <f t="shared" si="1"/>
        <v>13.790000000000001</v>
      </c>
    </row>
    <row r="16" spans="1:34" s="312" customFormat="1" ht="15">
      <c r="A16" s="375" t="s">
        <v>153</v>
      </c>
      <c r="B16" s="53">
        <f t="shared" si="0"/>
        <v>352.49200000000002</v>
      </c>
      <c r="C16" s="360" t="s">
        <v>318</v>
      </c>
      <c r="D16" s="360" t="s">
        <v>318</v>
      </c>
      <c r="E16" s="360" t="s">
        <v>318</v>
      </c>
      <c r="F16" s="360" t="s">
        <v>318</v>
      </c>
      <c r="G16" s="360" t="s">
        <v>318</v>
      </c>
      <c r="H16" s="360" t="s">
        <v>318</v>
      </c>
      <c r="I16" s="360" t="s">
        <v>318</v>
      </c>
      <c r="J16" s="360" t="s">
        <v>318</v>
      </c>
      <c r="K16" s="360" t="s">
        <v>318</v>
      </c>
      <c r="L16" s="360" t="s">
        <v>318</v>
      </c>
      <c r="M16" s="360" t="s">
        <v>318</v>
      </c>
      <c r="N16" s="360" t="s">
        <v>318</v>
      </c>
      <c r="O16" s="360" t="s">
        <v>318</v>
      </c>
      <c r="P16" s="360" t="s">
        <v>318</v>
      </c>
      <c r="Q16" s="360" t="s">
        <v>318</v>
      </c>
      <c r="R16" s="360" t="s">
        <v>318</v>
      </c>
      <c r="S16" s="360" t="s">
        <v>318</v>
      </c>
      <c r="T16" s="360" t="s">
        <v>318</v>
      </c>
      <c r="U16" s="360" t="s">
        <v>318</v>
      </c>
      <c r="V16" s="360" t="s">
        <v>318</v>
      </c>
      <c r="W16" s="360" t="s">
        <v>318</v>
      </c>
      <c r="X16" s="360" t="s">
        <v>318</v>
      </c>
      <c r="Y16" s="360" t="s">
        <v>318</v>
      </c>
      <c r="Z16" s="361">
        <v>37.919999999999995</v>
      </c>
      <c r="AA16" s="361">
        <v>114.59400000000001</v>
      </c>
      <c r="AB16" s="361">
        <v>151.845</v>
      </c>
      <c r="AC16" s="361">
        <v>48.132999999999996</v>
      </c>
      <c r="AD16" s="361">
        <v>0</v>
      </c>
      <c r="AE16" s="361">
        <v>0</v>
      </c>
      <c r="AF16" s="361">
        <v>0</v>
      </c>
      <c r="AG16" s="361"/>
      <c r="AH16" s="107">
        <f t="shared" si="1"/>
        <v>352.49200000000002</v>
      </c>
    </row>
    <row r="17" spans="1:34" s="312" customFormat="1" ht="15">
      <c r="A17" s="375" t="s">
        <v>154</v>
      </c>
      <c r="B17" s="53">
        <f t="shared" si="0"/>
        <v>396.161</v>
      </c>
      <c r="C17" s="361">
        <v>0</v>
      </c>
      <c r="D17" s="361">
        <v>5.08</v>
      </c>
      <c r="E17" s="361">
        <v>0</v>
      </c>
      <c r="F17" s="361">
        <v>0</v>
      </c>
      <c r="G17" s="361">
        <v>0</v>
      </c>
      <c r="H17" s="361">
        <v>0</v>
      </c>
      <c r="I17" s="361">
        <v>0</v>
      </c>
      <c r="J17" s="361">
        <v>0</v>
      </c>
      <c r="K17" s="361">
        <v>0</v>
      </c>
      <c r="L17" s="361">
        <v>0</v>
      </c>
      <c r="M17" s="361">
        <v>0</v>
      </c>
      <c r="N17" s="361">
        <v>0</v>
      </c>
      <c r="O17" s="361">
        <v>0</v>
      </c>
      <c r="P17" s="361">
        <v>0</v>
      </c>
      <c r="Q17" s="361">
        <v>0</v>
      </c>
      <c r="R17" s="361">
        <v>0</v>
      </c>
      <c r="S17" s="361">
        <v>0</v>
      </c>
      <c r="T17" s="361">
        <v>0</v>
      </c>
      <c r="U17" s="361">
        <v>164.99700000000001</v>
      </c>
      <c r="V17" s="361">
        <v>56.543000000000006</v>
      </c>
      <c r="W17" s="361">
        <v>65.424999999999997</v>
      </c>
      <c r="X17" s="361">
        <v>88.666000000000011</v>
      </c>
      <c r="Y17" s="361">
        <v>15.45</v>
      </c>
      <c r="Z17" s="361">
        <v>0</v>
      </c>
      <c r="AA17" s="361">
        <v>0</v>
      </c>
      <c r="AB17" s="361">
        <v>0</v>
      </c>
      <c r="AC17" s="361"/>
      <c r="AD17" s="361"/>
      <c r="AE17" s="361"/>
      <c r="AF17" s="361"/>
      <c r="AG17" s="361"/>
      <c r="AH17" s="107">
        <f t="shared" si="1"/>
        <v>396.161</v>
      </c>
    </row>
    <row r="18" spans="1:34" s="312" customFormat="1" ht="15">
      <c r="A18" s="73" t="s">
        <v>155</v>
      </c>
      <c r="B18" s="53">
        <f t="shared" si="0"/>
        <v>40.45000000000001</v>
      </c>
      <c r="C18" s="361">
        <v>0</v>
      </c>
      <c r="D18" s="361">
        <v>0</v>
      </c>
      <c r="E18" s="361">
        <v>0</v>
      </c>
      <c r="F18" s="361">
        <v>0</v>
      </c>
      <c r="G18" s="361">
        <v>0</v>
      </c>
      <c r="H18" s="361">
        <v>0</v>
      </c>
      <c r="I18" s="361">
        <v>0</v>
      </c>
      <c r="J18" s="361">
        <v>0</v>
      </c>
      <c r="K18" s="361">
        <v>0</v>
      </c>
      <c r="L18" s="361">
        <v>0</v>
      </c>
      <c r="M18" s="361">
        <v>0</v>
      </c>
      <c r="N18" s="361">
        <v>0</v>
      </c>
      <c r="O18" s="361">
        <v>0</v>
      </c>
      <c r="P18" s="361">
        <v>0</v>
      </c>
      <c r="Q18" s="361">
        <v>37.35</v>
      </c>
      <c r="R18" s="361">
        <v>0</v>
      </c>
      <c r="S18" s="361">
        <v>0.7</v>
      </c>
      <c r="T18" s="361">
        <v>0</v>
      </c>
      <c r="U18" s="361">
        <v>1.2</v>
      </c>
      <c r="V18" s="361">
        <v>0</v>
      </c>
      <c r="W18" s="361">
        <v>1.2</v>
      </c>
      <c r="X18" s="361">
        <v>0</v>
      </c>
      <c r="Y18" s="361">
        <v>0</v>
      </c>
      <c r="Z18" s="361">
        <v>0</v>
      </c>
      <c r="AA18" s="361">
        <v>0</v>
      </c>
      <c r="AB18" s="361">
        <v>0</v>
      </c>
      <c r="AC18" s="361">
        <v>0</v>
      </c>
      <c r="AD18" s="361">
        <v>0</v>
      </c>
      <c r="AE18" s="361">
        <v>0</v>
      </c>
      <c r="AF18" s="361">
        <v>0</v>
      </c>
      <c r="AG18" s="361"/>
      <c r="AH18" s="107">
        <f t="shared" si="1"/>
        <v>40.45000000000001</v>
      </c>
    </row>
    <row r="19" spans="1:34" s="312" customFormat="1" ht="15">
      <c r="A19" s="73" t="s">
        <v>156</v>
      </c>
      <c r="B19" s="53">
        <f t="shared" si="0"/>
        <v>4.6399999999999997</v>
      </c>
      <c r="C19" s="361">
        <v>0</v>
      </c>
      <c r="D19" s="361">
        <v>0</v>
      </c>
      <c r="E19" s="361">
        <v>0</v>
      </c>
      <c r="F19" s="361">
        <v>0</v>
      </c>
      <c r="G19" s="361">
        <v>4.6399999999999997</v>
      </c>
      <c r="H19" s="361">
        <v>0</v>
      </c>
      <c r="I19" s="361">
        <v>0</v>
      </c>
      <c r="J19" s="361">
        <v>0</v>
      </c>
      <c r="K19" s="361">
        <v>0</v>
      </c>
      <c r="L19" s="361">
        <v>0</v>
      </c>
      <c r="M19" s="361">
        <v>0</v>
      </c>
      <c r="N19" s="361">
        <v>0</v>
      </c>
      <c r="O19" s="361">
        <v>0</v>
      </c>
      <c r="P19" s="361">
        <v>0</v>
      </c>
      <c r="Q19" s="361">
        <v>0</v>
      </c>
      <c r="R19" s="361">
        <v>0</v>
      </c>
      <c r="S19" s="361">
        <v>0</v>
      </c>
      <c r="T19" s="361">
        <v>0</v>
      </c>
      <c r="U19" s="361">
        <v>0</v>
      </c>
      <c r="V19" s="361">
        <v>0</v>
      </c>
      <c r="W19" s="361">
        <v>0</v>
      </c>
      <c r="X19" s="361">
        <v>0</v>
      </c>
      <c r="Y19" s="361">
        <v>0</v>
      </c>
      <c r="Z19" s="361">
        <v>0</v>
      </c>
      <c r="AA19" s="361">
        <v>0</v>
      </c>
      <c r="AB19" s="361">
        <v>0</v>
      </c>
      <c r="AC19" s="361">
        <v>0</v>
      </c>
      <c r="AD19" s="361">
        <v>0</v>
      </c>
      <c r="AE19" s="361">
        <v>0</v>
      </c>
      <c r="AF19" s="361">
        <v>0</v>
      </c>
      <c r="AG19" s="361">
        <v>0</v>
      </c>
      <c r="AH19" s="107">
        <f t="shared" si="1"/>
        <v>4.6399999999999997</v>
      </c>
    </row>
    <row r="20" spans="1:34" s="312" customFormat="1" ht="15">
      <c r="A20" s="199" t="s">
        <v>144</v>
      </c>
      <c r="B20" s="200">
        <f>SUM(B8:B19)</f>
        <v>8432.155999999999</v>
      </c>
      <c r="C20" s="100">
        <f>SUM(C8:C19)</f>
        <v>5.1040000000000001</v>
      </c>
      <c r="D20" s="100">
        <f t="shared" ref="D20:AG20" si="2">SUM(D8:D19)</f>
        <v>510.12700000000001</v>
      </c>
      <c r="E20" s="100">
        <f t="shared" si="2"/>
        <v>410.38000000000005</v>
      </c>
      <c r="F20" s="100">
        <f t="shared" si="2"/>
        <v>228.74799999999999</v>
      </c>
      <c r="G20" s="100">
        <f t="shared" si="2"/>
        <v>429.20999999999992</v>
      </c>
      <c r="H20" s="100">
        <f t="shared" si="2"/>
        <v>469.78199999999998</v>
      </c>
      <c r="I20" s="100">
        <f t="shared" si="2"/>
        <v>271.00799999999998</v>
      </c>
      <c r="J20" s="100">
        <f t="shared" si="2"/>
        <v>124.66800000000001</v>
      </c>
      <c r="K20" s="100">
        <f t="shared" si="2"/>
        <v>195.44499999999999</v>
      </c>
      <c r="L20" s="100">
        <f t="shared" si="2"/>
        <v>29.069000000000006</v>
      </c>
      <c r="M20" s="100">
        <f t="shared" si="2"/>
        <v>114.39500000000001</v>
      </c>
      <c r="N20" s="100">
        <f t="shared" si="2"/>
        <v>107.82199999999999</v>
      </c>
      <c r="O20" s="100">
        <f>SUM(O8:O19)</f>
        <v>532.33299999999997</v>
      </c>
      <c r="P20" s="100">
        <f t="shared" si="2"/>
        <v>256.255</v>
      </c>
      <c r="Q20" s="100">
        <f t="shared" si="2"/>
        <v>358.89099999999996</v>
      </c>
      <c r="R20" s="100">
        <f t="shared" si="2"/>
        <v>9.1239999999999988</v>
      </c>
      <c r="S20" s="100">
        <f t="shared" si="2"/>
        <v>38.088000000000001</v>
      </c>
      <c r="T20" s="100">
        <f t="shared" si="2"/>
        <v>48.505000000000003</v>
      </c>
      <c r="U20" s="100">
        <f t="shared" si="2"/>
        <v>203.89</v>
      </c>
      <c r="V20" s="100">
        <f t="shared" si="2"/>
        <v>138.63600000000002</v>
      </c>
      <c r="W20" s="100">
        <f t="shared" si="2"/>
        <v>220.58499999999998</v>
      </c>
      <c r="X20" s="100">
        <f t="shared" si="2"/>
        <v>259.46700000000004</v>
      </c>
      <c r="Y20" s="100">
        <f t="shared" si="2"/>
        <v>590.94100000000003</v>
      </c>
      <c r="Z20" s="100">
        <f t="shared" si="2"/>
        <v>402.25900000000001</v>
      </c>
      <c r="AA20" s="100">
        <f t="shared" si="2"/>
        <v>195.37300000000002</v>
      </c>
      <c r="AB20" s="100">
        <f t="shared" si="2"/>
        <v>588.38400000000001</v>
      </c>
      <c r="AC20" s="100">
        <f t="shared" si="2"/>
        <v>233.96699999999998</v>
      </c>
      <c r="AD20" s="100">
        <f t="shared" si="2"/>
        <v>684.14700000000005</v>
      </c>
      <c r="AE20" s="100">
        <f t="shared" si="2"/>
        <v>588.05200000000002</v>
      </c>
      <c r="AF20" s="100">
        <f t="shared" si="2"/>
        <v>78.043999999999997</v>
      </c>
      <c r="AG20" s="100">
        <f t="shared" si="2"/>
        <v>109.45699999999999</v>
      </c>
      <c r="AH20" s="100">
        <f>SUM(AH8:AH19)</f>
        <v>8432.155999999999</v>
      </c>
    </row>
    <row r="21" spans="1:34" s="312" customFormat="1" ht="15">
      <c r="A21" s="387"/>
      <c r="B21" s="387"/>
      <c r="C21" s="387"/>
      <c r="D21" s="387"/>
      <c r="E21" s="387"/>
      <c r="F21" s="387"/>
      <c r="G21" s="387"/>
      <c r="H21" s="387"/>
      <c r="I21" s="387"/>
      <c r="J21" s="387"/>
      <c r="K21" s="387"/>
      <c r="L21" s="387"/>
      <c r="M21" s="387"/>
      <c r="N21" s="387"/>
      <c r="O21" s="387"/>
      <c r="P21" s="387"/>
      <c r="Q21" s="387"/>
      <c r="R21" s="387"/>
      <c r="S21" s="387"/>
      <c r="T21" s="387"/>
      <c r="U21" s="114"/>
      <c r="V21" s="114"/>
      <c r="W21" s="114"/>
      <c r="X21" s="114"/>
      <c r="Y21" s="114"/>
      <c r="Z21" s="114"/>
      <c r="AA21" s="114"/>
      <c r="AB21" s="114"/>
      <c r="AC21" s="114"/>
      <c r="AD21" s="114"/>
      <c r="AE21" s="114"/>
      <c r="AF21" s="114"/>
      <c r="AG21" s="114"/>
      <c r="AH21" s="114"/>
    </row>
    <row r="22" spans="1:34" s="312" customFormat="1" ht="15">
      <c r="A22" s="3854" t="s">
        <v>327</v>
      </c>
      <c r="B22" s="3855"/>
      <c r="C22" s="3855"/>
      <c r="D22" s="3855"/>
      <c r="E22" s="3855"/>
      <c r="F22" s="3855"/>
      <c r="G22" s="3855"/>
      <c r="H22" s="3856"/>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row>
    <row r="23" spans="1:34" s="312" customFormat="1" ht="15">
      <c r="A23" s="8" t="s">
        <v>142</v>
      </c>
      <c r="B23" s="8" t="s">
        <v>143</v>
      </c>
      <c r="C23" s="372">
        <v>1</v>
      </c>
      <c r="D23" s="73">
        <v>2</v>
      </c>
      <c r="E23" s="73">
        <v>3</v>
      </c>
      <c r="F23" s="73">
        <v>4</v>
      </c>
      <c r="G23" s="73">
        <v>5</v>
      </c>
      <c r="H23" s="73">
        <v>6</v>
      </c>
      <c r="I23" s="73">
        <v>7</v>
      </c>
      <c r="J23" s="73">
        <v>8</v>
      </c>
      <c r="K23" s="73">
        <v>9</v>
      </c>
      <c r="L23" s="73">
        <v>10</v>
      </c>
      <c r="M23" s="73">
        <v>11</v>
      </c>
      <c r="N23" s="73">
        <v>12</v>
      </c>
      <c r="O23" s="73">
        <v>13</v>
      </c>
      <c r="P23" s="73">
        <v>14</v>
      </c>
      <c r="Q23" s="73">
        <v>15</v>
      </c>
      <c r="R23" s="73">
        <v>16</v>
      </c>
      <c r="S23" s="73">
        <v>17</v>
      </c>
      <c r="T23" s="73">
        <v>18</v>
      </c>
      <c r="U23" s="73">
        <v>19</v>
      </c>
      <c r="V23" s="73">
        <v>20</v>
      </c>
      <c r="W23" s="73">
        <v>21</v>
      </c>
      <c r="X23" s="73">
        <v>22</v>
      </c>
      <c r="Y23" s="73">
        <v>23</v>
      </c>
      <c r="Z23" s="73">
        <v>24</v>
      </c>
      <c r="AA23" s="73">
        <v>25</v>
      </c>
      <c r="AB23" s="73">
        <v>26</v>
      </c>
      <c r="AC23" s="73">
        <v>27</v>
      </c>
      <c r="AD23" s="73">
        <v>28</v>
      </c>
      <c r="AE23" s="73">
        <v>29</v>
      </c>
      <c r="AF23" s="73">
        <v>30</v>
      </c>
      <c r="AG23" s="73">
        <v>31</v>
      </c>
      <c r="AH23" s="88" t="s">
        <v>144</v>
      </c>
    </row>
    <row r="24" spans="1:34" s="312" customFormat="1" ht="15">
      <c r="A24" s="375" t="s">
        <v>145</v>
      </c>
      <c r="B24" s="53">
        <f>+AH24</f>
        <v>0</v>
      </c>
      <c r="C24" s="361">
        <v>0</v>
      </c>
      <c r="D24" s="361">
        <v>0</v>
      </c>
      <c r="E24" s="361">
        <v>0</v>
      </c>
      <c r="F24" s="361">
        <v>0</v>
      </c>
      <c r="G24" s="361">
        <v>0</v>
      </c>
      <c r="H24" s="361">
        <v>0</v>
      </c>
      <c r="I24" s="361">
        <v>0</v>
      </c>
      <c r="J24" s="361">
        <v>0</v>
      </c>
      <c r="K24" s="361">
        <v>0</v>
      </c>
      <c r="L24" s="361">
        <v>0</v>
      </c>
      <c r="M24" s="361">
        <v>0</v>
      </c>
      <c r="N24" s="361">
        <v>0</v>
      </c>
      <c r="O24" s="361">
        <v>0</v>
      </c>
      <c r="P24" s="361">
        <v>0</v>
      </c>
      <c r="Q24" s="361">
        <v>0</v>
      </c>
      <c r="R24" s="361">
        <v>0</v>
      </c>
      <c r="S24" s="361">
        <v>0</v>
      </c>
      <c r="T24" s="361">
        <v>0</v>
      </c>
      <c r="U24" s="361">
        <v>0</v>
      </c>
      <c r="V24" s="361">
        <v>0</v>
      </c>
      <c r="W24" s="361">
        <v>0</v>
      </c>
      <c r="X24" s="361">
        <v>0</v>
      </c>
      <c r="Y24" s="361">
        <v>0</v>
      </c>
      <c r="Z24" s="361">
        <v>0</v>
      </c>
      <c r="AA24" s="361">
        <v>0</v>
      </c>
      <c r="AB24" s="361">
        <v>0</v>
      </c>
      <c r="AC24" s="361">
        <v>0</v>
      </c>
      <c r="AD24" s="361">
        <v>0</v>
      </c>
      <c r="AE24" s="361">
        <v>0</v>
      </c>
      <c r="AF24" s="361">
        <v>0</v>
      </c>
      <c r="AG24" s="361">
        <v>0</v>
      </c>
      <c r="AH24" s="107">
        <f>SUM(C24:AG24)</f>
        <v>0</v>
      </c>
    </row>
    <row r="25" spans="1:34" s="312" customFormat="1" ht="15">
      <c r="A25" s="375" t="s">
        <v>146</v>
      </c>
      <c r="B25" s="53">
        <f t="shared" ref="B25:B35" si="3">+AH25</f>
        <v>0</v>
      </c>
      <c r="C25" s="361">
        <v>0</v>
      </c>
      <c r="D25" s="361">
        <v>0</v>
      </c>
      <c r="E25" s="361">
        <v>0</v>
      </c>
      <c r="F25" s="361">
        <v>0</v>
      </c>
      <c r="G25" s="361">
        <v>0</v>
      </c>
      <c r="H25" s="361">
        <v>0</v>
      </c>
      <c r="I25" s="361">
        <v>0</v>
      </c>
      <c r="J25" s="361">
        <v>0</v>
      </c>
      <c r="K25" s="361">
        <v>0</v>
      </c>
      <c r="L25" s="361">
        <v>0</v>
      </c>
      <c r="M25" s="361">
        <v>0</v>
      </c>
      <c r="N25" s="361">
        <v>0</v>
      </c>
      <c r="O25" s="361">
        <v>0</v>
      </c>
      <c r="P25" s="361">
        <v>0</v>
      </c>
      <c r="Q25" s="361">
        <v>0</v>
      </c>
      <c r="R25" s="361">
        <v>0</v>
      </c>
      <c r="S25" s="361">
        <v>0</v>
      </c>
      <c r="T25" s="361">
        <v>0</v>
      </c>
      <c r="U25" s="361">
        <v>0</v>
      </c>
      <c r="V25" s="361">
        <v>0</v>
      </c>
      <c r="W25" s="361">
        <v>0</v>
      </c>
      <c r="X25" s="361">
        <v>0</v>
      </c>
      <c r="Y25" s="361">
        <v>0</v>
      </c>
      <c r="Z25" s="361">
        <v>0</v>
      </c>
      <c r="AA25" s="361">
        <v>0</v>
      </c>
      <c r="AB25" s="361">
        <v>0</v>
      </c>
      <c r="AC25" s="361">
        <v>0</v>
      </c>
      <c r="AD25" s="361">
        <v>0</v>
      </c>
      <c r="AE25" s="361">
        <v>0</v>
      </c>
      <c r="AF25" s="361"/>
      <c r="AG25" s="361"/>
      <c r="AH25" s="107">
        <f t="shared" ref="AH25:AH35" si="4">SUM(C25:AG25)</f>
        <v>0</v>
      </c>
    </row>
    <row r="26" spans="1:34" s="312" customFormat="1" ht="15">
      <c r="A26" s="375" t="s">
        <v>147</v>
      </c>
      <c r="B26" s="53">
        <f t="shared" si="3"/>
        <v>0</v>
      </c>
      <c r="C26" s="361">
        <v>0</v>
      </c>
      <c r="D26" s="361">
        <v>0</v>
      </c>
      <c r="E26" s="361">
        <v>0</v>
      </c>
      <c r="F26" s="361">
        <v>0</v>
      </c>
      <c r="G26" s="361">
        <v>0</v>
      </c>
      <c r="H26" s="306">
        <v>0</v>
      </c>
      <c r="I26" s="306">
        <v>0</v>
      </c>
      <c r="J26" s="306">
        <v>0</v>
      </c>
      <c r="K26" s="306">
        <v>0</v>
      </c>
      <c r="L26" s="306">
        <v>0</v>
      </c>
      <c r="M26" s="306">
        <v>0</v>
      </c>
      <c r="N26" s="306">
        <v>0</v>
      </c>
      <c r="O26" s="306">
        <v>0</v>
      </c>
      <c r="P26" s="306">
        <v>0</v>
      </c>
      <c r="Q26" s="306">
        <v>0</v>
      </c>
      <c r="R26" s="306">
        <v>0</v>
      </c>
      <c r="S26" s="306">
        <v>0</v>
      </c>
      <c r="T26" s="306">
        <v>0</v>
      </c>
      <c r="U26" s="306">
        <v>0</v>
      </c>
      <c r="V26" s="306">
        <v>0</v>
      </c>
      <c r="W26" s="306">
        <v>0</v>
      </c>
      <c r="X26" s="306">
        <v>0</v>
      </c>
      <c r="Y26" s="306">
        <v>0</v>
      </c>
      <c r="Z26" s="306">
        <v>0</v>
      </c>
      <c r="AA26" s="306">
        <v>0</v>
      </c>
      <c r="AB26" s="306">
        <v>0</v>
      </c>
      <c r="AC26" s="306">
        <v>0</v>
      </c>
      <c r="AD26" s="306">
        <v>0</v>
      </c>
      <c r="AE26" s="306">
        <v>0</v>
      </c>
      <c r="AF26" s="306">
        <v>0</v>
      </c>
      <c r="AG26" s="306">
        <v>0</v>
      </c>
      <c r="AH26" s="107">
        <f t="shared" si="4"/>
        <v>0</v>
      </c>
    </row>
    <row r="27" spans="1:34" s="312" customFormat="1" ht="15">
      <c r="A27" s="375" t="s">
        <v>148</v>
      </c>
      <c r="B27" s="53">
        <f t="shared" si="3"/>
        <v>0.1</v>
      </c>
      <c r="C27" s="823">
        <v>0</v>
      </c>
      <c r="D27" s="453">
        <v>0</v>
      </c>
      <c r="E27" s="453">
        <v>0</v>
      </c>
      <c r="F27" s="453">
        <v>0</v>
      </c>
      <c r="G27" s="453">
        <v>0</v>
      </c>
      <c r="H27" s="453">
        <v>0</v>
      </c>
      <c r="I27" s="453">
        <v>0</v>
      </c>
      <c r="J27" s="453">
        <v>0</v>
      </c>
      <c r="K27" s="453">
        <v>0</v>
      </c>
      <c r="L27" s="453">
        <v>0</v>
      </c>
      <c r="M27" s="453">
        <v>0</v>
      </c>
      <c r="N27" s="453">
        <v>0</v>
      </c>
      <c r="O27" s="453">
        <v>0</v>
      </c>
      <c r="P27" s="453">
        <v>0</v>
      </c>
      <c r="Q27" s="453">
        <v>0</v>
      </c>
      <c r="R27" s="453">
        <v>0</v>
      </c>
      <c r="S27" s="453">
        <v>0</v>
      </c>
      <c r="T27" s="453">
        <v>0</v>
      </c>
      <c r="U27" s="453">
        <v>0</v>
      </c>
      <c r="V27" s="453">
        <v>0</v>
      </c>
      <c r="W27" s="453">
        <v>0</v>
      </c>
      <c r="X27" s="453">
        <v>0</v>
      </c>
      <c r="Y27" s="453">
        <v>0</v>
      </c>
      <c r="Z27" s="453">
        <v>0</v>
      </c>
      <c r="AA27" s="453">
        <v>0</v>
      </c>
      <c r="AB27" s="453">
        <v>0</v>
      </c>
      <c r="AC27" s="453">
        <v>0</v>
      </c>
      <c r="AD27" s="453">
        <v>0.1</v>
      </c>
      <c r="AE27" s="453">
        <v>0</v>
      </c>
      <c r="AF27" s="453">
        <v>0</v>
      </c>
      <c r="AG27" s="453"/>
      <c r="AH27" s="107">
        <f t="shared" si="4"/>
        <v>0.1</v>
      </c>
    </row>
    <row r="28" spans="1:34" s="312" customFormat="1" ht="15">
      <c r="A28" s="375" t="s">
        <v>149</v>
      </c>
      <c r="B28" s="53">
        <f t="shared" si="3"/>
        <v>0.37</v>
      </c>
      <c r="C28" s="103">
        <v>0</v>
      </c>
      <c r="D28" s="53">
        <v>0</v>
      </c>
      <c r="E28" s="53">
        <v>0</v>
      </c>
      <c r="F28" s="53">
        <v>0</v>
      </c>
      <c r="G28" s="53">
        <v>0</v>
      </c>
      <c r="H28" s="53">
        <v>0</v>
      </c>
      <c r="I28" s="53">
        <v>0</v>
      </c>
      <c r="J28" s="53">
        <v>0</v>
      </c>
      <c r="K28" s="53">
        <v>0</v>
      </c>
      <c r="L28" s="53">
        <v>0</v>
      </c>
      <c r="M28" s="53">
        <v>0</v>
      </c>
      <c r="N28" s="53">
        <v>0</v>
      </c>
      <c r="O28" s="53">
        <v>0</v>
      </c>
      <c r="P28" s="53">
        <v>0</v>
      </c>
      <c r="Q28" s="53">
        <v>0</v>
      </c>
      <c r="R28" s="53">
        <v>0</v>
      </c>
      <c r="S28" s="53">
        <v>0</v>
      </c>
      <c r="T28" s="53">
        <v>0</v>
      </c>
      <c r="U28" s="53">
        <v>0</v>
      </c>
      <c r="V28" s="53">
        <v>0</v>
      </c>
      <c r="W28" s="53">
        <v>0</v>
      </c>
      <c r="X28" s="53">
        <v>0</v>
      </c>
      <c r="Y28" s="53">
        <v>0</v>
      </c>
      <c r="Z28" s="53">
        <v>0</v>
      </c>
      <c r="AA28" s="53">
        <v>0</v>
      </c>
      <c r="AB28" s="53">
        <v>0</v>
      </c>
      <c r="AC28" s="53">
        <v>0</v>
      </c>
      <c r="AD28" s="53">
        <v>0</v>
      </c>
      <c r="AE28" s="53">
        <v>0</v>
      </c>
      <c r="AF28" s="53">
        <v>0.37</v>
      </c>
      <c r="AG28" s="53">
        <v>0</v>
      </c>
      <c r="AH28" s="107">
        <f t="shared" si="4"/>
        <v>0.37</v>
      </c>
    </row>
    <row r="29" spans="1:34" s="312" customFormat="1" ht="15">
      <c r="A29" s="375" t="s">
        <v>150</v>
      </c>
      <c r="B29" s="53">
        <f t="shared" si="3"/>
        <v>2.4500000000000002</v>
      </c>
      <c r="C29" s="103">
        <v>0</v>
      </c>
      <c r="D29" s="53">
        <v>0</v>
      </c>
      <c r="E29" s="53">
        <v>0</v>
      </c>
      <c r="F29" s="53">
        <v>0</v>
      </c>
      <c r="G29" s="53">
        <v>0</v>
      </c>
      <c r="H29" s="53">
        <v>0</v>
      </c>
      <c r="I29" s="53">
        <v>0.45</v>
      </c>
      <c r="J29" s="53">
        <v>1.2</v>
      </c>
      <c r="K29" s="53">
        <v>0.8</v>
      </c>
      <c r="L29" s="53">
        <v>0</v>
      </c>
      <c r="M29" s="53">
        <v>0</v>
      </c>
      <c r="N29" s="53">
        <v>0</v>
      </c>
      <c r="O29" s="53">
        <v>0</v>
      </c>
      <c r="P29" s="53">
        <v>0</v>
      </c>
      <c r="Q29" s="53">
        <v>0</v>
      </c>
      <c r="R29" s="53">
        <v>0</v>
      </c>
      <c r="S29" s="53">
        <v>0</v>
      </c>
      <c r="T29" s="53">
        <v>0</v>
      </c>
      <c r="U29" s="53">
        <v>0</v>
      </c>
      <c r="V29" s="53">
        <v>0</v>
      </c>
      <c r="W29" s="53">
        <v>0</v>
      </c>
      <c r="X29" s="53">
        <v>0</v>
      </c>
      <c r="Y29" s="53">
        <v>0</v>
      </c>
      <c r="Z29" s="53">
        <v>0</v>
      </c>
      <c r="AA29" s="53">
        <v>0</v>
      </c>
      <c r="AB29" s="53">
        <v>0</v>
      </c>
      <c r="AC29" s="53">
        <v>0</v>
      </c>
      <c r="AD29" s="53">
        <v>0</v>
      </c>
      <c r="AE29" s="53">
        <v>0</v>
      </c>
      <c r="AF29" s="53">
        <v>0</v>
      </c>
      <c r="AG29" s="53"/>
      <c r="AH29" s="107">
        <f t="shared" si="4"/>
        <v>2.4500000000000002</v>
      </c>
    </row>
    <row r="30" spans="1:34" s="312" customFormat="1" ht="15">
      <c r="A30" s="375" t="s">
        <v>151</v>
      </c>
      <c r="B30" s="53">
        <f t="shared" si="3"/>
        <v>0</v>
      </c>
      <c r="C30" s="103"/>
      <c r="D30" s="107"/>
      <c r="E30" s="107"/>
      <c r="F30" s="107"/>
      <c r="G30" s="53"/>
      <c r="H30" s="53"/>
      <c r="I30" s="53"/>
      <c r="J30" s="111"/>
      <c r="K30" s="111"/>
      <c r="L30" s="107"/>
      <c r="M30" s="107"/>
      <c r="N30" s="107"/>
      <c r="O30" s="107"/>
      <c r="P30" s="107"/>
      <c r="Q30" s="107"/>
      <c r="R30" s="107"/>
      <c r="S30" s="107"/>
      <c r="T30" s="107"/>
      <c r="U30" s="107"/>
      <c r="V30" s="107"/>
      <c r="W30" s="107"/>
      <c r="X30" s="107"/>
      <c r="Y30" s="107"/>
      <c r="Z30" s="107"/>
      <c r="AA30" s="107"/>
      <c r="AB30" s="107"/>
      <c r="AC30" s="107"/>
      <c r="AD30" s="107"/>
      <c r="AE30" s="107"/>
      <c r="AF30" s="107"/>
      <c r="AG30" s="107"/>
      <c r="AH30" s="107">
        <f t="shared" si="4"/>
        <v>0</v>
      </c>
    </row>
    <row r="31" spans="1:34" s="312" customFormat="1" ht="15">
      <c r="A31" s="375" t="s">
        <v>152</v>
      </c>
      <c r="B31" s="53">
        <f t="shared" si="3"/>
        <v>0</v>
      </c>
      <c r="C31" s="306"/>
      <c r="D31" s="306"/>
      <c r="E31" s="306"/>
      <c r="F31" s="306"/>
      <c r="G31" s="306"/>
      <c r="H31" s="306"/>
      <c r="I31" s="306"/>
      <c r="J31" s="1892"/>
      <c r="K31" s="1892"/>
      <c r="L31" s="1892"/>
      <c r="M31" s="1892"/>
      <c r="N31" s="1892"/>
      <c r="O31" s="1892"/>
      <c r="P31" s="1892"/>
      <c r="Q31" s="1892"/>
      <c r="R31" s="1892"/>
      <c r="S31" s="1892"/>
      <c r="T31" s="1892"/>
      <c r="U31" s="1892"/>
      <c r="V31" s="1892"/>
      <c r="W31" s="1892"/>
      <c r="X31" s="1892"/>
      <c r="Y31" s="1892"/>
      <c r="Z31" s="1892"/>
      <c r="AA31" s="1892"/>
      <c r="AB31" s="1892"/>
      <c r="AC31" s="1892"/>
      <c r="AD31" s="1892"/>
      <c r="AE31" s="1892"/>
      <c r="AF31" s="1892"/>
      <c r="AG31" s="1892"/>
      <c r="AH31" s="315"/>
    </row>
    <row r="32" spans="1:34" s="312" customFormat="1" ht="15">
      <c r="A32" s="375" t="s">
        <v>153</v>
      </c>
      <c r="B32" s="53">
        <f t="shared" si="3"/>
        <v>0</v>
      </c>
      <c r="C32" s="360" t="s">
        <v>318</v>
      </c>
      <c r="D32" s="360" t="s">
        <v>318</v>
      </c>
      <c r="E32" s="360" t="s">
        <v>318</v>
      </c>
      <c r="F32" s="360" t="s">
        <v>318</v>
      </c>
      <c r="G32" s="360" t="s">
        <v>318</v>
      </c>
      <c r="H32" s="360" t="s">
        <v>318</v>
      </c>
      <c r="I32" s="360" t="s">
        <v>318</v>
      </c>
      <c r="J32" s="360" t="s">
        <v>318</v>
      </c>
      <c r="K32" s="360" t="s">
        <v>318</v>
      </c>
      <c r="L32" s="360" t="s">
        <v>318</v>
      </c>
      <c r="M32" s="360" t="s">
        <v>318</v>
      </c>
      <c r="N32" s="360" t="s">
        <v>318</v>
      </c>
      <c r="O32" s="360" t="s">
        <v>318</v>
      </c>
      <c r="P32" s="360" t="s">
        <v>318</v>
      </c>
      <c r="Q32" s="360" t="s">
        <v>318</v>
      </c>
      <c r="R32" s="360" t="s">
        <v>318</v>
      </c>
      <c r="S32" s="360" t="s">
        <v>318</v>
      </c>
      <c r="T32" s="360" t="s">
        <v>318</v>
      </c>
      <c r="U32" s="360" t="s">
        <v>318</v>
      </c>
      <c r="V32" s="360" t="s">
        <v>318</v>
      </c>
      <c r="W32" s="360" t="s">
        <v>318</v>
      </c>
      <c r="X32" s="360" t="s">
        <v>318</v>
      </c>
      <c r="Y32" s="360" t="s">
        <v>318</v>
      </c>
      <c r="Z32" s="306"/>
      <c r="AA32" s="306"/>
      <c r="AB32" s="306"/>
      <c r="AC32" s="306"/>
      <c r="AD32" s="306"/>
      <c r="AE32" s="306"/>
      <c r="AF32" s="306"/>
      <c r="AG32" s="306"/>
      <c r="AH32" s="315"/>
    </row>
    <row r="33" spans="1:34" s="312" customFormat="1" ht="15">
      <c r="A33" s="375" t="s">
        <v>154</v>
      </c>
      <c r="B33" s="53">
        <f t="shared" si="3"/>
        <v>0</v>
      </c>
      <c r="C33" s="103">
        <v>0</v>
      </c>
      <c r="D33" s="107">
        <v>0</v>
      </c>
      <c r="E33" s="107">
        <v>0</v>
      </c>
      <c r="F33" s="107">
        <v>0</v>
      </c>
      <c r="G33" s="53">
        <v>0</v>
      </c>
      <c r="H33" s="53">
        <v>0</v>
      </c>
      <c r="I33" s="53">
        <v>0</v>
      </c>
      <c r="J33" s="53">
        <v>0</v>
      </c>
      <c r="K33" s="53">
        <v>0</v>
      </c>
      <c r="L33" s="53">
        <v>0</v>
      </c>
      <c r="M33" s="53">
        <v>0</v>
      </c>
      <c r="N33" s="53">
        <v>0</v>
      </c>
      <c r="O33" s="107">
        <v>0</v>
      </c>
      <c r="P33" s="53">
        <v>0</v>
      </c>
      <c r="Q33" s="53">
        <v>0</v>
      </c>
      <c r="R33" s="53">
        <v>0</v>
      </c>
      <c r="S33" s="53">
        <v>0</v>
      </c>
      <c r="T33" s="53">
        <v>0</v>
      </c>
      <c r="U33" s="53">
        <v>0</v>
      </c>
      <c r="V33" s="53">
        <v>0</v>
      </c>
      <c r="W33" s="53">
        <v>0</v>
      </c>
      <c r="X33" s="53">
        <v>0</v>
      </c>
      <c r="Y33" s="53">
        <v>0</v>
      </c>
      <c r="Z33" s="53">
        <v>0</v>
      </c>
      <c r="AA33" s="53">
        <v>0</v>
      </c>
      <c r="AB33" s="53">
        <v>0</v>
      </c>
      <c r="AC33" s="53">
        <v>0</v>
      </c>
      <c r="AD33" s="53">
        <v>0</v>
      </c>
      <c r="AE33" s="107">
        <v>0</v>
      </c>
      <c r="AF33" s="53">
        <v>0</v>
      </c>
      <c r="AG33" s="107">
        <v>0</v>
      </c>
      <c r="AH33" s="107">
        <f t="shared" si="4"/>
        <v>0</v>
      </c>
    </row>
    <row r="34" spans="1:34" s="312" customFormat="1" ht="15">
      <c r="A34" s="73" t="s">
        <v>155</v>
      </c>
      <c r="B34" s="53">
        <f t="shared" si="3"/>
        <v>0</v>
      </c>
      <c r="C34" s="103">
        <v>0</v>
      </c>
      <c r="D34" s="53">
        <v>0</v>
      </c>
      <c r="E34" s="53">
        <v>0</v>
      </c>
      <c r="F34" s="53">
        <v>0</v>
      </c>
      <c r="G34" s="14">
        <v>0</v>
      </c>
      <c r="H34" s="53">
        <v>0</v>
      </c>
      <c r="I34" s="53">
        <v>0</v>
      </c>
      <c r="J34" s="53">
        <v>0</v>
      </c>
      <c r="K34" s="53">
        <v>0</v>
      </c>
      <c r="L34" s="53">
        <v>0</v>
      </c>
      <c r="M34" s="53">
        <v>0</v>
      </c>
      <c r="N34" s="53">
        <v>0</v>
      </c>
      <c r="O34" s="53">
        <v>0</v>
      </c>
      <c r="P34" s="53">
        <v>0</v>
      </c>
      <c r="Q34" s="53">
        <v>0</v>
      </c>
      <c r="R34" s="53">
        <v>0</v>
      </c>
      <c r="S34" s="53">
        <v>0</v>
      </c>
      <c r="T34" s="53">
        <v>0</v>
      </c>
      <c r="U34" s="53">
        <v>0</v>
      </c>
      <c r="V34" s="53">
        <v>0</v>
      </c>
      <c r="W34" s="53">
        <v>0</v>
      </c>
      <c r="X34" s="53">
        <v>0</v>
      </c>
      <c r="Y34" s="14">
        <v>0</v>
      </c>
      <c r="Z34" s="53">
        <v>0</v>
      </c>
      <c r="AA34" s="53">
        <v>0</v>
      </c>
      <c r="AB34" s="53">
        <v>0</v>
      </c>
      <c r="AC34" s="53">
        <v>0</v>
      </c>
      <c r="AD34" s="53">
        <v>0</v>
      </c>
      <c r="AE34" s="107">
        <v>0</v>
      </c>
      <c r="AF34" s="53">
        <v>0</v>
      </c>
      <c r="AG34" s="107"/>
      <c r="AH34" s="107">
        <f t="shared" si="4"/>
        <v>0</v>
      </c>
    </row>
    <row r="35" spans="1:34" s="312" customFormat="1" ht="15">
      <c r="A35" s="73" t="s">
        <v>156</v>
      </c>
      <c r="B35" s="53">
        <f t="shared" si="3"/>
        <v>2</v>
      </c>
      <c r="C35" s="103">
        <v>0</v>
      </c>
      <c r="D35" s="53">
        <v>0</v>
      </c>
      <c r="E35" s="53">
        <v>0</v>
      </c>
      <c r="F35" s="53">
        <v>0</v>
      </c>
      <c r="G35" s="53">
        <v>0</v>
      </c>
      <c r="H35" s="53">
        <v>0</v>
      </c>
      <c r="I35" s="53">
        <v>2</v>
      </c>
      <c r="J35" s="53">
        <v>0</v>
      </c>
      <c r="K35" s="53">
        <v>0</v>
      </c>
      <c r="L35" s="53">
        <v>0</v>
      </c>
      <c r="M35" s="53">
        <v>0</v>
      </c>
      <c r="N35" s="53">
        <v>0</v>
      </c>
      <c r="O35" s="53">
        <v>0</v>
      </c>
      <c r="P35" s="53">
        <v>0</v>
      </c>
      <c r="Q35" s="53">
        <v>0</v>
      </c>
      <c r="R35" s="53">
        <v>0</v>
      </c>
      <c r="S35" s="53">
        <v>0</v>
      </c>
      <c r="T35" s="53">
        <v>0</v>
      </c>
      <c r="U35" s="53">
        <v>0</v>
      </c>
      <c r="V35" s="53">
        <v>0</v>
      </c>
      <c r="W35" s="53">
        <v>0</v>
      </c>
      <c r="X35" s="53">
        <v>0</v>
      </c>
      <c r="Y35" s="53">
        <v>0</v>
      </c>
      <c r="Z35" s="53">
        <v>0</v>
      </c>
      <c r="AA35" s="53">
        <v>0</v>
      </c>
      <c r="AB35" s="53">
        <v>0</v>
      </c>
      <c r="AC35" s="53">
        <v>0</v>
      </c>
      <c r="AD35" s="53">
        <v>0</v>
      </c>
      <c r="AE35" s="107">
        <v>0</v>
      </c>
      <c r="AF35" s="53">
        <v>0</v>
      </c>
      <c r="AG35" s="107">
        <v>0</v>
      </c>
      <c r="AH35" s="107">
        <f t="shared" si="4"/>
        <v>2</v>
      </c>
    </row>
    <row r="36" spans="1:34" s="312" customFormat="1" ht="15">
      <c r="A36" s="199" t="s">
        <v>144</v>
      </c>
      <c r="B36" s="200">
        <f>SUM(B24:B35)</f>
        <v>4.92</v>
      </c>
      <c r="C36" s="100">
        <f t="shared" ref="C36:AF36" si="5">SUM(C24:C35)</f>
        <v>0</v>
      </c>
      <c r="D36" s="100">
        <f t="shared" si="5"/>
        <v>0</v>
      </c>
      <c r="E36" s="100">
        <f t="shared" si="5"/>
        <v>0</v>
      </c>
      <c r="F36" s="100">
        <f t="shared" si="5"/>
        <v>0</v>
      </c>
      <c r="G36" s="100">
        <f t="shared" si="5"/>
        <v>0</v>
      </c>
      <c r="H36" s="100">
        <f t="shared" si="5"/>
        <v>0</v>
      </c>
      <c r="I36" s="100">
        <f t="shared" si="5"/>
        <v>2.4500000000000002</v>
      </c>
      <c r="J36" s="100">
        <f t="shared" si="5"/>
        <v>1.2</v>
      </c>
      <c r="K36" s="100">
        <f t="shared" si="5"/>
        <v>0.8</v>
      </c>
      <c r="L36" s="100">
        <f t="shared" si="5"/>
        <v>0</v>
      </c>
      <c r="M36" s="100">
        <f t="shared" si="5"/>
        <v>0</v>
      </c>
      <c r="N36" s="100">
        <f t="shared" si="5"/>
        <v>0</v>
      </c>
      <c r="O36" s="100">
        <f t="shared" si="5"/>
        <v>0</v>
      </c>
      <c r="P36" s="100">
        <f t="shared" si="5"/>
        <v>0</v>
      </c>
      <c r="Q36" s="100">
        <f t="shared" si="5"/>
        <v>0</v>
      </c>
      <c r="R36" s="100">
        <f t="shared" si="5"/>
        <v>0</v>
      </c>
      <c r="S36" s="100">
        <f t="shared" si="5"/>
        <v>0</v>
      </c>
      <c r="T36" s="100">
        <f t="shared" si="5"/>
        <v>0</v>
      </c>
      <c r="U36" s="100">
        <f t="shared" si="5"/>
        <v>0</v>
      </c>
      <c r="V36" s="100">
        <f t="shared" si="5"/>
        <v>0</v>
      </c>
      <c r="W36" s="100">
        <f t="shared" si="5"/>
        <v>0</v>
      </c>
      <c r="X36" s="100">
        <f t="shared" si="5"/>
        <v>0</v>
      </c>
      <c r="Y36" s="100">
        <f t="shared" si="5"/>
        <v>0</v>
      </c>
      <c r="Z36" s="100">
        <f t="shared" si="5"/>
        <v>0</v>
      </c>
      <c r="AA36" s="100">
        <f t="shared" si="5"/>
        <v>0</v>
      </c>
      <c r="AB36" s="100">
        <f t="shared" si="5"/>
        <v>0</v>
      </c>
      <c r="AC36" s="100">
        <f t="shared" si="5"/>
        <v>0</v>
      </c>
      <c r="AD36" s="100">
        <f t="shared" si="5"/>
        <v>0.1</v>
      </c>
      <c r="AE36" s="100">
        <f t="shared" si="5"/>
        <v>0</v>
      </c>
      <c r="AF36" s="100">
        <f t="shared" si="5"/>
        <v>0.37</v>
      </c>
      <c r="AG36" s="100">
        <f>SUM(AG24:AG35)</f>
        <v>0</v>
      </c>
      <c r="AH36" s="100">
        <f>SUM(AH24:AH35)</f>
        <v>4.92</v>
      </c>
    </row>
    <row r="37" spans="1:34" s="312" customFormat="1" ht="15">
      <c r="A37" s="387"/>
      <c r="B37" s="387"/>
      <c r="C37" s="387"/>
      <c r="D37" s="387"/>
      <c r="E37" s="387"/>
      <c r="F37" s="387"/>
      <c r="G37" s="387"/>
      <c r="H37" s="387"/>
      <c r="I37" s="387"/>
      <c r="J37" s="387"/>
      <c r="K37" s="387"/>
      <c r="L37" s="387"/>
      <c r="M37" s="387"/>
      <c r="N37" s="387"/>
      <c r="O37" s="387"/>
      <c r="P37" s="387"/>
      <c r="Q37" s="387"/>
      <c r="R37" s="387"/>
      <c r="S37" s="387"/>
      <c r="T37" s="387"/>
      <c r="U37" s="114"/>
      <c r="V37" s="114"/>
      <c r="W37" s="114"/>
      <c r="X37" s="114"/>
      <c r="Y37" s="114"/>
      <c r="Z37" s="114"/>
      <c r="AA37" s="114"/>
      <c r="AB37" s="114"/>
      <c r="AC37" s="114"/>
      <c r="AD37" s="114"/>
      <c r="AE37" s="114"/>
      <c r="AF37" s="114"/>
      <c r="AG37" s="114"/>
      <c r="AH37" s="114"/>
    </row>
    <row r="38" spans="1:34" s="312" customFormat="1" ht="15">
      <c r="A38" s="3854" t="s">
        <v>326</v>
      </c>
      <c r="B38" s="3855"/>
      <c r="C38" s="3855"/>
      <c r="D38" s="3855"/>
      <c r="E38" s="3855"/>
      <c r="F38" s="3855"/>
      <c r="G38" s="3855"/>
      <c r="H38" s="3856"/>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row>
    <row r="39" spans="1:34" s="312" customFormat="1" ht="15">
      <c r="A39" s="8" t="s">
        <v>142</v>
      </c>
      <c r="B39" s="8" t="s">
        <v>143</v>
      </c>
      <c r="C39" s="372">
        <v>1</v>
      </c>
      <c r="D39" s="73">
        <v>2</v>
      </c>
      <c r="E39" s="73">
        <v>3</v>
      </c>
      <c r="F39" s="73">
        <v>4</v>
      </c>
      <c r="G39" s="73">
        <v>5</v>
      </c>
      <c r="H39" s="73">
        <v>6</v>
      </c>
      <c r="I39" s="73">
        <v>7</v>
      </c>
      <c r="J39" s="73">
        <v>8</v>
      </c>
      <c r="K39" s="73">
        <v>9</v>
      </c>
      <c r="L39" s="73">
        <v>10</v>
      </c>
      <c r="M39" s="73">
        <v>11</v>
      </c>
      <c r="N39" s="73">
        <v>12</v>
      </c>
      <c r="O39" s="73">
        <v>13</v>
      </c>
      <c r="P39" s="73">
        <v>14</v>
      </c>
      <c r="Q39" s="73">
        <v>15</v>
      </c>
      <c r="R39" s="73">
        <v>16</v>
      </c>
      <c r="S39" s="73">
        <v>17</v>
      </c>
      <c r="T39" s="73">
        <v>18</v>
      </c>
      <c r="U39" s="73">
        <v>19</v>
      </c>
      <c r="V39" s="73">
        <v>20</v>
      </c>
      <c r="W39" s="73">
        <v>21</v>
      </c>
      <c r="X39" s="73">
        <v>22</v>
      </c>
      <c r="Y39" s="73">
        <v>23</v>
      </c>
      <c r="Z39" s="73">
        <v>24</v>
      </c>
      <c r="AA39" s="73">
        <v>25</v>
      </c>
      <c r="AB39" s="73">
        <v>26</v>
      </c>
      <c r="AC39" s="73">
        <v>27</v>
      </c>
      <c r="AD39" s="73">
        <v>28</v>
      </c>
      <c r="AE39" s="73">
        <v>29</v>
      </c>
      <c r="AF39" s="73">
        <v>30</v>
      </c>
      <c r="AG39" s="73">
        <v>31</v>
      </c>
      <c r="AH39" s="88" t="s">
        <v>144</v>
      </c>
    </row>
    <row r="40" spans="1:34" s="312" customFormat="1" ht="15">
      <c r="A40" s="375" t="s">
        <v>145</v>
      </c>
      <c r="B40" s="53">
        <f t="shared" ref="B40:B51" si="6">+AH40</f>
        <v>3.12</v>
      </c>
      <c r="C40" s="302">
        <v>0</v>
      </c>
      <c r="D40" s="303">
        <v>0</v>
      </c>
      <c r="E40" s="303">
        <v>3.02</v>
      </c>
      <c r="F40" s="303">
        <v>0</v>
      </c>
      <c r="G40" s="303">
        <v>0</v>
      </c>
      <c r="H40" s="303">
        <v>0</v>
      </c>
      <c r="I40" s="303">
        <v>0</v>
      </c>
      <c r="J40" s="303">
        <v>0</v>
      </c>
      <c r="K40" s="303">
        <v>0.1</v>
      </c>
      <c r="L40" s="303">
        <v>0</v>
      </c>
      <c r="M40" s="303">
        <v>0</v>
      </c>
      <c r="N40" s="303">
        <v>0</v>
      </c>
      <c r="O40" s="303">
        <v>0</v>
      </c>
      <c r="P40" s="303">
        <v>0</v>
      </c>
      <c r="Q40" s="297">
        <v>0</v>
      </c>
      <c r="R40" s="303">
        <v>0</v>
      </c>
      <c r="S40" s="303">
        <v>0</v>
      </c>
      <c r="T40" s="303">
        <v>0</v>
      </c>
      <c r="U40" s="303">
        <v>0</v>
      </c>
      <c r="V40" s="297">
        <v>0</v>
      </c>
      <c r="W40" s="297">
        <v>0</v>
      </c>
      <c r="X40" s="303">
        <v>0</v>
      </c>
      <c r="Y40" s="303">
        <v>0</v>
      </c>
      <c r="Z40" s="303">
        <v>0</v>
      </c>
      <c r="AA40" s="303">
        <v>0</v>
      </c>
      <c r="AB40" s="303">
        <v>0</v>
      </c>
      <c r="AC40" s="303">
        <v>0</v>
      </c>
      <c r="AD40" s="297">
        <v>0</v>
      </c>
      <c r="AE40" s="303">
        <v>0</v>
      </c>
      <c r="AF40" s="303">
        <v>0</v>
      </c>
      <c r="AG40" s="303">
        <v>0</v>
      </c>
      <c r="AH40" s="107">
        <f>SUM(C40:AG40)</f>
        <v>3.12</v>
      </c>
    </row>
    <row r="41" spans="1:34" s="312" customFormat="1" ht="15">
      <c r="A41" s="375" t="s">
        <v>146</v>
      </c>
      <c r="B41" s="53">
        <f t="shared" si="6"/>
        <v>0</v>
      </c>
      <c r="C41" s="302">
        <v>0</v>
      </c>
      <c r="D41" s="303">
        <v>0</v>
      </c>
      <c r="E41" s="303">
        <v>0</v>
      </c>
      <c r="F41" s="303">
        <v>0</v>
      </c>
      <c r="G41" s="303">
        <v>0</v>
      </c>
      <c r="H41" s="303">
        <v>0</v>
      </c>
      <c r="I41" s="303">
        <v>0</v>
      </c>
      <c r="J41" s="303">
        <v>0</v>
      </c>
      <c r="K41" s="303">
        <v>0</v>
      </c>
      <c r="L41" s="303">
        <v>0</v>
      </c>
      <c r="M41" s="303">
        <v>0</v>
      </c>
      <c r="N41" s="303">
        <v>0</v>
      </c>
      <c r="O41" s="303">
        <v>0</v>
      </c>
      <c r="P41" s="303">
        <v>0</v>
      </c>
      <c r="Q41" s="303">
        <v>0</v>
      </c>
      <c r="R41" s="303">
        <v>0</v>
      </c>
      <c r="S41" s="303">
        <v>0</v>
      </c>
      <c r="T41" s="303">
        <v>0</v>
      </c>
      <c r="U41" s="303">
        <v>0</v>
      </c>
      <c r="V41" s="303">
        <v>0</v>
      </c>
      <c r="W41" s="303">
        <v>0</v>
      </c>
      <c r="X41" s="303">
        <v>0</v>
      </c>
      <c r="Y41" s="303">
        <v>0</v>
      </c>
      <c r="Z41" s="303">
        <v>0</v>
      </c>
      <c r="AA41" s="303">
        <v>0</v>
      </c>
      <c r="AB41" s="303">
        <v>0</v>
      </c>
      <c r="AC41" s="303">
        <v>0</v>
      </c>
      <c r="AD41" s="303">
        <v>0</v>
      </c>
      <c r="AE41" s="303">
        <v>0</v>
      </c>
      <c r="AF41" s="303"/>
      <c r="AG41" s="303"/>
      <c r="AH41" s="107">
        <f t="shared" ref="AH41:AH51" si="7">SUM(C41:AG41)</f>
        <v>0</v>
      </c>
    </row>
    <row r="42" spans="1:34" s="312" customFormat="1" ht="15">
      <c r="A42" s="375" t="s">
        <v>147</v>
      </c>
      <c r="B42" s="53">
        <f t="shared" si="6"/>
        <v>0.3</v>
      </c>
      <c r="C42" s="636">
        <v>0</v>
      </c>
      <c r="D42" s="453">
        <v>0</v>
      </c>
      <c r="E42" s="667">
        <v>0</v>
      </c>
      <c r="F42" s="667">
        <v>0</v>
      </c>
      <c r="G42" s="667">
        <v>0</v>
      </c>
      <c r="H42" s="667">
        <v>0</v>
      </c>
      <c r="I42" s="667">
        <v>0</v>
      </c>
      <c r="J42" s="667">
        <v>0</v>
      </c>
      <c r="K42" s="667">
        <v>0</v>
      </c>
      <c r="L42" s="667">
        <v>0</v>
      </c>
      <c r="M42" s="667">
        <v>0</v>
      </c>
      <c r="N42" s="667">
        <v>0</v>
      </c>
      <c r="O42" s="667">
        <v>0</v>
      </c>
      <c r="P42" s="667">
        <v>0</v>
      </c>
      <c r="Q42" s="666">
        <v>0</v>
      </c>
      <c r="R42" s="666">
        <v>0.3</v>
      </c>
      <c r="S42" s="666">
        <v>0</v>
      </c>
      <c r="T42" s="666">
        <v>0</v>
      </c>
      <c r="U42" s="666">
        <v>0</v>
      </c>
      <c r="V42" s="666">
        <v>0</v>
      </c>
      <c r="W42" s="666">
        <v>0</v>
      </c>
      <c r="X42" s="666">
        <v>0</v>
      </c>
      <c r="Y42" s="666">
        <v>0</v>
      </c>
      <c r="Z42" s="666">
        <v>0</v>
      </c>
      <c r="AA42" s="666">
        <v>0</v>
      </c>
      <c r="AB42" s="666">
        <v>0</v>
      </c>
      <c r="AC42" s="666">
        <v>0</v>
      </c>
      <c r="AD42" s="666">
        <v>0</v>
      </c>
      <c r="AE42" s="666">
        <v>0</v>
      </c>
      <c r="AF42" s="666">
        <v>0</v>
      </c>
      <c r="AG42" s="666">
        <v>0</v>
      </c>
      <c r="AH42" s="107">
        <f t="shared" si="7"/>
        <v>0.3</v>
      </c>
    </row>
    <row r="43" spans="1:34" s="312" customFormat="1" ht="15">
      <c r="A43" s="375" t="s">
        <v>148</v>
      </c>
      <c r="B43" s="53">
        <f t="shared" si="6"/>
        <v>12.479999999999999</v>
      </c>
      <c r="C43" s="821">
        <v>0</v>
      </c>
      <c r="D43" s="303">
        <v>0</v>
      </c>
      <c r="E43" s="822">
        <v>0</v>
      </c>
      <c r="F43" s="822">
        <v>0</v>
      </c>
      <c r="G43" s="822">
        <v>0</v>
      </c>
      <c r="H43" s="822">
        <v>0</v>
      </c>
      <c r="I43" s="822">
        <v>0</v>
      </c>
      <c r="J43" s="822">
        <v>0</v>
      </c>
      <c r="K43" s="822">
        <v>1.9E-2</v>
      </c>
      <c r="L43" s="822">
        <v>0</v>
      </c>
      <c r="M43" s="822">
        <v>0</v>
      </c>
      <c r="N43" s="822">
        <v>0</v>
      </c>
      <c r="O43" s="822">
        <v>2.5999999999999999E-2</v>
      </c>
      <c r="P43" s="822">
        <v>0</v>
      </c>
      <c r="Q43" s="298">
        <v>0</v>
      </c>
      <c r="R43" s="298">
        <v>0</v>
      </c>
      <c r="S43" s="298">
        <v>0</v>
      </c>
      <c r="T43" s="298">
        <v>0</v>
      </c>
      <c r="U43" s="298">
        <v>0</v>
      </c>
      <c r="V43" s="298">
        <v>0</v>
      </c>
      <c r="W43" s="298">
        <v>0</v>
      </c>
      <c r="X43" s="298">
        <v>0</v>
      </c>
      <c r="Y43" s="298">
        <v>0.03</v>
      </c>
      <c r="Z43" s="298">
        <v>0</v>
      </c>
      <c r="AA43" s="298">
        <v>0</v>
      </c>
      <c r="AB43" s="298">
        <v>0</v>
      </c>
      <c r="AC43" s="298">
        <v>12.404999999999999</v>
      </c>
      <c r="AD43" s="298">
        <v>0</v>
      </c>
      <c r="AE43" s="298">
        <v>0</v>
      </c>
      <c r="AF43" s="298">
        <v>0</v>
      </c>
      <c r="AG43" s="298"/>
      <c r="AH43" s="107">
        <f t="shared" si="7"/>
        <v>12.479999999999999</v>
      </c>
    </row>
    <row r="44" spans="1:34" s="312" customFormat="1" ht="15">
      <c r="A44" s="375" t="s">
        <v>149</v>
      </c>
      <c r="B44" s="53">
        <f t="shared" si="6"/>
        <v>1.2999999999999999E-2</v>
      </c>
      <c r="C44" s="103">
        <v>0</v>
      </c>
      <c r="D44" s="53">
        <v>1.2999999999999999E-2</v>
      </c>
      <c r="E44" s="53">
        <v>0</v>
      </c>
      <c r="F44" s="53">
        <v>0</v>
      </c>
      <c r="G44" s="53">
        <v>0</v>
      </c>
      <c r="H44" s="53">
        <v>0</v>
      </c>
      <c r="I44" s="53">
        <v>0</v>
      </c>
      <c r="J44" s="53">
        <v>0</v>
      </c>
      <c r="K44" s="53">
        <v>0</v>
      </c>
      <c r="L44" s="53">
        <v>0</v>
      </c>
      <c r="M44" s="53">
        <v>0</v>
      </c>
      <c r="N44" s="53">
        <v>0</v>
      </c>
      <c r="O44" s="53">
        <v>0</v>
      </c>
      <c r="P44" s="53">
        <v>0</v>
      </c>
      <c r="Q44" s="53">
        <v>0</v>
      </c>
      <c r="R44" s="53">
        <v>0</v>
      </c>
      <c r="S44" s="53">
        <v>0</v>
      </c>
      <c r="T44" s="53">
        <v>0</v>
      </c>
      <c r="U44" s="53">
        <v>0</v>
      </c>
      <c r="V44" s="53">
        <v>0</v>
      </c>
      <c r="W44" s="53">
        <v>0</v>
      </c>
      <c r="X44" s="53">
        <v>0</v>
      </c>
      <c r="Y44" s="53">
        <v>0</v>
      </c>
      <c r="Z44" s="53">
        <v>0</v>
      </c>
      <c r="AA44" s="53">
        <v>0</v>
      </c>
      <c r="AB44" s="53">
        <v>0</v>
      </c>
      <c r="AC44" s="53">
        <v>0</v>
      </c>
      <c r="AD44" s="53">
        <v>0</v>
      </c>
      <c r="AE44" s="53">
        <v>0</v>
      </c>
      <c r="AF44" s="53">
        <v>0</v>
      </c>
      <c r="AG44" s="53">
        <v>0</v>
      </c>
      <c r="AH44" s="107">
        <f t="shared" si="7"/>
        <v>1.2999999999999999E-2</v>
      </c>
    </row>
    <row r="45" spans="1:34" s="312" customFormat="1" ht="15">
      <c r="A45" s="375" t="s">
        <v>150</v>
      </c>
      <c r="B45" s="53">
        <f t="shared" si="6"/>
        <v>77.475999999999999</v>
      </c>
      <c r="C45" s="103">
        <v>0</v>
      </c>
      <c r="D45" s="53">
        <v>0</v>
      </c>
      <c r="E45" s="53">
        <v>0</v>
      </c>
      <c r="F45" s="53">
        <v>0</v>
      </c>
      <c r="G45" s="53">
        <v>0</v>
      </c>
      <c r="H45" s="53">
        <v>0</v>
      </c>
      <c r="I45" s="53">
        <v>22.13</v>
      </c>
      <c r="J45" s="53">
        <v>5.2249999999999996</v>
      </c>
      <c r="K45" s="53">
        <v>23.545999999999999</v>
      </c>
      <c r="L45" s="53">
        <v>0</v>
      </c>
      <c r="M45" s="53">
        <v>0</v>
      </c>
      <c r="N45" s="53">
        <v>0.01</v>
      </c>
      <c r="O45" s="53">
        <v>0</v>
      </c>
      <c r="P45" s="53">
        <v>0</v>
      </c>
      <c r="Q45" s="53">
        <v>0</v>
      </c>
      <c r="R45" s="53">
        <v>0</v>
      </c>
      <c r="S45" s="53">
        <v>0</v>
      </c>
      <c r="T45" s="53">
        <v>2.5000000000000001E-2</v>
      </c>
      <c r="U45" s="53">
        <v>0</v>
      </c>
      <c r="V45" s="53">
        <v>0</v>
      </c>
      <c r="W45" s="53">
        <v>0</v>
      </c>
      <c r="X45" s="53">
        <v>0</v>
      </c>
      <c r="Y45" s="53">
        <v>0</v>
      </c>
      <c r="Z45" s="53">
        <v>0</v>
      </c>
      <c r="AA45" s="53">
        <v>0</v>
      </c>
      <c r="AB45" s="53">
        <v>0</v>
      </c>
      <c r="AC45" s="53">
        <v>26.54</v>
      </c>
      <c r="AD45" s="53">
        <v>0</v>
      </c>
      <c r="AE45" s="53">
        <v>0</v>
      </c>
      <c r="AF45" s="53">
        <v>0</v>
      </c>
      <c r="AG45" s="53"/>
      <c r="AH45" s="107">
        <f t="shared" si="7"/>
        <v>77.475999999999999</v>
      </c>
    </row>
    <row r="46" spans="1:34" s="312" customFormat="1" ht="15">
      <c r="A46" s="375" t="s">
        <v>151</v>
      </c>
      <c r="B46" s="53">
        <f t="shared" si="6"/>
        <v>0.312</v>
      </c>
      <c r="C46" s="103">
        <v>0</v>
      </c>
      <c r="D46" s="53">
        <v>0</v>
      </c>
      <c r="E46" s="53">
        <v>0</v>
      </c>
      <c r="F46" s="53">
        <v>0</v>
      </c>
      <c r="G46" s="53">
        <v>0</v>
      </c>
      <c r="H46" s="53">
        <v>0</v>
      </c>
      <c r="I46" s="53">
        <v>1.2E-2</v>
      </c>
      <c r="J46" s="103">
        <v>0</v>
      </c>
      <c r="K46" s="103">
        <v>0</v>
      </c>
      <c r="L46" s="53">
        <v>0</v>
      </c>
      <c r="M46" s="53">
        <v>0</v>
      </c>
      <c r="N46" s="53">
        <v>0</v>
      </c>
      <c r="O46" s="53">
        <v>0</v>
      </c>
      <c r="P46" s="53">
        <v>0</v>
      </c>
      <c r="Q46" s="107">
        <v>0</v>
      </c>
      <c r="R46" s="107">
        <v>0</v>
      </c>
      <c r="S46" s="107">
        <v>0</v>
      </c>
      <c r="T46" s="107">
        <v>0</v>
      </c>
      <c r="U46" s="107">
        <v>0</v>
      </c>
      <c r="V46" s="107">
        <v>0</v>
      </c>
      <c r="W46" s="107">
        <v>0.3</v>
      </c>
      <c r="X46" s="107">
        <v>0</v>
      </c>
      <c r="Y46" s="107">
        <v>0</v>
      </c>
      <c r="Z46" s="107">
        <v>0</v>
      </c>
      <c r="AA46" s="107">
        <v>0</v>
      </c>
      <c r="AB46" s="107">
        <v>0</v>
      </c>
      <c r="AC46" s="107">
        <v>0</v>
      </c>
      <c r="AD46" s="107">
        <v>0</v>
      </c>
      <c r="AE46" s="107">
        <v>0</v>
      </c>
      <c r="AF46" s="107">
        <v>0</v>
      </c>
      <c r="AG46" s="107">
        <v>0</v>
      </c>
      <c r="AH46" s="107">
        <f t="shared" si="7"/>
        <v>0.312</v>
      </c>
    </row>
    <row r="47" spans="1:34" s="312" customFormat="1" ht="15">
      <c r="A47" s="375" t="s">
        <v>152</v>
      </c>
      <c r="B47" s="53">
        <f t="shared" si="6"/>
        <v>0</v>
      </c>
      <c r="C47" s="306"/>
      <c r="D47" s="306"/>
      <c r="E47" s="306"/>
      <c r="F47" s="306"/>
      <c r="G47" s="306"/>
      <c r="H47" s="306"/>
      <c r="I47" s="306"/>
      <c r="J47" s="306"/>
      <c r="K47" s="306"/>
      <c r="L47" s="306"/>
      <c r="M47" s="306"/>
      <c r="N47" s="306"/>
      <c r="O47" s="306"/>
      <c r="P47" s="306"/>
      <c r="Q47" s="1892"/>
      <c r="R47" s="1892"/>
      <c r="S47" s="1892"/>
      <c r="T47" s="1892"/>
      <c r="U47" s="1892"/>
      <c r="V47" s="1892"/>
      <c r="W47" s="1892"/>
      <c r="X47" s="1892"/>
      <c r="Y47" s="1892"/>
      <c r="Z47" s="1892"/>
      <c r="AA47" s="1892"/>
      <c r="AB47" s="1892"/>
      <c r="AC47" s="1892"/>
      <c r="AD47" s="1892"/>
      <c r="AE47" s="1892"/>
      <c r="AF47" s="1892"/>
      <c r="AG47" s="1892"/>
      <c r="AH47" s="107">
        <f t="shared" si="7"/>
        <v>0</v>
      </c>
    </row>
    <row r="48" spans="1:34" s="312" customFormat="1" ht="15">
      <c r="A48" s="375" t="s">
        <v>153</v>
      </c>
      <c r="B48" s="53">
        <f t="shared" si="6"/>
        <v>0</v>
      </c>
      <c r="C48" s="360" t="s">
        <v>318</v>
      </c>
      <c r="D48" s="360" t="s">
        <v>318</v>
      </c>
      <c r="E48" s="360" t="s">
        <v>318</v>
      </c>
      <c r="F48" s="360" t="s">
        <v>318</v>
      </c>
      <c r="G48" s="360" t="s">
        <v>318</v>
      </c>
      <c r="H48" s="360" t="s">
        <v>318</v>
      </c>
      <c r="I48" s="360" t="s">
        <v>318</v>
      </c>
      <c r="J48" s="360" t="s">
        <v>318</v>
      </c>
      <c r="K48" s="360" t="s">
        <v>318</v>
      </c>
      <c r="L48" s="360" t="s">
        <v>318</v>
      </c>
      <c r="M48" s="360" t="s">
        <v>318</v>
      </c>
      <c r="N48" s="360" t="s">
        <v>318</v>
      </c>
      <c r="O48" s="360" t="s">
        <v>318</v>
      </c>
      <c r="P48" s="360" t="s">
        <v>318</v>
      </c>
      <c r="Q48" s="360" t="s">
        <v>318</v>
      </c>
      <c r="R48" s="360" t="s">
        <v>318</v>
      </c>
      <c r="S48" s="360" t="s">
        <v>318</v>
      </c>
      <c r="T48" s="360" t="s">
        <v>318</v>
      </c>
      <c r="U48" s="360" t="s">
        <v>318</v>
      </c>
      <c r="V48" s="360" t="s">
        <v>318</v>
      </c>
      <c r="W48" s="360" t="s">
        <v>318</v>
      </c>
      <c r="X48" s="360" t="s">
        <v>318</v>
      </c>
      <c r="Y48" s="360" t="s">
        <v>318</v>
      </c>
      <c r="Z48" s="306"/>
      <c r="AA48" s="306"/>
      <c r="AB48" s="306"/>
      <c r="AC48" s="306"/>
      <c r="AD48" s="306"/>
      <c r="AE48" s="306"/>
      <c r="AF48" s="306"/>
      <c r="AG48" s="306"/>
      <c r="AH48" s="107">
        <f t="shared" si="7"/>
        <v>0</v>
      </c>
    </row>
    <row r="49" spans="1:34" s="312" customFormat="1" ht="15">
      <c r="A49" s="375" t="s">
        <v>154</v>
      </c>
      <c r="B49" s="53">
        <f t="shared" si="6"/>
        <v>0</v>
      </c>
      <c r="C49" s="103"/>
      <c r="D49" s="107"/>
      <c r="E49" s="107"/>
      <c r="F49" s="107"/>
      <c r="G49" s="53"/>
      <c r="H49" s="53"/>
      <c r="I49" s="53"/>
      <c r="J49" s="53"/>
      <c r="K49" s="53"/>
      <c r="L49" s="53"/>
      <c r="M49" s="53"/>
      <c r="N49" s="53"/>
      <c r="O49" s="107"/>
      <c r="P49" s="53"/>
      <c r="Q49" s="53"/>
      <c r="R49" s="53"/>
      <c r="S49" s="53"/>
      <c r="T49" s="53"/>
      <c r="U49" s="53"/>
      <c r="V49" s="53"/>
      <c r="W49" s="53"/>
      <c r="X49" s="53"/>
      <c r="Y49" s="53"/>
      <c r="Z49" s="53"/>
      <c r="AA49" s="53"/>
      <c r="AB49" s="53"/>
      <c r="AC49" s="53"/>
      <c r="AD49" s="53"/>
      <c r="AE49" s="107"/>
      <c r="AF49" s="53"/>
      <c r="AG49" s="107"/>
      <c r="AH49" s="107">
        <f t="shared" si="7"/>
        <v>0</v>
      </c>
    </row>
    <row r="50" spans="1:34" s="312" customFormat="1" ht="15">
      <c r="A50" s="73" t="s">
        <v>155</v>
      </c>
      <c r="B50" s="53">
        <f t="shared" si="6"/>
        <v>0</v>
      </c>
      <c r="C50" s="103"/>
      <c r="D50" s="53"/>
      <c r="E50" s="53"/>
      <c r="F50" s="53"/>
      <c r="G50" s="14"/>
      <c r="H50" s="53"/>
      <c r="I50" s="53"/>
      <c r="J50" s="53"/>
      <c r="K50" s="53"/>
      <c r="L50" s="53"/>
      <c r="M50" s="53"/>
      <c r="N50" s="53"/>
      <c r="O50" s="53"/>
      <c r="P50" s="53"/>
      <c r="Q50" s="53"/>
      <c r="R50" s="53"/>
      <c r="S50" s="53"/>
      <c r="T50" s="53"/>
      <c r="U50" s="53"/>
      <c r="V50" s="53"/>
      <c r="W50" s="53"/>
      <c r="X50" s="53"/>
      <c r="Y50" s="14"/>
      <c r="Z50" s="53"/>
      <c r="AA50" s="53"/>
      <c r="AB50" s="53"/>
      <c r="AC50" s="53"/>
      <c r="AD50" s="53"/>
      <c r="AE50" s="107"/>
      <c r="AF50" s="53"/>
      <c r="AG50" s="107"/>
      <c r="AH50" s="107">
        <f t="shared" si="7"/>
        <v>0</v>
      </c>
    </row>
    <row r="51" spans="1:34" s="312" customFormat="1" ht="15">
      <c r="A51" s="73" t="s">
        <v>156</v>
      </c>
      <c r="B51" s="53">
        <f t="shared" si="6"/>
        <v>0</v>
      </c>
      <c r="C51" s="103"/>
      <c r="D51" s="53"/>
      <c r="E51" s="53"/>
      <c r="F51" s="53"/>
      <c r="G51" s="53"/>
      <c r="H51" s="53"/>
      <c r="I51" s="53"/>
      <c r="J51" s="53"/>
      <c r="K51" s="53"/>
      <c r="L51" s="53"/>
      <c r="M51" s="53"/>
      <c r="N51" s="53"/>
      <c r="O51" s="53"/>
      <c r="P51" s="3013" t="s">
        <v>311</v>
      </c>
      <c r="Q51" s="3013" t="s">
        <v>311</v>
      </c>
      <c r="R51" s="3013" t="s">
        <v>311</v>
      </c>
      <c r="S51" s="3013" t="s">
        <v>311</v>
      </c>
      <c r="T51" s="3013" t="s">
        <v>311</v>
      </c>
      <c r="U51" s="3013" t="s">
        <v>311</v>
      </c>
      <c r="V51" s="3013" t="s">
        <v>311</v>
      </c>
      <c r="W51" s="3013" t="s">
        <v>311</v>
      </c>
      <c r="X51" s="3013" t="s">
        <v>311</v>
      </c>
      <c r="Y51" s="3013" t="s">
        <v>311</v>
      </c>
      <c r="Z51" s="3013" t="s">
        <v>311</v>
      </c>
      <c r="AA51" s="3013" t="s">
        <v>311</v>
      </c>
      <c r="AB51" s="3013" t="s">
        <v>311</v>
      </c>
      <c r="AC51" s="3013" t="s">
        <v>311</v>
      </c>
      <c r="AD51" s="3013" t="s">
        <v>311</v>
      </c>
      <c r="AE51" s="3013" t="s">
        <v>311</v>
      </c>
      <c r="AF51" s="3013" t="s">
        <v>311</v>
      </c>
      <c r="AG51" s="3013" t="s">
        <v>311</v>
      </c>
      <c r="AH51" s="107">
        <f t="shared" si="7"/>
        <v>0</v>
      </c>
    </row>
    <row r="52" spans="1:34" s="312" customFormat="1" ht="15">
      <c r="A52" s="199" t="s">
        <v>144</v>
      </c>
      <c r="B52" s="200">
        <f>SUM(B40:B51)</f>
        <v>93.700999999999993</v>
      </c>
      <c r="C52" s="100">
        <f>SUM(C40:C50)</f>
        <v>0</v>
      </c>
      <c r="D52" s="107">
        <f>SUM(D40:D50)</f>
        <v>1.2999999999999999E-2</v>
      </c>
      <c r="E52" s="107">
        <v>0</v>
      </c>
      <c r="F52" s="107">
        <f t="shared" ref="F52:AC52" si="8">SUM(F40:F50)</f>
        <v>0</v>
      </c>
      <c r="G52" s="107">
        <f t="shared" si="8"/>
        <v>0</v>
      </c>
      <c r="H52" s="107">
        <f t="shared" si="8"/>
        <v>0</v>
      </c>
      <c r="I52" s="107">
        <f t="shared" si="8"/>
        <v>22.141999999999999</v>
      </c>
      <c r="J52" s="107">
        <f t="shared" si="8"/>
        <v>5.2249999999999996</v>
      </c>
      <c r="K52" s="107">
        <f t="shared" si="8"/>
        <v>23.664999999999999</v>
      </c>
      <c r="L52" s="107">
        <f t="shared" si="8"/>
        <v>0</v>
      </c>
      <c r="M52" s="107">
        <f t="shared" si="8"/>
        <v>0</v>
      </c>
      <c r="N52" s="107">
        <f t="shared" si="8"/>
        <v>0.01</v>
      </c>
      <c r="O52" s="107">
        <f t="shared" si="8"/>
        <v>2.5999999999999999E-2</v>
      </c>
      <c r="P52" s="107">
        <f t="shared" si="8"/>
        <v>0</v>
      </c>
      <c r="Q52" s="107">
        <f t="shared" si="8"/>
        <v>0</v>
      </c>
      <c r="R52" s="107">
        <f t="shared" si="8"/>
        <v>0.3</v>
      </c>
      <c r="S52" s="107">
        <f t="shared" si="8"/>
        <v>0</v>
      </c>
      <c r="T52" s="107">
        <f t="shared" si="8"/>
        <v>2.5000000000000001E-2</v>
      </c>
      <c r="U52" s="107">
        <f t="shared" si="8"/>
        <v>0</v>
      </c>
      <c r="V52" s="107">
        <f t="shared" si="8"/>
        <v>0</v>
      </c>
      <c r="W52" s="107">
        <f t="shared" si="8"/>
        <v>0.3</v>
      </c>
      <c r="X52" s="107">
        <f t="shared" si="8"/>
        <v>0</v>
      </c>
      <c r="Y52" s="107">
        <f t="shared" si="8"/>
        <v>0.03</v>
      </c>
      <c r="Z52" s="107">
        <f t="shared" si="8"/>
        <v>0</v>
      </c>
      <c r="AA52" s="107">
        <f t="shared" si="8"/>
        <v>0</v>
      </c>
      <c r="AB52" s="107">
        <f t="shared" si="8"/>
        <v>0</v>
      </c>
      <c r="AC52" s="107">
        <f t="shared" si="8"/>
        <v>38.945</v>
      </c>
      <c r="AD52" s="107">
        <v>0</v>
      </c>
      <c r="AE52" s="107">
        <f>SUM(AE40:AE50)</f>
        <v>0</v>
      </c>
      <c r="AF52" s="107">
        <f>SUM(AF40:AF50)</f>
        <v>0</v>
      </c>
      <c r="AG52" s="107">
        <f>SUM(AG40:AG50)</f>
        <v>0</v>
      </c>
      <c r="AH52" s="100">
        <f>SUM(AH40:AH50)</f>
        <v>93.700999999999993</v>
      </c>
    </row>
    <row r="53" spans="1:34" s="190" customFormat="1" ht="15">
      <c r="A53" s="104"/>
      <c r="B53" s="104"/>
      <c r="C53" s="104"/>
      <c r="D53" s="104"/>
      <c r="E53" s="104"/>
      <c r="F53" s="104"/>
      <c r="G53" s="104"/>
      <c r="H53" s="104"/>
      <c r="I53" s="104"/>
      <c r="J53" s="104"/>
      <c r="K53" s="104"/>
      <c r="L53" s="104"/>
      <c r="M53" s="104"/>
      <c r="N53" s="104"/>
      <c r="O53" s="104"/>
      <c r="P53" s="104"/>
      <c r="Q53" s="104"/>
      <c r="R53" s="104"/>
      <c r="S53" s="104"/>
      <c r="T53" s="104"/>
      <c r="U53" s="14"/>
      <c r="V53" s="14"/>
      <c r="W53" s="14"/>
      <c r="X53" s="14"/>
      <c r="Y53" s="14"/>
      <c r="Z53" s="14"/>
      <c r="AA53" s="14"/>
      <c r="AB53" s="14"/>
      <c r="AC53" s="14"/>
      <c r="AD53" s="14"/>
      <c r="AE53" s="14"/>
      <c r="AF53" s="14"/>
      <c r="AG53" s="14"/>
      <c r="AH53" s="14"/>
    </row>
    <row r="54" spans="1:34" ht="15">
      <c r="A54" s="3873" t="s">
        <v>226</v>
      </c>
      <c r="B54" s="3874"/>
      <c r="C54" s="3874"/>
      <c r="D54" s="3874"/>
      <c r="E54" s="3874"/>
      <c r="F54" s="3874"/>
      <c r="G54" s="3874"/>
      <c r="H54" s="3874"/>
      <c r="I54" s="3874"/>
      <c r="J54" s="3874"/>
      <c r="K54" s="3874"/>
      <c r="L54" s="3874"/>
      <c r="M54" s="3874"/>
      <c r="N54" s="3874"/>
      <c r="O54" s="3874"/>
      <c r="P54" s="3874"/>
      <c r="Q54" s="3874"/>
      <c r="R54" s="3875"/>
      <c r="S54" s="14"/>
      <c r="T54" s="14"/>
      <c r="U54" s="14"/>
      <c r="V54" s="14"/>
      <c r="W54" s="14"/>
      <c r="X54" s="14"/>
      <c r="Y54" s="14"/>
      <c r="Z54" s="14"/>
      <c r="AA54" s="14"/>
      <c r="AB54" s="14"/>
      <c r="AC54" s="14"/>
      <c r="AD54" s="14"/>
      <c r="AE54" s="14"/>
      <c r="AF54" s="14"/>
      <c r="AG54" s="14"/>
      <c r="AH54" s="1"/>
    </row>
    <row r="55" spans="1:34" ht="5.0999999999999996" customHeight="1">
      <c r="A55" s="104"/>
      <c r="B55" s="176"/>
      <c r="C55" s="16"/>
      <c r="D55" s="106"/>
      <c r="E55" s="106"/>
      <c r="F55" s="106"/>
      <c r="G55" s="106"/>
      <c r="H55" s="106"/>
      <c r="I55" s="106"/>
      <c r="J55" s="106"/>
      <c r="K55" s="106"/>
      <c r="L55" s="106"/>
      <c r="M55" s="106"/>
      <c r="N55" s="106"/>
      <c r="O55" s="106"/>
      <c r="P55" s="106"/>
      <c r="Q55" s="106"/>
      <c r="R55" s="106"/>
      <c r="S55" s="106"/>
      <c r="T55" s="106"/>
      <c r="U55" s="106"/>
      <c r="V55" s="106"/>
      <c r="W55" s="106"/>
      <c r="X55" s="106"/>
      <c r="Y55" s="106"/>
      <c r="Z55" s="106"/>
      <c r="AA55" s="106"/>
      <c r="AB55" s="106"/>
      <c r="AC55" s="106"/>
      <c r="AD55" s="106"/>
      <c r="AE55" s="106"/>
      <c r="AF55" s="106"/>
      <c r="AG55" s="106"/>
      <c r="AH55" s="16"/>
    </row>
    <row r="56" spans="1:34" ht="15">
      <c r="A56" s="3854" t="s">
        <v>160</v>
      </c>
      <c r="B56" s="3855"/>
      <c r="C56" s="3855"/>
      <c r="D56" s="3855"/>
      <c r="E56" s="3855"/>
      <c r="F56" s="3855"/>
      <c r="G56" s="3855"/>
      <c r="H56" s="3856"/>
      <c r="I56" s="14"/>
      <c r="J56" s="114"/>
      <c r="K56" s="14"/>
      <c r="L56" s="14"/>
      <c r="M56" s="14"/>
      <c r="N56" s="14"/>
      <c r="O56" s="14"/>
      <c r="P56" s="14"/>
      <c r="Q56" s="14"/>
      <c r="R56" s="14"/>
      <c r="S56" s="14"/>
      <c r="T56" s="14"/>
      <c r="U56" s="14"/>
      <c r="V56" s="14"/>
      <c r="W56" s="14"/>
      <c r="X56" s="14"/>
      <c r="Y56" s="14"/>
      <c r="Z56" s="14"/>
      <c r="AA56" s="14"/>
      <c r="AB56" s="14"/>
      <c r="AC56" s="14"/>
      <c r="AD56" s="14"/>
      <c r="AE56" s="14"/>
      <c r="AF56" s="14"/>
      <c r="AG56" s="14"/>
      <c r="AH56" s="14"/>
    </row>
    <row r="57" spans="1:34" s="510" customFormat="1" ht="12">
      <c r="A57" s="572" t="s">
        <v>142</v>
      </c>
      <c r="B57" s="572" t="s">
        <v>143</v>
      </c>
      <c r="C57" s="572">
        <v>1</v>
      </c>
      <c r="D57" s="573">
        <v>2</v>
      </c>
      <c r="E57" s="573">
        <v>3</v>
      </c>
      <c r="F57" s="573">
        <v>4</v>
      </c>
      <c r="G57" s="573">
        <v>5</v>
      </c>
      <c r="H57" s="573">
        <v>6</v>
      </c>
      <c r="I57" s="573">
        <v>7</v>
      </c>
      <c r="J57" s="573">
        <v>8</v>
      </c>
      <c r="K57" s="573">
        <v>9</v>
      </c>
      <c r="L57" s="573">
        <v>10</v>
      </c>
      <c r="M57" s="573">
        <v>11</v>
      </c>
      <c r="N57" s="573">
        <v>12</v>
      </c>
      <c r="O57" s="573">
        <v>13</v>
      </c>
      <c r="P57" s="573">
        <v>14</v>
      </c>
      <c r="Q57" s="573">
        <v>15</v>
      </c>
      <c r="R57" s="573">
        <v>16</v>
      </c>
      <c r="S57" s="573">
        <v>17</v>
      </c>
      <c r="T57" s="573">
        <v>18</v>
      </c>
      <c r="U57" s="573">
        <v>19</v>
      </c>
      <c r="V57" s="573">
        <v>20</v>
      </c>
      <c r="W57" s="573">
        <v>21</v>
      </c>
      <c r="X57" s="573">
        <v>22</v>
      </c>
      <c r="Y57" s="573">
        <v>23</v>
      </c>
      <c r="Z57" s="573">
        <v>24</v>
      </c>
      <c r="AA57" s="573">
        <v>25</v>
      </c>
      <c r="AB57" s="573">
        <v>26</v>
      </c>
      <c r="AC57" s="573">
        <v>27</v>
      </c>
      <c r="AD57" s="573">
        <v>28</v>
      </c>
      <c r="AE57" s="573">
        <v>29</v>
      </c>
      <c r="AF57" s="573">
        <v>30</v>
      </c>
      <c r="AG57" s="573">
        <v>31</v>
      </c>
      <c r="AH57" s="2035" t="s">
        <v>144</v>
      </c>
    </row>
    <row r="58" spans="1:34" s="510" customFormat="1" ht="12">
      <c r="A58" s="2036" t="s">
        <v>145</v>
      </c>
      <c r="B58" s="480">
        <f t="shared" ref="B58:B69" si="9">+AH58</f>
        <v>0</v>
      </c>
      <c r="C58" s="1456" t="s">
        <v>311</v>
      </c>
      <c r="D58" s="1456" t="s">
        <v>311</v>
      </c>
      <c r="E58" s="1456" t="s">
        <v>311</v>
      </c>
      <c r="F58" s="1456" t="s">
        <v>311</v>
      </c>
      <c r="G58" s="1456" t="s">
        <v>311</v>
      </c>
      <c r="H58" s="1456" t="s">
        <v>311</v>
      </c>
      <c r="I58" s="1456" t="s">
        <v>311</v>
      </c>
      <c r="J58" s="1456" t="s">
        <v>311</v>
      </c>
      <c r="K58" s="1456" t="s">
        <v>311</v>
      </c>
      <c r="L58" s="1456" t="s">
        <v>311</v>
      </c>
      <c r="M58" s="1456" t="s">
        <v>311</v>
      </c>
      <c r="N58" s="1456" t="s">
        <v>311</v>
      </c>
      <c r="O58" s="1456" t="s">
        <v>311</v>
      </c>
      <c r="P58" s="1456" t="s">
        <v>311</v>
      </c>
      <c r="Q58" s="1456" t="s">
        <v>311</v>
      </c>
      <c r="R58" s="1456" t="s">
        <v>311</v>
      </c>
      <c r="S58" s="1456" t="s">
        <v>311</v>
      </c>
      <c r="T58" s="1456" t="s">
        <v>311</v>
      </c>
      <c r="U58" s="1456" t="s">
        <v>311</v>
      </c>
      <c r="V58" s="1456" t="s">
        <v>311</v>
      </c>
      <c r="W58" s="1456" t="s">
        <v>311</v>
      </c>
      <c r="X58" s="1456" t="s">
        <v>311</v>
      </c>
      <c r="Y58" s="1456" t="s">
        <v>311</v>
      </c>
      <c r="Z58" s="1456" t="s">
        <v>311</v>
      </c>
      <c r="AA58" s="1456" t="s">
        <v>311</v>
      </c>
      <c r="AB58" s="1456" t="s">
        <v>311</v>
      </c>
      <c r="AC58" s="1456" t="s">
        <v>311</v>
      </c>
      <c r="AD58" s="1456" t="s">
        <v>311</v>
      </c>
      <c r="AE58" s="1456" t="s">
        <v>311</v>
      </c>
      <c r="AF58" s="1456" t="s">
        <v>311</v>
      </c>
      <c r="AG58" s="1456" t="s">
        <v>311</v>
      </c>
      <c r="AH58" s="1457">
        <f>SUM(C58:AG58)</f>
        <v>0</v>
      </c>
    </row>
    <row r="59" spans="1:34" s="510" customFormat="1" ht="12">
      <c r="A59" s="2036" t="s">
        <v>146</v>
      </c>
      <c r="B59" s="480">
        <f t="shared" si="9"/>
        <v>0</v>
      </c>
      <c r="C59" s="1456" t="s">
        <v>311</v>
      </c>
      <c r="D59" s="1456" t="s">
        <v>311</v>
      </c>
      <c r="E59" s="1456" t="s">
        <v>311</v>
      </c>
      <c r="F59" s="1456" t="s">
        <v>311</v>
      </c>
      <c r="G59" s="1456" t="s">
        <v>311</v>
      </c>
      <c r="H59" s="1456" t="s">
        <v>311</v>
      </c>
      <c r="I59" s="1456" t="s">
        <v>311</v>
      </c>
      <c r="J59" s="1456" t="s">
        <v>311</v>
      </c>
      <c r="K59" s="1456" t="s">
        <v>311</v>
      </c>
      <c r="L59" s="1456" t="s">
        <v>311</v>
      </c>
      <c r="M59" s="1456" t="s">
        <v>311</v>
      </c>
      <c r="N59" s="1456" t="s">
        <v>311</v>
      </c>
      <c r="O59" s="1456" t="s">
        <v>311</v>
      </c>
      <c r="P59" s="1456" t="s">
        <v>311</v>
      </c>
      <c r="Q59" s="1456" t="s">
        <v>311</v>
      </c>
      <c r="R59" s="1456" t="s">
        <v>311</v>
      </c>
      <c r="S59" s="1456" t="s">
        <v>311</v>
      </c>
      <c r="T59" s="1456" t="s">
        <v>311</v>
      </c>
      <c r="U59" s="1456" t="s">
        <v>311</v>
      </c>
      <c r="V59" s="1456" t="s">
        <v>311</v>
      </c>
      <c r="W59" s="1456" t="s">
        <v>311</v>
      </c>
      <c r="X59" s="1456" t="s">
        <v>311</v>
      </c>
      <c r="Y59" s="1456" t="s">
        <v>311</v>
      </c>
      <c r="Z59" s="1456" t="s">
        <v>311</v>
      </c>
      <c r="AA59" s="1456" t="s">
        <v>311</v>
      </c>
      <c r="AB59" s="1456" t="s">
        <v>311</v>
      </c>
      <c r="AC59" s="1456" t="s">
        <v>311</v>
      </c>
      <c r="AD59" s="1456" t="s">
        <v>311</v>
      </c>
      <c r="AE59" s="1456" t="s">
        <v>311</v>
      </c>
      <c r="AF59" s="1456" t="s">
        <v>311</v>
      </c>
      <c r="AG59" s="1456" t="s">
        <v>311</v>
      </c>
      <c r="AH59" s="1457">
        <f t="shared" ref="AH59:AH69" si="10">SUM(C59:AG59)</f>
        <v>0</v>
      </c>
    </row>
    <row r="60" spans="1:34" s="510" customFormat="1" ht="12">
      <c r="A60" s="2036" t="s">
        <v>147</v>
      </c>
      <c r="B60" s="480">
        <f t="shared" si="9"/>
        <v>7</v>
      </c>
      <c r="C60" s="1456" t="s">
        <v>311</v>
      </c>
      <c r="D60" s="1456" t="s">
        <v>311</v>
      </c>
      <c r="E60" s="1456" t="s">
        <v>311</v>
      </c>
      <c r="F60" s="1456" t="s">
        <v>311</v>
      </c>
      <c r="G60" s="1456" t="s">
        <v>311</v>
      </c>
      <c r="H60" s="2037">
        <v>0</v>
      </c>
      <c r="I60" s="2037">
        <v>0</v>
      </c>
      <c r="J60" s="2037">
        <v>0</v>
      </c>
      <c r="K60" s="2037">
        <v>0</v>
      </c>
      <c r="L60" s="2037">
        <v>0</v>
      </c>
      <c r="M60" s="2037">
        <v>0</v>
      </c>
      <c r="N60" s="2037">
        <v>0</v>
      </c>
      <c r="O60" s="2037">
        <v>0</v>
      </c>
      <c r="P60" s="2037">
        <v>0</v>
      </c>
      <c r="Q60" s="1123">
        <v>7</v>
      </c>
      <c r="R60" s="2037">
        <v>0</v>
      </c>
      <c r="S60" s="2037">
        <v>0</v>
      </c>
      <c r="T60" s="2037">
        <v>0</v>
      </c>
      <c r="U60" s="2037">
        <v>0</v>
      </c>
      <c r="V60" s="2037">
        <v>0</v>
      </c>
      <c r="W60" s="2037">
        <v>0</v>
      </c>
      <c r="X60" s="2037">
        <v>0</v>
      </c>
      <c r="Y60" s="2037">
        <v>0</v>
      </c>
      <c r="Z60" s="2037">
        <v>0</v>
      </c>
      <c r="AA60" s="2037">
        <v>0</v>
      </c>
      <c r="AB60" s="2037">
        <v>0</v>
      </c>
      <c r="AC60" s="2037">
        <v>0</v>
      </c>
      <c r="AD60" s="2037">
        <v>0</v>
      </c>
      <c r="AE60" s="1123">
        <v>0</v>
      </c>
      <c r="AF60" s="1123">
        <v>0</v>
      </c>
      <c r="AG60" s="1123">
        <v>0</v>
      </c>
      <c r="AH60" s="1457">
        <f t="shared" si="10"/>
        <v>7</v>
      </c>
    </row>
    <row r="61" spans="1:34" s="510" customFormat="1" ht="12.6" thickBot="1">
      <c r="A61" s="2036" t="s">
        <v>148</v>
      </c>
      <c r="B61" s="480">
        <f t="shared" si="9"/>
        <v>699.44100000000003</v>
      </c>
      <c r="C61" s="1456" t="s">
        <v>311</v>
      </c>
      <c r="D61" s="1456" t="s">
        <v>311</v>
      </c>
      <c r="E61" s="1456" t="s">
        <v>311</v>
      </c>
      <c r="F61" s="1456" t="s">
        <v>311</v>
      </c>
      <c r="G61" s="1456" t="s">
        <v>311</v>
      </c>
      <c r="H61" s="1456" t="s">
        <v>311</v>
      </c>
      <c r="I61" s="1456" t="s">
        <v>311</v>
      </c>
      <c r="J61" s="1456" t="s">
        <v>311</v>
      </c>
      <c r="K61" s="1456" t="s">
        <v>311</v>
      </c>
      <c r="L61" s="2038">
        <v>60.33</v>
      </c>
      <c r="M61" s="2038">
        <v>8.6850000000000005</v>
      </c>
      <c r="N61" s="2038">
        <v>0</v>
      </c>
      <c r="O61" s="2038">
        <v>39.299999999999997</v>
      </c>
      <c r="P61" s="2038">
        <v>36.424999999999997</v>
      </c>
      <c r="Q61" s="2038">
        <v>20.184999999999999</v>
      </c>
      <c r="R61" s="2038">
        <v>31.454999999999998</v>
      </c>
      <c r="S61" s="2038">
        <v>0</v>
      </c>
      <c r="T61" s="2038">
        <v>43</v>
      </c>
      <c r="U61" s="2038">
        <v>14.675000000000001</v>
      </c>
      <c r="V61" s="2038">
        <v>21.375</v>
      </c>
      <c r="W61" s="2038">
        <v>54.005000000000003</v>
      </c>
      <c r="X61" s="2038">
        <v>36.914999999999999</v>
      </c>
      <c r="Y61" s="2038">
        <v>63.69</v>
      </c>
      <c r="Z61" s="2038">
        <v>48.265000000000001</v>
      </c>
      <c r="AA61" s="2038">
        <v>57</v>
      </c>
      <c r="AB61" s="2038">
        <v>0</v>
      </c>
      <c r="AC61" s="2038">
        <v>26.315999999999999</v>
      </c>
      <c r="AD61" s="2038">
        <v>57.174999999999997</v>
      </c>
      <c r="AE61" s="2038">
        <v>29.454999999999998</v>
      </c>
      <c r="AF61" s="2038">
        <v>51.19</v>
      </c>
      <c r="AG61" s="2038">
        <v>0</v>
      </c>
      <c r="AH61" s="1457">
        <f t="shared" si="10"/>
        <v>699.44100000000003</v>
      </c>
    </row>
    <row r="62" spans="1:34" s="510" customFormat="1" ht="12">
      <c r="A62" s="603" t="s">
        <v>149</v>
      </c>
      <c r="B62" s="480">
        <f t="shared" si="9"/>
        <v>570.20499999999993</v>
      </c>
      <c r="C62" s="2039">
        <v>0</v>
      </c>
      <c r="D62" s="2040">
        <v>0</v>
      </c>
      <c r="E62" s="2040">
        <v>15.07</v>
      </c>
      <c r="F62" s="2040">
        <v>50.41</v>
      </c>
      <c r="G62" s="2040">
        <v>52.965000000000003</v>
      </c>
      <c r="H62" s="2040">
        <v>0</v>
      </c>
      <c r="I62" s="2040">
        <v>35.024999999999999</v>
      </c>
      <c r="J62" s="2040">
        <v>39.914999999999999</v>
      </c>
      <c r="K62" s="2040">
        <v>23.26</v>
      </c>
      <c r="L62" s="2040">
        <v>65.959999999999994</v>
      </c>
      <c r="M62" s="2040">
        <v>0</v>
      </c>
      <c r="N62" s="2040">
        <v>49.63</v>
      </c>
      <c r="O62" s="2040">
        <v>30.95</v>
      </c>
      <c r="P62" s="2040">
        <v>18.625</v>
      </c>
      <c r="Q62" s="2040">
        <v>45.52</v>
      </c>
      <c r="R62" s="2040">
        <v>43.67</v>
      </c>
      <c r="S62" s="2040">
        <v>2.375</v>
      </c>
      <c r="T62" s="2040">
        <v>0</v>
      </c>
      <c r="U62" s="2040">
        <v>0</v>
      </c>
      <c r="V62" s="2040">
        <v>0</v>
      </c>
      <c r="W62" s="2040">
        <v>0</v>
      </c>
      <c r="X62" s="2040">
        <v>17.315000000000001</v>
      </c>
      <c r="Y62" s="2040">
        <v>37.325000000000003</v>
      </c>
      <c r="Z62" s="2040">
        <v>0</v>
      </c>
      <c r="AA62" s="2040">
        <v>0</v>
      </c>
      <c r="AB62" s="2040">
        <v>0</v>
      </c>
      <c r="AC62" s="2040">
        <v>0</v>
      </c>
      <c r="AD62" s="2040">
        <v>0</v>
      </c>
      <c r="AE62" s="2040">
        <v>42.19</v>
      </c>
      <c r="AF62" s="2040">
        <v>0</v>
      </c>
      <c r="AG62" s="2040">
        <v>0</v>
      </c>
      <c r="AH62" s="1457">
        <f t="shared" si="10"/>
        <v>570.20499999999993</v>
      </c>
    </row>
    <row r="63" spans="1:34" s="510" customFormat="1" ht="12">
      <c r="A63" s="603" t="s">
        <v>150</v>
      </c>
      <c r="B63" s="480">
        <f t="shared" si="9"/>
        <v>191.14000000000001</v>
      </c>
      <c r="C63" s="577">
        <v>48.67</v>
      </c>
      <c r="D63" s="480">
        <v>29.614999999999998</v>
      </c>
      <c r="E63" s="480">
        <v>0</v>
      </c>
      <c r="F63" s="480">
        <v>0</v>
      </c>
      <c r="G63" s="480">
        <v>0</v>
      </c>
      <c r="H63" s="1456" t="s">
        <v>311</v>
      </c>
      <c r="I63" s="1456" t="s">
        <v>311</v>
      </c>
      <c r="J63" s="1456" t="s">
        <v>311</v>
      </c>
      <c r="K63" s="1456" t="s">
        <v>311</v>
      </c>
      <c r="L63" s="1456" t="s">
        <v>311</v>
      </c>
      <c r="M63" s="1456" t="s">
        <v>311</v>
      </c>
      <c r="N63" s="1456" t="s">
        <v>311</v>
      </c>
      <c r="O63" s="1456" t="s">
        <v>311</v>
      </c>
      <c r="P63" s="1456" t="s">
        <v>311</v>
      </c>
      <c r="Q63" s="1456" t="s">
        <v>311</v>
      </c>
      <c r="R63" s="1456" t="s">
        <v>311</v>
      </c>
      <c r="S63" s="1456" t="s">
        <v>311</v>
      </c>
      <c r="T63" s="1456" t="s">
        <v>311</v>
      </c>
      <c r="U63" s="1456" t="s">
        <v>311</v>
      </c>
      <c r="V63" s="1456" t="s">
        <v>311</v>
      </c>
      <c r="W63" s="1456" t="s">
        <v>311</v>
      </c>
      <c r="X63" s="1456" t="s">
        <v>311</v>
      </c>
      <c r="Y63" s="480"/>
      <c r="Z63" s="480">
        <v>16.059999999999999</v>
      </c>
      <c r="AA63" s="480">
        <v>65.644999999999996</v>
      </c>
      <c r="AB63" s="480">
        <v>31.15</v>
      </c>
      <c r="AC63" s="480">
        <v>0</v>
      </c>
      <c r="AD63" s="480">
        <v>0</v>
      </c>
      <c r="AE63" s="480">
        <v>0</v>
      </c>
      <c r="AF63" s="480">
        <v>0</v>
      </c>
      <c r="AG63" s="480">
        <v>0</v>
      </c>
      <c r="AH63" s="1457">
        <f t="shared" si="10"/>
        <v>191.14000000000001</v>
      </c>
    </row>
    <row r="64" spans="1:34" s="510" customFormat="1" ht="12">
      <c r="A64" s="603" t="s">
        <v>151</v>
      </c>
      <c r="B64" s="480">
        <f t="shared" si="9"/>
        <v>103.71000000000001</v>
      </c>
      <c r="C64" s="577">
        <v>0</v>
      </c>
      <c r="D64" s="1457">
        <v>0</v>
      </c>
      <c r="E64" s="1457">
        <v>0</v>
      </c>
      <c r="F64" s="1457">
        <v>0</v>
      </c>
      <c r="G64" s="480">
        <v>25.5</v>
      </c>
      <c r="H64" s="480">
        <v>0</v>
      </c>
      <c r="I64" s="480">
        <v>0</v>
      </c>
      <c r="J64" s="1458">
        <v>0</v>
      </c>
      <c r="K64" s="1458">
        <v>0</v>
      </c>
      <c r="L64" s="1457">
        <v>0</v>
      </c>
      <c r="M64" s="1457">
        <v>0</v>
      </c>
      <c r="N64" s="1457">
        <v>0</v>
      </c>
      <c r="O64" s="1457">
        <v>30.11</v>
      </c>
      <c r="P64" s="1457">
        <v>45.1</v>
      </c>
      <c r="Q64" s="1457">
        <v>0</v>
      </c>
      <c r="R64" s="1457">
        <v>0</v>
      </c>
      <c r="S64" s="1457">
        <v>3</v>
      </c>
      <c r="T64" s="1457">
        <v>0</v>
      </c>
      <c r="U64" s="1457">
        <v>0</v>
      </c>
      <c r="V64" s="1457">
        <v>0</v>
      </c>
      <c r="W64" s="1457">
        <v>0</v>
      </c>
      <c r="X64" s="1457">
        <v>0</v>
      </c>
      <c r="Y64" s="1457">
        <v>0</v>
      </c>
      <c r="Z64" s="1457">
        <v>0</v>
      </c>
      <c r="AA64" s="1457">
        <v>0</v>
      </c>
      <c r="AB64" s="1457">
        <v>0</v>
      </c>
      <c r="AC64" s="1457">
        <v>0</v>
      </c>
      <c r="AD64" s="1457">
        <v>0</v>
      </c>
      <c r="AE64" s="1457">
        <v>0</v>
      </c>
      <c r="AF64" s="1457">
        <v>0</v>
      </c>
      <c r="AG64" s="1457">
        <v>0</v>
      </c>
      <c r="AH64" s="1457">
        <f t="shared" si="10"/>
        <v>103.71000000000001</v>
      </c>
    </row>
    <row r="65" spans="1:34" s="510" customFormat="1" ht="12">
      <c r="A65" s="603" t="s">
        <v>152</v>
      </c>
      <c r="B65" s="480">
        <f t="shared" si="9"/>
        <v>0</v>
      </c>
      <c r="C65" s="577"/>
      <c r="D65" s="480"/>
      <c r="E65" s="480"/>
      <c r="F65" s="480"/>
      <c r="G65" s="480"/>
      <c r="H65" s="480"/>
      <c r="I65" s="480"/>
      <c r="J65" s="630" t="s">
        <v>318</v>
      </c>
      <c r="K65" s="630" t="s">
        <v>318</v>
      </c>
      <c r="L65" s="630" t="s">
        <v>318</v>
      </c>
      <c r="M65" s="630" t="s">
        <v>318</v>
      </c>
      <c r="N65" s="630" t="s">
        <v>318</v>
      </c>
      <c r="O65" s="630" t="s">
        <v>318</v>
      </c>
      <c r="P65" s="630" t="s">
        <v>318</v>
      </c>
      <c r="Q65" s="630" t="s">
        <v>318</v>
      </c>
      <c r="R65" s="630" t="s">
        <v>318</v>
      </c>
      <c r="S65" s="630" t="s">
        <v>318</v>
      </c>
      <c r="T65" s="630" t="s">
        <v>318</v>
      </c>
      <c r="U65" s="630" t="s">
        <v>318</v>
      </c>
      <c r="V65" s="630" t="s">
        <v>318</v>
      </c>
      <c r="W65" s="630" t="s">
        <v>318</v>
      </c>
      <c r="X65" s="630" t="s">
        <v>318</v>
      </c>
      <c r="Y65" s="630" t="s">
        <v>318</v>
      </c>
      <c r="Z65" s="630" t="s">
        <v>318</v>
      </c>
      <c r="AA65" s="630" t="s">
        <v>318</v>
      </c>
      <c r="AB65" s="630" t="s">
        <v>318</v>
      </c>
      <c r="AC65" s="630" t="s">
        <v>318</v>
      </c>
      <c r="AD65" s="630" t="s">
        <v>318</v>
      </c>
      <c r="AE65" s="630" t="s">
        <v>318</v>
      </c>
      <c r="AF65" s="630" t="s">
        <v>318</v>
      </c>
      <c r="AG65" s="630" t="s">
        <v>318</v>
      </c>
      <c r="AH65" s="1457">
        <f t="shared" si="10"/>
        <v>0</v>
      </c>
    </row>
    <row r="66" spans="1:34" s="510" customFormat="1" ht="12">
      <c r="A66" s="574" t="s">
        <v>153</v>
      </c>
      <c r="B66" s="480">
        <f t="shared" si="9"/>
        <v>0</v>
      </c>
      <c r="C66" s="2041" t="s">
        <v>318</v>
      </c>
      <c r="D66" s="2041" t="s">
        <v>318</v>
      </c>
      <c r="E66" s="2041" t="s">
        <v>318</v>
      </c>
      <c r="F66" s="2041" t="s">
        <v>318</v>
      </c>
      <c r="G66" s="2041" t="s">
        <v>318</v>
      </c>
      <c r="H66" s="2041" t="s">
        <v>318</v>
      </c>
      <c r="I66" s="2041" t="s">
        <v>318</v>
      </c>
      <c r="J66" s="630" t="s">
        <v>318</v>
      </c>
      <c r="K66" s="630" t="s">
        <v>318</v>
      </c>
      <c r="L66" s="630" t="s">
        <v>318</v>
      </c>
      <c r="M66" s="630" t="s">
        <v>318</v>
      </c>
      <c r="N66" s="630" t="s">
        <v>318</v>
      </c>
      <c r="O66" s="630" t="s">
        <v>318</v>
      </c>
      <c r="P66" s="630" t="s">
        <v>318</v>
      </c>
      <c r="Q66" s="630" t="s">
        <v>318</v>
      </c>
      <c r="R66" s="630" t="s">
        <v>318</v>
      </c>
      <c r="S66" s="630" t="s">
        <v>318</v>
      </c>
      <c r="T66" s="630" t="s">
        <v>318</v>
      </c>
      <c r="U66" s="630" t="s">
        <v>318</v>
      </c>
      <c r="V66" s="630" t="s">
        <v>318</v>
      </c>
      <c r="W66" s="630" t="s">
        <v>318</v>
      </c>
      <c r="X66" s="630" t="s">
        <v>318</v>
      </c>
      <c r="Y66" s="630" t="s">
        <v>318</v>
      </c>
      <c r="Z66" s="630" t="s">
        <v>318</v>
      </c>
      <c r="AA66" s="630" t="s">
        <v>318</v>
      </c>
      <c r="AB66" s="630" t="s">
        <v>318</v>
      </c>
      <c r="AC66" s="630" t="s">
        <v>318</v>
      </c>
      <c r="AD66" s="630" t="s">
        <v>318</v>
      </c>
      <c r="AE66" s="630" t="s">
        <v>318</v>
      </c>
      <c r="AF66" s="630" t="s">
        <v>318</v>
      </c>
      <c r="AG66" s="630" t="s">
        <v>318</v>
      </c>
      <c r="AH66" s="1457">
        <f t="shared" si="10"/>
        <v>0</v>
      </c>
    </row>
    <row r="67" spans="1:34" s="510" customFormat="1" ht="12">
      <c r="A67" s="574" t="s">
        <v>154</v>
      </c>
      <c r="B67" s="480">
        <f t="shared" si="9"/>
        <v>339.03</v>
      </c>
      <c r="C67" s="630" t="s">
        <v>318</v>
      </c>
      <c r="D67" s="630" t="s">
        <v>318</v>
      </c>
      <c r="E67" s="630" t="s">
        <v>318</v>
      </c>
      <c r="F67" s="630" t="s">
        <v>318</v>
      </c>
      <c r="G67" s="630" t="s">
        <v>318</v>
      </c>
      <c r="H67" s="630" t="s">
        <v>318</v>
      </c>
      <c r="I67" s="630" t="s">
        <v>318</v>
      </c>
      <c r="J67" s="630" t="s">
        <v>318</v>
      </c>
      <c r="K67" s="630" t="s">
        <v>318</v>
      </c>
      <c r="L67" s="630" t="s">
        <v>318</v>
      </c>
      <c r="M67" s="630" t="s">
        <v>318</v>
      </c>
      <c r="N67" s="630" t="s">
        <v>318</v>
      </c>
      <c r="O67" s="630" t="s">
        <v>318</v>
      </c>
      <c r="P67" s="630" t="s">
        <v>318</v>
      </c>
      <c r="Q67" s="630" t="s">
        <v>318</v>
      </c>
      <c r="R67" s="630" t="s">
        <v>318</v>
      </c>
      <c r="S67" s="630" t="s">
        <v>318</v>
      </c>
      <c r="T67" s="630" t="s">
        <v>318</v>
      </c>
      <c r="U67" s="630" t="s">
        <v>318</v>
      </c>
      <c r="V67" s="630" t="s">
        <v>318</v>
      </c>
      <c r="W67" s="630" t="s">
        <v>318</v>
      </c>
      <c r="X67" s="480">
        <v>45.765000000000001</v>
      </c>
      <c r="Y67" s="480">
        <v>121.87</v>
      </c>
      <c r="Z67" s="480">
        <v>92.49</v>
      </c>
      <c r="AA67" s="480">
        <v>14.1</v>
      </c>
      <c r="AB67" s="480">
        <v>10.34</v>
      </c>
      <c r="AC67" s="480">
        <v>7.8949999999999996</v>
      </c>
      <c r="AD67" s="480">
        <v>0</v>
      </c>
      <c r="AE67" s="480">
        <v>46.57</v>
      </c>
      <c r="AF67" s="480">
        <v>0</v>
      </c>
      <c r="AG67" s="480">
        <v>0</v>
      </c>
      <c r="AH67" s="1457">
        <f t="shared" si="10"/>
        <v>339.03</v>
      </c>
    </row>
    <row r="68" spans="1:34" s="510" customFormat="1" ht="12">
      <c r="A68" s="574" t="s">
        <v>155</v>
      </c>
      <c r="B68" s="480">
        <f t="shared" si="9"/>
        <v>463.07999999999993</v>
      </c>
      <c r="C68" s="577"/>
      <c r="D68" s="480"/>
      <c r="E68" s="480"/>
      <c r="F68" s="480"/>
      <c r="G68" s="142">
        <v>18.940000000000001</v>
      </c>
      <c r="H68" s="480">
        <v>17.34</v>
      </c>
      <c r="I68" s="480">
        <v>12.4</v>
      </c>
      <c r="J68" s="480">
        <v>12.625</v>
      </c>
      <c r="K68" s="480"/>
      <c r="L68" s="480"/>
      <c r="M68" s="480">
        <v>14.16</v>
      </c>
      <c r="N68" s="480">
        <v>34.71</v>
      </c>
      <c r="O68" s="480">
        <v>52.465000000000003</v>
      </c>
      <c r="P68" s="480">
        <v>100.255</v>
      </c>
      <c r="Q68" s="480">
        <v>63.879999999999995</v>
      </c>
      <c r="R68" s="480">
        <v>61.284999999999997</v>
      </c>
      <c r="S68" s="480">
        <v>18.38</v>
      </c>
      <c r="T68" s="480"/>
      <c r="U68" s="480"/>
      <c r="V68" s="480"/>
      <c r="W68" s="480">
        <v>34.28</v>
      </c>
      <c r="X68" s="480"/>
      <c r="Y68" s="142"/>
      <c r="Z68" s="480"/>
      <c r="AA68" s="480"/>
      <c r="AB68" s="480"/>
      <c r="AC68" s="480">
        <v>22.36</v>
      </c>
      <c r="AD68" s="480"/>
      <c r="AE68" s="1457"/>
      <c r="AF68" s="480"/>
      <c r="AG68" s="1457"/>
      <c r="AH68" s="1457">
        <f t="shared" si="10"/>
        <v>463.07999999999993</v>
      </c>
    </row>
    <row r="69" spans="1:34" s="510" customFormat="1" ht="15">
      <c r="A69" s="574" t="s">
        <v>156</v>
      </c>
      <c r="B69" s="480">
        <f t="shared" si="9"/>
        <v>0</v>
      </c>
      <c r="C69" s="577"/>
      <c r="D69" s="480"/>
      <c r="E69" s="480"/>
      <c r="F69" s="480"/>
      <c r="G69" s="480"/>
      <c r="H69" s="480"/>
      <c r="I69" s="480"/>
      <c r="J69" s="480"/>
      <c r="K69" s="480"/>
      <c r="L69" s="480"/>
      <c r="M69" s="480"/>
      <c r="N69" s="480"/>
      <c r="O69" s="480"/>
      <c r="P69" s="3013" t="s">
        <v>311</v>
      </c>
      <c r="Q69" s="3013" t="s">
        <v>311</v>
      </c>
      <c r="R69" s="3013" t="s">
        <v>311</v>
      </c>
      <c r="S69" s="3013" t="s">
        <v>311</v>
      </c>
      <c r="T69" s="3013" t="s">
        <v>311</v>
      </c>
      <c r="U69" s="3013" t="s">
        <v>311</v>
      </c>
      <c r="V69" s="3013" t="s">
        <v>311</v>
      </c>
      <c r="W69" s="3013" t="s">
        <v>311</v>
      </c>
      <c r="X69" s="3013" t="s">
        <v>311</v>
      </c>
      <c r="Y69" s="3013" t="s">
        <v>311</v>
      </c>
      <c r="Z69" s="3013" t="s">
        <v>311</v>
      </c>
      <c r="AA69" s="3013" t="s">
        <v>311</v>
      </c>
      <c r="AB69" s="3013" t="s">
        <v>311</v>
      </c>
      <c r="AC69" s="3013" t="s">
        <v>311</v>
      </c>
      <c r="AD69" s="3013" t="s">
        <v>311</v>
      </c>
      <c r="AE69" s="3013" t="s">
        <v>311</v>
      </c>
      <c r="AF69" s="3013" t="s">
        <v>311</v>
      </c>
      <c r="AG69" s="3013" t="s">
        <v>311</v>
      </c>
      <c r="AH69" s="1457">
        <f t="shared" si="10"/>
        <v>0</v>
      </c>
    </row>
    <row r="70" spans="1:34" ht="15">
      <c r="A70" s="199" t="s">
        <v>144</v>
      </c>
      <c r="B70" s="232">
        <f>SUM(B58:B69)</f>
        <v>2373.6059999999998</v>
      </c>
      <c r="C70" s="100">
        <f>SUM(C58:C68)</f>
        <v>48.67</v>
      </c>
      <c r="D70" s="107">
        <f>SUM(D58:D68)</f>
        <v>29.614999999999998</v>
      </c>
      <c r="E70" s="107">
        <v>0</v>
      </c>
      <c r="F70" s="107">
        <f t="shared" ref="F70:AC70" si="11">SUM(F58:F68)</f>
        <v>50.41</v>
      </c>
      <c r="G70" s="107">
        <f t="shared" si="11"/>
        <v>97.405000000000001</v>
      </c>
      <c r="H70" s="107">
        <f t="shared" si="11"/>
        <v>17.34</v>
      </c>
      <c r="I70" s="107">
        <f t="shared" si="11"/>
        <v>47.424999999999997</v>
      </c>
      <c r="J70" s="107">
        <f t="shared" si="11"/>
        <v>52.54</v>
      </c>
      <c r="K70" s="107">
        <f t="shared" si="11"/>
        <v>23.26</v>
      </c>
      <c r="L70" s="107">
        <f t="shared" si="11"/>
        <v>126.28999999999999</v>
      </c>
      <c r="M70" s="107">
        <f t="shared" si="11"/>
        <v>22.844999999999999</v>
      </c>
      <c r="N70" s="107">
        <f t="shared" si="11"/>
        <v>84.34</v>
      </c>
      <c r="O70" s="107">
        <f t="shared" si="11"/>
        <v>152.82499999999999</v>
      </c>
      <c r="P70" s="107">
        <f t="shared" si="11"/>
        <v>200.405</v>
      </c>
      <c r="Q70" s="107">
        <f t="shared" si="11"/>
        <v>136.58499999999998</v>
      </c>
      <c r="R70" s="107">
        <f t="shared" si="11"/>
        <v>136.41</v>
      </c>
      <c r="S70" s="107">
        <f t="shared" si="11"/>
        <v>23.754999999999999</v>
      </c>
      <c r="T70" s="107">
        <f t="shared" si="11"/>
        <v>43</v>
      </c>
      <c r="U70" s="107">
        <f t="shared" si="11"/>
        <v>14.675000000000001</v>
      </c>
      <c r="V70" s="107">
        <f t="shared" si="11"/>
        <v>21.375</v>
      </c>
      <c r="W70" s="107">
        <f t="shared" si="11"/>
        <v>88.284999999999997</v>
      </c>
      <c r="X70" s="107">
        <f t="shared" si="11"/>
        <v>99.995000000000005</v>
      </c>
      <c r="Y70" s="107">
        <f t="shared" si="11"/>
        <v>222.88499999999999</v>
      </c>
      <c r="Z70" s="107">
        <f t="shared" si="11"/>
        <v>156.815</v>
      </c>
      <c r="AA70" s="107">
        <f t="shared" si="11"/>
        <v>136.745</v>
      </c>
      <c r="AB70" s="107">
        <f t="shared" si="11"/>
        <v>41.489999999999995</v>
      </c>
      <c r="AC70" s="107">
        <f t="shared" si="11"/>
        <v>56.570999999999998</v>
      </c>
      <c r="AD70" s="107">
        <v>0</v>
      </c>
      <c r="AE70" s="107">
        <f>SUM(AE58:AE68)</f>
        <v>118.215</v>
      </c>
      <c r="AF70" s="107">
        <f>SUM(AF58:AF68)</f>
        <v>51.19</v>
      </c>
      <c r="AG70" s="107">
        <f>SUM(AG58:AG68)</f>
        <v>0</v>
      </c>
      <c r="AH70" s="100">
        <f>SUM(AH58:AH68)</f>
        <v>2373.6059999999998</v>
      </c>
    </row>
    <row r="71" spans="1:34" ht="5.0999999999999996" customHeight="1">
      <c r="A71" s="105"/>
      <c r="B71" s="105"/>
      <c r="C71" s="1"/>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
    </row>
    <row r="72" spans="1:34" ht="15">
      <c r="A72" s="3854" t="s">
        <v>119</v>
      </c>
      <c r="B72" s="3855"/>
      <c r="C72" s="3855"/>
      <c r="D72" s="3855"/>
      <c r="E72" s="3855"/>
      <c r="F72" s="3855"/>
      <c r="G72" s="3855"/>
      <c r="H72" s="3856"/>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row>
    <row r="73" spans="1:34" ht="15">
      <c r="A73" s="8" t="s">
        <v>142</v>
      </c>
      <c r="B73" s="8" t="s">
        <v>143</v>
      </c>
      <c r="C73" s="8">
        <v>1</v>
      </c>
      <c r="D73" s="73">
        <v>2</v>
      </c>
      <c r="E73" s="73">
        <v>3</v>
      </c>
      <c r="F73" s="73">
        <v>4</v>
      </c>
      <c r="G73" s="73">
        <v>5</v>
      </c>
      <c r="H73" s="73">
        <v>6</v>
      </c>
      <c r="I73" s="73">
        <v>7</v>
      </c>
      <c r="J73" s="73">
        <v>8</v>
      </c>
      <c r="K73" s="73">
        <v>9</v>
      </c>
      <c r="L73" s="73">
        <v>10</v>
      </c>
      <c r="M73" s="73">
        <v>11</v>
      </c>
      <c r="N73" s="73">
        <v>12</v>
      </c>
      <c r="O73" s="73">
        <v>13</v>
      </c>
      <c r="P73" s="73">
        <v>14</v>
      </c>
      <c r="Q73" s="73">
        <v>15</v>
      </c>
      <c r="R73" s="73">
        <v>16</v>
      </c>
      <c r="S73" s="73">
        <v>17</v>
      </c>
      <c r="T73" s="73">
        <v>18</v>
      </c>
      <c r="U73" s="73">
        <v>19</v>
      </c>
      <c r="V73" s="73">
        <v>20</v>
      </c>
      <c r="W73" s="73">
        <v>21</v>
      </c>
      <c r="X73" s="73">
        <v>22</v>
      </c>
      <c r="Y73" s="73">
        <v>23</v>
      </c>
      <c r="Z73" s="73">
        <v>24</v>
      </c>
      <c r="AA73" s="73">
        <v>25</v>
      </c>
      <c r="AB73" s="73">
        <v>26</v>
      </c>
      <c r="AC73" s="73">
        <v>27</v>
      </c>
      <c r="AD73" s="73">
        <v>28</v>
      </c>
      <c r="AE73" s="73">
        <v>29</v>
      </c>
      <c r="AF73" s="73">
        <v>30</v>
      </c>
      <c r="AG73" s="73">
        <v>31</v>
      </c>
      <c r="AH73" s="88" t="s">
        <v>144</v>
      </c>
    </row>
    <row r="74" spans="1:34" ht="15">
      <c r="A74" s="414" t="s">
        <v>145</v>
      </c>
      <c r="B74" s="306">
        <f t="shared" ref="B74:B85" si="12">+AH74</f>
        <v>0</v>
      </c>
      <c r="C74" s="360" t="s">
        <v>311</v>
      </c>
      <c r="D74" s="360" t="s">
        <v>311</v>
      </c>
      <c r="E74" s="360" t="s">
        <v>311</v>
      </c>
      <c r="F74" s="360" t="s">
        <v>311</v>
      </c>
      <c r="G74" s="360" t="s">
        <v>311</v>
      </c>
      <c r="H74" s="360" t="s">
        <v>311</v>
      </c>
      <c r="I74" s="360" t="s">
        <v>311</v>
      </c>
      <c r="J74" s="360" t="s">
        <v>311</v>
      </c>
      <c r="K74" s="360" t="s">
        <v>311</v>
      </c>
      <c r="L74" s="360" t="s">
        <v>311</v>
      </c>
      <c r="M74" s="360" t="s">
        <v>311</v>
      </c>
      <c r="N74" s="360" t="s">
        <v>311</v>
      </c>
      <c r="O74" s="360" t="s">
        <v>311</v>
      </c>
      <c r="P74" s="360" t="s">
        <v>311</v>
      </c>
      <c r="Q74" s="360" t="s">
        <v>311</v>
      </c>
      <c r="R74" s="360" t="s">
        <v>311</v>
      </c>
      <c r="S74" s="360" t="s">
        <v>311</v>
      </c>
      <c r="T74" s="360" t="s">
        <v>311</v>
      </c>
      <c r="U74" s="360" t="s">
        <v>311</v>
      </c>
      <c r="V74" s="360" t="s">
        <v>311</v>
      </c>
      <c r="W74" s="360" t="s">
        <v>311</v>
      </c>
      <c r="X74" s="360" t="s">
        <v>311</v>
      </c>
      <c r="Y74" s="360" t="s">
        <v>311</v>
      </c>
      <c r="Z74" s="360" t="s">
        <v>311</v>
      </c>
      <c r="AA74" s="360" t="s">
        <v>311</v>
      </c>
      <c r="AB74" s="360" t="s">
        <v>311</v>
      </c>
      <c r="AC74" s="360" t="s">
        <v>311</v>
      </c>
      <c r="AD74" s="360" t="s">
        <v>311</v>
      </c>
      <c r="AE74" s="360" t="s">
        <v>311</v>
      </c>
      <c r="AF74" s="360" t="s">
        <v>311</v>
      </c>
      <c r="AG74" s="360" t="s">
        <v>311</v>
      </c>
      <c r="AH74" s="107">
        <f>SUM(C74:AG74)</f>
        <v>0</v>
      </c>
    </row>
    <row r="75" spans="1:34" ht="15">
      <c r="A75" s="414" t="s">
        <v>146</v>
      </c>
      <c r="B75" s="306">
        <f t="shared" si="12"/>
        <v>0</v>
      </c>
      <c r="C75" s="360" t="s">
        <v>311</v>
      </c>
      <c r="D75" s="360" t="s">
        <v>311</v>
      </c>
      <c r="E75" s="360" t="s">
        <v>311</v>
      </c>
      <c r="F75" s="360" t="s">
        <v>311</v>
      </c>
      <c r="G75" s="360" t="s">
        <v>311</v>
      </c>
      <c r="H75" s="360" t="s">
        <v>311</v>
      </c>
      <c r="I75" s="360" t="s">
        <v>311</v>
      </c>
      <c r="J75" s="360" t="s">
        <v>311</v>
      </c>
      <c r="K75" s="360" t="s">
        <v>311</v>
      </c>
      <c r="L75" s="360" t="s">
        <v>311</v>
      </c>
      <c r="M75" s="360" t="s">
        <v>311</v>
      </c>
      <c r="N75" s="360" t="s">
        <v>311</v>
      </c>
      <c r="O75" s="360" t="s">
        <v>311</v>
      </c>
      <c r="P75" s="360" t="s">
        <v>311</v>
      </c>
      <c r="Q75" s="360" t="s">
        <v>311</v>
      </c>
      <c r="R75" s="360" t="s">
        <v>311</v>
      </c>
      <c r="S75" s="360" t="s">
        <v>311</v>
      </c>
      <c r="T75" s="360" t="s">
        <v>311</v>
      </c>
      <c r="U75" s="360" t="s">
        <v>311</v>
      </c>
      <c r="V75" s="360" t="s">
        <v>311</v>
      </c>
      <c r="W75" s="360" t="s">
        <v>311</v>
      </c>
      <c r="X75" s="360" t="s">
        <v>311</v>
      </c>
      <c r="Y75" s="360" t="s">
        <v>311</v>
      </c>
      <c r="Z75" s="360" t="s">
        <v>311</v>
      </c>
      <c r="AA75" s="360" t="s">
        <v>311</v>
      </c>
      <c r="AB75" s="360" t="s">
        <v>311</v>
      </c>
      <c r="AC75" s="360" t="s">
        <v>311</v>
      </c>
      <c r="AD75" s="360" t="s">
        <v>311</v>
      </c>
      <c r="AE75" s="360" t="s">
        <v>311</v>
      </c>
      <c r="AF75" s="360" t="s">
        <v>311</v>
      </c>
      <c r="AG75" s="360" t="s">
        <v>311</v>
      </c>
      <c r="AH75" s="107">
        <f t="shared" ref="AH75:AH85" si="13">SUM(C75:AG75)</f>
        <v>0</v>
      </c>
    </row>
    <row r="76" spans="1:34" ht="15">
      <c r="A76" s="414" t="s">
        <v>147</v>
      </c>
      <c r="B76" s="306">
        <f t="shared" si="12"/>
        <v>0</v>
      </c>
      <c r="C76" s="360" t="s">
        <v>311</v>
      </c>
      <c r="D76" s="360" t="s">
        <v>311</v>
      </c>
      <c r="E76" s="360" t="s">
        <v>311</v>
      </c>
      <c r="F76" s="360" t="s">
        <v>311</v>
      </c>
      <c r="G76" s="360" t="s">
        <v>311</v>
      </c>
      <c r="H76" s="53"/>
      <c r="I76" s="53"/>
      <c r="J76" s="53"/>
      <c r="K76" s="53"/>
      <c r="L76" s="53"/>
      <c r="M76" s="53"/>
      <c r="N76" s="53"/>
      <c r="O76" s="53"/>
      <c r="P76" s="53"/>
      <c r="Q76" s="53"/>
      <c r="R76" s="53"/>
      <c r="S76" s="53"/>
      <c r="T76" s="53"/>
      <c r="U76" s="53"/>
      <c r="V76" s="53"/>
      <c r="W76" s="53"/>
      <c r="X76" s="53"/>
      <c r="Y76" s="53"/>
      <c r="Z76" s="53"/>
      <c r="AA76" s="53"/>
      <c r="AB76" s="53"/>
      <c r="AC76" s="360" t="s">
        <v>311</v>
      </c>
      <c r="AD76" s="360" t="s">
        <v>311</v>
      </c>
      <c r="AE76" s="360" t="s">
        <v>311</v>
      </c>
      <c r="AF76" s="360" t="s">
        <v>311</v>
      </c>
      <c r="AG76" s="360" t="s">
        <v>311</v>
      </c>
      <c r="AH76" s="107">
        <f t="shared" si="13"/>
        <v>0</v>
      </c>
    </row>
    <row r="77" spans="1:34" ht="15.6" thickBot="1">
      <c r="A77" s="414" t="s">
        <v>148</v>
      </c>
      <c r="B77" s="306">
        <f t="shared" si="12"/>
        <v>36.094999999999999</v>
      </c>
      <c r="C77" s="360" t="s">
        <v>311</v>
      </c>
      <c r="D77" s="360" t="s">
        <v>311</v>
      </c>
      <c r="E77" s="360" t="s">
        <v>311</v>
      </c>
      <c r="F77" s="360" t="s">
        <v>311</v>
      </c>
      <c r="G77" s="360" t="s">
        <v>311</v>
      </c>
      <c r="H77" s="360" t="s">
        <v>311</v>
      </c>
      <c r="I77" s="360" t="s">
        <v>311</v>
      </c>
      <c r="J77" s="360" t="s">
        <v>311</v>
      </c>
      <c r="K77" s="360" t="s">
        <v>311</v>
      </c>
      <c r="L77" s="826">
        <v>16.315000000000001</v>
      </c>
      <c r="M77" s="826">
        <v>0</v>
      </c>
      <c r="N77" s="826">
        <v>0</v>
      </c>
      <c r="O77" s="826">
        <v>0</v>
      </c>
      <c r="P77" s="826">
        <v>0</v>
      </c>
      <c r="Q77" s="826">
        <v>0</v>
      </c>
      <c r="R77" s="826">
        <v>0</v>
      </c>
      <c r="S77" s="826">
        <v>0</v>
      </c>
      <c r="T77" s="826">
        <v>0</v>
      </c>
      <c r="U77" s="826">
        <v>0</v>
      </c>
      <c r="V77" s="826">
        <v>0</v>
      </c>
      <c r="W77" s="826">
        <v>0</v>
      </c>
      <c r="X77" s="826">
        <v>0</v>
      </c>
      <c r="Y77" s="826">
        <v>0</v>
      </c>
      <c r="Z77" s="826">
        <v>0</v>
      </c>
      <c r="AA77" s="826">
        <v>0</v>
      </c>
      <c r="AB77" s="826">
        <v>0</v>
      </c>
      <c r="AC77" s="826">
        <v>8.24</v>
      </c>
      <c r="AD77" s="826">
        <v>0</v>
      </c>
      <c r="AE77" s="826">
        <v>11.54</v>
      </c>
      <c r="AF77" s="826">
        <v>0</v>
      </c>
      <c r="AG77" s="827">
        <v>0</v>
      </c>
      <c r="AH77" s="107">
        <f t="shared" si="13"/>
        <v>36.094999999999999</v>
      </c>
    </row>
    <row r="78" spans="1:34" ht="15">
      <c r="A78" s="363" t="s">
        <v>149</v>
      </c>
      <c r="B78" s="306">
        <f t="shared" si="12"/>
        <v>0</v>
      </c>
      <c r="C78" s="926">
        <v>0</v>
      </c>
      <c r="D78" s="926">
        <v>0</v>
      </c>
      <c r="E78" s="926">
        <v>0</v>
      </c>
      <c r="F78" s="926">
        <v>0</v>
      </c>
      <c r="G78" s="926">
        <v>0</v>
      </c>
      <c r="H78" s="926">
        <v>0</v>
      </c>
      <c r="I78" s="926">
        <v>0</v>
      </c>
      <c r="J78" s="926">
        <v>0</v>
      </c>
      <c r="K78" s="926">
        <v>0</v>
      </c>
      <c r="L78" s="926">
        <v>0</v>
      </c>
      <c r="M78" s="926">
        <v>0</v>
      </c>
      <c r="N78" s="926">
        <v>0</v>
      </c>
      <c r="O78" s="926">
        <v>0</v>
      </c>
      <c r="P78" s="926">
        <v>0</v>
      </c>
      <c r="Q78" s="926">
        <v>0</v>
      </c>
      <c r="R78" s="926">
        <v>0</v>
      </c>
      <c r="S78" s="926">
        <v>0</v>
      </c>
      <c r="T78" s="53"/>
      <c r="U78" s="53"/>
      <c r="V78" s="53"/>
      <c r="W78" s="53"/>
      <c r="X78" s="53"/>
      <c r="Y78" s="53"/>
      <c r="Z78" s="53"/>
      <c r="AA78" s="53"/>
      <c r="AB78" s="53"/>
      <c r="AC78" s="53"/>
      <c r="AD78" s="53"/>
      <c r="AE78" s="53"/>
      <c r="AF78" s="53"/>
      <c r="AG78" s="53"/>
      <c r="AH78" s="107">
        <f t="shared" si="13"/>
        <v>0</v>
      </c>
    </row>
    <row r="79" spans="1:34" ht="15">
      <c r="A79" s="363" t="s">
        <v>150</v>
      </c>
      <c r="B79" s="306">
        <f t="shared" si="12"/>
        <v>0</v>
      </c>
      <c r="C79" s="103"/>
      <c r="D79" s="53"/>
      <c r="E79" s="53"/>
      <c r="F79" s="53"/>
      <c r="G79" s="53"/>
      <c r="H79" s="188" t="s">
        <v>318</v>
      </c>
      <c r="I79" s="188" t="s">
        <v>318</v>
      </c>
      <c r="J79" s="188" t="s">
        <v>318</v>
      </c>
      <c r="K79" s="188" t="s">
        <v>318</v>
      </c>
      <c r="L79" s="188" t="s">
        <v>318</v>
      </c>
      <c r="M79" s="188" t="s">
        <v>318</v>
      </c>
      <c r="N79" s="188" t="s">
        <v>318</v>
      </c>
      <c r="O79" s="188" t="s">
        <v>318</v>
      </c>
      <c r="P79" s="188" t="s">
        <v>318</v>
      </c>
      <c r="Q79" s="188" t="s">
        <v>318</v>
      </c>
      <c r="R79" s="188" t="s">
        <v>318</v>
      </c>
      <c r="S79" s="188" t="s">
        <v>318</v>
      </c>
      <c r="T79" s="188" t="s">
        <v>318</v>
      </c>
      <c r="U79" s="188" t="s">
        <v>318</v>
      </c>
      <c r="V79" s="188" t="s">
        <v>318</v>
      </c>
      <c r="W79" s="188" t="s">
        <v>318</v>
      </c>
      <c r="X79" s="188" t="s">
        <v>318</v>
      </c>
      <c r="Y79" s="53"/>
      <c r="Z79" s="53"/>
      <c r="AA79" s="53"/>
      <c r="AB79" s="53"/>
      <c r="AC79" s="53"/>
      <c r="AD79" s="53"/>
      <c r="AE79" s="53"/>
      <c r="AF79" s="53"/>
      <c r="AG79" s="53"/>
      <c r="AH79" s="107">
        <f t="shared" si="13"/>
        <v>0</v>
      </c>
    </row>
    <row r="80" spans="1:34" ht="15">
      <c r="A80" s="363" t="s">
        <v>151</v>
      </c>
      <c r="B80" s="306">
        <f t="shared" si="12"/>
        <v>0</v>
      </c>
      <c r="C80" s="103"/>
      <c r="D80" s="107"/>
      <c r="E80" s="107"/>
      <c r="F80" s="107"/>
      <c r="G80" s="53"/>
      <c r="H80" s="53"/>
      <c r="I80" s="53"/>
      <c r="J80" s="111"/>
      <c r="K80" s="111"/>
      <c r="L80" s="107"/>
      <c r="M80" s="107"/>
      <c r="N80" s="107"/>
      <c r="O80" s="107"/>
      <c r="P80" s="107"/>
      <c r="Q80" s="107"/>
      <c r="R80" s="107"/>
      <c r="S80" s="107"/>
      <c r="T80" s="107"/>
      <c r="U80" s="107"/>
      <c r="V80" s="107"/>
      <c r="W80" s="107"/>
      <c r="X80" s="107"/>
      <c r="Y80" s="107"/>
      <c r="Z80" s="107"/>
      <c r="AA80" s="107"/>
      <c r="AB80" s="107"/>
      <c r="AC80" s="107"/>
      <c r="AD80" s="107"/>
      <c r="AE80" s="107"/>
      <c r="AF80" s="107"/>
      <c r="AG80" s="107"/>
      <c r="AH80" s="107">
        <f t="shared" si="13"/>
        <v>0</v>
      </c>
    </row>
    <row r="81" spans="1:34" ht="15">
      <c r="A81" s="363" t="s">
        <v>152</v>
      </c>
      <c r="B81" s="306">
        <f t="shared" si="12"/>
        <v>0</v>
      </c>
      <c r="C81" s="103"/>
      <c r="D81" s="53"/>
      <c r="E81" s="53"/>
      <c r="F81" s="53"/>
      <c r="G81" s="53"/>
      <c r="H81" s="53"/>
      <c r="I81" s="53"/>
      <c r="J81" s="188" t="s">
        <v>318</v>
      </c>
      <c r="K81" s="188" t="s">
        <v>318</v>
      </c>
      <c r="L81" s="188" t="s">
        <v>318</v>
      </c>
      <c r="M81" s="188" t="s">
        <v>318</v>
      </c>
      <c r="N81" s="188" t="s">
        <v>318</v>
      </c>
      <c r="O81" s="188" t="s">
        <v>318</v>
      </c>
      <c r="P81" s="188" t="s">
        <v>318</v>
      </c>
      <c r="Q81" s="188" t="s">
        <v>318</v>
      </c>
      <c r="R81" s="188" t="s">
        <v>318</v>
      </c>
      <c r="S81" s="188" t="s">
        <v>318</v>
      </c>
      <c r="T81" s="188" t="s">
        <v>318</v>
      </c>
      <c r="U81" s="188" t="s">
        <v>318</v>
      </c>
      <c r="V81" s="188" t="s">
        <v>318</v>
      </c>
      <c r="W81" s="188" t="s">
        <v>318</v>
      </c>
      <c r="X81" s="188" t="s">
        <v>318</v>
      </c>
      <c r="Y81" s="188" t="s">
        <v>318</v>
      </c>
      <c r="Z81" s="188" t="s">
        <v>318</v>
      </c>
      <c r="AA81" s="188" t="s">
        <v>318</v>
      </c>
      <c r="AB81" s="188" t="s">
        <v>318</v>
      </c>
      <c r="AC81" s="188" t="s">
        <v>318</v>
      </c>
      <c r="AD81" s="188" t="s">
        <v>318</v>
      </c>
      <c r="AE81" s="188" t="s">
        <v>318</v>
      </c>
      <c r="AF81" s="188" t="s">
        <v>318</v>
      </c>
      <c r="AG81" s="188" t="s">
        <v>318</v>
      </c>
      <c r="AH81" s="107">
        <f t="shared" si="13"/>
        <v>0</v>
      </c>
    </row>
    <row r="82" spans="1:34" ht="15">
      <c r="A82" s="372" t="s">
        <v>153</v>
      </c>
      <c r="B82" s="306">
        <f t="shared" si="12"/>
        <v>0</v>
      </c>
      <c r="C82" s="188" t="s">
        <v>318</v>
      </c>
      <c r="D82" s="188" t="s">
        <v>318</v>
      </c>
      <c r="E82" s="188" t="s">
        <v>318</v>
      </c>
      <c r="F82" s="188" t="s">
        <v>318</v>
      </c>
      <c r="G82" s="188" t="s">
        <v>318</v>
      </c>
      <c r="H82" s="188" t="s">
        <v>318</v>
      </c>
      <c r="I82" s="188" t="s">
        <v>318</v>
      </c>
      <c r="J82" s="188" t="s">
        <v>318</v>
      </c>
      <c r="K82" s="188" t="s">
        <v>318</v>
      </c>
      <c r="L82" s="188" t="s">
        <v>318</v>
      </c>
      <c r="M82" s="188" t="s">
        <v>318</v>
      </c>
      <c r="N82" s="188" t="s">
        <v>318</v>
      </c>
      <c r="O82" s="188" t="s">
        <v>318</v>
      </c>
      <c r="P82" s="188" t="s">
        <v>318</v>
      </c>
      <c r="Q82" s="188" t="s">
        <v>318</v>
      </c>
      <c r="R82" s="188" t="s">
        <v>318</v>
      </c>
      <c r="S82" s="188" t="s">
        <v>318</v>
      </c>
      <c r="T82" s="188" t="s">
        <v>318</v>
      </c>
      <c r="U82" s="188" t="s">
        <v>318</v>
      </c>
      <c r="V82" s="188" t="s">
        <v>318</v>
      </c>
      <c r="W82" s="188" t="s">
        <v>318</v>
      </c>
      <c r="X82" s="188" t="s">
        <v>318</v>
      </c>
      <c r="Y82" s="188" t="s">
        <v>318</v>
      </c>
      <c r="Z82" s="188" t="s">
        <v>318</v>
      </c>
      <c r="AA82" s="188" t="s">
        <v>318</v>
      </c>
      <c r="AB82" s="188" t="s">
        <v>318</v>
      </c>
      <c r="AC82" s="188" t="s">
        <v>318</v>
      </c>
      <c r="AD82" s="188" t="s">
        <v>318</v>
      </c>
      <c r="AE82" s="188" t="s">
        <v>318</v>
      </c>
      <c r="AF82" s="188" t="s">
        <v>318</v>
      </c>
      <c r="AG82" s="188" t="s">
        <v>318</v>
      </c>
      <c r="AH82" s="107">
        <f t="shared" si="13"/>
        <v>0</v>
      </c>
    </row>
    <row r="83" spans="1:34" ht="15">
      <c r="A83" s="372" t="s">
        <v>154</v>
      </c>
      <c r="B83" s="53">
        <f t="shared" si="12"/>
        <v>0</v>
      </c>
      <c r="C83" s="188" t="s">
        <v>318</v>
      </c>
      <c r="D83" s="188" t="s">
        <v>318</v>
      </c>
      <c r="E83" s="188" t="s">
        <v>318</v>
      </c>
      <c r="F83" s="188" t="s">
        <v>318</v>
      </c>
      <c r="G83" s="188" t="s">
        <v>318</v>
      </c>
      <c r="H83" s="188" t="s">
        <v>318</v>
      </c>
      <c r="I83" s="188" t="s">
        <v>318</v>
      </c>
      <c r="J83" s="188" t="s">
        <v>318</v>
      </c>
      <c r="K83" s="188" t="s">
        <v>318</v>
      </c>
      <c r="L83" s="188" t="s">
        <v>318</v>
      </c>
      <c r="M83" s="188" t="s">
        <v>318</v>
      </c>
      <c r="N83" s="188" t="s">
        <v>318</v>
      </c>
      <c r="O83" s="188" t="s">
        <v>318</v>
      </c>
      <c r="P83" s="188" t="s">
        <v>318</v>
      </c>
      <c r="Q83" s="188" t="s">
        <v>318</v>
      </c>
      <c r="R83" s="188" t="s">
        <v>318</v>
      </c>
      <c r="S83" s="188" t="s">
        <v>318</v>
      </c>
      <c r="T83" s="188" t="s">
        <v>318</v>
      </c>
      <c r="U83" s="188" t="s">
        <v>318</v>
      </c>
      <c r="V83" s="188" t="s">
        <v>318</v>
      </c>
      <c r="W83" s="188" t="s">
        <v>318</v>
      </c>
      <c r="X83" s="53"/>
      <c r="Y83" s="53"/>
      <c r="Z83" s="53"/>
      <c r="AA83" s="53"/>
      <c r="AB83" s="53"/>
      <c r="AC83" s="53"/>
      <c r="AD83" s="53"/>
      <c r="AE83" s="107"/>
      <c r="AF83" s="53"/>
      <c r="AG83" s="107"/>
      <c r="AH83" s="107">
        <f t="shared" si="13"/>
        <v>0</v>
      </c>
    </row>
    <row r="84" spans="1:34" ht="15">
      <c r="A84" s="372" t="s">
        <v>155</v>
      </c>
      <c r="B84" s="53">
        <f t="shared" si="12"/>
        <v>0</v>
      </c>
      <c r="C84" s="103"/>
      <c r="D84" s="53"/>
      <c r="E84" s="53"/>
      <c r="F84" s="53"/>
      <c r="G84" s="14"/>
      <c r="H84" s="53"/>
      <c r="I84" s="53"/>
      <c r="J84" s="53"/>
      <c r="K84" s="53"/>
      <c r="L84" s="53"/>
      <c r="M84" s="53"/>
      <c r="N84" s="53"/>
      <c r="O84" s="53"/>
      <c r="P84" s="53"/>
      <c r="Q84" s="53"/>
      <c r="R84" s="53"/>
      <c r="S84" s="53"/>
      <c r="T84" s="53"/>
      <c r="U84" s="53"/>
      <c r="V84" s="53"/>
      <c r="W84" s="53"/>
      <c r="X84" s="53"/>
      <c r="Y84" s="14"/>
      <c r="Z84" s="53"/>
      <c r="AA84" s="53"/>
      <c r="AB84" s="53"/>
      <c r="AC84" s="53"/>
      <c r="AD84" s="53"/>
      <c r="AE84" s="107"/>
      <c r="AF84" s="53"/>
      <c r="AG84" s="107"/>
      <c r="AH84" s="107">
        <f t="shared" si="13"/>
        <v>0</v>
      </c>
    </row>
    <row r="85" spans="1:34" ht="15">
      <c r="A85" s="372" t="s">
        <v>156</v>
      </c>
      <c r="B85" s="53">
        <f t="shared" si="12"/>
        <v>0</v>
      </c>
      <c r="C85" s="103">
        <v>0</v>
      </c>
      <c r="D85" s="53"/>
      <c r="E85" s="53"/>
      <c r="F85" s="53"/>
      <c r="G85" s="53"/>
      <c r="H85" s="53"/>
      <c r="I85" s="53"/>
      <c r="J85" s="53"/>
      <c r="K85" s="53"/>
      <c r="L85" s="53"/>
      <c r="M85" s="53"/>
      <c r="N85" s="53"/>
      <c r="O85" s="53"/>
      <c r="P85" s="3013" t="s">
        <v>311</v>
      </c>
      <c r="Q85" s="3013" t="s">
        <v>311</v>
      </c>
      <c r="R85" s="3013" t="s">
        <v>311</v>
      </c>
      <c r="S85" s="3013" t="s">
        <v>311</v>
      </c>
      <c r="T85" s="3013" t="s">
        <v>311</v>
      </c>
      <c r="U85" s="3013" t="s">
        <v>311</v>
      </c>
      <c r="V85" s="3013" t="s">
        <v>311</v>
      </c>
      <c r="W85" s="3013" t="s">
        <v>311</v>
      </c>
      <c r="X85" s="3013" t="s">
        <v>311</v>
      </c>
      <c r="Y85" s="3013" t="s">
        <v>311</v>
      </c>
      <c r="Z85" s="3013" t="s">
        <v>311</v>
      </c>
      <c r="AA85" s="3013" t="s">
        <v>311</v>
      </c>
      <c r="AB85" s="3013" t="s">
        <v>311</v>
      </c>
      <c r="AC85" s="3013" t="s">
        <v>311</v>
      </c>
      <c r="AD85" s="3013" t="s">
        <v>311</v>
      </c>
      <c r="AE85" s="3013" t="s">
        <v>311</v>
      </c>
      <c r="AF85" s="3013" t="s">
        <v>311</v>
      </c>
      <c r="AG85" s="3013" t="s">
        <v>311</v>
      </c>
      <c r="AH85" s="107">
        <f t="shared" si="13"/>
        <v>0</v>
      </c>
    </row>
    <row r="86" spans="1:34" ht="15">
      <c r="A86" s="199" t="s">
        <v>144</v>
      </c>
      <c r="B86" s="232">
        <f>SUM(B74:B85)</f>
        <v>36.094999999999999</v>
      </c>
      <c r="C86" s="100">
        <f>SUM(C74:C84)</f>
        <v>0</v>
      </c>
      <c r="D86" s="107">
        <f>SUM(D74:D84)</f>
        <v>0</v>
      </c>
      <c r="E86" s="107">
        <v>0</v>
      </c>
      <c r="F86" s="107">
        <f t="shared" ref="F86:AC86" si="14">SUM(F74:F84)</f>
        <v>0</v>
      </c>
      <c r="G86" s="107">
        <f t="shared" si="14"/>
        <v>0</v>
      </c>
      <c r="H86" s="107">
        <f t="shared" si="14"/>
        <v>0</v>
      </c>
      <c r="I86" s="107">
        <f t="shared" si="14"/>
        <v>0</v>
      </c>
      <c r="J86" s="107">
        <f t="shared" si="14"/>
        <v>0</v>
      </c>
      <c r="K86" s="107">
        <f t="shared" si="14"/>
        <v>0</v>
      </c>
      <c r="L86" s="107">
        <f t="shared" si="14"/>
        <v>16.315000000000001</v>
      </c>
      <c r="M86" s="107">
        <f t="shared" si="14"/>
        <v>0</v>
      </c>
      <c r="N86" s="107">
        <f t="shared" si="14"/>
        <v>0</v>
      </c>
      <c r="O86" s="107">
        <f t="shared" si="14"/>
        <v>0</v>
      </c>
      <c r="P86" s="107">
        <f t="shared" si="14"/>
        <v>0</v>
      </c>
      <c r="Q86" s="107">
        <f t="shared" si="14"/>
        <v>0</v>
      </c>
      <c r="R86" s="107">
        <f t="shared" si="14"/>
        <v>0</v>
      </c>
      <c r="S86" s="107">
        <f t="shared" si="14"/>
        <v>0</v>
      </c>
      <c r="T86" s="107">
        <f t="shared" si="14"/>
        <v>0</v>
      </c>
      <c r="U86" s="107">
        <f t="shared" si="14"/>
        <v>0</v>
      </c>
      <c r="V86" s="107">
        <f t="shared" si="14"/>
        <v>0</v>
      </c>
      <c r="W86" s="107">
        <f t="shared" si="14"/>
        <v>0</v>
      </c>
      <c r="X86" s="107">
        <f t="shared" si="14"/>
        <v>0</v>
      </c>
      <c r="Y86" s="107">
        <f t="shared" si="14"/>
        <v>0</v>
      </c>
      <c r="Z86" s="107">
        <f t="shared" si="14"/>
        <v>0</v>
      </c>
      <c r="AA86" s="107">
        <f t="shared" si="14"/>
        <v>0</v>
      </c>
      <c r="AB86" s="107">
        <f t="shared" si="14"/>
        <v>0</v>
      </c>
      <c r="AC86" s="107">
        <f t="shared" si="14"/>
        <v>8.24</v>
      </c>
      <c r="AD86" s="107">
        <v>0</v>
      </c>
      <c r="AE86" s="107">
        <f>SUM(AE74:AE84)</f>
        <v>11.54</v>
      </c>
      <c r="AF86" s="107">
        <f>SUM(AF74:AF84)</f>
        <v>0</v>
      </c>
      <c r="AG86" s="107">
        <f>SUM(AG74:AG84)</f>
        <v>0</v>
      </c>
      <c r="AH86" s="100">
        <f>SUM(AH74:AH84)</f>
        <v>36.094999999999999</v>
      </c>
    </row>
    <row r="87" spans="1:34" ht="15">
      <c r="A87" s="388"/>
      <c r="B87" s="777"/>
      <c r="C87" s="108"/>
      <c r="D87" s="109"/>
      <c r="E87" s="109"/>
      <c r="F87" s="109"/>
      <c r="G87" s="109"/>
      <c r="H87" s="109"/>
      <c r="I87" s="109"/>
      <c r="J87" s="109"/>
      <c r="K87" s="109"/>
      <c r="L87" s="109"/>
      <c r="M87" s="109"/>
      <c r="N87" s="109"/>
      <c r="O87" s="109"/>
      <c r="P87" s="109"/>
      <c r="Q87" s="109"/>
      <c r="R87" s="110"/>
      <c r="S87" s="106"/>
      <c r="T87" s="106"/>
      <c r="U87" s="106"/>
      <c r="V87" s="106"/>
      <c r="W87" s="106"/>
      <c r="X87" s="106"/>
      <c r="Y87" s="106"/>
      <c r="Z87" s="106"/>
      <c r="AA87" s="106"/>
      <c r="AB87" s="106"/>
      <c r="AC87" s="106"/>
      <c r="AD87" s="106"/>
      <c r="AE87" s="106"/>
      <c r="AF87" s="106"/>
      <c r="AG87" s="106"/>
      <c r="AH87" s="16"/>
    </row>
    <row r="88" spans="1:34" ht="15">
      <c r="A88" s="3870" t="s">
        <v>138</v>
      </c>
      <c r="B88" s="3871"/>
      <c r="C88" s="3871"/>
      <c r="D88" s="3871"/>
      <c r="E88" s="3871"/>
      <c r="F88" s="3871"/>
      <c r="G88" s="3871"/>
      <c r="H88" s="3871"/>
      <c r="I88" s="3871"/>
      <c r="J88" s="3871"/>
      <c r="K88" s="3871"/>
      <c r="L88" s="3871"/>
      <c r="M88" s="3871"/>
      <c r="N88" s="3871"/>
      <c r="O88" s="3871"/>
      <c r="P88" s="3871"/>
      <c r="Q88" s="3871"/>
      <c r="R88" s="3871"/>
      <c r="S88" s="81"/>
      <c r="T88" s="81"/>
      <c r="U88" s="81"/>
      <c r="V88" s="81"/>
      <c r="W88" s="81"/>
      <c r="X88" s="81"/>
      <c r="Y88" s="81"/>
      <c r="Z88" s="81"/>
      <c r="AA88" s="81"/>
      <c r="AB88" s="81"/>
      <c r="AC88" s="81"/>
      <c r="AD88" s="81"/>
      <c r="AE88" s="81"/>
      <c r="AF88" s="81"/>
      <c r="AG88" s="81"/>
      <c r="AH88" s="170"/>
    </row>
    <row r="89" spans="1:34" ht="15">
      <c r="A89" s="779" t="s">
        <v>652</v>
      </c>
      <c r="B89" s="780"/>
      <c r="C89" s="781"/>
      <c r="D89" s="782"/>
      <c r="E89" s="782"/>
      <c r="F89" s="782"/>
      <c r="G89" s="81"/>
      <c r="H89" s="81"/>
      <c r="I89" s="81"/>
      <c r="J89" s="81"/>
      <c r="K89" s="81"/>
      <c r="L89" s="81"/>
      <c r="M89" s="81"/>
      <c r="N89" s="81"/>
      <c r="O89" s="81"/>
      <c r="P89" s="81"/>
      <c r="Q89" s="81"/>
      <c r="R89" s="81"/>
      <c r="S89" s="81"/>
      <c r="T89" s="81"/>
      <c r="U89" s="81"/>
      <c r="V89" s="81"/>
      <c r="W89" s="81"/>
      <c r="X89" s="81"/>
      <c r="Y89" s="81"/>
      <c r="Z89" s="81"/>
      <c r="AA89" s="81"/>
      <c r="AB89" s="81"/>
      <c r="AC89" s="81"/>
      <c r="AD89" s="81"/>
      <c r="AE89" s="81"/>
      <c r="AF89" s="81"/>
      <c r="AG89" s="81"/>
      <c r="AH89" s="170"/>
    </row>
    <row r="90" spans="1:34" ht="15">
      <c r="A90" s="8" t="s">
        <v>142</v>
      </c>
      <c r="B90" s="70" t="s">
        <v>143</v>
      </c>
      <c r="C90" s="173">
        <v>1</v>
      </c>
      <c r="D90" s="82">
        <v>2</v>
      </c>
      <c r="E90" s="82">
        <v>3</v>
      </c>
      <c r="F90" s="82">
        <v>4</v>
      </c>
      <c r="G90" s="82">
        <v>5</v>
      </c>
      <c r="H90" s="82">
        <v>6</v>
      </c>
      <c r="I90" s="82">
        <v>7</v>
      </c>
      <c r="J90" s="82">
        <v>8</v>
      </c>
      <c r="K90" s="82">
        <v>9</v>
      </c>
      <c r="L90" s="82">
        <v>10</v>
      </c>
      <c r="M90" s="82">
        <v>11</v>
      </c>
      <c r="N90" s="82">
        <v>12</v>
      </c>
      <c r="O90" s="82">
        <v>13</v>
      </c>
      <c r="P90" s="82">
        <v>14</v>
      </c>
      <c r="Q90" s="82">
        <v>15</v>
      </c>
      <c r="R90" s="82">
        <v>16</v>
      </c>
      <c r="S90" s="82">
        <v>17</v>
      </c>
      <c r="T90" s="82">
        <v>18</v>
      </c>
      <c r="U90" s="82">
        <v>19</v>
      </c>
      <c r="V90" s="82">
        <v>20</v>
      </c>
      <c r="W90" s="82">
        <v>21</v>
      </c>
      <c r="X90" s="82">
        <v>22</v>
      </c>
      <c r="Y90" s="82">
        <v>23</v>
      </c>
      <c r="Z90" s="82">
        <v>24</v>
      </c>
      <c r="AA90" s="82">
        <v>25</v>
      </c>
      <c r="AB90" s="82">
        <v>26</v>
      </c>
      <c r="AC90" s="82">
        <v>27</v>
      </c>
      <c r="AD90" s="82">
        <v>28</v>
      </c>
      <c r="AE90" s="82">
        <v>29</v>
      </c>
      <c r="AF90" s="82">
        <v>30</v>
      </c>
      <c r="AG90" s="82">
        <v>31</v>
      </c>
      <c r="AH90" s="172" t="s">
        <v>144</v>
      </c>
    </row>
    <row r="91" spans="1:34" ht="15">
      <c r="A91" s="363" t="s">
        <v>145</v>
      </c>
      <c r="B91" s="70">
        <f t="shared" ref="B91:B102" si="15">+AH91</f>
        <v>0</v>
      </c>
      <c r="C91" s="360" t="s">
        <v>318</v>
      </c>
      <c r="D91" s="360" t="s">
        <v>318</v>
      </c>
      <c r="E91" s="360" t="s">
        <v>318</v>
      </c>
      <c r="F91" s="360" t="s">
        <v>318</v>
      </c>
      <c r="G91" s="360" t="s">
        <v>318</v>
      </c>
      <c r="H91" s="360" t="s">
        <v>318</v>
      </c>
      <c r="I91" s="360" t="s">
        <v>318</v>
      </c>
      <c r="J91" s="360" t="s">
        <v>318</v>
      </c>
      <c r="K91" s="360" t="s">
        <v>318</v>
      </c>
      <c r="L91" s="360" t="s">
        <v>318</v>
      </c>
      <c r="M91" s="360" t="s">
        <v>318</v>
      </c>
      <c r="N91" s="360" t="s">
        <v>318</v>
      </c>
      <c r="O91" s="360" t="s">
        <v>318</v>
      </c>
      <c r="P91" s="360" t="s">
        <v>318</v>
      </c>
      <c r="Q91" s="360" t="s">
        <v>318</v>
      </c>
      <c r="R91" s="360" t="s">
        <v>318</v>
      </c>
      <c r="S91" s="360" t="s">
        <v>318</v>
      </c>
      <c r="T91" s="360" t="s">
        <v>318</v>
      </c>
      <c r="U91" s="360" t="s">
        <v>318</v>
      </c>
      <c r="V91" s="360" t="s">
        <v>318</v>
      </c>
      <c r="W91" s="360" t="s">
        <v>318</v>
      </c>
      <c r="X91" s="360" t="s">
        <v>318</v>
      </c>
      <c r="Y91" s="360" t="s">
        <v>318</v>
      </c>
      <c r="Z91" s="360" t="s">
        <v>318</v>
      </c>
      <c r="AA91" s="360" t="s">
        <v>318</v>
      </c>
      <c r="AB91" s="360" t="s">
        <v>318</v>
      </c>
      <c r="AC91" s="360" t="s">
        <v>318</v>
      </c>
      <c r="AD91" s="360" t="s">
        <v>318</v>
      </c>
      <c r="AE91" s="360" t="s">
        <v>318</v>
      </c>
      <c r="AF91" s="360" t="s">
        <v>318</v>
      </c>
      <c r="AG91" s="360" t="s">
        <v>318</v>
      </c>
      <c r="AH91" s="172">
        <f>SUM(C91:AG91)</f>
        <v>0</v>
      </c>
    </row>
    <row r="92" spans="1:34" ht="15">
      <c r="A92" s="363" t="s">
        <v>146</v>
      </c>
      <c r="B92" s="70">
        <f t="shared" si="15"/>
        <v>0</v>
      </c>
      <c r="C92" s="360" t="s">
        <v>318</v>
      </c>
      <c r="D92" s="360" t="s">
        <v>318</v>
      </c>
      <c r="E92" s="360" t="s">
        <v>318</v>
      </c>
      <c r="F92" s="360" t="s">
        <v>318</v>
      </c>
      <c r="G92" s="360" t="s">
        <v>318</v>
      </c>
      <c r="H92" s="360" t="s">
        <v>318</v>
      </c>
      <c r="I92" s="360" t="s">
        <v>318</v>
      </c>
      <c r="J92" s="360" t="s">
        <v>318</v>
      </c>
      <c r="K92" s="360" t="s">
        <v>318</v>
      </c>
      <c r="L92" s="360" t="s">
        <v>318</v>
      </c>
      <c r="M92" s="360" t="s">
        <v>318</v>
      </c>
      <c r="N92" s="360" t="s">
        <v>318</v>
      </c>
      <c r="O92" s="360" t="s">
        <v>318</v>
      </c>
      <c r="P92" s="360" t="s">
        <v>318</v>
      </c>
      <c r="Q92" s="360" t="s">
        <v>318</v>
      </c>
      <c r="R92" s="360" t="s">
        <v>318</v>
      </c>
      <c r="S92" s="360" t="s">
        <v>318</v>
      </c>
      <c r="T92" s="360" t="s">
        <v>318</v>
      </c>
      <c r="U92" s="360" t="s">
        <v>318</v>
      </c>
      <c r="V92" s="360" t="s">
        <v>318</v>
      </c>
      <c r="W92" s="360" t="s">
        <v>318</v>
      </c>
      <c r="X92" s="360" t="s">
        <v>318</v>
      </c>
      <c r="Y92" s="360" t="s">
        <v>318</v>
      </c>
      <c r="Z92" s="360" t="s">
        <v>318</v>
      </c>
      <c r="AA92" s="360" t="s">
        <v>318</v>
      </c>
      <c r="AB92" s="360" t="s">
        <v>318</v>
      </c>
      <c r="AC92" s="360" t="s">
        <v>318</v>
      </c>
      <c r="AD92" s="360" t="s">
        <v>318</v>
      </c>
      <c r="AE92" s="360" t="s">
        <v>318</v>
      </c>
      <c r="AF92" s="360" t="s">
        <v>318</v>
      </c>
      <c r="AG92" s="360" t="s">
        <v>318</v>
      </c>
      <c r="AH92" s="172">
        <f t="shared" ref="AH92:AH102" si="16">SUM(C92:AG92)</f>
        <v>0</v>
      </c>
    </row>
    <row r="93" spans="1:34" ht="15">
      <c r="A93" s="363" t="s">
        <v>147</v>
      </c>
      <c r="B93" s="70">
        <f t="shared" si="15"/>
        <v>8.7620000000000005</v>
      </c>
      <c r="C93" s="360" t="s">
        <v>318</v>
      </c>
      <c r="D93" s="360" t="s">
        <v>318</v>
      </c>
      <c r="E93" s="360" t="s">
        <v>318</v>
      </c>
      <c r="F93" s="360" t="s">
        <v>318</v>
      </c>
      <c r="G93" s="360" t="s">
        <v>318</v>
      </c>
      <c r="H93" s="53"/>
      <c r="I93" s="53"/>
      <c r="J93" s="53"/>
      <c r="K93" s="53"/>
      <c r="L93" s="53"/>
      <c r="M93" s="53"/>
      <c r="N93" s="53"/>
      <c r="O93" s="53"/>
      <c r="P93" s="53"/>
      <c r="Q93" s="53"/>
      <c r="R93" s="53"/>
      <c r="S93" s="53"/>
      <c r="T93" s="53"/>
      <c r="U93" s="53">
        <v>4.8410000000000002</v>
      </c>
      <c r="V93" s="53"/>
      <c r="W93" s="53"/>
      <c r="X93" s="53">
        <v>3.9209999999999998</v>
      </c>
      <c r="Y93" s="53"/>
      <c r="Z93" s="53"/>
      <c r="AA93" s="53"/>
      <c r="AB93" s="53"/>
      <c r="AC93" s="360" t="s">
        <v>318</v>
      </c>
      <c r="AD93" s="360" t="s">
        <v>318</v>
      </c>
      <c r="AE93" s="360" t="s">
        <v>318</v>
      </c>
      <c r="AF93" s="360" t="s">
        <v>318</v>
      </c>
      <c r="AG93" s="360" t="s">
        <v>318</v>
      </c>
      <c r="AH93" s="172">
        <f t="shared" si="16"/>
        <v>8.7620000000000005</v>
      </c>
    </row>
    <row r="94" spans="1:34" ht="15">
      <c r="A94" s="363" t="s">
        <v>148</v>
      </c>
      <c r="B94" s="70">
        <f t="shared" si="15"/>
        <v>324.84399999999999</v>
      </c>
      <c r="C94" s="360" t="s">
        <v>318</v>
      </c>
      <c r="D94" s="360" t="s">
        <v>318</v>
      </c>
      <c r="E94" s="360" t="s">
        <v>318</v>
      </c>
      <c r="F94" s="360" t="s">
        <v>318</v>
      </c>
      <c r="G94" s="360" t="s">
        <v>318</v>
      </c>
      <c r="H94" s="360" t="s">
        <v>318</v>
      </c>
      <c r="I94" s="360" t="s">
        <v>318</v>
      </c>
      <c r="J94" s="360" t="s">
        <v>318</v>
      </c>
      <c r="K94" s="360" t="s">
        <v>318</v>
      </c>
      <c r="L94" s="53"/>
      <c r="M94" s="53"/>
      <c r="N94" s="53"/>
      <c r="O94" s="53"/>
      <c r="P94" s="53"/>
      <c r="Q94" s="448">
        <v>28.256</v>
      </c>
      <c r="R94" s="448">
        <v>10.76</v>
      </c>
      <c r="S94" s="448">
        <v>8.0660000000000007</v>
      </c>
      <c r="T94" s="448">
        <v>12.452</v>
      </c>
      <c r="U94" s="448">
        <v>33.511000000000003</v>
      </c>
      <c r="V94" s="448">
        <v>8.3520000000000003</v>
      </c>
      <c r="W94" s="448">
        <v>25.314</v>
      </c>
      <c r="X94" s="448">
        <v>87.290999999999997</v>
      </c>
      <c r="Y94" s="448"/>
      <c r="Z94" s="448">
        <v>16.428000000000001</v>
      </c>
      <c r="AA94" s="448">
        <v>42.646999999999998</v>
      </c>
      <c r="AB94" s="448"/>
      <c r="AC94" s="448">
        <v>51.767000000000003</v>
      </c>
      <c r="AD94" s="448"/>
      <c r="AE94" s="448"/>
      <c r="AF94" s="448"/>
      <c r="AG94" s="448"/>
      <c r="AH94" s="172">
        <f t="shared" si="16"/>
        <v>324.84399999999999</v>
      </c>
    </row>
    <row r="95" spans="1:34" ht="15">
      <c r="A95" s="375" t="s">
        <v>149</v>
      </c>
      <c r="B95" s="70">
        <f t="shared" si="15"/>
        <v>61.3</v>
      </c>
      <c r="C95" s="448">
        <v>25.562000000000001</v>
      </c>
      <c r="D95" s="448"/>
      <c r="E95" s="448"/>
      <c r="F95" s="448">
        <v>15.154999999999999</v>
      </c>
      <c r="G95" s="448">
        <v>20.582999999999998</v>
      </c>
      <c r="H95" s="53"/>
      <c r="I95" s="53"/>
      <c r="J95" s="53"/>
      <c r="K95" s="53"/>
      <c r="L95" s="53"/>
      <c r="M95" s="53"/>
      <c r="N95" s="53"/>
      <c r="O95" s="53"/>
      <c r="P95" s="53"/>
      <c r="Q95" s="53"/>
      <c r="R95" s="53"/>
      <c r="S95" s="53"/>
      <c r="T95" s="53"/>
      <c r="U95" s="53"/>
      <c r="V95" s="53"/>
      <c r="W95" s="53"/>
      <c r="X95" s="53"/>
      <c r="Y95" s="53"/>
      <c r="Z95" s="53"/>
      <c r="AA95" s="53"/>
      <c r="AB95" s="53"/>
      <c r="AC95" s="53"/>
      <c r="AD95" s="53"/>
      <c r="AE95" s="53"/>
      <c r="AF95" s="53"/>
      <c r="AG95" s="53"/>
      <c r="AH95" s="172">
        <f>SUM(C95:AG95)</f>
        <v>61.3</v>
      </c>
    </row>
    <row r="96" spans="1:34" ht="15">
      <c r="A96" s="375" t="s">
        <v>150</v>
      </c>
      <c r="B96" s="70">
        <f t="shared" si="15"/>
        <v>0</v>
      </c>
      <c r="C96" s="103"/>
      <c r="D96" s="53"/>
      <c r="E96" s="53"/>
      <c r="F96" s="53"/>
      <c r="G96" s="53"/>
      <c r="H96" s="188" t="s">
        <v>318</v>
      </c>
      <c r="I96" s="188" t="s">
        <v>318</v>
      </c>
      <c r="J96" s="188" t="s">
        <v>318</v>
      </c>
      <c r="K96" s="188" t="s">
        <v>318</v>
      </c>
      <c r="L96" s="188" t="s">
        <v>318</v>
      </c>
      <c r="M96" s="188" t="s">
        <v>318</v>
      </c>
      <c r="N96" s="188" t="s">
        <v>318</v>
      </c>
      <c r="O96" s="188" t="s">
        <v>318</v>
      </c>
      <c r="P96" s="188" t="s">
        <v>318</v>
      </c>
      <c r="Q96" s="188" t="s">
        <v>318</v>
      </c>
      <c r="R96" s="188" t="s">
        <v>318</v>
      </c>
      <c r="S96" s="188" t="s">
        <v>318</v>
      </c>
      <c r="T96" s="188" t="s">
        <v>318</v>
      </c>
      <c r="U96" s="188" t="s">
        <v>318</v>
      </c>
      <c r="V96" s="188" t="s">
        <v>318</v>
      </c>
      <c r="W96" s="188" t="s">
        <v>318</v>
      </c>
      <c r="X96" s="188" t="s">
        <v>318</v>
      </c>
      <c r="Y96" s="53"/>
      <c r="Z96" s="53"/>
      <c r="AA96" s="53"/>
      <c r="AB96" s="53"/>
      <c r="AC96" s="53"/>
      <c r="AD96" s="53"/>
      <c r="AE96" s="53"/>
      <c r="AF96" s="53"/>
      <c r="AG96" s="53"/>
      <c r="AH96" s="172">
        <f t="shared" si="16"/>
        <v>0</v>
      </c>
    </row>
    <row r="97" spans="1:34" ht="15">
      <c r="A97" s="375" t="s">
        <v>151</v>
      </c>
      <c r="B97" s="70">
        <f t="shared" si="15"/>
        <v>0</v>
      </c>
      <c r="C97" s="103"/>
      <c r="D97" s="107"/>
      <c r="E97" s="107"/>
      <c r="F97" s="107"/>
      <c r="G97" s="53"/>
      <c r="H97" s="53"/>
      <c r="I97" s="53"/>
      <c r="J97" s="111"/>
      <c r="K97" s="111"/>
      <c r="L97" s="107"/>
      <c r="M97" s="107"/>
      <c r="N97" s="107"/>
      <c r="O97" s="107"/>
      <c r="P97" s="107"/>
      <c r="Q97" s="107"/>
      <c r="R97" s="107"/>
      <c r="S97" s="107"/>
      <c r="T97" s="107"/>
      <c r="U97" s="107"/>
      <c r="V97" s="107"/>
      <c r="W97" s="107"/>
      <c r="X97" s="107"/>
      <c r="Y97" s="107"/>
      <c r="Z97" s="107"/>
      <c r="AA97" s="107"/>
      <c r="AB97" s="107"/>
      <c r="AC97" s="107"/>
      <c r="AD97" s="107"/>
      <c r="AE97" s="107"/>
      <c r="AF97" s="107"/>
      <c r="AG97" s="107"/>
      <c r="AH97" s="172">
        <f t="shared" si="16"/>
        <v>0</v>
      </c>
    </row>
    <row r="98" spans="1:34" ht="15">
      <c r="A98" s="375" t="s">
        <v>152</v>
      </c>
      <c r="B98" s="70">
        <f t="shared" si="15"/>
        <v>0</v>
      </c>
      <c r="C98" s="103"/>
      <c r="D98" s="53"/>
      <c r="E98" s="53"/>
      <c r="F98" s="53"/>
      <c r="G98" s="53"/>
      <c r="H98" s="53"/>
      <c r="I98" s="53"/>
      <c r="J98" s="188" t="s">
        <v>311</v>
      </c>
      <c r="K98" s="188" t="s">
        <v>311</v>
      </c>
      <c r="L98" s="188" t="s">
        <v>311</v>
      </c>
      <c r="M98" s="188" t="s">
        <v>311</v>
      </c>
      <c r="N98" s="188" t="s">
        <v>311</v>
      </c>
      <c r="O98" s="188" t="s">
        <v>311</v>
      </c>
      <c r="P98" s="188" t="s">
        <v>311</v>
      </c>
      <c r="Q98" s="188" t="s">
        <v>311</v>
      </c>
      <c r="R98" s="188" t="s">
        <v>311</v>
      </c>
      <c r="S98" s="188" t="s">
        <v>311</v>
      </c>
      <c r="T98" s="188" t="s">
        <v>311</v>
      </c>
      <c r="U98" s="188" t="s">
        <v>311</v>
      </c>
      <c r="V98" s="188" t="s">
        <v>311</v>
      </c>
      <c r="W98" s="188" t="s">
        <v>311</v>
      </c>
      <c r="X98" s="188" t="s">
        <v>311</v>
      </c>
      <c r="Y98" s="188" t="s">
        <v>311</v>
      </c>
      <c r="Z98" s="188" t="s">
        <v>311</v>
      </c>
      <c r="AA98" s="188" t="s">
        <v>311</v>
      </c>
      <c r="AB98" s="188" t="s">
        <v>311</v>
      </c>
      <c r="AC98" s="188" t="s">
        <v>311</v>
      </c>
      <c r="AD98" s="188" t="s">
        <v>311</v>
      </c>
      <c r="AE98" s="188" t="s">
        <v>311</v>
      </c>
      <c r="AF98" s="188" t="s">
        <v>311</v>
      </c>
      <c r="AG98" s="188" t="s">
        <v>311</v>
      </c>
      <c r="AH98" s="172">
        <f t="shared" si="16"/>
        <v>0</v>
      </c>
    </row>
    <row r="99" spans="1:34" ht="15">
      <c r="A99" s="73" t="s">
        <v>153</v>
      </c>
      <c r="B99" s="70">
        <f t="shared" si="15"/>
        <v>0</v>
      </c>
      <c r="C99" s="188" t="s">
        <v>311</v>
      </c>
      <c r="D99" s="188" t="s">
        <v>311</v>
      </c>
      <c r="E99" s="188" t="s">
        <v>311</v>
      </c>
      <c r="F99" s="188" t="s">
        <v>311</v>
      </c>
      <c r="G99" s="188" t="s">
        <v>311</v>
      </c>
      <c r="H99" s="188" t="s">
        <v>311</v>
      </c>
      <c r="I99" s="188" t="s">
        <v>311</v>
      </c>
      <c r="J99" s="188" t="s">
        <v>311</v>
      </c>
      <c r="K99" s="188" t="s">
        <v>311</v>
      </c>
      <c r="L99" s="188" t="s">
        <v>311</v>
      </c>
      <c r="M99" s="188" t="s">
        <v>311</v>
      </c>
      <c r="N99" s="188" t="s">
        <v>311</v>
      </c>
      <c r="O99" s="188" t="s">
        <v>311</v>
      </c>
      <c r="P99" s="188" t="s">
        <v>311</v>
      </c>
      <c r="Q99" s="188" t="s">
        <v>311</v>
      </c>
      <c r="R99" s="188" t="s">
        <v>311</v>
      </c>
      <c r="S99" s="188" t="s">
        <v>311</v>
      </c>
      <c r="T99" s="188" t="s">
        <v>311</v>
      </c>
      <c r="U99" s="188" t="s">
        <v>311</v>
      </c>
      <c r="V99" s="188" t="s">
        <v>311</v>
      </c>
      <c r="W99" s="188" t="s">
        <v>311</v>
      </c>
      <c r="X99" s="188" t="s">
        <v>311</v>
      </c>
      <c r="Y99" s="188" t="s">
        <v>311</v>
      </c>
      <c r="Z99" s="188" t="s">
        <v>311</v>
      </c>
      <c r="AA99" s="188" t="s">
        <v>311</v>
      </c>
      <c r="AB99" s="188" t="s">
        <v>311</v>
      </c>
      <c r="AC99" s="188" t="s">
        <v>311</v>
      </c>
      <c r="AD99" s="188" t="s">
        <v>311</v>
      </c>
      <c r="AE99" s="188" t="s">
        <v>311</v>
      </c>
      <c r="AF99" s="188" t="s">
        <v>311</v>
      </c>
      <c r="AG99" s="188" t="s">
        <v>311</v>
      </c>
      <c r="AH99" s="172">
        <f t="shared" si="16"/>
        <v>0</v>
      </c>
    </row>
    <row r="100" spans="1:34" ht="15">
      <c r="A100" s="73" t="s">
        <v>154</v>
      </c>
      <c r="B100" s="70">
        <f t="shared" si="15"/>
        <v>0</v>
      </c>
      <c r="C100" s="188" t="s">
        <v>311</v>
      </c>
      <c r="D100" s="188" t="s">
        <v>311</v>
      </c>
      <c r="E100" s="188" t="s">
        <v>311</v>
      </c>
      <c r="F100" s="188" t="s">
        <v>311</v>
      </c>
      <c r="G100" s="188" t="s">
        <v>311</v>
      </c>
      <c r="H100" s="188" t="s">
        <v>311</v>
      </c>
      <c r="I100" s="188" t="s">
        <v>311</v>
      </c>
      <c r="J100" s="188" t="s">
        <v>311</v>
      </c>
      <c r="K100" s="188" t="s">
        <v>311</v>
      </c>
      <c r="L100" s="188" t="s">
        <v>311</v>
      </c>
      <c r="M100" s="188" t="s">
        <v>311</v>
      </c>
      <c r="N100" s="188" t="s">
        <v>311</v>
      </c>
      <c r="O100" s="188" t="s">
        <v>311</v>
      </c>
      <c r="P100" s="188" t="s">
        <v>311</v>
      </c>
      <c r="Q100" s="188" t="s">
        <v>311</v>
      </c>
      <c r="R100" s="188" t="s">
        <v>311</v>
      </c>
      <c r="S100" s="188" t="s">
        <v>311</v>
      </c>
      <c r="T100" s="188" t="s">
        <v>311</v>
      </c>
      <c r="U100" s="188" t="s">
        <v>311</v>
      </c>
      <c r="V100" s="188" t="s">
        <v>311</v>
      </c>
      <c r="W100" s="188" t="s">
        <v>311</v>
      </c>
      <c r="X100" s="53"/>
      <c r="Y100" s="53"/>
      <c r="Z100" s="53"/>
      <c r="AA100" s="53"/>
      <c r="AB100" s="53"/>
      <c r="AC100" s="53"/>
      <c r="AD100" s="53"/>
      <c r="AE100" s="107"/>
      <c r="AF100" s="53"/>
      <c r="AG100" s="107"/>
      <c r="AH100" s="172">
        <f t="shared" si="16"/>
        <v>0</v>
      </c>
    </row>
    <row r="101" spans="1:34" ht="15">
      <c r="A101" s="73" t="s">
        <v>155</v>
      </c>
      <c r="B101" s="70">
        <f t="shared" si="15"/>
        <v>0</v>
      </c>
      <c r="C101" s="103"/>
      <c r="D101" s="53"/>
      <c r="E101" s="53"/>
      <c r="F101" s="53"/>
      <c r="G101" s="14"/>
      <c r="H101" s="53"/>
      <c r="I101" s="53"/>
      <c r="J101" s="53"/>
      <c r="K101" s="53"/>
      <c r="L101" s="53"/>
      <c r="M101" s="53"/>
      <c r="N101" s="53"/>
      <c r="O101" s="53"/>
      <c r="P101" s="53"/>
      <c r="Q101" s="53"/>
      <c r="R101" s="53"/>
      <c r="S101" s="53"/>
      <c r="T101" s="53"/>
      <c r="U101" s="53"/>
      <c r="V101" s="53"/>
      <c r="W101" s="53"/>
      <c r="X101" s="53"/>
      <c r="Y101" s="14"/>
      <c r="Z101" s="53"/>
      <c r="AA101" s="53"/>
      <c r="AB101" s="53"/>
      <c r="AC101" s="53"/>
      <c r="AD101" s="53"/>
      <c r="AE101" s="107"/>
      <c r="AF101" s="53"/>
      <c r="AG101" s="107"/>
      <c r="AH101" s="172">
        <f t="shared" si="16"/>
        <v>0</v>
      </c>
    </row>
    <row r="102" spans="1:34" ht="15">
      <c r="A102" s="73" t="s">
        <v>156</v>
      </c>
      <c r="B102" s="70">
        <f t="shared" si="15"/>
        <v>0</v>
      </c>
      <c r="C102" s="103"/>
      <c r="D102" s="53"/>
      <c r="E102" s="53"/>
      <c r="F102" s="53"/>
      <c r="G102" s="53"/>
      <c r="H102" s="53"/>
      <c r="I102" s="53"/>
      <c r="J102" s="53"/>
      <c r="K102" s="53"/>
      <c r="L102" s="53"/>
      <c r="M102" s="53"/>
      <c r="N102" s="53"/>
      <c r="O102" s="53"/>
      <c r="P102" s="3013" t="s">
        <v>311</v>
      </c>
      <c r="Q102" s="3013" t="s">
        <v>311</v>
      </c>
      <c r="R102" s="3013" t="s">
        <v>311</v>
      </c>
      <c r="S102" s="3013" t="s">
        <v>311</v>
      </c>
      <c r="T102" s="3013" t="s">
        <v>311</v>
      </c>
      <c r="U102" s="3013" t="s">
        <v>311</v>
      </c>
      <c r="V102" s="3013" t="s">
        <v>311</v>
      </c>
      <c r="W102" s="3013" t="s">
        <v>311</v>
      </c>
      <c r="X102" s="3013" t="s">
        <v>311</v>
      </c>
      <c r="Y102" s="3013" t="s">
        <v>311</v>
      </c>
      <c r="Z102" s="3013" t="s">
        <v>311</v>
      </c>
      <c r="AA102" s="3013" t="s">
        <v>311</v>
      </c>
      <c r="AB102" s="3013" t="s">
        <v>311</v>
      </c>
      <c r="AC102" s="3013" t="s">
        <v>311</v>
      </c>
      <c r="AD102" s="3013" t="s">
        <v>311</v>
      </c>
      <c r="AE102" s="3013" t="s">
        <v>311</v>
      </c>
      <c r="AF102" s="3013" t="s">
        <v>311</v>
      </c>
      <c r="AG102" s="3013" t="s">
        <v>311</v>
      </c>
      <c r="AH102" s="172">
        <f t="shared" si="16"/>
        <v>0</v>
      </c>
    </row>
    <row r="103" spans="1:34" ht="15">
      <c r="A103" s="199" t="s">
        <v>144</v>
      </c>
      <c r="B103" s="201">
        <f t="shared" ref="B103:AH103" si="17">SUM(B91:B102)</f>
        <v>394.90600000000001</v>
      </c>
      <c r="C103" s="172">
        <f t="shared" si="17"/>
        <v>25.562000000000001</v>
      </c>
      <c r="D103" s="172">
        <f t="shared" si="17"/>
        <v>0</v>
      </c>
      <c r="E103" s="172">
        <f t="shared" si="17"/>
        <v>0</v>
      </c>
      <c r="F103" s="172">
        <f t="shared" si="17"/>
        <v>15.154999999999999</v>
      </c>
      <c r="G103" s="172">
        <f t="shared" si="17"/>
        <v>20.582999999999998</v>
      </c>
      <c r="H103" s="172">
        <f t="shared" si="17"/>
        <v>0</v>
      </c>
      <c r="I103" s="172">
        <f t="shared" si="17"/>
        <v>0</v>
      </c>
      <c r="J103" s="172">
        <f t="shared" si="17"/>
        <v>0</v>
      </c>
      <c r="K103" s="172">
        <f t="shared" si="17"/>
        <v>0</v>
      </c>
      <c r="L103" s="172">
        <f t="shared" si="17"/>
        <v>0</v>
      </c>
      <c r="M103" s="172">
        <f t="shared" si="17"/>
        <v>0</v>
      </c>
      <c r="N103" s="172">
        <f t="shared" si="17"/>
        <v>0</v>
      </c>
      <c r="O103" s="172">
        <f t="shared" si="17"/>
        <v>0</v>
      </c>
      <c r="P103" s="172">
        <f t="shared" si="17"/>
        <v>0</v>
      </c>
      <c r="Q103" s="172">
        <f t="shared" si="17"/>
        <v>28.256</v>
      </c>
      <c r="R103" s="172">
        <f t="shared" si="17"/>
        <v>10.76</v>
      </c>
      <c r="S103" s="172">
        <f t="shared" si="17"/>
        <v>8.0660000000000007</v>
      </c>
      <c r="T103" s="172">
        <f t="shared" si="17"/>
        <v>12.452</v>
      </c>
      <c r="U103" s="172">
        <f t="shared" si="17"/>
        <v>38.352000000000004</v>
      </c>
      <c r="V103" s="172">
        <f t="shared" si="17"/>
        <v>8.3520000000000003</v>
      </c>
      <c r="W103" s="172">
        <f t="shared" si="17"/>
        <v>25.314</v>
      </c>
      <c r="X103" s="172">
        <f t="shared" si="17"/>
        <v>91.212000000000003</v>
      </c>
      <c r="Y103" s="172">
        <f t="shared" si="17"/>
        <v>0</v>
      </c>
      <c r="Z103" s="172">
        <f t="shared" si="17"/>
        <v>16.428000000000001</v>
      </c>
      <c r="AA103" s="172">
        <f t="shared" si="17"/>
        <v>42.646999999999998</v>
      </c>
      <c r="AB103" s="172">
        <f t="shared" si="17"/>
        <v>0</v>
      </c>
      <c r="AC103" s="172">
        <f t="shared" si="17"/>
        <v>51.767000000000003</v>
      </c>
      <c r="AD103" s="172">
        <f t="shared" si="17"/>
        <v>0</v>
      </c>
      <c r="AE103" s="172">
        <f t="shared" si="17"/>
        <v>0</v>
      </c>
      <c r="AF103" s="172">
        <f t="shared" si="17"/>
        <v>0</v>
      </c>
      <c r="AG103" s="172">
        <f t="shared" si="17"/>
        <v>0</v>
      </c>
      <c r="AH103" s="172">
        <f t="shared" si="17"/>
        <v>394.90600000000001</v>
      </c>
    </row>
    <row r="104" spans="1:34" ht="15">
      <c r="A104" s="387"/>
      <c r="B104" s="747"/>
      <c r="C104" s="176"/>
      <c r="D104" s="176"/>
      <c r="E104" s="176"/>
      <c r="F104" s="176"/>
      <c r="G104" s="176"/>
      <c r="H104" s="176"/>
      <c r="I104" s="176"/>
      <c r="J104" s="176"/>
      <c r="K104" s="176"/>
      <c r="L104" s="176"/>
      <c r="M104" s="176"/>
      <c r="N104" s="176"/>
      <c r="O104" s="176"/>
      <c r="P104" s="176"/>
      <c r="Q104" s="176"/>
      <c r="R104" s="176"/>
      <c r="S104" s="176"/>
      <c r="T104" s="176"/>
      <c r="U104" s="176"/>
      <c r="V104" s="176"/>
      <c r="W104" s="176"/>
      <c r="X104" s="176"/>
      <c r="Y104" s="176"/>
      <c r="Z104" s="176"/>
      <c r="AA104" s="176"/>
      <c r="AB104" s="176"/>
      <c r="AC104" s="176"/>
      <c r="AD104" s="176"/>
      <c r="AE104" s="176"/>
      <c r="AF104" s="176"/>
      <c r="AG104" s="176"/>
      <c r="AH104" s="176"/>
    </row>
    <row r="105" spans="1:34" ht="15">
      <c r="A105" s="3854" t="s">
        <v>206</v>
      </c>
      <c r="B105" s="3855"/>
      <c r="C105" s="3856"/>
      <c r="D105" s="81"/>
      <c r="E105" s="81"/>
      <c r="F105" s="81"/>
      <c r="G105" s="81"/>
      <c r="H105" s="81"/>
      <c r="I105" s="81"/>
      <c r="J105" s="81"/>
      <c r="K105" s="81"/>
      <c r="L105" s="81"/>
      <c r="M105" s="81"/>
      <c r="N105" s="81"/>
      <c r="O105" s="81"/>
      <c r="P105" s="81"/>
      <c r="Q105" s="81"/>
      <c r="R105" s="81"/>
      <c r="S105" s="81"/>
      <c r="T105" s="81"/>
      <c r="U105" s="81"/>
      <c r="V105" s="81"/>
      <c r="W105" s="81"/>
      <c r="X105" s="81"/>
      <c r="Y105" s="81"/>
      <c r="Z105" s="81"/>
      <c r="AA105" s="81"/>
      <c r="AB105" s="81"/>
      <c r="AC105" s="81"/>
      <c r="AD105" s="81"/>
      <c r="AE105" s="81"/>
      <c r="AF105" s="81"/>
      <c r="AG105" s="81"/>
      <c r="AH105" s="170"/>
    </row>
    <row r="106" spans="1:34" ht="15">
      <c r="A106" s="8" t="s">
        <v>142</v>
      </c>
      <c r="B106" s="70" t="s">
        <v>143</v>
      </c>
      <c r="C106" s="173">
        <v>1</v>
      </c>
      <c r="D106" s="82">
        <v>2</v>
      </c>
      <c r="E106" s="82">
        <v>3</v>
      </c>
      <c r="F106" s="82">
        <v>4</v>
      </c>
      <c r="G106" s="82">
        <v>5</v>
      </c>
      <c r="H106" s="82">
        <v>6</v>
      </c>
      <c r="I106" s="82">
        <v>7</v>
      </c>
      <c r="J106" s="82">
        <v>8</v>
      </c>
      <c r="K106" s="82">
        <v>9</v>
      </c>
      <c r="L106" s="82">
        <v>10</v>
      </c>
      <c r="M106" s="82">
        <v>11</v>
      </c>
      <c r="N106" s="82">
        <v>12</v>
      </c>
      <c r="O106" s="82">
        <v>13</v>
      </c>
      <c r="P106" s="82">
        <v>14</v>
      </c>
      <c r="Q106" s="82">
        <v>15</v>
      </c>
      <c r="R106" s="82">
        <v>16</v>
      </c>
      <c r="S106" s="82">
        <v>17</v>
      </c>
      <c r="T106" s="82">
        <v>18</v>
      </c>
      <c r="U106" s="82">
        <v>19</v>
      </c>
      <c r="V106" s="82">
        <v>20</v>
      </c>
      <c r="W106" s="82">
        <v>21</v>
      </c>
      <c r="X106" s="82">
        <v>22</v>
      </c>
      <c r="Y106" s="82">
        <v>23</v>
      </c>
      <c r="Z106" s="82">
        <v>24</v>
      </c>
      <c r="AA106" s="82">
        <v>25</v>
      </c>
      <c r="AB106" s="82">
        <v>26</v>
      </c>
      <c r="AC106" s="82">
        <v>27</v>
      </c>
      <c r="AD106" s="82">
        <v>28</v>
      </c>
      <c r="AE106" s="82">
        <v>29</v>
      </c>
      <c r="AF106" s="82">
        <v>30</v>
      </c>
      <c r="AG106" s="82">
        <v>31</v>
      </c>
      <c r="AH106" s="172" t="s">
        <v>144</v>
      </c>
    </row>
    <row r="107" spans="1:34" ht="15">
      <c r="A107" s="363" t="s">
        <v>145</v>
      </c>
      <c r="B107" s="70">
        <f t="shared" ref="B107:B118" si="18">+AH107</f>
        <v>0</v>
      </c>
      <c r="C107" s="360" t="s">
        <v>311</v>
      </c>
      <c r="D107" s="360" t="s">
        <v>311</v>
      </c>
      <c r="E107" s="360" t="s">
        <v>311</v>
      </c>
      <c r="F107" s="360" t="s">
        <v>311</v>
      </c>
      <c r="G107" s="360" t="s">
        <v>311</v>
      </c>
      <c r="H107" s="360" t="s">
        <v>311</v>
      </c>
      <c r="I107" s="360" t="s">
        <v>311</v>
      </c>
      <c r="J107" s="360" t="s">
        <v>311</v>
      </c>
      <c r="K107" s="360" t="s">
        <v>311</v>
      </c>
      <c r="L107" s="360" t="s">
        <v>311</v>
      </c>
      <c r="M107" s="360" t="s">
        <v>311</v>
      </c>
      <c r="N107" s="360" t="s">
        <v>311</v>
      </c>
      <c r="O107" s="360" t="s">
        <v>311</v>
      </c>
      <c r="P107" s="360" t="s">
        <v>311</v>
      </c>
      <c r="Q107" s="360" t="s">
        <v>311</v>
      </c>
      <c r="R107" s="360" t="s">
        <v>311</v>
      </c>
      <c r="S107" s="360" t="s">
        <v>311</v>
      </c>
      <c r="T107" s="360" t="s">
        <v>311</v>
      </c>
      <c r="U107" s="360" t="s">
        <v>311</v>
      </c>
      <c r="V107" s="360" t="s">
        <v>311</v>
      </c>
      <c r="W107" s="360" t="s">
        <v>311</v>
      </c>
      <c r="X107" s="360" t="s">
        <v>311</v>
      </c>
      <c r="Y107" s="360" t="s">
        <v>311</v>
      </c>
      <c r="Z107" s="360" t="s">
        <v>311</v>
      </c>
      <c r="AA107" s="360" t="s">
        <v>311</v>
      </c>
      <c r="AB107" s="360" t="s">
        <v>311</v>
      </c>
      <c r="AC107" s="360" t="s">
        <v>311</v>
      </c>
      <c r="AD107" s="360" t="s">
        <v>311</v>
      </c>
      <c r="AE107" s="360" t="s">
        <v>311</v>
      </c>
      <c r="AF107" s="360" t="s">
        <v>311</v>
      </c>
      <c r="AG107" s="360" t="s">
        <v>311</v>
      </c>
      <c r="AH107" s="172">
        <f>SUM(C107:AG107)</f>
        <v>0</v>
      </c>
    </row>
    <row r="108" spans="1:34" ht="15">
      <c r="A108" s="363" t="s">
        <v>146</v>
      </c>
      <c r="B108" s="70">
        <f t="shared" si="18"/>
        <v>0</v>
      </c>
      <c r="C108" s="360" t="s">
        <v>311</v>
      </c>
      <c r="D108" s="360" t="s">
        <v>311</v>
      </c>
      <c r="E108" s="360" t="s">
        <v>311</v>
      </c>
      <c r="F108" s="360" t="s">
        <v>311</v>
      </c>
      <c r="G108" s="360" t="s">
        <v>311</v>
      </c>
      <c r="H108" s="360" t="s">
        <v>311</v>
      </c>
      <c r="I108" s="360" t="s">
        <v>311</v>
      </c>
      <c r="J108" s="360" t="s">
        <v>311</v>
      </c>
      <c r="K108" s="360" t="s">
        <v>311</v>
      </c>
      <c r="L108" s="360" t="s">
        <v>311</v>
      </c>
      <c r="M108" s="360" t="s">
        <v>311</v>
      </c>
      <c r="N108" s="360" t="s">
        <v>311</v>
      </c>
      <c r="O108" s="360" t="s">
        <v>311</v>
      </c>
      <c r="P108" s="360" t="s">
        <v>311</v>
      </c>
      <c r="Q108" s="360" t="s">
        <v>311</v>
      </c>
      <c r="R108" s="360" t="s">
        <v>311</v>
      </c>
      <c r="S108" s="360" t="s">
        <v>311</v>
      </c>
      <c r="T108" s="360" t="s">
        <v>311</v>
      </c>
      <c r="U108" s="360" t="s">
        <v>311</v>
      </c>
      <c r="V108" s="360" t="s">
        <v>311</v>
      </c>
      <c r="W108" s="360" t="s">
        <v>311</v>
      </c>
      <c r="X108" s="360" t="s">
        <v>311</v>
      </c>
      <c r="Y108" s="360" t="s">
        <v>311</v>
      </c>
      <c r="Z108" s="360" t="s">
        <v>311</v>
      </c>
      <c r="AA108" s="360" t="s">
        <v>311</v>
      </c>
      <c r="AB108" s="360" t="s">
        <v>311</v>
      </c>
      <c r="AC108" s="360" t="s">
        <v>311</v>
      </c>
      <c r="AD108" s="360" t="s">
        <v>311</v>
      </c>
      <c r="AE108" s="360" t="s">
        <v>311</v>
      </c>
      <c r="AF108" s="360" t="s">
        <v>311</v>
      </c>
      <c r="AG108" s="360" t="s">
        <v>311</v>
      </c>
      <c r="AH108" s="172">
        <f>SUM(C108:AG108)</f>
        <v>0</v>
      </c>
    </row>
    <row r="109" spans="1:34" ht="15">
      <c r="A109" s="363" t="s">
        <v>147</v>
      </c>
      <c r="B109" s="70">
        <f t="shared" si="18"/>
        <v>28.649000000000001</v>
      </c>
      <c r="C109" s="360" t="s">
        <v>311</v>
      </c>
      <c r="D109" s="360" t="s">
        <v>311</v>
      </c>
      <c r="E109" s="360" t="s">
        <v>311</v>
      </c>
      <c r="F109" s="360" t="s">
        <v>311</v>
      </c>
      <c r="G109" s="360" t="s">
        <v>311</v>
      </c>
      <c r="H109" s="53"/>
      <c r="I109" s="53"/>
      <c r="J109" s="53"/>
      <c r="K109" s="53"/>
      <c r="L109" s="53"/>
      <c r="M109" s="53"/>
      <c r="N109" s="53"/>
      <c r="O109" s="53"/>
      <c r="P109" s="53"/>
      <c r="Q109" s="53"/>
      <c r="R109" s="53"/>
      <c r="S109" s="53"/>
      <c r="T109" s="53"/>
      <c r="U109" s="53"/>
      <c r="V109" s="53"/>
      <c r="W109" s="53">
        <v>28.649000000000001</v>
      </c>
      <c r="X109" s="53"/>
      <c r="Y109" s="53"/>
      <c r="Z109" s="53"/>
      <c r="AA109" s="53"/>
      <c r="AB109" s="53"/>
      <c r="AC109" s="360"/>
      <c r="AD109" s="360"/>
      <c r="AE109" s="360"/>
      <c r="AF109" s="360"/>
      <c r="AG109" s="360"/>
      <c r="AH109" s="172">
        <f>SUM(C109:AG109)</f>
        <v>28.649000000000001</v>
      </c>
    </row>
    <row r="110" spans="1:34" ht="15">
      <c r="A110" s="363" t="s">
        <v>148</v>
      </c>
      <c r="B110" s="70">
        <f t="shared" si="18"/>
        <v>90.896999999999991</v>
      </c>
      <c r="C110" s="360" t="s">
        <v>311</v>
      </c>
      <c r="D110" s="360" t="s">
        <v>311</v>
      </c>
      <c r="E110" s="360" t="s">
        <v>311</v>
      </c>
      <c r="F110" s="360" t="s">
        <v>311</v>
      </c>
      <c r="G110" s="360" t="s">
        <v>311</v>
      </c>
      <c r="H110" s="360" t="s">
        <v>311</v>
      </c>
      <c r="I110" s="360" t="s">
        <v>311</v>
      </c>
      <c r="J110" s="360" t="s">
        <v>311</v>
      </c>
      <c r="K110" s="586">
        <v>0.09</v>
      </c>
      <c r="L110" s="448"/>
      <c r="M110" s="448"/>
      <c r="N110" s="448"/>
      <c r="O110" s="448">
        <v>1.647</v>
      </c>
      <c r="P110" s="448">
        <v>14.852</v>
      </c>
      <c r="Q110" s="448"/>
      <c r="R110" s="448">
        <v>20.152000000000001</v>
      </c>
      <c r="S110" s="448"/>
      <c r="T110" s="448"/>
      <c r="U110" s="448">
        <v>10.709</v>
      </c>
      <c r="V110" s="448"/>
      <c r="W110" s="448">
        <v>11.478999999999999</v>
      </c>
      <c r="X110" s="448">
        <v>17.538</v>
      </c>
      <c r="Y110" s="448"/>
      <c r="Z110" s="448"/>
      <c r="AA110" s="448">
        <v>14.43</v>
      </c>
      <c r="AB110" s="448"/>
      <c r="AC110" s="448"/>
      <c r="AD110" s="448"/>
      <c r="AE110" s="448"/>
      <c r="AF110" s="448"/>
      <c r="AG110" s="448"/>
      <c r="AH110" s="172">
        <f>SUM(C110:AG110)</f>
        <v>90.896999999999991</v>
      </c>
    </row>
    <row r="111" spans="1:34" ht="15">
      <c r="A111" s="375" t="s">
        <v>149</v>
      </c>
      <c r="B111" s="70">
        <f t="shared" si="18"/>
        <v>0</v>
      </c>
      <c r="C111" s="10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E111" s="53"/>
      <c r="AF111" s="53"/>
      <c r="AG111" s="53"/>
      <c r="AH111" s="172">
        <f>SUM(C111:AG111)</f>
        <v>0</v>
      </c>
    </row>
    <row r="112" spans="1:34" ht="15">
      <c r="A112" s="375" t="s">
        <v>150</v>
      </c>
      <c r="B112" s="70">
        <f t="shared" si="18"/>
        <v>2.1659999999999999</v>
      </c>
      <c r="C112" s="103"/>
      <c r="D112" s="53"/>
      <c r="E112" s="53"/>
      <c r="F112" s="53">
        <v>2.1659999999999999</v>
      </c>
      <c r="G112" s="53"/>
      <c r="H112" s="188" t="s">
        <v>318</v>
      </c>
      <c r="I112" s="188" t="s">
        <v>318</v>
      </c>
      <c r="J112" s="188" t="s">
        <v>318</v>
      </c>
      <c r="K112" s="188" t="s">
        <v>318</v>
      </c>
      <c r="L112" s="188" t="s">
        <v>318</v>
      </c>
      <c r="M112" s="188" t="s">
        <v>318</v>
      </c>
      <c r="N112" s="188" t="s">
        <v>318</v>
      </c>
      <c r="O112" s="188" t="s">
        <v>318</v>
      </c>
      <c r="P112" s="188" t="s">
        <v>318</v>
      </c>
      <c r="Q112" s="188" t="s">
        <v>318</v>
      </c>
      <c r="R112" s="188" t="s">
        <v>318</v>
      </c>
      <c r="S112" s="188" t="s">
        <v>318</v>
      </c>
      <c r="T112" s="188" t="s">
        <v>318</v>
      </c>
      <c r="U112" s="188" t="s">
        <v>318</v>
      </c>
      <c r="V112" s="188" t="s">
        <v>318</v>
      </c>
      <c r="W112" s="188" t="s">
        <v>318</v>
      </c>
      <c r="X112" s="188" t="s">
        <v>318</v>
      </c>
      <c r="Y112" s="53"/>
      <c r="Z112" s="53"/>
      <c r="AA112" s="53"/>
      <c r="AB112" s="53"/>
      <c r="AC112" s="53"/>
      <c r="AD112" s="53"/>
      <c r="AE112" s="53"/>
      <c r="AF112" s="53"/>
      <c r="AG112" s="53"/>
      <c r="AH112" s="172">
        <f t="shared" ref="AH112:AH118" si="19">SUM(C112:AG112)</f>
        <v>2.1659999999999999</v>
      </c>
    </row>
    <row r="113" spans="1:34" ht="15">
      <c r="A113" s="375" t="s">
        <v>151</v>
      </c>
      <c r="B113" s="70">
        <f t="shared" si="18"/>
        <v>0</v>
      </c>
      <c r="C113" s="103"/>
      <c r="D113" s="107"/>
      <c r="E113" s="107"/>
      <c r="F113" s="107"/>
      <c r="G113" s="53"/>
      <c r="H113" s="53"/>
      <c r="I113" s="53"/>
      <c r="J113" s="111"/>
      <c r="K113" s="111"/>
      <c r="L113" s="107"/>
      <c r="M113" s="107"/>
      <c r="N113" s="107"/>
      <c r="O113" s="107"/>
      <c r="P113" s="107"/>
      <c r="Q113" s="107"/>
      <c r="R113" s="107"/>
      <c r="S113" s="107"/>
      <c r="T113" s="107"/>
      <c r="U113" s="107"/>
      <c r="V113" s="107"/>
      <c r="W113" s="107"/>
      <c r="X113" s="107"/>
      <c r="Y113" s="107"/>
      <c r="Z113" s="107"/>
      <c r="AA113" s="107"/>
      <c r="AB113" s="107"/>
      <c r="AC113" s="107"/>
      <c r="AD113" s="107"/>
      <c r="AE113" s="107"/>
      <c r="AF113" s="107"/>
      <c r="AG113" s="107"/>
      <c r="AH113" s="172">
        <f t="shared" si="19"/>
        <v>0</v>
      </c>
    </row>
    <row r="114" spans="1:34" ht="15">
      <c r="A114" s="375" t="s">
        <v>152</v>
      </c>
      <c r="B114" s="70">
        <f t="shared" si="18"/>
        <v>0</v>
      </c>
      <c r="C114" s="103"/>
      <c r="D114" s="53"/>
      <c r="E114" s="53"/>
      <c r="F114" s="53"/>
      <c r="G114" s="53"/>
      <c r="H114" s="53"/>
      <c r="I114" s="53"/>
      <c r="J114" s="188" t="s">
        <v>318</v>
      </c>
      <c r="K114" s="188" t="s">
        <v>318</v>
      </c>
      <c r="L114" s="188" t="s">
        <v>318</v>
      </c>
      <c r="M114" s="188" t="s">
        <v>318</v>
      </c>
      <c r="N114" s="188" t="s">
        <v>318</v>
      </c>
      <c r="O114" s="188" t="s">
        <v>318</v>
      </c>
      <c r="P114" s="188" t="s">
        <v>318</v>
      </c>
      <c r="Q114" s="188" t="s">
        <v>318</v>
      </c>
      <c r="R114" s="188" t="s">
        <v>318</v>
      </c>
      <c r="S114" s="188" t="s">
        <v>318</v>
      </c>
      <c r="T114" s="188" t="s">
        <v>318</v>
      </c>
      <c r="U114" s="188" t="s">
        <v>318</v>
      </c>
      <c r="V114" s="188" t="s">
        <v>318</v>
      </c>
      <c r="W114" s="188" t="s">
        <v>318</v>
      </c>
      <c r="X114" s="188" t="s">
        <v>318</v>
      </c>
      <c r="Y114" s="188" t="s">
        <v>318</v>
      </c>
      <c r="Z114" s="188" t="s">
        <v>318</v>
      </c>
      <c r="AA114" s="188" t="s">
        <v>318</v>
      </c>
      <c r="AB114" s="188" t="s">
        <v>318</v>
      </c>
      <c r="AC114" s="188" t="s">
        <v>318</v>
      </c>
      <c r="AD114" s="188" t="s">
        <v>318</v>
      </c>
      <c r="AE114" s="188" t="s">
        <v>318</v>
      </c>
      <c r="AF114" s="188" t="s">
        <v>318</v>
      </c>
      <c r="AG114" s="188" t="s">
        <v>318</v>
      </c>
      <c r="AH114" s="172">
        <f t="shared" si="19"/>
        <v>0</v>
      </c>
    </row>
    <row r="115" spans="1:34" ht="15">
      <c r="A115" s="73" t="s">
        <v>153</v>
      </c>
      <c r="B115" s="70">
        <f t="shared" si="18"/>
        <v>0</v>
      </c>
      <c r="C115" s="188" t="s">
        <v>318</v>
      </c>
      <c r="D115" s="188" t="s">
        <v>318</v>
      </c>
      <c r="E115" s="188" t="s">
        <v>318</v>
      </c>
      <c r="F115" s="188" t="s">
        <v>318</v>
      </c>
      <c r="G115" s="188" t="s">
        <v>318</v>
      </c>
      <c r="H115" s="188" t="s">
        <v>318</v>
      </c>
      <c r="I115" s="188" t="s">
        <v>318</v>
      </c>
      <c r="J115" s="188" t="s">
        <v>318</v>
      </c>
      <c r="K115" s="188" t="s">
        <v>318</v>
      </c>
      <c r="L115" s="188" t="s">
        <v>318</v>
      </c>
      <c r="M115" s="188" t="s">
        <v>318</v>
      </c>
      <c r="N115" s="188" t="s">
        <v>318</v>
      </c>
      <c r="O115" s="188" t="s">
        <v>318</v>
      </c>
      <c r="P115" s="188" t="s">
        <v>318</v>
      </c>
      <c r="Q115" s="188" t="s">
        <v>318</v>
      </c>
      <c r="R115" s="188" t="s">
        <v>318</v>
      </c>
      <c r="S115" s="188" t="s">
        <v>318</v>
      </c>
      <c r="T115" s="188" t="s">
        <v>318</v>
      </c>
      <c r="U115" s="188" t="s">
        <v>318</v>
      </c>
      <c r="V115" s="188" t="s">
        <v>318</v>
      </c>
      <c r="W115" s="188" t="s">
        <v>318</v>
      </c>
      <c r="X115" s="188" t="s">
        <v>318</v>
      </c>
      <c r="Y115" s="188" t="s">
        <v>318</v>
      </c>
      <c r="Z115" s="188" t="s">
        <v>318</v>
      </c>
      <c r="AA115" s="188" t="s">
        <v>318</v>
      </c>
      <c r="AB115" s="188" t="s">
        <v>318</v>
      </c>
      <c r="AC115" s="188" t="s">
        <v>318</v>
      </c>
      <c r="AD115" s="188" t="s">
        <v>318</v>
      </c>
      <c r="AE115" s="188" t="s">
        <v>318</v>
      </c>
      <c r="AF115" s="188" t="s">
        <v>318</v>
      </c>
      <c r="AG115" s="188" t="s">
        <v>318</v>
      </c>
      <c r="AH115" s="172">
        <f t="shared" si="19"/>
        <v>0</v>
      </c>
    </row>
    <row r="116" spans="1:34" ht="15">
      <c r="A116" s="73" t="s">
        <v>154</v>
      </c>
      <c r="B116" s="70">
        <v>0</v>
      </c>
      <c r="C116" s="188" t="s">
        <v>318</v>
      </c>
      <c r="D116" s="188" t="s">
        <v>318</v>
      </c>
      <c r="E116" s="188" t="s">
        <v>318</v>
      </c>
      <c r="F116" s="188" t="s">
        <v>318</v>
      </c>
      <c r="G116" s="188" t="s">
        <v>318</v>
      </c>
      <c r="H116" s="188" t="s">
        <v>318</v>
      </c>
      <c r="I116" s="188" t="s">
        <v>318</v>
      </c>
      <c r="J116" s="188" t="s">
        <v>318</v>
      </c>
      <c r="K116" s="188" t="s">
        <v>318</v>
      </c>
      <c r="L116" s="188" t="s">
        <v>318</v>
      </c>
      <c r="M116" s="188" t="s">
        <v>318</v>
      </c>
      <c r="N116" s="188" t="s">
        <v>318</v>
      </c>
      <c r="O116" s="188" t="s">
        <v>318</v>
      </c>
      <c r="P116" s="188" t="s">
        <v>318</v>
      </c>
      <c r="Q116" s="188" t="s">
        <v>318</v>
      </c>
      <c r="R116" s="188" t="s">
        <v>318</v>
      </c>
      <c r="S116" s="188" t="s">
        <v>318</v>
      </c>
      <c r="T116" s="188" t="s">
        <v>318</v>
      </c>
      <c r="U116" s="188" t="s">
        <v>318</v>
      </c>
      <c r="V116" s="188" t="s">
        <v>318</v>
      </c>
      <c r="W116" s="188" t="s">
        <v>318</v>
      </c>
      <c r="X116" s="448">
        <v>2.2999999999999998</v>
      </c>
      <c r="Y116" s="53"/>
      <c r="Z116" s="53"/>
      <c r="AA116" s="53"/>
      <c r="AB116" s="53"/>
      <c r="AC116" s="53"/>
      <c r="AD116" s="53"/>
      <c r="AE116" s="107"/>
      <c r="AF116" s="53"/>
      <c r="AG116" s="107"/>
      <c r="AH116" s="172">
        <f t="shared" si="19"/>
        <v>2.2999999999999998</v>
      </c>
    </row>
    <row r="117" spans="1:34" ht="15">
      <c r="A117" s="73" t="s">
        <v>155</v>
      </c>
      <c r="B117" s="70">
        <f t="shared" si="18"/>
        <v>0</v>
      </c>
      <c r="C117" s="103"/>
      <c r="D117" s="53"/>
      <c r="E117" s="53"/>
      <c r="F117" s="53"/>
      <c r="G117" s="14"/>
      <c r="H117" s="53"/>
      <c r="I117" s="53"/>
      <c r="J117" s="53"/>
      <c r="K117" s="53"/>
      <c r="L117" s="53"/>
      <c r="M117" s="53"/>
      <c r="N117" s="53"/>
      <c r="O117" s="53"/>
      <c r="P117" s="188" t="s">
        <v>318</v>
      </c>
      <c r="Q117" s="188" t="s">
        <v>318</v>
      </c>
      <c r="R117" s="188" t="s">
        <v>318</v>
      </c>
      <c r="S117" s="188" t="s">
        <v>318</v>
      </c>
      <c r="T117" s="188" t="s">
        <v>318</v>
      </c>
      <c r="U117" s="188" t="s">
        <v>318</v>
      </c>
      <c r="V117" s="188" t="s">
        <v>318</v>
      </c>
      <c r="W117" s="188" t="s">
        <v>318</v>
      </c>
      <c r="X117" s="188" t="s">
        <v>318</v>
      </c>
      <c r="Y117" s="188" t="s">
        <v>318</v>
      </c>
      <c r="Z117" s="188" t="s">
        <v>318</v>
      </c>
      <c r="AA117" s="188" t="s">
        <v>318</v>
      </c>
      <c r="AB117" s="188" t="s">
        <v>318</v>
      </c>
      <c r="AC117" s="188" t="s">
        <v>318</v>
      </c>
      <c r="AD117" s="188" t="s">
        <v>318</v>
      </c>
      <c r="AE117" s="188" t="s">
        <v>318</v>
      </c>
      <c r="AF117" s="188" t="s">
        <v>318</v>
      </c>
      <c r="AG117" s="188" t="s">
        <v>318</v>
      </c>
      <c r="AH117" s="172">
        <f t="shared" si="19"/>
        <v>0</v>
      </c>
    </row>
    <row r="118" spans="1:34" ht="15">
      <c r="A118" s="73" t="s">
        <v>156</v>
      </c>
      <c r="B118" s="70">
        <f t="shared" si="18"/>
        <v>0</v>
      </c>
      <c r="C118" s="103"/>
      <c r="D118" s="53"/>
      <c r="E118" s="53"/>
      <c r="F118" s="53"/>
      <c r="G118" s="53"/>
      <c r="H118" s="53"/>
      <c r="I118" s="53"/>
      <c r="J118" s="53"/>
      <c r="K118" s="53"/>
      <c r="L118" s="53"/>
      <c r="M118" s="53"/>
      <c r="N118" s="53"/>
      <c r="O118" s="53"/>
      <c r="P118" s="3013" t="s">
        <v>311</v>
      </c>
      <c r="Q118" s="3013" t="s">
        <v>311</v>
      </c>
      <c r="R118" s="3013" t="s">
        <v>311</v>
      </c>
      <c r="S118" s="3013" t="s">
        <v>311</v>
      </c>
      <c r="T118" s="3013" t="s">
        <v>311</v>
      </c>
      <c r="U118" s="3013" t="s">
        <v>311</v>
      </c>
      <c r="V118" s="3013" t="s">
        <v>311</v>
      </c>
      <c r="W118" s="3013" t="s">
        <v>311</v>
      </c>
      <c r="X118" s="3013" t="s">
        <v>311</v>
      </c>
      <c r="Y118" s="3013" t="s">
        <v>311</v>
      </c>
      <c r="Z118" s="3013" t="s">
        <v>311</v>
      </c>
      <c r="AA118" s="3013" t="s">
        <v>311</v>
      </c>
      <c r="AB118" s="3013" t="s">
        <v>311</v>
      </c>
      <c r="AC118" s="3013" t="s">
        <v>311</v>
      </c>
      <c r="AD118" s="3013" t="s">
        <v>311</v>
      </c>
      <c r="AE118" s="3013" t="s">
        <v>311</v>
      </c>
      <c r="AF118" s="3013" t="s">
        <v>311</v>
      </c>
      <c r="AG118" s="3013" t="s">
        <v>311</v>
      </c>
      <c r="AH118" s="172">
        <f t="shared" si="19"/>
        <v>0</v>
      </c>
    </row>
    <row r="119" spans="1:34" ht="15">
      <c r="A119" s="199" t="s">
        <v>144</v>
      </c>
      <c r="B119" s="229">
        <f>SUM(B107:B118)</f>
        <v>121.71199999999999</v>
      </c>
      <c r="C119" s="172">
        <f t="shared" ref="C119:AH119" si="20">SUM(C107:C118)</f>
        <v>0</v>
      </c>
      <c r="D119" s="172">
        <f t="shared" si="20"/>
        <v>0</v>
      </c>
      <c r="E119" s="172">
        <f t="shared" si="20"/>
        <v>0</v>
      </c>
      <c r="F119" s="172">
        <f t="shared" si="20"/>
        <v>2.1659999999999999</v>
      </c>
      <c r="G119" s="172">
        <f t="shared" si="20"/>
        <v>0</v>
      </c>
      <c r="H119" s="172">
        <f t="shared" si="20"/>
        <v>0</v>
      </c>
      <c r="I119" s="172">
        <f t="shared" si="20"/>
        <v>0</v>
      </c>
      <c r="J119" s="172">
        <f t="shared" si="20"/>
        <v>0</v>
      </c>
      <c r="K119" s="172">
        <f t="shared" si="20"/>
        <v>0.09</v>
      </c>
      <c r="L119" s="172">
        <f t="shared" si="20"/>
        <v>0</v>
      </c>
      <c r="M119" s="172">
        <f t="shared" si="20"/>
        <v>0</v>
      </c>
      <c r="N119" s="172">
        <f t="shared" si="20"/>
        <v>0</v>
      </c>
      <c r="O119" s="172">
        <f t="shared" si="20"/>
        <v>1.647</v>
      </c>
      <c r="P119" s="172">
        <f t="shared" si="20"/>
        <v>14.852</v>
      </c>
      <c r="Q119" s="172">
        <f t="shared" si="20"/>
        <v>0</v>
      </c>
      <c r="R119" s="172">
        <f t="shared" si="20"/>
        <v>20.152000000000001</v>
      </c>
      <c r="S119" s="172">
        <f t="shared" si="20"/>
        <v>0</v>
      </c>
      <c r="T119" s="172">
        <f t="shared" si="20"/>
        <v>0</v>
      </c>
      <c r="U119" s="172">
        <f t="shared" si="20"/>
        <v>10.709</v>
      </c>
      <c r="V119" s="172">
        <f t="shared" si="20"/>
        <v>0</v>
      </c>
      <c r="W119" s="172">
        <f t="shared" si="20"/>
        <v>40.128</v>
      </c>
      <c r="X119" s="172">
        <f t="shared" si="20"/>
        <v>19.838000000000001</v>
      </c>
      <c r="Y119" s="172">
        <f t="shared" si="20"/>
        <v>0</v>
      </c>
      <c r="Z119" s="172">
        <f t="shared" si="20"/>
        <v>0</v>
      </c>
      <c r="AA119" s="172">
        <f t="shared" si="20"/>
        <v>14.43</v>
      </c>
      <c r="AB119" s="172">
        <f t="shared" si="20"/>
        <v>0</v>
      </c>
      <c r="AC119" s="172">
        <f t="shared" si="20"/>
        <v>0</v>
      </c>
      <c r="AD119" s="172">
        <f t="shared" si="20"/>
        <v>0</v>
      </c>
      <c r="AE119" s="172">
        <f t="shared" si="20"/>
        <v>0</v>
      </c>
      <c r="AF119" s="172">
        <f t="shared" si="20"/>
        <v>0</v>
      </c>
      <c r="AG119" s="172">
        <f t="shared" si="20"/>
        <v>0</v>
      </c>
      <c r="AH119" s="172">
        <f t="shared" si="20"/>
        <v>124.01199999999999</v>
      </c>
    </row>
    <row r="120" spans="1:34" ht="15">
      <c r="A120" s="388"/>
      <c r="B120" s="777"/>
      <c r="C120" s="108"/>
      <c r="D120" s="109"/>
      <c r="E120" s="109"/>
      <c r="F120" s="109"/>
      <c r="G120" s="109"/>
      <c r="H120" s="109"/>
      <c r="I120" s="109"/>
      <c r="J120" s="109"/>
      <c r="K120" s="109"/>
      <c r="L120" s="109"/>
      <c r="M120" s="109"/>
      <c r="N120" s="109"/>
      <c r="O120" s="109"/>
      <c r="P120" s="109"/>
      <c r="Q120" s="109"/>
      <c r="R120" s="110"/>
      <c r="S120" s="106"/>
      <c r="T120" s="106"/>
      <c r="U120" s="106"/>
      <c r="V120" s="106"/>
      <c r="W120" s="106"/>
      <c r="X120" s="106"/>
      <c r="Y120" s="106"/>
      <c r="Z120" s="106"/>
      <c r="AA120" s="106"/>
      <c r="AB120" s="106"/>
      <c r="AC120" s="106"/>
      <c r="AD120" s="106"/>
      <c r="AE120" s="106"/>
      <c r="AF120" s="106"/>
      <c r="AG120" s="106"/>
      <c r="AH120" s="16"/>
    </row>
    <row r="121" spans="1:34" ht="15">
      <c r="A121" s="3873" t="s">
        <v>114</v>
      </c>
      <c r="B121" s="3874"/>
      <c r="C121" s="3874"/>
      <c r="D121" s="3874"/>
      <c r="E121" s="3874"/>
      <c r="F121" s="3874"/>
      <c r="G121" s="3874"/>
      <c r="H121" s="3874"/>
      <c r="I121" s="3874"/>
      <c r="J121" s="3874"/>
      <c r="K121" s="3874"/>
      <c r="L121" s="3874"/>
      <c r="M121" s="3874"/>
      <c r="N121" s="3874"/>
      <c r="O121" s="3874"/>
      <c r="P121" s="3874"/>
      <c r="Q121" s="3874"/>
      <c r="R121" s="3875"/>
      <c r="S121" s="14"/>
      <c r="T121" s="14"/>
      <c r="U121" s="14"/>
      <c r="V121" s="14"/>
      <c r="W121" s="14"/>
      <c r="X121" s="14"/>
      <c r="Y121" s="14"/>
      <c r="Z121" s="14"/>
      <c r="AA121" s="14"/>
      <c r="AB121" s="14"/>
      <c r="AC121" s="14"/>
      <c r="AD121" s="14"/>
      <c r="AE121" s="14"/>
      <c r="AF121" s="14"/>
      <c r="AG121" s="14"/>
      <c r="AH121" s="1"/>
    </row>
    <row r="122" spans="1:34" ht="5.0999999999999996" customHeight="1">
      <c r="A122" s="104"/>
      <c r="B122" s="105"/>
      <c r="C122" s="1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6"/>
    </row>
    <row r="123" spans="1:34" ht="15">
      <c r="A123" s="3854" t="s">
        <v>115</v>
      </c>
      <c r="B123" s="3855"/>
      <c r="C123" s="3855"/>
      <c r="D123" s="3855"/>
      <c r="E123" s="3855"/>
      <c r="F123" s="3855"/>
      <c r="G123" s="3855"/>
      <c r="H123" s="3856"/>
      <c r="I123" s="3649"/>
      <c r="J123" s="96"/>
      <c r="K123" s="96"/>
      <c r="L123" s="96"/>
      <c r="M123" s="96"/>
      <c r="N123" s="96"/>
      <c r="O123" s="96"/>
      <c r="P123" s="96"/>
      <c r="Q123" s="96"/>
      <c r="R123" s="96"/>
      <c r="S123" s="14"/>
      <c r="T123" s="14"/>
      <c r="U123" s="14"/>
      <c r="V123" s="14"/>
      <c r="W123" s="14"/>
      <c r="X123" s="14"/>
      <c r="Y123" s="14"/>
      <c r="Z123" s="14"/>
      <c r="AA123" s="14"/>
      <c r="AB123" s="14"/>
      <c r="AC123" s="14"/>
      <c r="AD123" s="14"/>
      <c r="AE123" s="14"/>
      <c r="AF123" s="14"/>
      <c r="AG123" s="14"/>
      <c r="AH123" s="14"/>
    </row>
    <row r="124" spans="1:34" ht="15">
      <c r="A124" s="8" t="s">
        <v>142</v>
      </c>
      <c r="B124" s="8" t="s">
        <v>143</v>
      </c>
      <c r="C124" s="2907">
        <v>1</v>
      </c>
      <c r="D124" s="73">
        <v>2</v>
      </c>
      <c r="E124" s="73">
        <v>3</v>
      </c>
      <c r="F124" s="73">
        <v>4</v>
      </c>
      <c r="G124" s="73">
        <v>5</v>
      </c>
      <c r="H124" s="73">
        <v>6</v>
      </c>
      <c r="I124" s="73">
        <v>7</v>
      </c>
      <c r="J124" s="73">
        <v>8</v>
      </c>
      <c r="K124" s="73">
        <v>9</v>
      </c>
      <c r="L124" s="73">
        <v>10</v>
      </c>
      <c r="M124" s="73">
        <v>11</v>
      </c>
      <c r="N124" s="73">
        <v>12</v>
      </c>
      <c r="O124" s="73">
        <v>13</v>
      </c>
      <c r="P124" s="73">
        <v>14</v>
      </c>
      <c r="Q124" s="73">
        <v>15</v>
      </c>
      <c r="R124" s="73">
        <v>16</v>
      </c>
      <c r="S124" s="73">
        <v>17</v>
      </c>
      <c r="T124" s="73">
        <v>18</v>
      </c>
      <c r="U124" s="73">
        <v>19</v>
      </c>
      <c r="V124" s="73">
        <v>20</v>
      </c>
      <c r="W124" s="73">
        <v>21</v>
      </c>
      <c r="X124" s="73">
        <v>22</v>
      </c>
      <c r="Y124" s="73">
        <v>23</v>
      </c>
      <c r="Z124" s="73">
        <v>24</v>
      </c>
      <c r="AA124" s="73">
        <v>25</v>
      </c>
      <c r="AB124" s="73">
        <v>26</v>
      </c>
      <c r="AC124" s="73">
        <v>27</v>
      </c>
      <c r="AD124" s="73">
        <v>28</v>
      </c>
      <c r="AE124" s="73">
        <v>29</v>
      </c>
      <c r="AF124" s="73">
        <v>30</v>
      </c>
      <c r="AG124" s="73">
        <v>31</v>
      </c>
      <c r="AH124" s="88" t="s">
        <v>144</v>
      </c>
    </row>
    <row r="125" spans="1:34" ht="15">
      <c r="A125" s="427" t="s">
        <v>145</v>
      </c>
      <c r="B125" s="53">
        <f t="shared" ref="B125:B136" si="21">+AH125</f>
        <v>0</v>
      </c>
      <c r="C125" s="360" t="s">
        <v>311</v>
      </c>
      <c r="D125" s="360" t="s">
        <v>311</v>
      </c>
      <c r="E125" s="360" t="s">
        <v>311</v>
      </c>
      <c r="F125" s="360" t="s">
        <v>311</v>
      </c>
      <c r="G125" s="360" t="s">
        <v>311</v>
      </c>
      <c r="H125" s="360" t="s">
        <v>311</v>
      </c>
      <c r="I125" s="360" t="s">
        <v>311</v>
      </c>
      <c r="J125" s="360" t="s">
        <v>311</v>
      </c>
      <c r="K125" s="360" t="s">
        <v>311</v>
      </c>
      <c r="L125" s="360" t="s">
        <v>311</v>
      </c>
      <c r="M125" s="360" t="s">
        <v>311</v>
      </c>
      <c r="N125" s="360" t="s">
        <v>311</v>
      </c>
      <c r="O125" s="360" t="s">
        <v>311</v>
      </c>
      <c r="P125" s="360" t="s">
        <v>311</v>
      </c>
      <c r="Q125" s="360" t="s">
        <v>311</v>
      </c>
      <c r="R125" s="360" t="s">
        <v>311</v>
      </c>
      <c r="S125" s="360" t="s">
        <v>311</v>
      </c>
      <c r="T125" s="360" t="s">
        <v>311</v>
      </c>
      <c r="U125" s="360" t="s">
        <v>311</v>
      </c>
      <c r="V125" s="360" t="s">
        <v>311</v>
      </c>
      <c r="W125" s="360" t="s">
        <v>311</v>
      </c>
      <c r="X125" s="360" t="s">
        <v>311</v>
      </c>
      <c r="Y125" s="360" t="s">
        <v>311</v>
      </c>
      <c r="Z125" s="360" t="s">
        <v>311</v>
      </c>
      <c r="AA125" s="360" t="s">
        <v>311</v>
      </c>
      <c r="AB125" s="360" t="s">
        <v>311</v>
      </c>
      <c r="AC125" s="360" t="s">
        <v>311</v>
      </c>
      <c r="AD125" s="360" t="s">
        <v>311</v>
      </c>
      <c r="AE125" s="360" t="s">
        <v>311</v>
      </c>
      <c r="AF125" s="360" t="s">
        <v>311</v>
      </c>
      <c r="AG125" s="360" t="s">
        <v>311</v>
      </c>
      <c r="AH125" s="107">
        <f>SUM(C125:AG125)</f>
        <v>0</v>
      </c>
    </row>
    <row r="126" spans="1:34" ht="15">
      <c r="A126" s="427" t="s">
        <v>146</v>
      </c>
      <c r="B126" s="53">
        <f t="shared" si="21"/>
        <v>0</v>
      </c>
      <c r="C126" s="360" t="s">
        <v>311</v>
      </c>
      <c r="D126" s="360" t="s">
        <v>311</v>
      </c>
      <c r="E126" s="360" t="s">
        <v>311</v>
      </c>
      <c r="F126" s="360" t="s">
        <v>311</v>
      </c>
      <c r="G126" s="360" t="s">
        <v>311</v>
      </c>
      <c r="H126" s="360" t="s">
        <v>311</v>
      </c>
      <c r="I126" s="360" t="s">
        <v>311</v>
      </c>
      <c r="J126" s="361"/>
      <c r="K126" s="361"/>
      <c r="L126" s="361"/>
      <c r="M126" s="361"/>
      <c r="N126" s="361"/>
      <c r="O126" s="361"/>
      <c r="P126" s="361"/>
      <c r="Q126" s="361"/>
      <c r="R126" s="361"/>
      <c r="S126" s="361"/>
      <c r="T126" s="361"/>
      <c r="U126" s="361"/>
      <c r="V126" s="361"/>
      <c r="W126" s="361"/>
      <c r="X126" s="361"/>
      <c r="Y126" s="361"/>
      <c r="Z126" s="361"/>
      <c r="AA126" s="361"/>
      <c r="AB126" s="361"/>
      <c r="AC126" s="361"/>
      <c r="AD126" s="361"/>
      <c r="AE126" s="361"/>
      <c r="AF126" s="361"/>
      <c r="AG126" s="361"/>
      <c r="AH126" s="107">
        <f t="shared" ref="AH126:AH136" si="22">SUM(C126:AG126)</f>
        <v>0</v>
      </c>
    </row>
    <row r="127" spans="1:34" ht="15">
      <c r="A127" s="427" t="s">
        <v>147</v>
      </c>
      <c r="B127" s="53">
        <f t="shared" si="21"/>
        <v>122.21499999999999</v>
      </c>
      <c r="C127" s="361">
        <v>25.74</v>
      </c>
      <c r="D127" s="361"/>
      <c r="E127" s="361"/>
      <c r="F127" s="361"/>
      <c r="G127" s="361"/>
      <c r="H127" s="306"/>
      <c r="I127" s="306"/>
      <c r="J127" s="306">
        <v>2.1179999999999999</v>
      </c>
      <c r="K127" s="306"/>
      <c r="L127" s="306"/>
      <c r="M127" s="306"/>
      <c r="N127" s="306"/>
      <c r="O127" s="306">
        <v>67.86</v>
      </c>
      <c r="P127" s="306"/>
      <c r="Q127" s="306"/>
      <c r="R127" s="306"/>
      <c r="S127" s="306"/>
      <c r="T127" s="306"/>
      <c r="U127" s="306"/>
      <c r="V127" s="306"/>
      <c r="W127" s="306"/>
      <c r="X127" s="306"/>
      <c r="Y127" s="306">
        <v>26.497</v>
      </c>
      <c r="Z127" s="306"/>
      <c r="AA127" s="306"/>
      <c r="AB127" s="306"/>
      <c r="AC127" s="360" t="s">
        <v>311</v>
      </c>
      <c r="AD127" s="360" t="s">
        <v>311</v>
      </c>
      <c r="AE127" s="360" t="s">
        <v>311</v>
      </c>
      <c r="AF127" s="360" t="s">
        <v>311</v>
      </c>
      <c r="AG127" s="360" t="s">
        <v>311</v>
      </c>
      <c r="AH127" s="107">
        <f>SUM(C127:AG127)</f>
        <v>122.21499999999999</v>
      </c>
    </row>
    <row r="128" spans="1:34" ht="15">
      <c r="A128" s="427" t="s">
        <v>148</v>
      </c>
      <c r="B128" s="53">
        <f t="shared" si="21"/>
        <v>2.895</v>
      </c>
      <c r="C128" s="360" t="s">
        <v>311</v>
      </c>
      <c r="D128" s="360" t="s">
        <v>311</v>
      </c>
      <c r="E128" s="360" t="s">
        <v>311</v>
      </c>
      <c r="F128" s="360" t="s">
        <v>311</v>
      </c>
      <c r="G128" s="360" t="s">
        <v>311</v>
      </c>
      <c r="H128" s="360" t="s">
        <v>311</v>
      </c>
      <c r="I128" s="360" t="s">
        <v>311</v>
      </c>
      <c r="J128" s="360" t="s">
        <v>311</v>
      </c>
      <c r="K128" s="360" t="s">
        <v>311</v>
      </c>
      <c r="L128" s="53"/>
      <c r="M128" s="53"/>
      <c r="N128" s="53"/>
      <c r="O128" s="53"/>
      <c r="P128" s="53"/>
      <c r="Q128" s="53"/>
      <c r="R128" s="53">
        <v>2.895</v>
      </c>
      <c r="S128" s="53"/>
      <c r="T128" s="53"/>
      <c r="U128" s="53"/>
      <c r="V128" s="53"/>
      <c r="W128" s="53"/>
      <c r="X128" s="53"/>
      <c r="Y128" s="53"/>
      <c r="Z128" s="53"/>
      <c r="AA128" s="53"/>
      <c r="AB128" s="53"/>
      <c r="AC128" s="53"/>
      <c r="AD128" s="53"/>
      <c r="AE128" s="53"/>
      <c r="AF128" s="53"/>
      <c r="AG128" s="53"/>
      <c r="AH128" s="107">
        <f t="shared" si="22"/>
        <v>2.895</v>
      </c>
    </row>
    <row r="129" spans="1:34" ht="15">
      <c r="A129" s="414" t="s">
        <v>149</v>
      </c>
      <c r="B129" s="53">
        <f t="shared" si="21"/>
        <v>41.957999999999998</v>
      </c>
      <c r="C129" s="103"/>
      <c r="D129" s="53"/>
      <c r="E129" s="53"/>
      <c r="F129" s="53">
        <v>16.914999999999999</v>
      </c>
      <c r="G129" s="53"/>
      <c r="H129" s="53">
        <v>4.0369999999999999</v>
      </c>
      <c r="I129" s="53"/>
      <c r="J129" s="53"/>
      <c r="K129" s="53"/>
      <c r="L129" s="53"/>
      <c r="M129" s="53"/>
      <c r="N129" s="53"/>
      <c r="O129" s="53"/>
      <c r="P129" s="53"/>
      <c r="Q129" s="53"/>
      <c r="R129" s="53"/>
      <c r="S129" s="53"/>
      <c r="T129" s="53"/>
      <c r="U129" s="53"/>
      <c r="V129" s="53"/>
      <c r="W129" s="53"/>
      <c r="X129" s="53">
        <v>2.0720000000000001</v>
      </c>
      <c r="Y129" s="53"/>
      <c r="Z129" s="53"/>
      <c r="AA129" s="53"/>
      <c r="AB129" s="53"/>
      <c r="AC129" s="53"/>
      <c r="AD129" s="53"/>
      <c r="AE129" s="53"/>
      <c r="AF129" s="53">
        <v>12.298</v>
      </c>
      <c r="AG129" s="53">
        <v>6.6360000000000001</v>
      </c>
      <c r="AH129" s="107">
        <f t="shared" si="22"/>
        <v>41.957999999999998</v>
      </c>
    </row>
    <row r="130" spans="1:34" ht="15">
      <c r="A130" s="414" t="s">
        <v>150</v>
      </c>
      <c r="B130" s="53">
        <f t="shared" si="21"/>
        <v>0</v>
      </c>
      <c r="C130" s="103"/>
      <c r="D130" s="53"/>
      <c r="E130" s="53"/>
      <c r="F130" s="53"/>
      <c r="G130" s="53"/>
      <c r="H130" s="188" t="s">
        <v>318</v>
      </c>
      <c r="I130" s="188" t="s">
        <v>318</v>
      </c>
      <c r="J130" s="188" t="s">
        <v>318</v>
      </c>
      <c r="K130" s="188" t="s">
        <v>318</v>
      </c>
      <c r="L130" s="188" t="s">
        <v>318</v>
      </c>
      <c r="M130" s="188" t="s">
        <v>318</v>
      </c>
      <c r="N130" s="188" t="s">
        <v>318</v>
      </c>
      <c r="O130" s="188" t="s">
        <v>318</v>
      </c>
      <c r="P130" s="188" t="s">
        <v>318</v>
      </c>
      <c r="Q130" s="188" t="s">
        <v>318</v>
      </c>
      <c r="R130" s="188" t="s">
        <v>318</v>
      </c>
      <c r="S130" s="188" t="s">
        <v>318</v>
      </c>
      <c r="T130" s="188" t="s">
        <v>318</v>
      </c>
      <c r="U130" s="188" t="s">
        <v>318</v>
      </c>
      <c r="V130" s="188" t="s">
        <v>318</v>
      </c>
      <c r="W130" s="188" t="s">
        <v>318</v>
      </c>
      <c r="X130" s="188" t="s">
        <v>318</v>
      </c>
      <c r="Y130" s="53"/>
      <c r="Z130" s="53"/>
      <c r="AA130" s="53"/>
      <c r="AB130" s="53"/>
      <c r="AC130" s="53"/>
      <c r="AD130" s="53"/>
      <c r="AE130" s="53"/>
      <c r="AF130" s="53"/>
      <c r="AG130" s="53"/>
      <c r="AH130" s="107">
        <f t="shared" si="22"/>
        <v>0</v>
      </c>
    </row>
    <row r="131" spans="1:34" ht="15">
      <c r="A131" s="414" t="s">
        <v>151</v>
      </c>
      <c r="B131" s="53">
        <f t="shared" si="21"/>
        <v>0</v>
      </c>
      <c r="C131" s="103"/>
      <c r="D131" s="107"/>
      <c r="E131" s="107"/>
      <c r="F131" s="107"/>
      <c r="G131" s="53"/>
      <c r="H131" s="53"/>
      <c r="I131" s="53"/>
      <c r="J131" s="111"/>
      <c r="K131" s="111"/>
      <c r="L131" s="107"/>
      <c r="M131" s="107"/>
      <c r="N131" s="107"/>
      <c r="O131" s="107"/>
      <c r="P131" s="107"/>
      <c r="Q131" s="107"/>
      <c r="R131" s="107"/>
      <c r="S131" s="107"/>
      <c r="T131" s="107"/>
      <c r="U131" s="107"/>
      <c r="V131" s="107"/>
      <c r="W131" s="107"/>
      <c r="X131" s="107"/>
      <c r="Y131" s="107"/>
      <c r="Z131" s="107"/>
      <c r="AA131" s="107"/>
      <c r="AB131" s="107"/>
      <c r="AC131" s="107"/>
      <c r="AD131" s="107"/>
      <c r="AE131" s="107"/>
      <c r="AF131" s="107"/>
      <c r="AG131" s="107"/>
      <c r="AH131" s="107">
        <f t="shared" si="22"/>
        <v>0</v>
      </c>
    </row>
    <row r="132" spans="1:34" ht="15">
      <c r="A132" s="414" t="s">
        <v>152</v>
      </c>
      <c r="B132" s="53">
        <f t="shared" si="21"/>
        <v>3.0390000000000001</v>
      </c>
      <c r="C132" s="103"/>
      <c r="D132" s="53"/>
      <c r="E132" s="53">
        <v>0.66200000000000003</v>
      </c>
      <c r="F132" s="53"/>
      <c r="G132" s="53"/>
      <c r="H132" s="53">
        <v>0.436</v>
      </c>
      <c r="I132" s="53">
        <v>1.9410000000000001</v>
      </c>
      <c r="J132" s="188" t="s">
        <v>318</v>
      </c>
      <c r="K132" s="188" t="s">
        <v>318</v>
      </c>
      <c r="L132" s="188" t="s">
        <v>318</v>
      </c>
      <c r="M132" s="188" t="s">
        <v>318</v>
      </c>
      <c r="N132" s="188" t="s">
        <v>318</v>
      </c>
      <c r="O132" s="188" t="s">
        <v>318</v>
      </c>
      <c r="P132" s="188" t="s">
        <v>318</v>
      </c>
      <c r="Q132" s="188" t="s">
        <v>318</v>
      </c>
      <c r="R132" s="188" t="s">
        <v>318</v>
      </c>
      <c r="S132" s="188" t="s">
        <v>318</v>
      </c>
      <c r="T132" s="188" t="s">
        <v>318</v>
      </c>
      <c r="U132" s="188" t="s">
        <v>318</v>
      </c>
      <c r="V132" s="188" t="s">
        <v>318</v>
      </c>
      <c r="W132" s="188" t="s">
        <v>318</v>
      </c>
      <c r="X132" s="188" t="s">
        <v>318</v>
      </c>
      <c r="Y132" s="188" t="s">
        <v>318</v>
      </c>
      <c r="Z132" s="188" t="s">
        <v>318</v>
      </c>
      <c r="AA132" s="188" t="s">
        <v>318</v>
      </c>
      <c r="AB132" s="188" t="s">
        <v>318</v>
      </c>
      <c r="AC132" s="188" t="s">
        <v>318</v>
      </c>
      <c r="AD132" s="188" t="s">
        <v>318</v>
      </c>
      <c r="AE132" s="188" t="s">
        <v>318</v>
      </c>
      <c r="AF132" s="188" t="s">
        <v>318</v>
      </c>
      <c r="AG132" s="188" t="s">
        <v>318</v>
      </c>
      <c r="AH132" s="107">
        <f t="shared" si="22"/>
        <v>3.0390000000000001</v>
      </c>
    </row>
    <row r="133" spans="1:34" ht="15">
      <c r="A133" s="428" t="s">
        <v>153</v>
      </c>
      <c r="B133" s="53">
        <f t="shared" si="21"/>
        <v>0</v>
      </c>
      <c r="C133" s="188" t="s">
        <v>318</v>
      </c>
      <c r="D133" s="188" t="s">
        <v>318</v>
      </c>
      <c r="E133" s="188" t="s">
        <v>318</v>
      </c>
      <c r="F133" s="188" t="s">
        <v>318</v>
      </c>
      <c r="G133" s="188" t="s">
        <v>318</v>
      </c>
      <c r="H133" s="188" t="s">
        <v>318</v>
      </c>
      <c r="I133" s="188" t="s">
        <v>318</v>
      </c>
      <c r="J133" s="188" t="s">
        <v>318</v>
      </c>
      <c r="K133" s="188" t="s">
        <v>318</v>
      </c>
      <c r="L133" s="188" t="s">
        <v>318</v>
      </c>
      <c r="M133" s="188" t="s">
        <v>318</v>
      </c>
      <c r="N133" s="188" t="s">
        <v>318</v>
      </c>
      <c r="O133" s="188" t="s">
        <v>318</v>
      </c>
      <c r="P133" s="188" t="s">
        <v>318</v>
      </c>
      <c r="Q133" s="188" t="s">
        <v>318</v>
      </c>
      <c r="R133" s="188" t="s">
        <v>318</v>
      </c>
      <c r="S133" s="188" t="s">
        <v>318</v>
      </c>
      <c r="T133" s="188" t="s">
        <v>318</v>
      </c>
      <c r="U133" s="188" t="s">
        <v>318</v>
      </c>
      <c r="V133" s="188" t="s">
        <v>318</v>
      </c>
      <c r="W133" s="188" t="s">
        <v>318</v>
      </c>
      <c r="X133" s="188" t="s">
        <v>318</v>
      </c>
      <c r="Y133" s="188" t="s">
        <v>318</v>
      </c>
      <c r="Z133" s="188" t="s">
        <v>318</v>
      </c>
      <c r="AA133" s="188" t="s">
        <v>318</v>
      </c>
      <c r="AB133" s="188" t="s">
        <v>318</v>
      </c>
      <c r="AC133" s="188" t="s">
        <v>318</v>
      </c>
      <c r="AD133" s="188" t="s">
        <v>318</v>
      </c>
      <c r="AE133" s="188" t="s">
        <v>318</v>
      </c>
      <c r="AF133" s="188" t="s">
        <v>318</v>
      </c>
      <c r="AG133" s="188" t="s">
        <v>318</v>
      </c>
      <c r="AH133" s="107">
        <f t="shared" si="22"/>
        <v>0</v>
      </c>
    </row>
    <row r="134" spans="1:34" ht="15">
      <c r="A134" s="428" t="s">
        <v>154</v>
      </c>
      <c r="B134" s="53">
        <f t="shared" si="21"/>
        <v>29.382999999999999</v>
      </c>
      <c r="C134" s="188" t="s">
        <v>318</v>
      </c>
      <c r="D134" s="188" t="s">
        <v>318</v>
      </c>
      <c r="E134" s="188" t="s">
        <v>318</v>
      </c>
      <c r="F134" s="188" t="s">
        <v>318</v>
      </c>
      <c r="G134" s="188" t="s">
        <v>318</v>
      </c>
      <c r="H134" s="188" t="s">
        <v>318</v>
      </c>
      <c r="I134" s="188" t="s">
        <v>318</v>
      </c>
      <c r="J134" s="188" t="s">
        <v>318</v>
      </c>
      <c r="K134" s="188" t="s">
        <v>318</v>
      </c>
      <c r="L134" s="188" t="s">
        <v>318</v>
      </c>
      <c r="M134" s="188" t="s">
        <v>318</v>
      </c>
      <c r="N134" s="188" t="s">
        <v>318</v>
      </c>
      <c r="O134" s="188" t="s">
        <v>318</v>
      </c>
      <c r="P134" s="188" t="s">
        <v>318</v>
      </c>
      <c r="Q134" s="188" t="s">
        <v>318</v>
      </c>
      <c r="R134" s="188" t="s">
        <v>318</v>
      </c>
      <c r="S134" s="188" t="s">
        <v>318</v>
      </c>
      <c r="T134" s="188" t="s">
        <v>318</v>
      </c>
      <c r="U134" s="188" t="s">
        <v>318</v>
      </c>
      <c r="V134" s="188" t="s">
        <v>318</v>
      </c>
      <c r="W134" s="188" t="s">
        <v>318</v>
      </c>
      <c r="X134" s="53"/>
      <c r="Y134" s="53"/>
      <c r="Z134" s="53"/>
      <c r="AA134" s="53"/>
      <c r="AB134" s="53"/>
      <c r="AC134" s="53"/>
      <c r="AD134" s="53"/>
      <c r="AE134" s="107">
        <v>27.27</v>
      </c>
      <c r="AF134" s="53"/>
      <c r="AG134" s="107">
        <v>2.113</v>
      </c>
      <c r="AH134" s="107">
        <f t="shared" si="22"/>
        <v>29.382999999999999</v>
      </c>
    </row>
    <row r="135" spans="1:34" ht="15">
      <c r="A135" s="428" t="s">
        <v>155</v>
      </c>
      <c r="B135" s="53">
        <f t="shared" si="21"/>
        <v>96.667999999999992</v>
      </c>
      <c r="C135" s="645">
        <v>36.935000000000002</v>
      </c>
      <c r="D135" s="162">
        <v>0.93700000000000006</v>
      </c>
      <c r="E135" s="162">
        <v>1.242</v>
      </c>
      <c r="F135" s="162"/>
      <c r="G135" s="2718"/>
      <c r="H135" s="162"/>
      <c r="I135" s="162">
        <v>1.4630000000000001</v>
      </c>
      <c r="J135" s="162"/>
      <c r="K135" s="162">
        <v>4.0590000000000002</v>
      </c>
      <c r="L135" s="162"/>
      <c r="M135" s="162">
        <v>21.108000000000001</v>
      </c>
      <c r="N135" s="162">
        <v>2.1240000000000001</v>
      </c>
      <c r="O135" s="53"/>
      <c r="P135" s="53"/>
      <c r="Q135" s="53"/>
      <c r="R135" s="53"/>
      <c r="S135" s="53"/>
      <c r="T135" s="53"/>
      <c r="U135" s="53"/>
      <c r="V135" s="53">
        <v>6.2119999999999997</v>
      </c>
      <c r="W135" s="53">
        <v>1.121</v>
      </c>
      <c r="X135" s="53">
        <v>3.0470000000000002</v>
      </c>
      <c r="Y135" s="14">
        <v>8.3059999999999992</v>
      </c>
      <c r="Z135" s="53">
        <v>6.1509999999999998</v>
      </c>
      <c r="AA135" s="53">
        <v>3.319</v>
      </c>
      <c r="AB135" s="53"/>
      <c r="AC135" s="53"/>
      <c r="AD135" s="53"/>
      <c r="AE135" s="107"/>
      <c r="AF135" s="53">
        <v>0.64400000000000002</v>
      </c>
      <c r="AG135" s="107"/>
      <c r="AH135" s="107">
        <f t="shared" si="22"/>
        <v>96.667999999999992</v>
      </c>
    </row>
    <row r="136" spans="1:34" ht="15">
      <c r="A136" s="428" t="s">
        <v>156</v>
      </c>
      <c r="B136" s="53">
        <f t="shared" si="21"/>
        <v>49.854999999999997</v>
      </c>
      <c r="C136" s="103"/>
      <c r="D136" s="53"/>
      <c r="E136" s="53"/>
      <c r="F136" s="53">
        <v>16.725999999999999</v>
      </c>
      <c r="G136" s="53">
        <v>5.0279999999999996</v>
      </c>
      <c r="H136" s="53">
        <v>1.1339999999999999</v>
      </c>
      <c r="I136" s="53">
        <v>13.372999999999999</v>
      </c>
      <c r="J136" s="53"/>
      <c r="K136" s="53"/>
      <c r="L136" s="3027"/>
      <c r="M136" s="3027"/>
      <c r="N136" s="3027"/>
      <c r="O136" s="3027">
        <v>13.593999999999999</v>
      </c>
      <c r="P136" s="3027">
        <v>0</v>
      </c>
      <c r="Q136" s="3027">
        <v>0</v>
      </c>
      <c r="R136" s="3027">
        <v>0</v>
      </c>
      <c r="S136" s="3027">
        <v>0</v>
      </c>
      <c r="T136" s="3027">
        <v>0</v>
      </c>
      <c r="U136" s="3027">
        <v>0</v>
      </c>
      <c r="V136" s="3027">
        <v>0</v>
      </c>
      <c r="W136" s="3027">
        <v>0</v>
      </c>
      <c r="X136" s="3027">
        <v>0</v>
      </c>
      <c r="Y136" s="3027">
        <v>0</v>
      </c>
      <c r="Z136" s="3027">
        <v>0</v>
      </c>
      <c r="AA136" s="3027">
        <v>0</v>
      </c>
      <c r="AB136" s="3027">
        <v>0</v>
      </c>
      <c r="AC136" s="3027">
        <v>0</v>
      </c>
      <c r="AD136" s="3027">
        <v>0</v>
      </c>
      <c r="AE136" s="3027">
        <v>0</v>
      </c>
      <c r="AF136" s="3027">
        <v>0</v>
      </c>
      <c r="AG136" s="3027">
        <v>0</v>
      </c>
      <c r="AH136" s="107">
        <f t="shared" si="22"/>
        <v>49.854999999999997</v>
      </c>
    </row>
    <row r="137" spans="1:34" ht="15">
      <c r="A137" s="199" t="s">
        <v>144</v>
      </c>
      <c r="B137" s="200">
        <f>SUM(B125:B136)</f>
        <v>346.01299999999998</v>
      </c>
      <c r="C137" s="100">
        <f>SUM(C125:C135)</f>
        <v>62.674999999999997</v>
      </c>
      <c r="D137" s="107">
        <f>SUM(D125:D135)</f>
        <v>0.93700000000000006</v>
      </c>
      <c r="E137" s="107">
        <v>0</v>
      </c>
      <c r="F137" s="107">
        <f t="shared" ref="F137:AC137" si="23">SUM(F125:F135)</f>
        <v>16.914999999999999</v>
      </c>
      <c r="G137" s="107">
        <f t="shared" si="23"/>
        <v>0</v>
      </c>
      <c r="H137" s="107">
        <f t="shared" si="23"/>
        <v>4.4729999999999999</v>
      </c>
      <c r="I137" s="107">
        <f t="shared" si="23"/>
        <v>3.4039999999999999</v>
      </c>
      <c r="J137" s="107">
        <f t="shared" si="23"/>
        <v>2.1179999999999999</v>
      </c>
      <c r="K137" s="107">
        <f t="shared" si="23"/>
        <v>4.0590000000000002</v>
      </c>
      <c r="L137" s="107">
        <f t="shared" si="23"/>
        <v>0</v>
      </c>
      <c r="M137" s="107">
        <f t="shared" si="23"/>
        <v>21.108000000000001</v>
      </c>
      <c r="N137" s="107">
        <f t="shared" si="23"/>
        <v>2.1240000000000001</v>
      </c>
      <c r="O137" s="107">
        <f t="shared" si="23"/>
        <v>67.86</v>
      </c>
      <c r="P137" s="107">
        <f t="shared" si="23"/>
        <v>0</v>
      </c>
      <c r="Q137" s="107">
        <f t="shared" si="23"/>
        <v>0</v>
      </c>
      <c r="R137" s="107">
        <f t="shared" si="23"/>
        <v>2.895</v>
      </c>
      <c r="S137" s="107">
        <f t="shared" si="23"/>
        <v>0</v>
      </c>
      <c r="T137" s="107">
        <f t="shared" si="23"/>
        <v>0</v>
      </c>
      <c r="U137" s="107">
        <f t="shared" si="23"/>
        <v>0</v>
      </c>
      <c r="V137" s="107">
        <f t="shared" si="23"/>
        <v>6.2119999999999997</v>
      </c>
      <c r="W137" s="107">
        <f t="shared" si="23"/>
        <v>1.121</v>
      </c>
      <c r="X137" s="107">
        <f t="shared" si="23"/>
        <v>5.1189999999999998</v>
      </c>
      <c r="Y137" s="107">
        <f t="shared" si="23"/>
        <v>34.802999999999997</v>
      </c>
      <c r="Z137" s="107">
        <f t="shared" si="23"/>
        <v>6.1509999999999998</v>
      </c>
      <c r="AA137" s="107">
        <f t="shared" si="23"/>
        <v>3.319</v>
      </c>
      <c r="AB137" s="107">
        <f t="shared" si="23"/>
        <v>0</v>
      </c>
      <c r="AC137" s="107">
        <f t="shared" si="23"/>
        <v>0</v>
      </c>
      <c r="AD137" s="107">
        <v>0</v>
      </c>
      <c r="AE137" s="107">
        <f>SUM(AE125:AE135)</f>
        <v>27.27</v>
      </c>
      <c r="AF137" s="107">
        <f>SUM(AF125:AF135)</f>
        <v>12.942</v>
      </c>
      <c r="AG137" s="107">
        <f>SUM(AG125:AG135)</f>
        <v>8.7490000000000006</v>
      </c>
      <c r="AH137" s="100">
        <f>SUM(AH125:AH135)</f>
        <v>296.15799999999996</v>
      </c>
    </row>
    <row r="138" spans="1:34" ht="5.0999999999999996" customHeight="1">
      <c r="A138" s="104"/>
      <c r="B138" s="105"/>
      <c r="C138" s="1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c r="AA138" s="106"/>
      <c r="AB138" s="106"/>
      <c r="AC138" s="106"/>
      <c r="AD138" s="106"/>
      <c r="AE138" s="106"/>
      <c r="AF138" s="106"/>
      <c r="AG138" s="106"/>
      <c r="AH138" s="16"/>
    </row>
    <row r="139" spans="1:34" ht="15">
      <c r="A139" s="3854" t="s">
        <v>116</v>
      </c>
      <c r="B139" s="3855"/>
      <c r="C139" s="3855"/>
      <c r="D139" s="3855"/>
      <c r="E139" s="3855"/>
      <c r="F139" s="3855"/>
      <c r="G139" s="3855"/>
      <c r="H139" s="3856"/>
      <c r="I139" s="96"/>
      <c r="J139" s="96"/>
      <c r="K139" s="96"/>
      <c r="L139" s="96"/>
      <c r="M139" s="96"/>
      <c r="N139" s="96"/>
      <c r="O139" s="96"/>
      <c r="P139" s="96"/>
      <c r="Q139" s="73">
        <v>15</v>
      </c>
      <c r="R139" s="96"/>
      <c r="S139" s="14"/>
      <c r="T139" s="14"/>
      <c r="U139" s="14"/>
      <c r="V139" s="14"/>
      <c r="W139" s="14"/>
      <c r="X139" s="14"/>
      <c r="Y139" s="14"/>
      <c r="Z139" s="14"/>
      <c r="AA139" s="14"/>
      <c r="AB139" s="14"/>
      <c r="AC139" s="14"/>
      <c r="AD139" s="14"/>
      <c r="AE139" s="14"/>
      <c r="AF139" s="14"/>
      <c r="AG139" s="14"/>
      <c r="AH139" s="14"/>
    </row>
    <row r="140" spans="1:34" ht="15">
      <c r="A140" s="8" t="s">
        <v>142</v>
      </c>
      <c r="B140" s="8" t="s">
        <v>143</v>
      </c>
      <c r="C140" s="2907">
        <v>1</v>
      </c>
      <c r="D140" s="73">
        <v>2</v>
      </c>
      <c r="E140" s="73">
        <v>3</v>
      </c>
      <c r="F140" s="73">
        <v>4</v>
      </c>
      <c r="G140" s="73">
        <v>5</v>
      </c>
      <c r="H140" s="73">
        <v>6</v>
      </c>
      <c r="I140" s="73">
        <v>7</v>
      </c>
      <c r="J140" s="73">
        <v>8</v>
      </c>
      <c r="K140" s="73">
        <v>9</v>
      </c>
      <c r="L140" s="73">
        <v>10</v>
      </c>
      <c r="M140" s="73">
        <v>11</v>
      </c>
      <c r="N140" s="73">
        <v>12</v>
      </c>
      <c r="O140" s="73">
        <v>13</v>
      </c>
      <c r="P140" s="73">
        <v>14</v>
      </c>
      <c r="R140" s="73">
        <v>16</v>
      </c>
      <c r="S140" s="73">
        <v>17</v>
      </c>
      <c r="T140" s="73">
        <v>18</v>
      </c>
      <c r="U140" s="73">
        <v>19</v>
      </c>
      <c r="V140" s="73">
        <v>20</v>
      </c>
      <c r="W140" s="73">
        <v>21</v>
      </c>
      <c r="X140" s="73">
        <v>22</v>
      </c>
      <c r="Y140" s="73">
        <v>23</v>
      </c>
      <c r="Z140" s="73">
        <v>24</v>
      </c>
      <c r="AA140" s="73">
        <v>25</v>
      </c>
      <c r="AB140" s="73">
        <v>26</v>
      </c>
      <c r="AC140" s="73">
        <v>27</v>
      </c>
      <c r="AD140" s="73">
        <v>28</v>
      </c>
      <c r="AE140" s="73">
        <v>29</v>
      </c>
      <c r="AF140" s="73">
        <v>30</v>
      </c>
      <c r="AG140" s="73">
        <v>31</v>
      </c>
      <c r="AH140" s="88" t="s">
        <v>144</v>
      </c>
    </row>
    <row r="141" spans="1:34" ht="15">
      <c r="A141" s="427" t="s">
        <v>145</v>
      </c>
      <c r="B141" s="53">
        <f t="shared" ref="B141:B152" si="24">+AH141</f>
        <v>0</v>
      </c>
      <c r="C141" s="360" t="s">
        <v>311</v>
      </c>
      <c r="D141" s="360" t="s">
        <v>311</v>
      </c>
      <c r="E141" s="360" t="s">
        <v>311</v>
      </c>
      <c r="F141" s="360" t="s">
        <v>311</v>
      </c>
      <c r="G141" s="360" t="s">
        <v>311</v>
      </c>
      <c r="H141" s="360" t="s">
        <v>311</v>
      </c>
      <c r="I141" s="360" t="s">
        <v>311</v>
      </c>
      <c r="J141" s="360" t="s">
        <v>311</v>
      </c>
      <c r="K141" s="360" t="s">
        <v>311</v>
      </c>
      <c r="L141" s="360" t="s">
        <v>311</v>
      </c>
      <c r="M141" s="360" t="s">
        <v>311</v>
      </c>
      <c r="N141" s="360" t="s">
        <v>311</v>
      </c>
      <c r="O141" s="360" t="s">
        <v>311</v>
      </c>
      <c r="P141" s="360" t="s">
        <v>311</v>
      </c>
      <c r="Q141" s="360" t="s">
        <v>311</v>
      </c>
      <c r="R141" s="360" t="s">
        <v>311</v>
      </c>
      <c r="S141" s="360" t="s">
        <v>311</v>
      </c>
      <c r="T141" s="360" t="s">
        <v>311</v>
      </c>
      <c r="U141" s="360" t="s">
        <v>311</v>
      </c>
      <c r="V141" s="360" t="s">
        <v>311</v>
      </c>
      <c r="W141" s="360" t="s">
        <v>311</v>
      </c>
      <c r="X141" s="360" t="s">
        <v>311</v>
      </c>
      <c r="Y141" s="360" t="s">
        <v>311</v>
      </c>
      <c r="Z141" s="360" t="s">
        <v>311</v>
      </c>
      <c r="AA141" s="360" t="s">
        <v>311</v>
      </c>
      <c r="AB141" s="360" t="s">
        <v>311</v>
      </c>
      <c r="AC141" s="360" t="s">
        <v>311</v>
      </c>
      <c r="AD141" s="360" t="s">
        <v>311</v>
      </c>
      <c r="AE141" s="360" t="s">
        <v>311</v>
      </c>
      <c r="AF141" s="360" t="s">
        <v>311</v>
      </c>
      <c r="AG141" s="360" t="s">
        <v>311</v>
      </c>
      <c r="AH141" s="107">
        <f>SUM(C141:AG141)</f>
        <v>0</v>
      </c>
    </row>
    <row r="142" spans="1:34" ht="15">
      <c r="A142" s="427" t="s">
        <v>146</v>
      </c>
      <c r="B142" s="53">
        <f t="shared" si="24"/>
        <v>0</v>
      </c>
      <c r="C142" s="360" t="s">
        <v>311</v>
      </c>
      <c r="D142" s="360" t="s">
        <v>311</v>
      </c>
      <c r="E142" s="360" t="s">
        <v>311</v>
      </c>
      <c r="F142" s="360" t="s">
        <v>311</v>
      </c>
      <c r="G142" s="360" t="s">
        <v>311</v>
      </c>
      <c r="H142" s="360" t="s">
        <v>311</v>
      </c>
      <c r="I142" s="360" t="s">
        <v>311</v>
      </c>
      <c r="J142" s="361"/>
      <c r="K142" s="361"/>
      <c r="L142" s="361"/>
      <c r="M142" s="361"/>
      <c r="N142" s="361"/>
      <c r="O142" s="361"/>
      <c r="P142" s="361"/>
      <c r="Q142" s="361"/>
      <c r="R142" s="361"/>
      <c r="S142" s="361"/>
      <c r="T142" s="361"/>
      <c r="U142" s="361"/>
      <c r="V142" s="361"/>
      <c r="W142" s="361"/>
      <c r="X142" s="361"/>
      <c r="Y142" s="361"/>
      <c r="Z142" s="361"/>
      <c r="AA142" s="361"/>
      <c r="AB142" s="361"/>
      <c r="AC142" s="361"/>
      <c r="AD142" s="361"/>
      <c r="AE142" s="361"/>
      <c r="AF142" s="361"/>
      <c r="AG142" s="361"/>
      <c r="AH142" s="107">
        <f>SUM(C142:AG142)</f>
        <v>0</v>
      </c>
    </row>
    <row r="143" spans="1:34" ht="15">
      <c r="A143" s="427" t="s">
        <v>147</v>
      </c>
      <c r="B143" s="53">
        <f t="shared" si="24"/>
        <v>0</v>
      </c>
      <c r="C143" s="361"/>
      <c r="D143" s="361"/>
      <c r="E143" s="361"/>
      <c r="F143" s="361"/>
      <c r="G143" s="361"/>
      <c r="H143" s="306"/>
      <c r="I143" s="306"/>
      <c r="J143" s="306"/>
      <c r="K143" s="53"/>
      <c r="L143" s="53"/>
      <c r="M143" s="53"/>
      <c r="N143" s="53"/>
      <c r="O143" s="53"/>
      <c r="P143" s="53"/>
      <c r="Q143" s="53"/>
      <c r="R143" s="53"/>
      <c r="S143" s="53"/>
      <c r="T143" s="53"/>
      <c r="U143" s="53"/>
      <c r="V143" s="53"/>
      <c r="W143" s="53"/>
      <c r="X143" s="53"/>
      <c r="Y143" s="53"/>
      <c r="Z143" s="53"/>
      <c r="AA143" s="53"/>
      <c r="AB143" s="53"/>
      <c r="AC143" s="360" t="s">
        <v>311</v>
      </c>
      <c r="AD143" s="360" t="s">
        <v>311</v>
      </c>
      <c r="AE143" s="360" t="s">
        <v>311</v>
      </c>
      <c r="AF143" s="360" t="s">
        <v>311</v>
      </c>
      <c r="AG143" s="360" t="s">
        <v>311</v>
      </c>
      <c r="AH143" s="107">
        <f>SUM(C143:AG143)</f>
        <v>0</v>
      </c>
    </row>
    <row r="144" spans="1:34" ht="15">
      <c r="A144" s="427" t="s">
        <v>148</v>
      </c>
      <c r="B144" s="53">
        <f t="shared" si="24"/>
        <v>0</v>
      </c>
      <c r="C144" s="360" t="s">
        <v>311</v>
      </c>
      <c r="D144" s="360" t="s">
        <v>311</v>
      </c>
      <c r="E144" s="360" t="s">
        <v>311</v>
      </c>
      <c r="F144" s="360" t="s">
        <v>311</v>
      </c>
      <c r="G144" s="360" t="s">
        <v>311</v>
      </c>
      <c r="H144" s="360" t="s">
        <v>311</v>
      </c>
      <c r="I144" s="360" t="s">
        <v>311</v>
      </c>
      <c r="J144" s="360" t="s">
        <v>311</v>
      </c>
      <c r="K144" s="360" t="s">
        <v>311</v>
      </c>
      <c r="L144" s="53"/>
      <c r="M144" s="53"/>
      <c r="N144" s="53"/>
      <c r="O144" s="53"/>
      <c r="P144" s="53"/>
      <c r="Q144" s="53"/>
      <c r="R144" s="53"/>
      <c r="S144" s="53"/>
      <c r="T144" s="53"/>
      <c r="U144" s="53"/>
      <c r="V144" s="53"/>
      <c r="W144" s="53"/>
      <c r="X144" s="53"/>
      <c r="Y144" s="53"/>
      <c r="Z144" s="53"/>
      <c r="AA144" s="53"/>
      <c r="AB144" s="53"/>
      <c r="AC144" s="53"/>
      <c r="AD144" s="53"/>
      <c r="AE144" s="53"/>
      <c r="AF144" s="53"/>
      <c r="AG144" s="53"/>
      <c r="AH144" s="107">
        <f t="shared" ref="AH144:AH152" si="25">SUM(C144:AG144)</f>
        <v>0</v>
      </c>
    </row>
    <row r="145" spans="1:34" ht="15">
      <c r="A145" s="414" t="s">
        <v>149</v>
      </c>
      <c r="B145" s="53">
        <f t="shared" si="24"/>
        <v>14.214</v>
      </c>
      <c r="C145" s="103"/>
      <c r="D145" s="53"/>
      <c r="E145" s="53"/>
      <c r="F145" s="53"/>
      <c r="G145" s="53"/>
      <c r="H145" s="53"/>
      <c r="I145" s="53"/>
      <c r="J145" s="53"/>
      <c r="K145" s="53"/>
      <c r="L145" s="53"/>
      <c r="M145" s="53"/>
      <c r="N145" s="53"/>
      <c r="O145" s="53"/>
      <c r="P145" s="53"/>
      <c r="Q145" s="53"/>
      <c r="R145" s="53"/>
      <c r="S145" s="53"/>
      <c r="T145" s="53"/>
      <c r="U145" s="53"/>
      <c r="V145" s="53"/>
      <c r="W145" s="53"/>
      <c r="X145" s="53"/>
      <c r="Y145" s="53"/>
      <c r="Z145" s="53"/>
      <c r="AA145" s="53"/>
      <c r="AB145" s="53"/>
      <c r="AC145" s="53"/>
      <c r="AD145" s="53"/>
      <c r="AE145" s="53"/>
      <c r="AF145" s="53"/>
      <c r="AG145" s="53">
        <v>14.214</v>
      </c>
      <c r="AH145" s="107">
        <f t="shared" si="25"/>
        <v>14.214</v>
      </c>
    </row>
    <row r="146" spans="1:34" ht="15">
      <c r="A146" s="414" t="s">
        <v>150</v>
      </c>
      <c r="B146" s="53">
        <f>+AH146</f>
        <v>0</v>
      </c>
      <c r="C146" s="103"/>
      <c r="D146" s="53"/>
      <c r="E146" s="53"/>
      <c r="F146" s="53"/>
      <c r="G146" s="53"/>
      <c r="H146" s="188" t="s">
        <v>318</v>
      </c>
      <c r="I146" s="188" t="s">
        <v>318</v>
      </c>
      <c r="J146" s="188" t="s">
        <v>318</v>
      </c>
      <c r="K146" s="188" t="s">
        <v>318</v>
      </c>
      <c r="L146" s="188" t="s">
        <v>318</v>
      </c>
      <c r="M146" s="188" t="s">
        <v>318</v>
      </c>
      <c r="N146" s="188" t="s">
        <v>318</v>
      </c>
      <c r="O146" s="188" t="s">
        <v>318</v>
      </c>
      <c r="P146" s="188" t="s">
        <v>318</v>
      </c>
      <c r="Q146" s="188" t="s">
        <v>318</v>
      </c>
      <c r="R146" s="188" t="s">
        <v>318</v>
      </c>
      <c r="S146" s="188" t="s">
        <v>318</v>
      </c>
      <c r="T146" s="188" t="s">
        <v>318</v>
      </c>
      <c r="U146" s="188" t="s">
        <v>318</v>
      </c>
      <c r="V146" s="188" t="s">
        <v>318</v>
      </c>
      <c r="W146" s="188" t="s">
        <v>318</v>
      </c>
      <c r="X146" s="188" t="s">
        <v>318</v>
      </c>
      <c r="Y146" s="53"/>
      <c r="Z146" s="53"/>
      <c r="AA146" s="53"/>
      <c r="AB146" s="53"/>
      <c r="AC146" s="53"/>
      <c r="AD146" s="53"/>
      <c r="AE146" s="53"/>
      <c r="AF146" s="53"/>
      <c r="AG146" s="53"/>
      <c r="AH146" s="107">
        <f t="shared" si="25"/>
        <v>0</v>
      </c>
    </row>
    <row r="147" spans="1:34" ht="15">
      <c r="A147" s="414" t="s">
        <v>151</v>
      </c>
      <c r="B147" s="53">
        <f t="shared" si="24"/>
        <v>0</v>
      </c>
      <c r="C147" s="103"/>
      <c r="D147" s="107"/>
      <c r="E147" s="107"/>
      <c r="F147" s="107"/>
      <c r="G147" s="53"/>
      <c r="H147" s="53"/>
      <c r="I147" s="53"/>
      <c r="J147" s="111"/>
      <c r="K147" s="111"/>
      <c r="L147" s="107"/>
      <c r="M147" s="107"/>
      <c r="N147" s="107"/>
      <c r="O147" s="107"/>
      <c r="P147" s="107"/>
      <c r="Q147" s="107"/>
      <c r="R147" s="107"/>
      <c r="S147" s="107"/>
      <c r="T147" s="107"/>
      <c r="U147" s="107"/>
      <c r="V147" s="107"/>
      <c r="W147" s="107"/>
      <c r="X147" s="107"/>
      <c r="Y147" s="107"/>
      <c r="Z147" s="107"/>
      <c r="AA147" s="107"/>
      <c r="AB147" s="107"/>
      <c r="AC147" s="107"/>
      <c r="AD147" s="107"/>
      <c r="AE147" s="107"/>
      <c r="AF147" s="107"/>
      <c r="AG147" s="107"/>
      <c r="AH147" s="107">
        <f t="shared" si="25"/>
        <v>0</v>
      </c>
    </row>
    <row r="148" spans="1:34" ht="15">
      <c r="A148" s="414" t="s">
        <v>152</v>
      </c>
      <c r="B148" s="53">
        <f t="shared" si="24"/>
        <v>0</v>
      </c>
      <c r="C148" s="103"/>
      <c r="D148" s="53"/>
      <c r="E148" s="53"/>
      <c r="F148" s="53"/>
      <c r="G148" s="53"/>
      <c r="H148" s="53"/>
      <c r="I148" s="53"/>
      <c r="J148" s="188" t="s">
        <v>318</v>
      </c>
      <c r="K148" s="188" t="s">
        <v>318</v>
      </c>
      <c r="L148" s="188" t="s">
        <v>318</v>
      </c>
      <c r="M148" s="188" t="s">
        <v>318</v>
      </c>
      <c r="N148" s="188" t="s">
        <v>318</v>
      </c>
      <c r="O148" s="188" t="s">
        <v>318</v>
      </c>
      <c r="P148" s="188" t="s">
        <v>318</v>
      </c>
      <c r="Q148" s="188" t="s">
        <v>318</v>
      </c>
      <c r="R148" s="188" t="s">
        <v>318</v>
      </c>
      <c r="S148" s="188" t="s">
        <v>318</v>
      </c>
      <c r="T148" s="188" t="s">
        <v>318</v>
      </c>
      <c r="U148" s="188" t="s">
        <v>318</v>
      </c>
      <c r="V148" s="188" t="s">
        <v>318</v>
      </c>
      <c r="W148" s="188" t="s">
        <v>318</v>
      </c>
      <c r="X148" s="188" t="s">
        <v>318</v>
      </c>
      <c r="Y148" s="188" t="s">
        <v>318</v>
      </c>
      <c r="Z148" s="188" t="s">
        <v>318</v>
      </c>
      <c r="AA148" s="188" t="s">
        <v>318</v>
      </c>
      <c r="AB148" s="188" t="s">
        <v>318</v>
      </c>
      <c r="AC148" s="188" t="s">
        <v>318</v>
      </c>
      <c r="AD148" s="188" t="s">
        <v>318</v>
      </c>
      <c r="AE148" s="188" t="s">
        <v>318</v>
      </c>
      <c r="AF148" s="188" t="s">
        <v>318</v>
      </c>
      <c r="AG148" s="188" t="s">
        <v>318</v>
      </c>
      <c r="AH148" s="107">
        <f t="shared" si="25"/>
        <v>0</v>
      </c>
    </row>
    <row r="149" spans="1:34" ht="15">
      <c r="A149" s="428" t="s">
        <v>153</v>
      </c>
      <c r="B149" s="53">
        <f t="shared" si="24"/>
        <v>0</v>
      </c>
      <c r="C149" s="188" t="s">
        <v>318</v>
      </c>
      <c r="D149" s="188" t="s">
        <v>318</v>
      </c>
      <c r="E149" s="188" t="s">
        <v>318</v>
      </c>
      <c r="F149" s="188" t="s">
        <v>318</v>
      </c>
      <c r="G149" s="188" t="s">
        <v>318</v>
      </c>
      <c r="H149" s="188" t="s">
        <v>318</v>
      </c>
      <c r="I149" s="188" t="s">
        <v>318</v>
      </c>
      <c r="J149" s="188" t="s">
        <v>318</v>
      </c>
      <c r="K149" s="188" t="s">
        <v>318</v>
      </c>
      <c r="L149" s="188" t="s">
        <v>318</v>
      </c>
      <c r="M149" s="188" t="s">
        <v>318</v>
      </c>
      <c r="N149" s="188" t="s">
        <v>318</v>
      </c>
      <c r="O149" s="188" t="s">
        <v>318</v>
      </c>
      <c r="P149" s="188" t="s">
        <v>318</v>
      </c>
      <c r="Q149" s="188" t="s">
        <v>318</v>
      </c>
      <c r="R149" s="188" t="s">
        <v>318</v>
      </c>
      <c r="S149" s="188" t="s">
        <v>318</v>
      </c>
      <c r="T149" s="188" t="s">
        <v>318</v>
      </c>
      <c r="U149" s="188" t="s">
        <v>318</v>
      </c>
      <c r="V149" s="188" t="s">
        <v>318</v>
      </c>
      <c r="W149" s="188" t="s">
        <v>318</v>
      </c>
      <c r="X149" s="53"/>
      <c r="Y149" s="53"/>
      <c r="Z149" s="53"/>
      <c r="AA149" s="53"/>
      <c r="AB149" s="53"/>
      <c r="AC149" s="53"/>
      <c r="AD149" s="53"/>
      <c r="AE149" s="53"/>
      <c r="AF149" s="53"/>
      <c r="AG149" s="53"/>
      <c r="AH149" s="107">
        <f t="shared" si="25"/>
        <v>0</v>
      </c>
    </row>
    <row r="150" spans="1:34" ht="15">
      <c r="A150" s="428" t="s">
        <v>154</v>
      </c>
      <c r="B150" s="53">
        <f t="shared" si="24"/>
        <v>0</v>
      </c>
      <c r="C150" s="188" t="s">
        <v>318</v>
      </c>
      <c r="D150" s="188" t="s">
        <v>318</v>
      </c>
      <c r="E150" s="188" t="s">
        <v>318</v>
      </c>
      <c r="F150" s="188" t="s">
        <v>318</v>
      </c>
      <c r="G150" s="188" t="s">
        <v>318</v>
      </c>
      <c r="H150" s="188" t="s">
        <v>318</v>
      </c>
      <c r="I150" s="188" t="s">
        <v>318</v>
      </c>
      <c r="J150" s="188" t="s">
        <v>318</v>
      </c>
      <c r="K150" s="188" t="s">
        <v>318</v>
      </c>
      <c r="L150" s="188" t="s">
        <v>318</v>
      </c>
      <c r="M150" s="188" t="s">
        <v>318</v>
      </c>
      <c r="N150" s="188" t="s">
        <v>318</v>
      </c>
      <c r="O150" s="188" t="s">
        <v>318</v>
      </c>
      <c r="P150" s="188" t="s">
        <v>318</v>
      </c>
      <c r="Q150" s="188" t="s">
        <v>318</v>
      </c>
      <c r="R150" s="188" t="s">
        <v>318</v>
      </c>
      <c r="S150" s="188" t="s">
        <v>318</v>
      </c>
      <c r="T150" s="188" t="s">
        <v>318</v>
      </c>
      <c r="U150" s="188" t="s">
        <v>318</v>
      </c>
      <c r="V150" s="188" t="s">
        <v>318</v>
      </c>
      <c r="W150" s="188" t="s">
        <v>318</v>
      </c>
      <c r="X150" s="53"/>
      <c r="Y150" s="53"/>
      <c r="Z150" s="53"/>
      <c r="AA150" s="53"/>
      <c r="AB150" s="53"/>
      <c r="AC150" s="53"/>
      <c r="AD150" s="53"/>
      <c r="AE150" s="107"/>
      <c r="AF150" s="53"/>
      <c r="AG150" s="107"/>
      <c r="AH150" s="107">
        <f t="shared" si="25"/>
        <v>0</v>
      </c>
    </row>
    <row r="151" spans="1:34" ht="15">
      <c r="A151" s="428" t="s">
        <v>155</v>
      </c>
      <c r="B151" s="53">
        <f t="shared" si="24"/>
        <v>0</v>
      </c>
      <c r="C151" s="103"/>
      <c r="D151" s="53"/>
      <c r="E151" s="53"/>
      <c r="F151" s="53"/>
      <c r="G151" s="14"/>
      <c r="H151" s="53"/>
      <c r="I151" s="53"/>
      <c r="J151" s="53"/>
      <c r="K151" s="53"/>
      <c r="L151" s="53"/>
      <c r="M151" s="53"/>
      <c r="N151" s="53"/>
      <c r="O151" s="53"/>
      <c r="P151" s="53"/>
      <c r="Q151" s="53"/>
      <c r="R151" s="53"/>
      <c r="S151" s="53"/>
      <c r="T151" s="53"/>
      <c r="U151" s="53"/>
      <c r="V151" s="53"/>
      <c r="W151" s="53"/>
      <c r="X151" s="53"/>
      <c r="Y151" s="14"/>
      <c r="Z151" s="53"/>
      <c r="AA151" s="53"/>
      <c r="AB151" s="53"/>
      <c r="AC151" s="53"/>
      <c r="AD151" s="53"/>
      <c r="AE151" s="107"/>
      <c r="AF151" s="53"/>
      <c r="AG151" s="107"/>
      <c r="AH151" s="107">
        <f t="shared" si="25"/>
        <v>0</v>
      </c>
    </row>
    <row r="152" spans="1:34" ht="15">
      <c r="A152" s="428" t="s">
        <v>156</v>
      </c>
      <c r="B152" s="53">
        <f t="shared" si="24"/>
        <v>0</v>
      </c>
      <c r="C152" s="103"/>
      <c r="D152" s="53"/>
      <c r="E152" s="53"/>
      <c r="F152" s="53"/>
      <c r="G152" s="53"/>
      <c r="H152" s="53"/>
      <c r="I152" s="53"/>
      <c r="J152" s="53"/>
      <c r="K152" s="53"/>
      <c r="L152" s="53"/>
      <c r="M152" s="53"/>
      <c r="N152" s="53"/>
      <c r="O152" s="53"/>
      <c r="P152" s="3027">
        <v>0</v>
      </c>
      <c r="Q152" s="3027">
        <v>0</v>
      </c>
      <c r="R152" s="3027">
        <v>0</v>
      </c>
      <c r="S152" s="3027">
        <v>0</v>
      </c>
      <c r="T152" s="3027">
        <v>0</v>
      </c>
      <c r="U152" s="3027">
        <v>0</v>
      </c>
      <c r="V152" s="3027">
        <v>0</v>
      </c>
      <c r="W152" s="3027">
        <v>0</v>
      </c>
      <c r="X152" s="3027">
        <v>0</v>
      </c>
      <c r="Y152" s="3027">
        <v>0</v>
      </c>
      <c r="Z152" s="3027">
        <v>0</v>
      </c>
      <c r="AA152" s="3027">
        <v>0</v>
      </c>
      <c r="AB152" s="3027">
        <v>0</v>
      </c>
      <c r="AC152" s="3027">
        <v>0</v>
      </c>
      <c r="AD152" s="3027">
        <v>0</v>
      </c>
      <c r="AE152" s="3027">
        <v>0</v>
      </c>
      <c r="AF152" s="3027">
        <v>0</v>
      </c>
      <c r="AG152" s="3027">
        <v>0</v>
      </c>
      <c r="AH152" s="107">
        <f t="shared" si="25"/>
        <v>0</v>
      </c>
    </row>
    <row r="153" spans="1:34" ht="15">
      <c r="A153" s="199" t="s">
        <v>144</v>
      </c>
      <c r="B153" s="200">
        <f>SUM(B141:B152)</f>
        <v>14.214</v>
      </c>
      <c r="C153" s="100">
        <f>SUM(C141:C151)</f>
        <v>0</v>
      </c>
      <c r="D153" s="107">
        <f>SUM(D141:D151)</f>
        <v>0</v>
      </c>
      <c r="E153" s="107">
        <v>0</v>
      </c>
      <c r="F153" s="107">
        <f t="shared" ref="F153:AC153" si="26">SUM(F141:F151)</f>
        <v>0</v>
      </c>
      <c r="G153" s="107">
        <f t="shared" si="26"/>
        <v>0</v>
      </c>
      <c r="H153" s="107">
        <f t="shared" si="26"/>
        <v>0</v>
      </c>
      <c r="I153" s="107">
        <f t="shared" si="26"/>
        <v>0</v>
      </c>
      <c r="J153" s="107">
        <f t="shared" si="26"/>
        <v>0</v>
      </c>
      <c r="K153" s="107">
        <f t="shared" si="26"/>
        <v>0</v>
      </c>
      <c r="L153" s="107">
        <f t="shared" si="26"/>
        <v>0</v>
      </c>
      <c r="M153" s="107">
        <f t="shared" si="26"/>
        <v>0</v>
      </c>
      <c r="N153" s="107">
        <f t="shared" si="26"/>
        <v>0</v>
      </c>
      <c r="O153" s="107">
        <f t="shared" si="26"/>
        <v>0</v>
      </c>
      <c r="P153" s="107">
        <f t="shared" si="26"/>
        <v>0</v>
      </c>
      <c r="Q153" s="107">
        <f t="shared" si="26"/>
        <v>0</v>
      </c>
      <c r="R153" s="107">
        <f t="shared" si="26"/>
        <v>0</v>
      </c>
      <c r="S153" s="107">
        <f t="shared" si="26"/>
        <v>0</v>
      </c>
      <c r="T153" s="107">
        <f t="shared" si="26"/>
        <v>0</v>
      </c>
      <c r="U153" s="107">
        <f t="shared" si="26"/>
        <v>0</v>
      </c>
      <c r="V153" s="107">
        <f t="shared" si="26"/>
        <v>0</v>
      </c>
      <c r="W153" s="107">
        <f t="shared" si="26"/>
        <v>0</v>
      </c>
      <c r="X153" s="107">
        <f t="shared" si="26"/>
        <v>0</v>
      </c>
      <c r="Y153" s="107">
        <f t="shared" si="26"/>
        <v>0</v>
      </c>
      <c r="Z153" s="107">
        <f t="shared" si="26"/>
        <v>0</v>
      </c>
      <c r="AA153" s="107">
        <f t="shared" si="26"/>
        <v>0</v>
      </c>
      <c r="AB153" s="107">
        <f t="shared" si="26"/>
        <v>0</v>
      </c>
      <c r="AC153" s="107">
        <f t="shared" si="26"/>
        <v>0</v>
      </c>
      <c r="AD153" s="107">
        <v>0</v>
      </c>
      <c r="AE153" s="107">
        <f>SUM(AE141:AE151)</f>
        <v>0</v>
      </c>
      <c r="AF153" s="107">
        <f>SUM(AF141:AF151)</f>
        <v>0</v>
      </c>
      <c r="AG153" s="107">
        <f>SUM(AG141:AG151)</f>
        <v>14.214</v>
      </c>
      <c r="AH153" s="100">
        <f>SUM(AH141:AH151)</f>
        <v>14.214</v>
      </c>
    </row>
    <row r="154" spans="1:34" ht="5.0999999999999996" customHeight="1">
      <c r="A154" s="104"/>
      <c r="B154" s="105"/>
      <c r="C154" s="1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c r="AB154" s="106"/>
      <c r="AC154" s="106"/>
      <c r="AD154" s="106"/>
      <c r="AE154" s="106"/>
      <c r="AF154" s="106"/>
      <c r="AG154" s="106"/>
      <c r="AH154" s="16"/>
    </row>
    <row r="155" spans="1:34" ht="15">
      <c r="A155" s="3854" t="s">
        <v>117</v>
      </c>
      <c r="B155" s="3855"/>
      <c r="C155" s="3855"/>
      <c r="D155" s="3855"/>
      <c r="E155" s="3855"/>
      <c r="F155" s="3855"/>
      <c r="G155" s="3855"/>
      <c r="H155" s="3856"/>
      <c r="I155" s="3649"/>
      <c r="J155" s="96"/>
      <c r="K155" s="96"/>
      <c r="L155" s="96"/>
      <c r="M155" s="96"/>
      <c r="N155" s="96"/>
      <c r="O155" s="96"/>
      <c r="P155" s="96"/>
      <c r="Q155" s="96"/>
      <c r="R155" s="96"/>
      <c r="S155" s="14"/>
      <c r="T155" s="14"/>
      <c r="U155" s="14"/>
      <c r="V155" s="14"/>
      <c r="W155" s="14"/>
      <c r="X155" s="14"/>
      <c r="Y155" s="14"/>
      <c r="Z155" s="14"/>
      <c r="AA155" s="14"/>
      <c r="AB155" s="14"/>
      <c r="AC155" s="14"/>
      <c r="AD155" s="14"/>
      <c r="AE155" s="14"/>
      <c r="AF155" s="14"/>
      <c r="AG155" s="14"/>
      <c r="AH155" s="14"/>
    </row>
    <row r="156" spans="1:34" ht="15">
      <c r="A156" s="8" t="s">
        <v>142</v>
      </c>
      <c r="B156" s="8" t="s">
        <v>143</v>
      </c>
      <c r="C156" s="2907">
        <v>1</v>
      </c>
      <c r="D156" s="73">
        <v>2</v>
      </c>
      <c r="E156" s="73">
        <v>3</v>
      </c>
      <c r="F156" s="73">
        <v>4</v>
      </c>
      <c r="G156" s="73">
        <v>5</v>
      </c>
      <c r="H156" s="73">
        <v>6</v>
      </c>
      <c r="I156" s="73">
        <v>7</v>
      </c>
      <c r="J156" s="73">
        <v>8</v>
      </c>
      <c r="K156" s="73">
        <v>9</v>
      </c>
      <c r="L156" s="73">
        <v>10</v>
      </c>
      <c r="M156" s="73">
        <v>11</v>
      </c>
      <c r="N156" s="73">
        <v>12</v>
      </c>
      <c r="O156" s="73">
        <v>13</v>
      </c>
      <c r="P156" s="73">
        <v>14</v>
      </c>
      <c r="Q156" s="73">
        <v>15</v>
      </c>
      <c r="R156" s="73">
        <v>16</v>
      </c>
      <c r="S156" s="73">
        <v>17</v>
      </c>
      <c r="T156" s="73">
        <v>18</v>
      </c>
      <c r="U156" s="73">
        <v>19</v>
      </c>
      <c r="V156" s="73">
        <v>20</v>
      </c>
      <c r="W156" s="73">
        <v>21</v>
      </c>
      <c r="X156" s="73">
        <v>22</v>
      </c>
      <c r="Y156" s="73">
        <v>23</v>
      </c>
      <c r="Z156" s="73">
        <v>24</v>
      </c>
      <c r="AA156" s="73">
        <v>25</v>
      </c>
      <c r="AB156" s="73">
        <v>26</v>
      </c>
      <c r="AC156" s="73">
        <v>27</v>
      </c>
      <c r="AD156" s="73">
        <v>28</v>
      </c>
      <c r="AE156" s="73">
        <v>29</v>
      </c>
      <c r="AF156" s="73">
        <v>30</v>
      </c>
      <c r="AG156" s="73">
        <v>31</v>
      </c>
      <c r="AH156" s="88" t="s">
        <v>144</v>
      </c>
    </row>
    <row r="157" spans="1:34" ht="15">
      <c r="A157" s="427" t="s">
        <v>145</v>
      </c>
      <c r="B157" s="53">
        <f t="shared" ref="B157:B168" si="27">+AH157</f>
        <v>0</v>
      </c>
      <c r="C157" s="360" t="s">
        <v>311</v>
      </c>
      <c r="D157" s="360" t="s">
        <v>311</v>
      </c>
      <c r="E157" s="360" t="s">
        <v>311</v>
      </c>
      <c r="F157" s="360" t="s">
        <v>311</v>
      </c>
      <c r="G157" s="360" t="s">
        <v>311</v>
      </c>
      <c r="H157" s="360" t="s">
        <v>311</v>
      </c>
      <c r="I157" s="360" t="s">
        <v>311</v>
      </c>
      <c r="J157" s="360" t="s">
        <v>311</v>
      </c>
      <c r="K157" s="360" t="s">
        <v>311</v>
      </c>
      <c r="L157" s="360" t="s">
        <v>311</v>
      </c>
      <c r="M157" s="360" t="s">
        <v>311</v>
      </c>
      <c r="N157" s="360" t="s">
        <v>311</v>
      </c>
      <c r="O157" s="360" t="s">
        <v>311</v>
      </c>
      <c r="P157" s="360" t="s">
        <v>311</v>
      </c>
      <c r="Q157" s="360" t="s">
        <v>311</v>
      </c>
      <c r="R157" s="360" t="s">
        <v>311</v>
      </c>
      <c r="S157" s="360" t="s">
        <v>311</v>
      </c>
      <c r="T157" s="360" t="s">
        <v>311</v>
      </c>
      <c r="U157" s="360" t="s">
        <v>311</v>
      </c>
      <c r="V157" s="360" t="s">
        <v>311</v>
      </c>
      <c r="W157" s="360" t="s">
        <v>311</v>
      </c>
      <c r="X157" s="360" t="s">
        <v>311</v>
      </c>
      <c r="Y157" s="360" t="s">
        <v>311</v>
      </c>
      <c r="Z157" s="360" t="s">
        <v>311</v>
      </c>
      <c r="AA157" s="360" t="s">
        <v>311</v>
      </c>
      <c r="AB157" s="360" t="s">
        <v>311</v>
      </c>
      <c r="AC157" s="360" t="s">
        <v>311</v>
      </c>
      <c r="AD157" s="360" t="s">
        <v>311</v>
      </c>
      <c r="AE157" s="360" t="s">
        <v>311</v>
      </c>
      <c r="AF157" s="360" t="s">
        <v>311</v>
      </c>
      <c r="AG157" s="360" t="s">
        <v>311</v>
      </c>
      <c r="AH157" s="107">
        <f>SUM(C157:AG157)</f>
        <v>0</v>
      </c>
    </row>
    <row r="158" spans="1:34" ht="15">
      <c r="A158" s="427" t="s">
        <v>146</v>
      </c>
      <c r="B158" s="53">
        <f t="shared" si="27"/>
        <v>0</v>
      </c>
      <c r="C158" s="360" t="s">
        <v>311</v>
      </c>
      <c r="D158" s="360" t="s">
        <v>311</v>
      </c>
      <c r="E158" s="360" t="s">
        <v>311</v>
      </c>
      <c r="F158" s="360" t="s">
        <v>311</v>
      </c>
      <c r="G158" s="360" t="s">
        <v>311</v>
      </c>
      <c r="H158" s="360" t="s">
        <v>311</v>
      </c>
      <c r="I158" s="360" t="s">
        <v>311</v>
      </c>
      <c r="J158" s="361"/>
      <c r="K158" s="361"/>
      <c r="L158" s="361"/>
      <c r="M158" s="361"/>
      <c r="N158" s="361"/>
      <c r="O158" s="361"/>
      <c r="P158" s="361"/>
      <c r="Q158" s="361"/>
      <c r="R158" s="361"/>
      <c r="S158" s="361"/>
      <c r="T158" s="361"/>
      <c r="U158" s="361"/>
      <c r="V158" s="361"/>
      <c r="W158" s="361"/>
      <c r="X158" s="361"/>
      <c r="Y158" s="361"/>
      <c r="Z158" s="361"/>
      <c r="AA158" s="361"/>
      <c r="AB158" s="361"/>
      <c r="AC158" s="361"/>
      <c r="AD158" s="361"/>
      <c r="AE158" s="361"/>
      <c r="AF158" s="361"/>
      <c r="AG158" s="361"/>
      <c r="AH158" s="107">
        <f>SUM(C158:AG158)</f>
        <v>0</v>
      </c>
    </row>
    <row r="159" spans="1:34" ht="15">
      <c r="A159" s="427" t="s">
        <v>147</v>
      </c>
      <c r="B159" s="53">
        <f t="shared" si="27"/>
        <v>0</v>
      </c>
      <c r="C159" s="361"/>
      <c r="D159" s="361"/>
      <c r="E159" s="361"/>
      <c r="F159" s="361"/>
      <c r="G159" s="361"/>
      <c r="H159" s="306"/>
      <c r="I159" s="306"/>
      <c r="J159" s="306"/>
      <c r="K159" s="306"/>
      <c r="L159" s="306"/>
      <c r="M159" s="306"/>
      <c r="N159" s="306"/>
      <c r="O159" s="306"/>
      <c r="P159" s="306"/>
      <c r="Q159" s="306"/>
      <c r="R159" s="306"/>
      <c r="S159" s="53"/>
      <c r="T159" s="53"/>
      <c r="U159" s="53"/>
      <c r="V159" s="53"/>
      <c r="W159" s="53"/>
      <c r="X159" s="53"/>
      <c r="Y159" s="53"/>
      <c r="Z159" s="53"/>
      <c r="AA159" s="53"/>
      <c r="AB159" s="53"/>
      <c r="AC159" s="360" t="s">
        <v>311</v>
      </c>
      <c r="AD159" s="360" t="s">
        <v>311</v>
      </c>
      <c r="AE159" s="360" t="s">
        <v>311</v>
      </c>
      <c r="AF159" s="360" t="s">
        <v>311</v>
      </c>
      <c r="AG159" s="360" t="s">
        <v>311</v>
      </c>
      <c r="AH159" s="107">
        <f>SUM(C159:AG159)</f>
        <v>0</v>
      </c>
    </row>
    <row r="160" spans="1:34" ht="15">
      <c r="A160" s="427" t="s">
        <v>148</v>
      </c>
      <c r="B160" s="53">
        <f t="shared" si="27"/>
        <v>0.35699999999999998</v>
      </c>
      <c r="C160" s="360" t="s">
        <v>311</v>
      </c>
      <c r="D160" s="360" t="s">
        <v>311</v>
      </c>
      <c r="E160" s="360" t="s">
        <v>311</v>
      </c>
      <c r="F160" s="360" t="s">
        <v>311</v>
      </c>
      <c r="G160" s="360" t="s">
        <v>311</v>
      </c>
      <c r="H160" s="360" t="s">
        <v>311</v>
      </c>
      <c r="I160" s="360" t="s">
        <v>311</v>
      </c>
      <c r="J160" s="360" t="s">
        <v>311</v>
      </c>
      <c r="K160" s="360" t="s">
        <v>311</v>
      </c>
      <c r="L160" s="306"/>
      <c r="M160" s="306"/>
      <c r="N160" s="306"/>
      <c r="O160" s="306"/>
      <c r="P160" s="306"/>
      <c r="Q160" s="306"/>
      <c r="R160" s="306"/>
      <c r="S160" s="53">
        <v>0.35699999999999998</v>
      </c>
      <c r="T160" s="53"/>
      <c r="U160" s="53"/>
      <c r="V160" s="53"/>
      <c r="W160" s="53"/>
      <c r="X160" s="53"/>
      <c r="Y160" s="53"/>
      <c r="Z160" s="53"/>
      <c r="AA160" s="53"/>
      <c r="AB160" s="53"/>
      <c r="AC160" s="53"/>
      <c r="AD160" s="53"/>
      <c r="AE160" s="53"/>
      <c r="AF160" s="53"/>
      <c r="AG160" s="53"/>
      <c r="AH160" s="107">
        <f t="shared" ref="AH160:AH168" si="28">SUM(C160:AG160)</f>
        <v>0.35699999999999998</v>
      </c>
    </row>
    <row r="161" spans="1:34" ht="15">
      <c r="A161" s="414" t="s">
        <v>149</v>
      </c>
      <c r="B161" s="53">
        <f t="shared" si="27"/>
        <v>0.44500000000000001</v>
      </c>
      <c r="C161" s="103"/>
      <c r="D161" s="53"/>
      <c r="E161" s="53"/>
      <c r="F161" s="53"/>
      <c r="G161" s="53"/>
      <c r="H161" s="53"/>
      <c r="I161" s="53"/>
      <c r="J161" s="53"/>
      <c r="K161" s="53"/>
      <c r="L161" s="53"/>
      <c r="M161" s="53"/>
      <c r="N161" s="53"/>
      <c r="O161" s="53"/>
      <c r="P161" s="53"/>
      <c r="Q161" s="53"/>
      <c r="R161" s="53"/>
      <c r="S161" s="53"/>
      <c r="T161" s="53"/>
      <c r="U161" s="53"/>
      <c r="V161" s="53"/>
      <c r="W161" s="53"/>
      <c r="X161" s="53">
        <v>0.44500000000000001</v>
      </c>
      <c r="Y161" s="53"/>
      <c r="Z161" s="53"/>
      <c r="AA161" s="53"/>
      <c r="AB161" s="53"/>
      <c r="AC161" s="53"/>
      <c r="AD161" s="53"/>
      <c r="AE161" s="53"/>
      <c r="AF161" s="53"/>
      <c r="AG161" s="53"/>
      <c r="AH161" s="107">
        <f t="shared" si="28"/>
        <v>0.44500000000000001</v>
      </c>
    </row>
    <row r="162" spans="1:34" ht="15">
      <c r="A162" s="414" t="s">
        <v>150</v>
      </c>
      <c r="B162" s="53">
        <f t="shared" si="27"/>
        <v>0</v>
      </c>
      <c r="C162" s="103"/>
      <c r="D162" s="53"/>
      <c r="E162" s="53"/>
      <c r="F162" s="53"/>
      <c r="G162" s="53"/>
      <c r="H162" s="188" t="s">
        <v>318</v>
      </c>
      <c r="I162" s="188" t="s">
        <v>318</v>
      </c>
      <c r="J162" s="188" t="s">
        <v>318</v>
      </c>
      <c r="K162" s="188" t="s">
        <v>318</v>
      </c>
      <c r="L162" s="188" t="s">
        <v>318</v>
      </c>
      <c r="M162" s="188" t="s">
        <v>318</v>
      </c>
      <c r="N162" s="188" t="s">
        <v>318</v>
      </c>
      <c r="O162" s="188" t="s">
        <v>318</v>
      </c>
      <c r="P162" s="188" t="s">
        <v>318</v>
      </c>
      <c r="Q162" s="188" t="s">
        <v>318</v>
      </c>
      <c r="R162" s="188" t="s">
        <v>318</v>
      </c>
      <c r="S162" s="188" t="s">
        <v>318</v>
      </c>
      <c r="T162" s="188" t="s">
        <v>318</v>
      </c>
      <c r="U162" s="188" t="s">
        <v>318</v>
      </c>
      <c r="V162" s="188" t="s">
        <v>318</v>
      </c>
      <c r="W162" s="188" t="s">
        <v>318</v>
      </c>
      <c r="X162" s="188" t="s">
        <v>318</v>
      </c>
      <c r="Y162" s="53"/>
      <c r="Z162" s="53"/>
      <c r="AA162" s="53"/>
      <c r="AB162" s="53"/>
      <c r="AC162" s="53"/>
      <c r="AD162" s="53"/>
      <c r="AE162" s="53"/>
      <c r="AF162" s="53"/>
      <c r="AG162" s="53"/>
      <c r="AH162" s="107">
        <f t="shared" si="28"/>
        <v>0</v>
      </c>
    </row>
    <row r="163" spans="1:34" ht="15">
      <c r="A163" s="414" t="s">
        <v>151</v>
      </c>
      <c r="B163" s="53">
        <f t="shared" si="27"/>
        <v>0</v>
      </c>
      <c r="C163" s="103"/>
      <c r="D163" s="107"/>
      <c r="E163" s="107"/>
      <c r="F163" s="107"/>
      <c r="G163" s="53"/>
      <c r="H163" s="53"/>
      <c r="I163" s="53"/>
      <c r="J163" s="111"/>
      <c r="K163" s="111"/>
      <c r="L163" s="107"/>
      <c r="M163" s="107"/>
      <c r="N163" s="107"/>
      <c r="O163" s="107"/>
      <c r="P163" s="107"/>
      <c r="Q163" s="107"/>
      <c r="R163" s="107"/>
      <c r="S163" s="107"/>
      <c r="T163" s="107"/>
      <c r="U163" s="107"/>
      <c r="V163" s="107"/>
      <c r="W163" s="107"/>
      <c r="X163" s="107"/>
      <c r="Y163" s="107"/>
      <c r="Z163" s="107"/>
      <c r="AA163" s="107"/>
      <c r="AB163" s="107"/>
      <c r="AC163" s="107"/>
      <c r="AD163" s="107"/>
      <c r="AE163" s="107"/>
      <c r="AF163" s="107"/>
      <c r="AG163" s="107"/>
      <c r="AH163" s="107">
        <f t="shared" si="28"/>
        <v>0</v>
      </c>
    </row>
    <row r="164" spans="1:34" ht="15">
      <c r="A164" s="414" t="s">
        <v>152</v>
      </c>
      <c r="B164" s="53">
        <f t="shared" si="27"/>
        <v>0</v>
      </c>
      <c r="C164" s="103"/>
      <c r="D164" s="53"/>
      <c r="E164" s="53"/>
      <c r="F164" s="53"/>
      <c r="G164" s="53"/>
      <c r="H164" s="53"/>
      <c r="I164" s="53"/>
      <c r="J164" s="188" t="s">
        <v>318</v>
      </c>
      <c r="K164" s="188" t="s">
        <v>318</v>
      </c>
      <c r="L164" s="188" t="s">
        <v>318</v>
      </c>
      <c r="M164" s="188" t="s">
        <v>318</v>
      </c>
      <c r="N164" s="188" t="s">
        <v>318</v>
      </c>
      <c r="O164" s="188" t="s">
        <v>318</v>
      </c>
      <c r="P164" s="188" t="s">
        <v>318</v>
      </c>
      <c r="Q164" s="188" t="s">
        <v>318</v>
      </c>
      <c r="R164" s="188" t="s">
        <v>318</v>
      </c>
      <c r="S164" s="188" t="s">
        <v>318</v>
      </c>
      <c r="T164" s="188" t="s">
        <v>318</v>
      </c>
      <c r="U164" s="188" t="s">
        <v>318</v>
      </c>
      <c r="V164" s="188" t="s">
        <v>318</v>
      </c>
      <c r="W164" s="188" t="s">
        <v>318</v>
      </c>
      <c r="X164" s="188" t="s">
        <v>318</v>
      </c>
      <c r="Y164" s="188" t="s">
        <v>318</v>
      </c>
      <c r="Z164" s="188" t="s">
        <v>318</v>
      </c>
      <c r="AA164" s="188" t="s">
        <v>318</v>
      </c>
      <c r="AB164" s="188" t="s">
        <v>318</v>
      </c>
      <c r="AC164" s="188" t="s">
        <v>318</v>
      </c>
      <c r="AD164" s="188" t="s">
        <v>318</v>
      </c>
      <c r="AE164" s="188" t="s">
        <v>318</v>
      </c>
      <c r="AF164" s="188" t="s">
        <v>318</v>
      </c>
      <c r="AG164" s="188" t="s">
        <v>318</v>
      </c>
      <c r="AH164" s="107">
        <f t="shared" si="28"/>
        <v>0</v>
      </c>
    </row>
    <row r="165" spans="1:34" ht="15">
      <c r="A165" s="428" t="s">
        <v>153</v>
      </c>
      <c r="B165" s="53">
        <f t="shared" si="27"/>
        <v>0</v>
      </c>
      <c r="C165" s="188" t="s">
        <v>318</v>
      </c>
      <c r="D165" s="188" t="s">
        <v>318</v>
      </c>
      <c r="E165" s="188" t="s">
        <v>318</v>
      </c>
      <c r="F165" s="188" t="s">
        <v>318</v>
      </c>
      <c r="G165" s="188" t="s">
        <v>318</v>
      </c>
      <c r="H165" s="188" t="s">
        <v>318</v>
      </c>
      <c r="I165" s="188" t="s">
        <v>318</v>
      </c>
      <c r="J165" s="188" t="s">
        <v>318</v>
      </c>
      <c r="K165" s="188" t="s">
        <v>318</v>
      </c>
      <c r="L165" s="188" t="s">
        <v>318</v>
      </c>
      <c r="M165" s="188" t="s">
        <v>318</v>
      </c>
      <c r="N165" s="188" t="s">
        <v>318</v>
      </c>
      <c r="O165" s="188" t="s">
        <v>318</v>
      </c>
      <c r="P165" s="188" t="s">
        <v>318</v>
      </c>
      <c r="Q165" s="188" t="s">
        <v>318</v>
      </c>
      <c r="R165" s="188" t="s">
        <v>318</v>
      </c>
      <c r="S165" s="188" t="s">
        <v>318</v>
      </c>
      <c r="T165" s="188" t="s">
        <v>318</v>
      </c>
      <c r="U165" s="188" t="s">
        <v>318</v>
      </c>
      <c r="V165" s="188" t="s">
        <v>318</v>
      </c>
      <c r="W165" s="188" t="s">
        <v>318</v>
      </c>
      <c r="X165" s="188" t="s">
        <v>318</v>
      </c>
      <c r="Y165" s="188" t="s">
        <v>318</v>
      </c>
      <c r="Z165" s="188" t="s">
        <v>318</v>
      </c>
      <c r="AA165" s="188" t="s">
        <v>318</v>
      </c>
      <c r="AB165" s="188" t="s">
        <v>318</v>
      </c>
      <c r="AC165" s="188" t="s">
        <v>318</v>
      </c>
      <c r="AD165" s="188" t="s">
        <v>318</v>
      </c>
      <c r="AE165" s="188" t="s">
        <v>318</v>
      </c>
      <c r="AF165" s="188" t="s">
        <v>318</v>
      </c>
      <c r="AG165" s="188" t="s">
        <v>318</v>
      </c>
      <c r="AH165" s="107">
        <f t="shared" si="28"/>
        <v>0</v>
      </c>
    </row>
    <row r="166" spans="1:34" ht="15">
      <c r="A166" s="428" t="s">
        <v>154</v>
      </c>
      <c r="B166" s="53">
        <f t="shared" si="27"/>
        <v>0</v>
      </c>
      <c r="C166" s="188" t="s">
        <v>318</v>
      </c>
      <c r="D166" s="188" t="s">
        <v>318</v>
      </c>
      <c r="E166" s="188" t="s">
        <v>318</v>
      </c>
      <c r="F166" s="188" t="s">
        <v>318</v>
      </c>
      <c r="G166" s="188" t="s">
        <v>318</v>
      </c>
      <c r="H166" s="188" t="s">
        <v>318</v>
      </c>
      <c r="I166" s="188" t="s">
        <v>318</v>
      </c>
      <c r="J166" s="188" t="s">
        <v>318</v>
      </c>
      <c r="K166" s="188" t="s">
        <v>318</v>
      </c>
      <c r="L166" s="188" t="s">
        <v>318</v>
      </c>
      <c r="M166" s="188" t="s">
        <v>318</v>
      </c>
      <c r="N166" s="188" t="s">
        <v>318</v>
      </c>
      <c r="O166" s="188" t="s">
        <v>318</v>
      </c>
      <c r="P166" s="188" t="s">
        <v>318</v>
      </c>
      <c r="Q166" s="188" t="s">
        <v>318</v>
      </c>
      <c r="R166" s="188" t="s">
        <v>318</v>
      </c>
      <c r="S166" s="188" t="s">
        <v>318</v>
      </c>
      <c r="T166" s="188" t="s">
        <v>318</v>
      </c>
      <c r="U166" s="188" t="s">
        <v>318</v>
      </c>
      <c r="V166" s="188" t="s">
        <v>318</v>
      </c>
      <c r="W166" s="188" t="s">
        <v>318</v>
      </c>
      <c r="X166" s="53"/>
      <c r="Y166" s="53"/>
      <c r="Z166" s="53"/>
      <c r="AA166" s="53"/>
      <c r="AB166" s="53"/>
      <c r="AC166" s="53"/>
      <c r="AD166" s="53"/>
      <c r="AE166" s="107"/>
      <c r="AF166" s="53"/>
      <c r="AG166" s="107"/>
      <c r="AH166" s="107">
        <f t="shared" si="28"/>
        <v>0</v>
      </c>
    </row>
    <row r="167" spans="1:34" ht="15">
      <c r="A167" s="428" t="s">
        <v>155</v>
      </c>
      <c r="B167" s="53">
        <f t="shared" si="27"/>
        <v>0</v>
      </c>
      <c r="C167" s="103"/>
      <c r="D167" s="53"/>
      <c r="E167" s="53"/>
      <c r="F167" s="53"/>
      <c r="G167" s="14"/>
      <c r="H167" s="53"/>
      <c r="I167" s="53"/>
      <c r="J167" s="53"/>
      <c r="K167" s="53"/>
      <c r="L167" s="53"/>
      <c r="M167" s="53"/>
      <c r="N167" s="53"/>
      <c r="O167" s="53"/>
      <c r="P167" s="53"/>
      <c r="Q167" s="53"/>
      <c r="R167" s="53"/>
      <c r="S167" s="53"/>
      <c r="T167" s="53"/>
      <c r="U167" s="53"/>
      <c r="V167" s="53"/>
      <c r="W167" s="53"/>
      <c r="X167" s="53"/>
      <c r="Y167" s="14"/>
      <c r="Z167" s="53"/>
      <c r="AA167" s="53"/>
      <c r="AB167" s="53"/>
      <c r="AC167" s="53"/>
      <c r="AD167" s="53"/>
      <c r="AE167" s="107"/>
      <c r="AF167" s="53"/>
      <c r="AG167" s="107"/>
      <c r="AH167" s="107">
        <f t="shared" si="28"/>
        <v>0</v>
      </c>
    </row>
    <row r="168" spans="1:34" ht="15">
      <c r="A168" s="428" t="s">
        <v>156</v>
      </c>
      <c r="B168" s="53">
        <f t="shared" si="27"/>
        <v>0</v>
      </c>
      <c r="C168" s="103"/>
      <c r="D168" s="53"/>
      <c r="E168" s="53"/>
      <c r="F168" s="53"/>
      <c r="G168" s="53"/>
      <c r="H168" s="53"/>
      <c r="I168" s="53"/>
      <c r="J168" s="53"/>
      <c r="K168" s="53"/>
      <c r="L168" s="53"/>
      <c r="M168" s="53"/>
      <c r="N168" s="53"/>
      <c r="O168" s="53"/>
      <c r="P168" s="3027">
        <v>0</v>
      </c>
      <c r="Q168" s="3027">
        <v>0</v>
      </c>
      <c r="R168" s="3027">
        <v>0</v>
      </c>
      <c r="S168" s="3027">
        <v>0</v>
      </c>
      <c r="T168" s="3027">
        <v>0</v>
      </c>
      <c r="U168" s="3027">
        <v>0</v>
      </c>
      <c r="V168" s="3027">
        <v>0</v>
      </c>
      <c r="W168" s="3027">
        <v>0</v>
      </c>
      <c r="X168" s="3027">
        <v>0</v>
      </c>
      <c r="Y168" s="3027">
        <v>0</v>
      </c>
      <c r="Z168" s="3027">
        <v>0</v>
      </c>
      <c r="AA168" s="3027">
        <v>0</v>
      </c>
      <c r="AB168" s="3027">
        <v>0</v>
      </c>
      <c r="AC168" s="3027">
        <v>0</v>
      </c>
      <c r="AD168" s="3027">
        <v>0</v>
      </c>
      <c r="AE168" s="3027">
        <v>0</v>
      </c>
      <c r="AF168" s="3027">
        <v>0</v>
      </c>
      <c r="AG168" s="3027">
        <v>0</v>
      </c>
      <c r="AH168" s="107">
        <f t="shared" si="28"/>
        <v>0</v>
      </c>
    </row>
    <row r="169" spans="1:34" ht="15">
      <c r="A169" s="199" t="s">
        <v>144</v>
      </c>
      <c r="B169" s="200">
        <f>SUM(B157:B168)</f>
        <v>0.80200000000000005</v>
      </c>
      <c r="C169" s="100">
        <f>SUM(C157:C167)</f>
        <v>0</v>
      </c>
      <c r="D169" s="107">
        <f>SUM(D157:D167)</f>
        <v>0</v>
      </c>
      <c r="E169" s="107">
        <v>0</v>
      </c>
      <c r="F169" s="107">
        <f t="shared" ref="F169:AC169" si="29">SUM(F157:F167)</f>
        <v>0</v>
      </c>
      <c r="G169" s="107">
        <f t="shared" si="29"/>
        <v>0</v>
      </c>
      <c r="H169" s="107">
        <f t="shared" si="29"/>
        <v>0</v>
      </c>
      <c r="I169" s="107">
        <f t="shared" si="29"/>
        <v>0</v>
      </c>
      <c r="J169" s="107">
        <f t="shared" si="29"/>
        <v>0</v>
      </c>
      <c r="K169" s="107">
        <f t="shared" si="29"/>
        <v>0</v>
      </c>
      <c r="L169" s="107">
        <f t="shared" si="29"/>
        <v>0</v>
      </c>
      <c r="M169" s="107">
        <f t="shared" si="29"/>
        <v>0</v>
      </c>
      <c r="N169" s="107">
        <f t="shared" si="29"/>
        <v>0</v>
      </c>
      <c r="O169" s="107">
        <f t="shared" si="29"/>
        <v>0</v>
      </c>
      <c r="P169" s="107">
        <f t="shared" si="29"/>
        <v>0</v>
      </c>
      <c r="Q169" s="107">
        <f t="shared" si="29"/>
        <v>0</v>
      </c>
      <c r="R169" s="107">
        <f t="shared" si="29"/>
        <v>0</v>
      </c>
      <c r="S169" s="107">
        <f t="shared" si="29"/>
        <v>0.35699999999999998</v>
      </c>
      <c r="T169" s="107">
        <f t="shared" si="29"/>
        <v>0</v>
      </c>
      <c r="U169" s="107">
        <f t="shared" si="29"/>
        <v>0</v>
      </c>
      <c r="V169" s="107">
        <f t="shared" si="29"/>
        <v>0</v>
      </c>
      <c r="W169" s="107">
        <f t="shared" si="29"/>
        <v>0</v>
      </c>
      <c r="X169" s="107">
        <f t="shared" si="29"/>
        <v>0.44500000000000001</v>
      </c>
      <c r="Y169" s="107">
        <f t="shared" si="29"/>
        <v>0</v>
      </c>
      <c r="Z169" s="107">
        <f t="shared" si="29"/>
        <v>0</v>
      </c>
      <c r="AA169" s="107">
        <f t="shared" si="29"/>
        <v>0</v>
      </c>
      <c r="AB169" s="107">
        <f t="shared" si="29"/>
        <v>0</v>
      </c>
      <c r="AC169" s="107">
        <f t="shared" si="29"/>
        <v>0</v>
      </c>
      <c r="AD169" s="107">
        <v>0</v>
      </c>
      <c r="AE169" s="107">
        <f>SUM(AE157:AE167)</f>
        <v>0</v>
      </c>
      <c r="AF169" s="107">
        <f>SUM(AF157:AF167)</f>
        <v>0</v>
      </c>
      <c r="AG169" s="107">
        <f>SUM(AG157:AG167)</f>
        <v>0</v>
      </c>
      <c r="AH169" s="100">
        <f>SUM(AH157:AH167)</f>
        <v>0.80200000000000005</v>
      </c>
    </row>
    <row r="170" spans="1:34" ht="5.0999999999999996" customHeight="1">
      <c r="A170" s="104"/>
      <c r="B170" s="105"/>
      <c r="C170" s="1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c r="AA170" s="106"/>
      <c r="AB170" s="106"/>
      <c r="AC170" s="106"/>
      <c r="AD170" s="106"/>
      <c r="AE170" s="106"/>
      <c r="AF170" s="106"/>
      <c r="AG170" s="106"/>
      <c r="AH170" s="16"/>
    </row>
    <row r="171" spans="1:34" ht="15">
      <c r="A171" s="3854" t="s">
        <v>288</v>
      </c>
      <c r="B171" s="3855"/>
      <c r="C171" s="3855"/>
      <c r="D171" s="3855"/>
      <c r="E171" s="3855"/>
      <c r="F171" s="3855"/>
      <c r="G171" s="3855"/>
      <c r="H171" s="3856"/>
      <c r="I171" s="3649"/>
      <c r="J171" s="96"/>
      <c r="K171" s="96"/>
      <c r="L171" s="96"/>
      <c r="M171" s="96"/>
      <c r="N171" s="96"/>
      <c r="O171" s="96"/>
      <c r="P171" s="96"/>
      <c r="Q171" s="96"/>
      <c r="R171" s="96"/>
      <c r="S171" s="14"/>
      <c r="T171" s="14"/>
      <c r="U171" s="14"/>
      <c r="V171" s="14"/>
      <c r="W171" s="14"/>
      <c r="X171" s="14"/>
      <c r="Y171" s="14"/>
      <c r="Z171" s="14"/>
      <c r="AA171" s="14"/>
      <c r="AB171" s="14"/>
      <c r="AC171" s="14"/>
      <c r="AD171" s="14"/>
      <c r="AE171" s="14"/>
      <c r="AF171" s="14"/>
      <c r="AG171" s="14"/>
      <c r="AH171" s="14"/>
    </row>
    <row r="172" spans="1:34" ht="15">
      <c r="A172" s="8" t="s">
        <v>142</v>
      </c>
      <c r="B172" s="8" t="s">
        <v>143</v>
      </c>
      <c r="C172" s="2907">
        <v>1</v>
      </c>
      <c r="D172" s="73">
        <v>2</v>
      </c>
      <c r="E172" s="73">
        <v>3</v>
      </c>
      <c r="F172" s="73">
        <v>4</v>
      </c>
      <c r="G172" s="73">
        <v>5</v>
      </c>
      <c r="H172" s="73">
        <v>6</v>
      </c>
      <c r="I172" s="73">
        <v>7</v>
      </c>
      <c r="J172" s="73">
        <v>8</v>
      </c>
      <c r="K172" s="73">
        <v>9</v>
      </c>
      <c r="L172" s="73">
        <v>10</v>
      </c>
      <c r="M172" s="73">
        <v>11</v>
      </c>
      <c r="N172" s="73">
        <v>12</v>
      </c>
      <c r="O172" s="73">
        <v>13</v>
      </c>
      <c r="P172" s="73">
        <v>14</v>
      </c>
      <c r="Q172" s="73">
        <v>15</v>
      </c>
      <c r="R172" s="73">
        <v>16</v>
      </c>
      <c r="S172" s="73">
        <v>17</v>
      </c>
      <c r="T172" s="73">
        <v>18</v>
      </c>
      <c r="U172" s="73">
        <v>19</v>
      </c>
      <c r="V172" s="73">
        <v>20</v>
      </c>
      <c r="W172" s="73">
        <v>21</v>
      </c>
      <c r="X172" s="73">
        <v>22</v>
      </c>
      <c r="Y172" s="73">
        <v>23</v>
      </c>
      <c r="Z172" s="73">
        <v>24</v>
      </c>
      <c r="AA172" s="73">
        <v>25</v>
      </c>
      <c r="AB172" s="73">
        <v>26</v>
      </c>
      <c r="AC172" s="73">
        <v>27</v>
      </c>
      <c r="AD172" s="73">
        <v>28</v>
      </c>
      <c r="AE172" s="73">
        <v>29</v>
      </c>
      <c r="AF172" s="73">
        <v>30</v>
      </c>
      <c r="AG172" s="73">
        <v>31</v>
      </c>
      <c r="AH172" s="88" t="s">
        <v>144</v>
      </c>
    </row>
    <row r="173" spans="1:34" ht="15">
      <c r="A173" s="427" t="s">
        <v>145</v>
      </c>
      <c r="B173" s="162">
        <f t="shared" ref="B173:B184" si="30">+AH173</f>
        <v>0</v>
      </c>
      <c r="C173" s="360" t="s">
        <v>311</v>
      </c>
      <c r="D173" s="360" t="s">
        <v>311</v>
      </c>
      <c r="E173" s="360" t="s">
        <v>311</v>
      </c>
      <c r="F173" s="360" t="s">
        <v>311</v>
      </c>
      <c r="G173" s="360" t="s">
        <v>311</v>
      </c>
      <c r="H173" s="360" t="s">
        <v>311</v>
      </c>
      <c r="I173" s="360" t="s">
        <v>311</v>
      </c>
      <c r="J173" s="360" t="s">
        <v>311</v>
      </c>
      <c r="K173" s="360" t="s">
        <v>311</v>
      </c>
      <c r="L173" s="360" t="s">
        <v>311</v>
      </c>
      <c r="M173" s="360" t="s">
        <v>311</v>
      </c>
      <c r="N173" s="360" t="s">
        <v>311</v>
      </c>
      <c r="O173" s="360" t="s">
        <v>311</v>
      </c>
      <c r="P173" s="360" t="s">
        <v>311</v>
      </c>
      <c r="Q173" s="360" t="s">
        <v>311</v>
      </c>
      <c r="R173" s="360" t="s">
        <v>311</v>
      </c>
      <c r="S173" s="360" t="s">
        <v>311</v>
      </c>
      <c r="T173" s="360" t="s">
        <v>311</v>
      </c>
      <c r="U173" s="360" t="s">
        <v>311</v>
      </c>
      <c r="V173" s="360" t="s">
        <v>311</v>
      </c>
      <c r="W173" s="360" t="s">
        <v>311</v>
      </c>
      <c r="X173" s="360" t="s">
        <v>311</v>
      </c>
      <c r="Y173" s="360" t="s">
        <v>311</v>
      </c>
      <c r="Z173" s="360" t="s">
        <v>311</v>
      </c>
      <c r="AA173" s="360" t="s">
        <v>311</v>
      </c>
      <c r="AB173" s="360" t="s">
        <v>311</v>
      </c>
      <c r="AC173" s="360" t="s">
        <v>311</v>
      </c>
      <c r="AD173" s="360" t="s">
        <v>311</v>
      </c>
      <c r="AE173" s="360" t="s">
        <v>311</v>
      </c>
      <c r="AF173" s="360" t="s">
        <v>311</v>
      </c>
      <c r="AG173" s="360" t="s">
        <v>311</v>
      </c>
      <c r="AH173" s="107">
        <f>SUM(C173:AG173)</f>
        <v>0</v>
      </c>
    </row>
    <row r="174" spans="1:34" ht="15">
      <c r="A174" s="427" t="s">
        <v>146</v>
      </c>
      <c r="B174" s="162">
        <f t="shared" si="30"/>
        <v>0</v>
      </c>
      <c r="C174" s="360" t="s">
        <v>311</v>
      </c>
      <c r="D174" s="360" t="s">
        <v>311</v>
      </c>
      <c r="E174" s="360" t="s">
        <v>311</v>
      </c>
      <c r="F174" s="360" t="s">
        <v>311</v>
      </c>
      <c r="G174" s="360" t="s">
        <v>311</v>
      </c>
      <c r="H174" s="360" t="s">
        <v>311</v>
      </c>
      <c r="I174" s="360" t="s">
        <v>311</v>
      </c>
      <c r="J174" s="361"/>
      <c r="K174" s="361"/>
      <c r="L174" s="361"/>
      <c r="M174" s="361"/>
      <c r="N174" s="361"/>
      <c r="O174" s="361"/>
      <c r="P174" s="361"/>
      <c r="Q174" s="361"/>
      <c r="R174" s="361"/>
      <c r="S174" s="361"/>
      <c r="T174" s="361"/>
      <c r="U174" s="361"/>
      <c r="V174" s="361"/>
      <c r="W174" s="361"/>
      <c r="X174" s="361"/>
      <c r="Y174" s="361"/>
      <c r="Z174" s="361"/>
      <c r="AA174" s="361"/>
      <c r="AB174" s="361"/>
      <c r="AC174" s="361"/>
      <c r="AD174" s="361"/>
      <c r="AE174" s="361"/>
      <c r="AF174" s="361"/>
      <c r="AG174" s="361"/>
      <c r="AH174" s="107">
        <f>SUM(C174:AG174)</f>
        <v>0</v>
      </c>
    </row>
    <row r="175" spans="1:34" ht="15">
      <c r="A175" s="427" t="s">
        <v>147</v>
      </c>
      <c r="B175" s="162">
        <f t="shared" si="30"/>
        <v>0</v>
      </c>
      <c r="C175" s="361"/>
      <c r="D175" s="361"/>
      <c r="E175" s="361"/>
      <c r="F175" s="361"/>
      <c r="G175" s="361"/>
      <c r="H175" s="306"/>
      <c r="I175" s="306"/>
      <c r="J175" s="306"/>
      <c r="K175" s="306"/>
      <c r="L175" s="306"/>
      <c r="M175" s="306"/>
      <c r="N175" s="306"/>
      <c r="O175" s="306"/>
      <c r="P175" s="306"/>
      <c r="Q175" s="306"/>
      <c r="R175" s="306"/>
      <c r="S175" s="306"/>
      <c r="T175" s="306"/>
      <c r="U175" s="306"/>
      <c r="V175" s="306"/>
      <c r="W175" s="306"/>
      <c r="X175" s="306"/>
      <c r="Y175" s="306"/>
      <c r="Z175" s="306"/>
      <c r="AA175" s="306"/>
      <c r="AB175" s="306"/>
      <c r="AC175" s="360" t="s">
        <v>311</v>
      </c>
      <c r="AD175" s="360" t="s">
        <v>311</v>
      </c>
      <c r="AE175" s="360" t="s">
        <v>311</v>
      </c>
      <c r="AF175" s="360" t="s">
        <v>311</v>
      </c>
      <c r="AG175" s="360" t="s">
        <v>311</v>
      </c>
      <c r="AH175" s="107">
        <f>SUM(C175:AG175)</f>
        <v>0</v>
      </c>
    </row>
    <row r="176" spans="1:34" ht="15">
      <c r="A176" s="427" t="s">
        <v>148</v>
      </c>
      <c r="B176" s="162">
        <f t="shared" si="30"/>
        <v>0</v>
      </c>
      <c r="C176" s="360" t="s">
        <v>311</v>
      </c>
      <c r="D176" s="360" t="s">
        <v>311</v>
      </c>
      <c r="E176" s="360" t="s">
        <v>311</v>
      </c>
      <c r="F176" s="360" t="s">
        <v>311</v>
      </c>
      <c r="G176" s="360" t="s">
        <v>311</v>
      </c>
      <c r="H176" s="360" t="s">
        <v>311</v>
      </c>
      <c r="I176" s="360" t="s">
        <v>311</v>
      </c>
      <c r="J176" s="360" t="s">
        <v>311</v>
      </c>
      <c r="K176" s="360" t="s">
        <v>311</v>
      </c>
      <c r="L176" s="306"/>
      <c r="M176" s="306"/>
      <c r="N176" s="306"/>
      <c r="O176" s="306"/>
      <c r="P176" s="306"/>
      <c r="Q176" s="306"/>
      <c r="R176" s="306"/>
      <c r="S176" s="306"/>
      <c r="T176" s="306"/>
      <c r="U176" s="306"/>
      <c r="V176" s="306"/>
      <c r="W176" s="306"/>
      <c r="X176" s="306"/>
      <c r="Y176" s="306"/>
      <c r="Z176" s="306"/>
      <c r="AA176" s="306"/>
      <c r="AB176" s="306"/>
      <c r="AC176" s="306"/>
      <c r="AD176" s="306"/>
      <c r="AE176" s="306"/>
      <c r="AF176" s="306"/>
      <c r="AG176" s="306"/>
      <c r="AH176" s="107">
        <f t="shared" ref="AH176:AH184" si="31">SUM(C176:AG176)</f>
        <v>0</v>
      </c>
    </row>
    <row r="177" spans="1:34" ht="15">
      <c r="A177" s="414" t="s">
        <v>149</v>
      </c>
      <c r="B177" s="162">
        <f t="shared" si="30"/>
        <v>0</v>
      </c>
      <c r="C177" s="103"/>
      <c r="D177" s="53"/>
      <c r="E177" s="53"/>
      <c r="F177" s="53"/>
      <c r="G177" s="53"/>
      <c r="H177" s="53"/>
      <c r="I177" s="53"/>
      <c r="J177" s="53"/>
      <c r="K177" s="53"/>
      <c r="L177" s="53"/>
      <c r="M177" s="53"/>
      <c r="N177" s="53"/>
      <c r="O177" s="53"/>
      <c r="P177" s="53"/>
      <c r="Q177" s="53"/>
      <c r="R177" s="53"/>
      <c r="S177" s="53"/>
      <c r="T177" s="53"/>
      <c r="U177" s="53"/>
      <c r="V177" s="53"/>
      <c r="W177" s="53"/>
      <c r="X177" s="53"/>
      <c r="Y177" s="53"/>
      <c r="Z177" s="53"/>
      <c r="AA177" s="53"/>
      <c r="AB177" s="53"/>
      <c r="AC177" s="53"/>
      <c r="AD177" s="53"/>
      <c r="AE177" s="53"/>
      <c r="AF177" s="53"/>
      <c r="AG177" s="53"/>
      <c r="AH177" s="107">
        <f t="shared" si="31"/>
        <v>0</v>
      </c>
    </row>
    <row r="178" spans="1:34" ht="15">
      <c r="A178" s="414" t="s">
        <v>150</v>
      </c>
      <c r="B178" s="162">
        <f t="shared" si="30"/>
        <v>0</v>
      </c>
      <c r="C178" s="103"/>
      <c r="D178" s="53"/>
      <c r="E178" s="53"/>
      <c r="F178" s="53"/>
      <c r="G178" s="53"/>
      <c r="H178" s="188" t="s">
        <v>318</v>
      </c>
      <c r="I178" s="188" t="s">
        <v>318</v>
      </c>
      <c r="J178" s="188" t="s">
        <v>318</v>
      </c>
      <c r="K178" s="188" t="s">
        <v>318</v>
      </c>
      <c r="L178" s="188" t="s">
        <v>318</v>
      </c>
      <c r="M178" s="188" t="s">
        <v>318</v>
      </c>
      <c r="N178" s="188" t="s">
        <v>318</v>
      </c>
      <c r="O178" s="188" t="s">
        <v>318</v>
      </c>
      <c r="P178" s="188" t="s">
        <v>318</v>
      </c>
      <c r="Q178" s="188" t="s">
        <v>318</v>
      </c>
      <c r="R178" s="188" t="s">
        <v>318</v>
      </c>
      <c r="S178" s="188" t="s">
        <v>318</v>
      </c>
      <c r="T178" s="188" t="s">
        <v>318</v>
      </c>
      <c r="U178" s="188" t="s">
        <v>318</v>
      </c>
      <c r="V178" s="188" t="s">
        <v>318</v>
      </c>
      <c r="W178" s="188" t="s">
        <v>318</v>
      </c>
      <c r="X178" s="188" t="s">
        <v>318</v>
      </c>
      <c r="Y178" s="53"/>
      <c r="Z178" s="53"/>
      <c r="AA178" s="53"/>
      <c r="AB178" s="53"/>
      <c r="AC178" s="53"/>
      <c r="AD178" s="53"/>
      <c r="AE178" s="53"/>
      <c r="AF178" s="53"/>
      <c r="AG178" s="53"/>
      <c r="AH178" s="107">
        <f t="shared" si="31"/>
        <v>0</v>
      </c>
    </row>
    <row r="179" spans="1:34" ht="15">
      <c r="A179" s="414" t="s">
        <v>151</v>
      </c>
      <c r="B179" s="162">
        <f t="shared" si="30"/>
        <v>0</v>
      </c>
      <c r="C179" s="103"/>
      <c r="D179" s="107"/>
      <c r="E179" s="107"/>
      <c r="F179" s="107"/>
      <c r="G179" s="53"/>
      <c r="H179" s="53"/>
      <c r="I179" s="53"/>
      <c r="J179" s="111"/>
      <c r="K179" s="111"/>
      <c r="L179" s="107"/>
      <c r="M179" s="107"/>
      <c r="N179" s="107"/>
      <c r="O179" s="107"/>
      <c r="P179" s="107"/>
      <c r="Q179" s="107"/>
      <c r="R179" s="107"/>
      <c r="S179" s="107"/>
      <c r="T179" s="107"/>
      <c r="U179" s="107"/>
      <c r="V179" s="107"/>
      <c r="W179" s="107"/>
      <c r="X179" s="107"/>
      <c r="Y179" s="107"/>
      <c r="Z179" s="107"/>
      <c r="AA179" s="107"/>
      <c r="AB179" s="107"/>
      <c r="AC179" s="107"/>
      <c r="AD179" s="107"/>
      <c r="AE179" s="107"/>
      <c r="AF179" s="107"/>
      <c r="AG179" s="107"/>
      <c r="AH179" s="107">
        <f t="shared" si="31"/>
        <v>0</v>
      </c>
    </row>
    <row r="180" spans="1:34" ht="15">
      <c r="A180" s="414" t="s">
        <v>152</v>
      </c>
      <c r="B180" s="162">
        <f t="shared" si="30"/>
        <v>0</v>
      </c>
      <c r="C180" s="103"/>
      <c r="D180" s="53"/>
      <c r="E180" s="53"/>
      <c r="F180" s="53"/>
      <c r="G180" s="53"/>
      <c r="H180" s="53"/>
      <c r="I180" s="53"/>
      <c r="J180" s="188" t="s">
        <v>318</v>
      </c>
      <c r="K180" s="188" t="s">
        <v>318</v>
      </c>
      <c r="L180" s="188" t="s">
        <v>318</v>
      </c>
      <c r="M180" s="188" t="s">
        <v>318</v>
      </c>
      <c r="N180" s="188" t="s">
        <v>318</v>
      </c>
      <c r="O180" s="188" t="s">
        <v>318</v>
      </c>
      <c r="P180" s="188" t="s">
        <v>318</v>
      </c>
      <c r="Q180" s="188" t="s">
        <v>318</v>
      </c>
      <c r="R180" s="188" t="s">
        <v>318</v>
      </c>
      <c r="S180" s="188" t="s">
        <v>318</v>
      </c>
      <c r="T180" s="188" t="s">
        <v>318</v>
      </c>
      <c r="U180" s="188" t="s">
        <v>318</v>
      </c>
      <c r="V180" s="188" t="s">
        <v>318</v>
      </c>
      <c r="W180" s="188" t="s">
        <v>318</v>
      </c>
      <c r="X180" s="188" t="s">
        <v>318</v>
      </c>
      <c r="Y180" s="188" t="s">
        <v>318</v>
      </c>
      <c r="Z180" s="188" t="s">
        <v>318</v>
      </c>
      <c r="AA180" s="188" t="s">
        <v>318</v>
      </c>
      <c r="AB180" s="188" t="s">
        <v>318</v>
      </c>
      <c r="AC180" s="188" t="s">
        <v>318</v>
      </c>
      <c r="AD180" s="188" t="s">
        <v>318</v>
      </c>
      <c r="AE180" s="188" t="s">
        <v>318</v>
      </c>
      <c r="AF180" s="188" t="s">
        <v>318</v>
      </c>
      <c r="AG180" s="188" t="s">
        <v>318</v>
      </c>
      <c r="AH180" s="107">
        <f t="shared" si="31"/>
        <v>0</v>
      </c>
    </row>
    <row r="181" spans="1:34" ht="15">
      <c r="A181" s="428" t="s">
        <v>153</v>
      </c>
      <c r="B181" s="162">
        <f t="shared" si="30"/>
        <v>0</v>
      </c>
      <c r="C181" s="188" t="s">
        <v>318</v>
      </c>
      <c r="D181" s="188" t="s">
        <v>318</v>
      </c>
      <c r="E181" s="188" t="s">
        <v>318</v>
      </c>
      <c r="F181" s="188" t="s">
        <v>318</v>
      </c>
      <c r="G181" s="188" t="s">
        <v>318</v>
      </c>
      <c r="H181" s="188" t="s">
        <v>318</v>
      </c>
      <c r="I181" s="188" t="s">
        <v>318</v>
      </c>
      <c r="J181" s="188" t="s">
        <v>318</v>
      </c>
      <c r="K181" s="188" t="s">
        <v>318</v>
      </c>
      <c r="L181" s="188" t="s">
        <v>318</v>
      </c>
      <c r="M181" s="188" t="s">
        <v>318</v>
      </c>
      <c r="N181" s="188" t="s">
        <v>318</v>
      </c>
      <c r="O181" s="188" t="s">
        <v>318</v>
      </c>
      <c r="P181" s="188" t="s">
        <v>318</v>
      </c>
      <c r="Q181" s="188" t="s">
        <v>318</v>
      </c>
      <c r="R181" s="188" t="s">
        <v>318</v>
      </c>
      <c r="S181" s="188" t="s">
        <v>318</v>
      </c>
      <c r="T181" s="188" t="s">
        <v>318</v>
      </c>
      <c r="U181" s="188" t="s">
        <v>318</v>
      </c>
      <c r="V181" s="188" t="s">
        <v>318</v>
      </c>
      <c r="W181" s="188" t="s">
        <v>318</v>
      </c>
      <c r="X181" s="188" t="s">
        <v>318</v>
      </c>
      <c r="Y181" s="188" t="s">
        <v>318</v>
      </c>
      <c r="Z181" s="188" t="s">
        <v>318</v>
      </c>
      <c r="AA181" s="188" t="s">
        <v>318</v>
      </c>
      <c r="AB181" s="188" t="s">
        <v>318</v>
      </c>
      <c r="AC181" s="188" t="s">
        <v>318</v>
      </c>
      <c r="AD181" s="188" t="s">
        <v>318</v>
      </c>
      <c r="AE181" s="188" t="s">
        <v>318</v>
      </c>
      <c r="AF181" s="188" t="s">
        <v>318</v>
      </c>
      <c r="AG181" s="188" t="s">
        <v>318</v>
      </c>
      <c r="AH181" s="107">
        <f t="shared" si="31"/>
        <v>0</v>
      </c>
    </row>
    <row r="182" spans="1:34" ht="15">
      <c r="A182" s="428" t="s">
        <v>154</v>
      </c>
      <c r="B182" s="162">
        <f t="shared" si="30"/>
        <v>0</v>
      </c>
      <c r="C182" s="188" t="s">
        <v>318</v>
      </c>
      <c r="D182" s="188" t="s">
        <v>318</v>
      </c>
      <c r="E182" s="188" t="s">
        <v>318</v>
      </c>
      <c r="F182" s="188" t="s">
        <v>318</v>
      </c>
      <c r="G182" s="188" t="s">
        <v>318</v>
      </c>
      <c r="H182" s="188" t="s">
        <v>318</v>
      </c>
      <c r="I182" s="188" t="s">
        <v>318</v>
      </c>
      <c r="J182" s="188" t="s">
        <v>318</v>
      </c>
      <c r="K182" s="188" t="s">
        <v>318</v>
      </c>
      <c r="L182" s="188" t="s">
        <v>318</v>
      </c>
      <c r="M182" s="188" t="s">
        <v>318</v>
      </c>
      <c r="N182" s="188" t="s">
        <v>318</v>
      </c>
      <c r="O182" s="188" t="s">
        <v>318</v>
      </c>
      <c r="P182" s="188" t="s">
        <v>318</v>
      </c>
      <c r="Q182" s="188" t="s">
        <v>318</v>
      </c>
      <c r="R182" s="188" t="s">
        <v>318</v>
      </c>
      <c r="S182" s="188" t="s">
        <v>318</v>
      </c>
      <c r="T182" s="188" t="s">
        <v>318</v>
      </c>
      <c r="U182" s="188" t="s">
        <v>318</v>
      </c>
      <c r="V182" s="188" t="s">
        <v>318</v>
      </c>
      <c r="W182" s="188" t="s">
        <v>318</v>
      </c>
      <c r="X182" s="53"/>
      <c r="Y182" s="53"/>
      <c r="Z182" s="53"/>
      <c r="AA182" s="53"/>
      <c r="AB182" s="53"/>
      <c r="AC182" s="53"/>
      <c r="AD182" s="53"/>
      <c r="AE182" s="107"/>
      <c r="AF182" s="53"/>
      <c r="AG182" s="107"/>
      <c r="AH182" s="107">
        <f t="shared" si="31"/>
        <v>0</v>
      </c>
    </row>
    <row r="183" spans="1:34" ht="15">
      <c r="A183" s="428" t="s">
        <v>155</v>
      </c>
      <c r="B183" s="162">
        <f t="shared" si="30"/>
        <v>0</v>
      </c>
      <c r="C183" s="103"/>
      <c r="D183" s="53"/>
      <c r="E183" s="53"/>
      <c r="F183" s="53"/>
      <c r="G183" s="14"/>
      <c r="H183" s="53"/>
      <c r="I183" s="53"/>
      <c r="J183" s="53"/>
      <c r="K183" s="53"/>
      <c r="L183" s="53"/>
      <c r="M183" s="53"/>
      <c r="N183" s="53"/>
      <c r="O183" s="53"/>
      <c r="P183" s="53"/>
      <c r="Q183" s="53"/>
      <c r="R183" s="53"/>
      <c r="S183" s="53"/>
      <c r="T183" s="53"/>
      <c r="U183" s="53"/>
      <c r="V183" s="53"/>
      <c r="W183" s="53"/>
      <c r="X183" s="53"/>
      <c r="Y183" s="14"/>
      <c r="Z183" s="53"/>
      <c r="AA183" s="53"/>
      <c r="AB183" s="53"/>
      <c r="AC183" s="53"/>
      <c r="AD183" s="53"/>
      <c r="AE183" s="107"/>
      <c r="AF183" s="53"/>
      <c r="AG183" s="107"/>
      <c r="AH183" s="107">
        <f t="shared" si="31"/>
        <v>0</v>
      </c>
    </row>
    <row r="184" spans="1:34" ht="15">
      <c r="A184" s="428" t="s">
        <v>156</v>
      </c>
      <c r="B184" s="162">
        <f t="shared" si="30"/>
        <v>0</v>
      </c>
      <c r="C184" s="103"/>
      <c r="D184" s="53"/>
      <c r="E184" s="53"/>
      <c r="F184" s="53"/>
      <c r="G184" s="53"/>
      <c r="H184" s="53"/>
      <c r="I184" s="53"/>
      <c r="J184" s="53"/>
      <c r="K184" s="53"/>
      <c r="L184" s="53"/>
      <c r="M184" s="53"/>
      <c r="N184" s="53"/>
      <c r="O184" s="53"/>
      <c r="P184" s="3027">
        <v>0</v>
      </c>
      <c r="Q184" s="3027">
        <v>0</v>
      </c>
      <c r="R184" s="3027">
        <v>0</v>
      </c>
      <c r="S184" s="3027">
        <v>0</v>
      </c>
      <c r="T184" s="3027">
        <v>0</v>
      </c>
      <c r="U184" s="3027">
        <v>0</v>
      </c>
      <c r="V184" s="3027">
        <v>0</v>
      </c>
      <c r="W184" s="3027">
        <v>0</v>
      </c>
      <c r="X184" s="3027">
        <v>0</v>
      </c>
      <c r="Y184" s="3027">
        <v>0</v>
      </c>
      <c r="Z184" s="3027">
        <v>0</v>
      </c>
      <c r="AA184" s="3027">
        <v>0</v>
      </c>
      <c r="AB184" s="3027">
        <v>0</v>
      </c>
      <c r="AC184" s="3027">
        <v>0</v>
      </c>
      <c r="AD184" s="3027">
        <v>0</v>
      </c>
      <c r="AE184" s="3027">
        <v>0</v>
      </c>
      <c r="AF184" s="3027">
        <v>0</v>
      </c>
      <c r="AG184" s="3027">
        <v>0</v>
      </c>
      <c r="AH184" s="107">
        <f t="shared" si="31"/>
        <v>0</v>
      </c>
    </row>
    <row r="185" spans="1:34" ht="15">
      <c r="A185" s="199" t="s">
        <v>144</v>
      </c>
      <c r="B185" s="232">
        <f>SUM(B173:B184)</f>
        <v>0</v>
      </c>
      <c r="C185" s="100">
        <f>SUM(C173:C183)</f>
        <v>0</v>
      </c>
      <c r="D185" s="107">
        <f>SUM(D173:D183)</f>
        <v>0</v>
      </c>
      <c r="E185" s="107">
        <v>0</v>
      </c>
      <c r="F185" s="107">
        <f t="shared" ref="F185:AC185" si="32">SUM(F173:F183)</f>
        <v>0</v>
      </c>
      <c r="G185" s="107">
        <f t="shared" si="32"/>
        <v>0</v>
      </c>
      <c r="H185" s="107">
        <f t="shared" si="32"/>
        <v>0</v>
      </c>
      <c r="I185" s="107">
        <f t="shared" si="32"/>
        <v>0</v>
      </c>
      <c r="J185" s="107">
        <f t="shared" si="32"/>
        <v>0</v>
      </c>
      <c r="K185" s="107">
        <f t="shared" si="32"/>
        <v>0</v>
      </c>
      <c r="L185" s="107">
        <f t="shared" si="32"/>
        <v>0</v>
      </c>
      <c r="M185" s="107">
        <f t="shared" si="32"/>
        <v>0</v>
      </c>
      <c r="N185" s="107">
        <f t="shared" si="32"/>
        <v>0</v>
      </c>
      <c r="O185" s="107">
        <f t="shared" si="32"/>
        <v>0</v>
      </c>
      <c r="P185" s="107">
        <f t="shared" si="32"/>
        <v>0</v>
      </c>
      <c r="Q185" s="107">
        <f t="shared" si="32"/>
        <v>0</v>
      </c>
      <c r="R185" s="107">
        <f t="shared" si="32"/>
        <v>0</v>
      </c>
      <c r="S185" s="107">
        <f t="shared" si="32"/>
        <v>0</v>
      </c>
      <c r="T185" s="107">
        <f t="shared" si="32"/>
        <v>0</v>
      </c>
      <c r="U185" s="107">
        <f t="shared" si="32"/>
        <v>0</v>
      </c>
      <c r="V185" s="107">
        <f t="shared" si="32"/>
        <v>0</v>
      </c>
      <c r="W185" s="107">
        <f t="shared" si="32"/>
        <v>0</v>
      </c>
      <c r="X185" s="107">
        <f t="shared" si="32"/>
        <v>0</v>
      </c>
      <c r="Y185" s="107">
        <f t="shared" si="32"/>
        <v>0</v>
      </c>
      <c r="Z185" s="107">
        <f t="shared" si="32"/>
        <v>0</v>
      </c>
      <c r="AA185" s="107">
        <f t="shared" si="32"/>
        <v>0</v>
      </c>
      <c r="AB185" s="107">
        <f t="shared" si="32"/>
        <v>0</v>
      </c>
      <c r="AC185" s="107">
        <f t="shared" si="32"/>
        <v>0</v>
      </c>
      <c r="AD185" s="107">
        <v>0</v>
      </c>
      <c r="AE185" s="107">
        <f>SUM(AE173:AE183)</f>
        <v>0</v>
      </c>
      <c r="AF185" s="107">
        <f>SUM(AF173:AF183)</f>
        <v>0</v>
      </c>
      <c r="AG185" s="107">
        <f>SUM(AG173:AG183)</f>
        <v>0</v>
      </c>
      <c r="AH185" s="100">
        <f>SUM(AH173:AH183)</f>
        <v>0</v>
      </c>
    </row>
    <row r="186" spans="1:34" ht="5.0999999999999996" customHeight="1">
      <c r="A186" s="104"/>
      <c r="B186" s="105"/>
      <c r="C186" s="1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c r="AA186" s="106"/>
      <c r="AB186" s="106"/>
      <c r="AC186" s="106"/>
      <c r="AD186" s="106"/>
      <c r="AE186" s="106"/>
      <c r="AF186" s="106"/>
      <c r="AG186" s="106"/>
      <c r="AH186" s="16"/>
    </row>
    <row r="187" spans="1:34" ht="15">
      <c r="A187" s="3854" t="s">
        <v>1249</v>
      </c>
      <c r="B187" s="3855"/>
      <c r="C187" s="3855"/>
      <c r="D187" s="3855"/>
      <c r="E187" s="3855"/>
      <c r="F187" s="3855"/>
      <c r="G187" s="3855"/>
      <c r="H187" s="3856"/>
      <c r="I187" s="3649"/>
      <c r="J187" s="96"/>
      <c r="K187" s="96"/>
      <c r="L187" s="96"/>
      <c r="M187" s="96"/>
      <c r="N187" s="96"/>
      <c r="O187" s="96"/>
      <c r="P187" s="96"/>
      <c r="Q187" s="96"/>
      <c r="R187" s="96"/>
      <c r="S187" s="14"/>
      <c r="T187" s="14"/>
      <c r="U187" s="14"/>
      <c r="V187" s="14"/>
      <c r="W187" s="14"/>
      <c r="X187" s="14"/>
      <c r="Y187" s="14"/>
      <c r="Z187" s="14"/>
      <c r="AA187" s="14"/>
      <c r="AB187" s="14"/>
      <c r="AC187" s="14"/>
      <c r="AD187" s="14"/>
      <c r="AE187" s="14"/>
      <c r="AF187" s="14"/>
      <c r="AG187" s="14"/>
      <c r="AH187" s="14"/>
    </row>
    <row r="188" spans="1:34" ht="15">
      <c r="A188" s="8" t="s">
        <v>142</v>
      </c>
      <c r="B188" s="8" t="s">
        <v>143</v>
      </c>
      <c r="C188" s="2907">
        <v>1</v>
      </c>
      <c r="D188" s="73">
        <v>2</v>
      </c>
      <c r="E188" s="73">
        <v>3</v>
      </c>
      <c r="F188" s="73">
        <v>4</v>
      </c>
      <c r="G188" s="73">
        <v>5</v>
      </c>
      <c r="H188" s="73">
        <v>6</v>
      </c>
      <c r="I188" s="73">
        <v>7</v>
      </c>
      <c r="J188" s="73">
        <v>8</v>
      </c>
      <c r="K188" s="73">
        <v>9</v>
      </c>
      <c r="L188" s="73">
        <v>10</v>
      </c>
      <c r="M188" s="73">
        <v>11</v>
      </c>
      <c r="N188" s="73">
        <v>12</v>
      </c>
      <c r="O188" s="73">
        <v>13</v>
      </c>
      <c r="P188" s="73">
        <v>14</v>
      </c>
      <c r="Q188" s="73">
        <v>15</v>
      </c>
      <c r="R188" s="73">
        <v>16</v>
      </c>
      <c r="S188" s="73">
        <v>17</v>
      </c>
      <c r="T188" s="73">
        <v>18</v>
      </c>
      <c r="U188" s="73">
        <v>19</v>
      </c>
      <c r="V188" s="73">
        <v>20</v>
      </c>
      <c r="W188" s="73">
        <v>21</v>
      </c>
      <c r="X188" s="73">
        <v>22</v>
      </c>
      <c r="Y188" s="73">
        <v>23</v>
      </c>
      <c r="Z188" s="73">
        <v>24</v>
      </c>
      <c r="AA188" s="73">
        <v>25</v>
      </c>
      <c r="AB188" s="73">
        <v>26</v>
      </c>
      <c r="AC188" s="73">
        <v>27</v>
      </c>
      <c r="AD188" s="73">
        <v>28</v>
      </c>
      <c r="AE188" s="73">
        <v>29</v>
      </c>
      <c r="AF188" s="73">
        <v>30</v>
      </c>
      <c r="AG188" s="73">
        <v>31</v>
      </c>
      <c r="AH188" s="88" t="s">
        <v>144</v>
      </c>
    </row>
    <row r="189" spans="1:34" ht="15">
      <c r="A189" s="427" t="s">
        <v>145</v>
      </c>
      <c r="B189" s="306">
        <f t="shared" ref="B189:B200" si="33">+AH189</f>
        <v>0</v>
      </c>
      <c r="C189" s="360" t="s">
        <v>311</v>
      </c>
      <c r="D189" s="360" t="s">
        <v>311</v>
      </c>
      <c r="E189" s="360" t="s">
        <v>311</v>
      </c>
      <c r="F189" s="360" t="s">
        <v>311</v>
      </c>
      <c r="G189" s="360" t="s">
        <v>311</v>
      </c>
      <c r="H189" s="360" t="s">
        <v>311</v>
      </c>
      <c r="I189" s="360" t="s">
        <v>311</v>
      </c>
      <c r="J189" s="360" t="s">
        <v>311</v>
      </c>
      <c r="K189" s="360" t="s">
        <v>311</v>
      </c>
      <c r="L189" s="360" t="s">
        <v>311</v>
      </c>
      <c r="M189" s="360" t="s">
        <v>311</v>
      </c>
      <c r="N189" s="360" t="s">
        <v>311</v>
      </c>
      <c r="O189" s="360" t="s">
        <v>311</v>
      </c>
      <c r="P189" s="360" t="s">
        <v>311</v>
      </c>
      <c r="Q189" s="360" t="s">
        <v>311</v>
      </c>
      <c r="R189" s="360" t="s">
        <v>311</v>
      </c>
      <c r="S189" s="360" t="s">
        <v>311</v>
      </c>
      <c r="T189" s="360" t="s">
        <v>311</v>
      </c>
      <c r="U189" s="360" t="s">
        <v>311</v>
      </c>
      <c r="V189" s="360" t="s">
        <v>311</v>
      </c>
      <c r="W189" s="360" t="s">
        <v>311</v>
      </c>
      <c r="X189" s="360" t="s">
        <v>311</v>
      </c>
      <c r="Y189" s="360" t="s">
        <v>311</v>
      </c>
      <c r="Z189" s="360" t="s">
        <v>311</v>
      </c>
      <c r="AA189" s="360" t="s">
        <v>311</v>
      </c>
      <c r="AB189" s="360" t="s">
        <v>311</v>
      </c>
      <c r="AC189" s="360" t="s">
        <v>311</v>
      </c>
      <c r="AD189" s="360" t="s">
        <v>311</v>
      </c>
      <c r="AE189" s="360" t="s">
        <v>311</v>
      </c>
      <c r="AF189" s="360" t="s">
        <v>311</v>
      </c>
      <c r="AG189" s="360" t="s">
        <v>311</v>
      </c>
      <c r="AH189" s="107">
        <f>SUM(C189:AG189)</f>
        <v>0</v>
      </c>
    </row>
    <row r="190" spans="1:34" ht="15">
      <c r="A190" s="427" t="s">
        <v>146</v>
      </c>
      <c r="B190" s="306">
        <f t="shared" si="33"/>
        <v>0</v>
      </c>
      <c r="C190" s="360" t="s">
        <v>311</v>
      </c>
      <c r="D190" s="360" t="s">
        <v>311</v>
      </c>
      <c r="E190" s="360" t="s">
        <v>311</v>
      </c>
      <c r="F190" s="360" t="s">
        <v>311</v>
      </c>
      <c r="G190" s="360" t="s">
        <v>311</v>
      </c>
      <c r="H190" s="360" t="s">
        <v>311</v>
      </c>
      <c r="I190" s="360" t="s">
        <v>311</v>
      </c>
      <c r="J190" s="361"/>
      <c r="K190" s="361"/>
      <c r="L190" s="361"/>
      <c r="M190" s="361"/>
      <c r="N190" s="361"/>
      <c r="O190" s="361"/>
      <c r="P190" s="361"/>
      <c r="Q190" s="361"/>
      <c r="R190" s="361"/>
      <c r="S190" s="361"/>
      <c r="T190" s="361"/>
      <c r="U190" s="361"/>
      <c r="V190" s="361"/>
      <c r="W190" s="361"/>
      <c r="X190" s="361"/>
      <c r="Y190" s="361"/>
      <c r="Z190" s="361"/>
      <c r="AA190" s="361"/>
      <c r="AB190" s="361"/>
      <c r="AC190" s="361"/>
      <c r="AD190" s="361"/>
      <c r="AE190" s="361"/>
      <c r="AF190" s="361"/>
      <c r="AG190" s="361"/>
      <c r="AH190" s="107">
        <f>SUM(C190:AG190)</f>
        <v>0</v>
      </c>
    </row>
    <row r="191" spans="1:34" ht="15">
      <c r="A191" s="427" t="s">
        <v>147</v>
      </c>
      <c r="B191" s="306">
        <f t="shared" si="33"/>
        <v>110.536</v>
      </c>
      <c r="C191" s="361"/>
      <c r="D191" s="361"/>
      <c r="E191" s="361"/>
      <c r="F191" s="361"/>
      <c r="G191" s="361"/>
      <c r="H191" s="306"/>
      <c r="I191" s="306"/>
      <c r="J191" s="306"/>
      <c r="K191" s="306">
        <v>33.94</v>
      </c>
      <c r="L191" s="306"/>
      <c r="M191" s="306">
        <v>1.3660000000000001</v>
      </c>
      <c r="N191" s="306"/>
      <c r="O191" s="306">
        <v>25.603000000000002</v>
      </c>
      <c r="P191" s="306"/>
      <c r="Q191" s="306"/>
      <c r="R191" s="306">
        <v>2.726</v>
      </c>
      <c r="S191" s="306"/>
      <c r="T191" s="306"/>
      <c r="U191" s="306"/>
      <c r="V191" s="306"/>
      <c r="W191" s="306"/>
      <c r="X191" s="306"/>
      <c r="Y191" s="306">
        <v>46.901000000000003</v>
      </c>
      <c r="Z191" s="306"/>
      <c r="AA191" s="306"/>
      <c r="AB191" s="306"/>
      <c r="AC191" s="360" t="s">
        <v>311</v>
      </c>
      <c r="AD191" s="360" t="s">
        <v>311</v>
      </c>
      <c r="AE191" s="360" t="s">
        <v>311</v>
      </c>
      <c r="AF191" s="360" t="s">
        <v>311</v>
      </c>
      <c r="AG191" s="360" t="s">
        <v>311</v>
      </c>
      <c r="AH191" s="107">
        <f>SUM(C191:AG191)</f>
        <v>110.536</v>
      </c>
    </row>
    <row r="192" spans="1:34" ht="15">
      <c r="A192" s="427" t="s">
        <v>148</v>
      </c>
      <c r="B192" s="306">
        <f t="shared" si="33"/>
        <v>1.972</v>
      </c>
      <c r="C192" s="360" t="s">
        <v>311</v>
      </c>
      <c r="D192" s="360" t="s">
        <v>311</v>
      </c>
      <c r="E192" s="360" t="s">
        <v>311</v>
      </c>
      <c r="F192" s="360" t="s">
        <v>311</v>
      </c>
      <c r="G192" s="360" t="s">
        <v>311</v>
      </c>
      <c r="H192" s="360" t="s">
        <v>311</v>
      </c>
      <c r="I192" s="360" t="s">
        <v>311</v>
      </c>
      <c r="J192" s="360" t="s">
        <v>311</v>
      </c>
      <c r="K192" s="360" t="s">
        <v>311</v>
      </c>
      <c r="L192" s="306"/>
      <c r="M192" s="306"/>
      <c r="N192" s="306"/>
      <c r="O192" s="306"/>
      <c r="P192" s="306"/>
      <c r="Q192" s="306"/>
      <c r="R192" s="306">
        <v>1.972</v>
      </c>
      <c r="S192" s="306"/>
      <c r="T192" s="306"/>
      <c r="U192" s="306"/>
      <c r="V192" s="306"/>
      <c r="W192" s="306"/>
      <c r="X192" s="306"/>
      <c r="Y192" s="306"/>
      <c r="Z192" s="306"/>
      <c r="AA192" s="306"/>
      <c r="AB192" s="306"/>
      <c r="AC192" s="306"/>
      <c r="AD192" s="306"/>
      <c r="AE192" s="306"/>
      <c r="AF192" s="306"/>
      <c r="AG192" s="306"/>
      <c r="AH192" s="107">
        <f t="shared" ref="AH192:AH200" si="34">SUM(C192:AG192)</f>
        <v>1.972</v>
      </c>
    </row>
    <row r="193" spans="1:34" ht="15">
      <c r="A193" s="414" t="s">
        <v>149</v>
      </c>
      <c r="B193" s="306">
        <f t="shared" si="33"/>
        <v>20.82</v>
      </c>
      <c r="C193" s="103"/>
      <c r="D193" s="53"/>
      <c r="E193" s="53"/>
      <c r="F193" s="53"/>
      <c r="G193" s="53"/>
      <c r="H193" s="53"/>
      <c r="I193" s="53"/>
      <c r="J193" s="53"/>
      <c r="K193" s="53"/>
      <c r="L193" s="53"/>
      <c r="M193" s="53"/>
      <c r="N193" s="53"/>
      <c r="O193" s="53"/>
      <c r="P193" s="53"/>
      <c r="Q193" s="53"/>
      <c r="R193" s="53"/>
      <c r="S193" s="53"/>
      <c r="T193" s="53"/>
      <c r="U193" s="53"/>
      <c r="V193" s="53"/>
      <c r="W193" s="53">
        <v>5.952</v>
      </c>
      <c r="X193" s="53"/>
      <c r="Y193" s="53"/>
      <c r="Z193" s="53"/>
      <c r="AA193" s="53"/>
      <c r="AB193" s="53"/>
      <c r="AC193" s="53"/>
      <c r="AD193" s="53"/>
      <c r="AE193" s="53"/>
      <c r="AF193" s="53">
        <v>1.226</v>
      </c>
      <c r="AG193" s="53">
        <v>13.641999999999999</v>
      </c>
      <c r="AH193" s="107">
        <f t="shared" si="34"/>
        <v>20.82</v>
      </c>
    </row>
    <row r="194" spans="1:34" ht="15">
      <c r="A194" s="414" t="s">
        <v>150</v>
      </c>
      <c r="B194" s="329">
        <f t="shared" si="33"/>
        <v>1.149</v>
      </c>
      <c r="C194" s="103"/>
      <c r="D194" s="53"/>
      <c r="E194" s="53">
        <v>0.77</v>
      </c>
      <c r="F194" s="53">
        <v>0.379</v>
      </c>
      <c r="G194" s="53"/>
      <c r="H194" s="188" t="s">
        <v>318</v>
      </c>
      <c r="I194" s="188" t="s">
        <v>318</v>
      </c>
      <c r="J194" s="188" t="s">
        <v>318</v>
      </c>
      <c r="K194" s="188" t="s">
        <v>318</v>
      </c>
      <c r="L194" s="188" t="s">
        <v>318</v>
      </c>
      <c r="M194" s="188" t="s">
        <v>318</v>
      </c>
      <c r="N194" s="188" t="s">
        <v>318</v>
      </c>
      <c r="O194" s="188" t="s">
        <v>318</v>
      </c>
      <c r="P194" s="188" t="s">
        <v>318</v>
      </c>
      <c r="Q194" s="188" t="s">
        <v>318</v>
      </c>
      <c r="R194" s="188" t="s">
        <v>318</v>
      </c>
      <c r="S194" s="188" t="s">
        <v>318</v>
      </c>
      <c r="T194" s="188" t="s">
        <v>318</v>
      </c>
      <c r="U194" s="188" t="s">
        <v>318</v>
      </c>
      <c r="V194" s="188" t="s">
        <v>318</v>
      </c>
      <c r="W194" s="188" t="s">
        <v>318</v>
      </c>
      <c r="X194" s="188" t="s">
        <v>318</v>
      </c>
      <c r="Y194" s="53"/>
      <c r="Z194" s="53"/>
      <c r="AA194" s="53"/>
      <c r="AB194" s="53"/>
      <c r="AC194" s="53"/>
      <c r="AD194" s="53"/>
      <c r="AE194" s="53"/>
      <c r="AF194" s="53"/>
      <c r="AG194" s="53"/>
      <c r="AH194" s="328">
        <f t="shared" si="34"/>
        <v>1.149</v>
      </c>
    </row>
    <row r="195" spans="1:34" ht="15">
      <c r="A195" s="414" t="s">
        <v>151</v>
      </c>
      <c r="B195" s="306">
        <f>SUM(AH195)</f>
        <v>0</v>
      </c>
      <c r="C195" s="103"/>
      <c r="D195" s="107"/>
      <c r="E195" s="107"/>
      <c r="F195" s="107"/>
      <c r="G195" s="53"/>
      <c r="H195" s="53"/>
      <c r="I195" s="53"/>
      <c r="J195" s="111"/>
      <c r="K195" s="111"/>
      <c r="L195" s="107"/>
      <c r="M195" s="107"/>
      <c r="N195" s="107"/>
      <c r="O195" s="107"/>
      <c r="P195" s="107"/>
      <c r="Q195" s="107"/>
      <c r="R195" s="107"/>
      <c r="S195" s="107"/>
      <c r="T195" s="107"/>
      <c r="U195" s="107"/>
      <c r="V195" s="107"/>
      <c r="W195" s="107"/>
      <c r="X195" s="107"/>
      <c r="Y195" s="107"/>
      <c r="Z195" s="107"/>
      <c r="AA195" s="107"/>
      <c r="AB195" s="107"/>
      <c r="AC195" s="107"/>
      <c r="AD195" s="107"/>
      <c r="AE195" s="107"/>
      <c r="AF195" s="107"/>
      <c r="AG195" s="107"/>
      <c r="AH195" s="107">
        <f t="shared" si="34"/>
        <v>0</v>
      </c>
    </row>
    <row r="196" spans="1:34" ht="15">
      <c r="A196" s="414" t="s">
        <v>152</v>
      </c>
      <c r="B196" s="53">
        <f t="shared" si="33"/>
        <v>0</v>
      </c>
      <c r="C196" s="103"/>
      <c r="D196" s="53"/>
      <c r="E196" s="53"/>
      <c r="F196" s="53"/>
      <c r="G196" s="53"/>
      <c r="H196" s="53"/>
      <c r="I196" s="53"/>
      <c r="J196" s="188" t="s">
        <v>318</v>
      </c>
      <c r="K196" s="188" t="s">
        <v>318</v>
      </c>
      <c r="L196" s="188" t="s">
        <v>318</v>
      </c>
      <c r="M196" s="188" t="s">
        <v>318</v>
      </c>
      <c r="N196" s="188" t="s">
        <v>318</v>
      </c>
      <c r="O196" s="188" t="s">
        <v>318</v>
      </c>
      <c r="P196" s="188" t="s">
        <v>318</v>
      </c>
      <c r="Q196" s="188" t="s">
        <v>318</v>
      </c>
      <c r="R196" s="188" t="s">
        <v>318</v>
      </c>
      <c r="S196" s="188" t="s">
        <v>318</v>
      </c>
      <c r="T196" s="188" t="s">
        <v>318</v>
      </c>
      <c r="U196" s="188" t="s">
        <v>318</v>
      </c>
      <c r="V196" s="188" t="s">
        <v>318</v>
      </c>
      <c r="W196" s="188" t="s">
        <v>318</v>
      </c>
      <c r="X196" s="188" t="s">
        <v>318</v>
      </c>
      <c r="Y196" s="188" t="s">
        <v>318</v>
      </c>
      <c r="Z196" s="188" t="s">
        <v>318</v>
      </c>
      <c r="AA196" s="188" t="s">
        <v>318</v>
      </c>
      <c r="AB196" s="188" t="s">
        <v>318</v>
      </c>
      <c r="AC196" s="188" t="s">
        <v>318</v>
      </c>
      <c r="AD196" s="188" t="s">
        <v>318</v>
      </c>
      <c r="AE196" s="188" t="s">
        <v>318</v>
      </c>
      <c r="AF196" s="188" t="s">
        <v>318</v>
      </c>
      <c r="AG196" s="188" t="s">
        <v>318</v>
      </c>
      <c r="AH196" s="107">
        <f t="shared" si="34"/>
        <v>0</v>
      </c>
    </row>
    <row r="197" spans="1:34" ht="15">
      <c r="A197" s="428" t="s">
        <v>153</v>
      </c>
      <c r="B197" s="53">
        <f t="shared" si="33"/>
        <v>0</v>
      </c>
      <c r="C197" s="188" t="s">
        <v>318</v>
      </c>
      <c r="D197" s="188" t="s">
        <v>318</v>
      </c>
      <c r="E197" s="188" t="s">
        <v>318</v>
      </c>
      <c r="F197" s="188" t="s">
        <v>318</v>
      </c>
      <c r="G197" s="188" t="s">
        <v>318</v>
      </c>
      <c r="H197" s="188" t="s">
        <v>318</v>
      </c>
      <c r="I197" s="188" t="s">
        <v>318</v>
      </c>
      <c r="J197" s="188" t="s">
        <v>318</v>
      </c>
      <c r="K197" s="188" t="s">
        <v>318</v>
      </c>
      <c r="L197" s="188" t="s">
        <v>318</v>
      </c>
      <c r="M197" s="188" t="s">
        <v>318</v>
      </c>
      <c r="N197" s="188" t="s">
        <v>318</v>
      </c>
      <c r="O197" s="188" t="s">
        <v>318</v>
      </c>
      <c r="P197" s="188" t="s">
        <v>318</v>
      </c>
      <c r="Q197" s="188" t="s">
        <v>318</v>
      </c>
      <c r="R197" s="188" t="s">
        <v>318</v>
      </c>
      <c r="S197" s="188" t="s">
        <v>318</v>
      </c>
      <c r="T197" s="188" t="s">
        <v>318</v>
      </c>
      <c r="U197" s="188" t="s">
        <v>318</v>
      </c>
      <c r="V197" s="188" t="s">
        <v>318</v>
      </c>
      <c r="W197" s="188" t="s">
        <v>318</v>
      </c>
      <c r="X197" s="188" t="s">
        <v>318</v>
      </c>
      <c r="Y197" s="188" t="s">
        <v>318</v>
      </c>
      <c r="Z197" s="188" t="s">
        <v>318</v>
      </c>
      <c r="AA197" s="188" t="s">
        <v>318</v>
      </c>
      <c r="AB197" s="188" t="s">
        <v>318</v>
      </c>
      <c r="AC197" s="188" t="s">
        <v>318</v>
      </c>
      <c r="AD197" s="188" t="s">
        <v>318</v>
      </c>
      <c r="AE197" s="188" t="s">
        <v>318</v>
      </c>
      <c r="AF197" s="188" t="s">
        <v>318</v>
      </c>
      <c r="AG197" s="188" t="s">
        <v>318</v>
      </c>
      <c r="AH197" s="107">
        <f t="shared" si="34"/>
        <v>0</v>
      </c>
    </row>
    <row r="198" spans="1:34" ht="15">
      <c r="A198" s="428" t="s">
        <v>154</v>
      </c>
      <c r="B198" s="53">
        <f t="shared" si="33"/>
        <v>0</v>
      </c>
      <c r="C198" s="188" t="s">
        <v>318</v>
      </c>
      <c r="D198" s="188" t="s">
        <v>318</v>
      </c>
      <c r="E198" s="188" t="s">
        <v>318</v>
      </c>
      <c r="F198" s="188" t="s">
        <v>318</v>
      </c>
      <c r="G198" s="188" t="s">
        <v>318</v>
      </c>
      <c r="H198" s="188" t="s">
        <v>318</v>
      </c>
      <c r="I198" s="188" t="s">
        <v>318</v>
      </c>
      <c r="J198" s="188" t="s">
        <v>318</v>
      </c>
      <c r="K198" s="188" t="s">
        <v>318</v>
      </c>
      <c r="L198" s="188" t="s">
        <v>318</v>
      </c>
      <c r="M198" s="188" t="s">
        <v>318</v>
      </c>
      <c r="N198" s="188" t="s">
        <v>318</v>
      </c>
      <c r="O198" s="188" t="s">
        <v>318</v>
      </c>
      <c r="P198" s="188" t="s">
        <v>318</v>
      </c>
      <c r="Q198" s="188" t="s">
        <v>318</v>
      </c>
      <c r="R198" s="188" t="s">
        <v>318</v>
      </c>
      <c r="S198" s="188" t="s">
        <v>318</v>
      </c>
      <c r="T198" s="188" t="s">
        <v>318</v>
      </c>
      <c r="U198" s="188" t="s">
        <v>318</v>
      </c>
      <c r="V198" s="188" t="s">
        <v>318</v>
      </c>
      <c r="W198" s="188" t="s">
        <v>318</v>
      </c>
      <c r="X198" s="53"/>
      <c r="Y198" s="53"/>
      <c r="Z198" s="53"/>
      <c r="AA198" s="53"/>
      <c r="AB198" s="53"/>
      <c r="AC198" s="53"/>
      <c r="AD198" s="53"/>
      <c r="AE198" s="107"/>
      <c r="AF198" s="53"/>
      <c r="AG198" s="107"/>
      <c r="AH198" s="107">
        <f t="shared" si="34"/>
        <v>0</v>
      </c>
    </row>
    <row r="199" spans="1:34" ht="15">
      <c r="A199" s="428" t="s">
        <v>155</v>
      </c>
      <c r="B199" s="53">
        <f t="shared" si="33"/>
        <v>37.497</v>
      </c>
      <c r="C199" s="103"/>
      <c r="D199" s="53"/>
      <c r="E199" s="53"/>
      <c r="F199" s="53"/>
      <c r="G199" s="14"/>
      <c r="H199" s="53"/>
      <c r="I199" s="53"/>
      <c r="J199" s="53"/>
      <c r="K199" s="53"/>
      <c r="L199" s="53"/>
      <c r="M199" s="53">
        <v>12.811999999999999</v>
      </c>
      <c r="N199" s="53">
        <v>8.8160000000000007</v>
      </c>
      <c r="O199" s="53"/>
      <c r="P199" s="53"/>
      <c r="Q199" s="53"/>
      <c r="R199" s="53"/>
      <c r="S199" s="53"/>
      <c r="T199" s="53"/>
      <c r="U199" s="53"/>
      <c r="V199" s="53"/>
      <c r="W199" s="53"/>
      <c r="X199" s="53"/>
      <c r="Y199" s="14">
        <v>5.327</v>
      </c>
      <c r="Z199" s="53">
        <v>8.4320000000000004</v>
      </c>
      <c r="AA199" s="53">
        <v>2.11</v>
      </c>
      <c r="AB199" s="53"/>
      <c r="AC199" s="53"/>
      <c r="AD199" s="53"/>
      <c r="AE199" s="107"/>
      <c r="AF199" s="53"/>
      <c r="AG199" s="107"/>
      <c r="AH199" s="107">
        <f t="shared" si="34"/>
        <v>37.497</v>
      </c>
    </row>
    <row r="200" spans="1:34" ht="15">
      <c r="A200" s="428" t="s">
        <v>156</v>
      </c>
      <c r="B200" s="53">
        <f t="shared" si="33"/>
        <v>60.418999999999997</v>
      </c>
      <c r="C200" s="103"/>
      <c r="D200" s="53"/>
      <c r="E200" s="53"/>
      <c r="F200" s="53"/>
      <c r="G200" s="53"/>
      <c r="H200" s="53"/>
      <c r="I200" s="53">
        <v>4.7210000000000001</v>
      </c>
      <c r="J200" s="53"/>
      <c r="K200" s="53"/>
      <c r="L200" s="53">
        <v>1.0589999999999999</v>
      </c>
      <c r="M200" s="53"/>
      <c r="N200" s="53"/>
      <c r="O200" s="53">
        <v>6.056</v>
      </c>
      <c r="P200" s="3027">
        <v>4.3760000000000003</v>
      </c>
      <c r="Q200" s="3027">
        <v>4.2069999999999999</v>
      </c>
      <c r="R200" s="3027">
        <v>0</v>
      </c>
      <c r="S200" s="3027">
        <v>0</v>
      </c>
      <c r="T200" s="3027">
        <v>0</v>
      </c>
      <c r="U200" s="3027">
        <v>0</v>
      </c>
      <c r="V200" s="3027">
        <v>0</v>
      </c>
      <c r="W200" s="3027">
        <v>0</v>
      </c>
      <c r="X200" s="3027">
        <v>0</v>
      </c>
      <c r="Y200" s="3027">
        <v>0</v>
      </c>
      <c r="Z200" s="3027">
        <v>0</v>
      </c>
      <c r="AA200" s="3027">
        <v>0</v>
      </c>
      <c r="AB200" s="3027">
        <v>0</v>
      </c>
      <c r="AC200" s="3027">
        <v>0</v>
      </c>
      <c r="AD200" s="3027">
        <v>0</v>
      </c>
      <c r="AE200" s="3027">
        <v>0</v>
      </c>
      <c r="AF200" s="3027">
        <v>20</v>
      </c>
      <c r="AG200" s="3027">
        <v>20</v>
      </c>
      <c r="AH200" s="107">
        <f t="shared" si="34"/>
        <v>60.418999999999997</v>
      </c>
    </row>
    <row r="201" spans="1:34" ht="15">
      <c r="A201" s="199" t="s">
        <v>144</v>
      </c>
      <c r="B201" s="200">
        <f>SUM(B189:B200)</f>
        <v>232.39299999999997</v>
      </c>
      <c r="C201" s="100">
        <f>SUM(C189:C199)</f>
        <v>0</v>
      </c>
      <c r="D201" s="107">
        <f>SUM(D189:D199)</f>
        <v>0</v>
      </c>
      <c r="E201" s="107">
        <v>0</v>
      </c>
      <c r="F201" s="107">
        <f t="shared" ref="F201:AC201" si="35">SUM(F189:F199)</f>
        <v>0.379</v>
      </c>
      <c r="G201" s="107">
        <f t="shared" si="35"/>
        <v>0</v>
      </c>
      <c r="H201" s="107">
        <f t="shared" si="35"/>
        <v>0</v>
      </c>
      <c r="I201" s="107">
        <f t="shared" si="35"/>
        <v>0</v>
      </c>
      <c r="J201" s="107">
        <f t="shared" si="35"/>
        <v>0</v>
      </c>
      <c r="K201" s="107">
        <f t="shared" si="35"/>
        <v>33.94</v>
      </c>
      <c r="L201" s="107">
        <f t="shared" si="35"/>
        <v>0</v>
      </c>
      <c r="M201" s="107">
        <f t="shared" si="35"/>
        <v>14.177999999999999</v>
      </c>
      <c r="N201" s="107">
        <f t="shared" si="35"/>
        <v>8.8160000000000007</v>
      </c>
      <c r="O201" s="107">
        <f t="shared" si="35"/>
        <v>25.603000000000002</v>
      </c>
      <c r="P201" s="107">
        <f t="shared" si="35"/>
        <v>0</v>
      </c>
      <c r="Q201" s="107">
        <f t="shared" si="35"/>
        <v>0</v>
      </c>
      <c r="R201" s="107">
        <f t="shared" si="35"/>
        <v>4.6980000000000004</v>
      </c>
      <c r="S201" s="107">
        <f t="shared" si="35"/>
        <v>0</v>
      </c>
      <c r="T201" s="107">
        <f t="shared" si="35"/>
        <v>0</v>
      </c>
      <c r="U201" s="107">
        <f t="shared" si="35"/>
        <v>0</v>
      </c>
      <c r="V201" s="107">
        <f t="shared" si="35"/>
        <v>0</v>
      </c>
      <c r="W201" s="107">
        <f t="shared" si="35"/>
        <v>5.952</v>
      </c>
      <c r="X201" s="107">
        <f t="shared" si="35"/>
        <v>0</v>
      </c>
      <c r="Y201" s="107">
        <f t="shared" si="35"/>
        <v>52.228000000000002</v>
      </c>
      <c r="Z201" s="107">
        <f t="shared" si="35"/>
        <v>8.4320000000000004</v>
      </c>
      <c r="AA201" s="107">
        <f t="shared" si="35"/>
        <v>2.11</v>
      </c>
      <c r="AB201" s="107">
        <f t="shared" si="35"/>
        <v>0</v>
      </c>
      <c r="AC201" s="107">
        <f t="shared" si="35"/>
        <v>0</v>
      </c>
      <c r="AD201" s="107">
        <v>0</v>
      </c>
      <c r="AE201" s="107">
        <f>SUM(AE189:AE199)</f>
        <v>0</v>
      </c>
      <c r="AF201" s="107">
        <f>SUM(AF189:AF199)</f>
        <v>1.226</v>
      </c>
      <c r="AG201" s="107">
        <f>SUM(AG189:AG199)</f>
        <v>13.641999999999999</v>
      </c>
      <c r="AH201" s="100">
        <f>SUM(AH189:AH199)</f>
        <v>171.97399999999999</v>
      </c>
    </row>
    <row r="202" spans="1:34" ht="5.0999999999999996" customHeight="1">
      <c r="A202" s="104"/>
      <c r="B202" s="105"/>
      <c r="C202" s="1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c r="AA202" s="106"/>
      <c r="AB202" s="106"/>
      <c r="AC202" s="106"/>
      <c r="AD202" s="106"/>
      <c r="AE202" s="106"/>
      <c r="AF202" s="106"/>
      <c r="AG202" s="106"/>
      <c r="AH202" s="16"/>
    </row>
    <row r="203" spans="1:34" ht="15">
      <c r="A203" s="3854" t="s">
        <v>289</v>
      </c>
      <c r="B203" s="3855"/>
      <c r="C203" s="3855"/>
      <c r="D203" s="3855"/>
      <c r="E203" s="3855"/>
      <c r="F203" s="3855"/>
      <c r="G203" s="3855"/>
      <c r="H203" s="3856"/>
      <c r="I203" s="3313"/>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row>
    <row r="204" spans="1:34" ht="15">
      <c r="A204" s="8" t="s">
        <v>142</v>
      </c>
      <c r="B204" s="8" t="s">
        <v>143</v>
      </c>
      <c r="C204" s="2907">
        <v>1</v>
      </c>
      <c r="D204" s="73">
        <v>2</v>
      </c>
      <c r="E204" s="73">
        <v>3</v>
      </c>
      <c r="F204" s="73">
        <v>4</v>
      </c>
      <c r="G204" s="73">
        <v>5</v>
      </c>
      <c r="H204" s="73">
        <v>6</v>
      </c>
      <c r="I204" s="73">
        <v>7</v>
      </c>
      <c r="J204" s="73">
        <v>8</v>
      </c>
      <c r="K204" s="73">
        <v>9</v>
      </c>
      <c r="L204" s="73">
        <v>10</v>
      </c>
      <c r="M204" s="73">
        <v>11</v>
      </c>
      <c r="N204" s="73">
        <v>12</v>
      </c>
      <c r="O204" s="73">
        <v>13</v>
      </c>
      <c r="P204" s="73">
        <v>14</v>
      </c>
      <c r="Q204" s="73">
        <v>15</v>
      </c>
      <c r="R204" s="73">
        <v>16</v>
      </c>
      <c r="S204" s="73">
        <v>17</v>
      </c>
      <c r="T204" s="73">
        <v>18</v>
      </c>
      <c r="U204" s="73">
        <v>19</v>
      </c>
      <c r="V204" s="73">
        <v>20</v>
      </c>
      <c r="W204" s="73">
        <v>21</v>
      </c>
      <c r="X204" s="73">
        <v>22</v>
      </c>
      <c r="Y204" s="73">
        <v>23</v>
      </c>
      <c r="Z204" s="73">
        <v>24</v>
      </c>
      <c r="AA204" s="73">
        <v>25</v>
      </c>
      <c r="AB204" s="73">
        <v>26</v>
      </c>
      <c r="AC204" s="73">
        <v>27</v>
      </c>
      <c r="AD204" s="73">
        <v>28</v>
      </c>
      <c r="AE204" s="73">
        <v>29</v>
      </c>
      <c r="AF204" s="73">
        <v>30</v>
      </c>
      <c r="AG204" s="73">
        <v>31</v>
      </c>
      <c r="AH204" s="88" t="s">
        <v>144</v>
      </c>
    </row>
    <row r="205" spans="1:34" ht="15">
      <c r="A205" s="427" t="s">
        <v>145</v>
      </c>
      <c r="B205" s="53">
        <f t="shared" ref="B205:B216" si="36">+AH205</f>
        <v>0</v>
      </c>
      <c r="C205" s="360" t="s">
        <v>311</v>
      </c>
      <c r="D205" s="360" t="s">
        <v>311</v>
      </c>
      <c r="E205" s="360" t="s">
        <v>311</v>
      </c>
      <c r="F205" s="360" t="s">
        <v>311</v>
      </c>
      <c r="G205" s="360" t="s">
        <v>311</v>
      </c>
      <c r="H205" s="360" t="s">
        <v>311</v>
      </c>
      <c r="I205" s="360" t="s">
        <v>311</v>
      </c>
      <c r="J205" s="360" t="s">
        <v>311</v>
      </c>
      <c r="K205" s="360" t="s">
        <v>311</v>
      </c>
      <c r="L205" s="360" t="s">
        <v>311</v>
      </c>
      <c r="M205" s="360" t="s">
        <v>311</v>
      </c>
      <c r="N205" s="360" t="s">
        <v>311</v>
      </c>
      <c r="O205" s="360" t="s">
        <v>311</v>
      </c>
      <c r="P205" s="360" t="s">
        <v>311</v>
      </c>
      <c r="Q205" s="360" t="s">
        <v>311</v>
      </c>
      <c r="R205" s="360" t="s">
        <v>311</v>
      </c>
      <c r="S205" s="360" t="s">
        <v>311</v>
      </c>
      <c r="T205" s="360" t="s">
        <v>311</v>
      </c>
      <c r="U205" s="360" t="s">
        <v>311</v>
      </c>
      <c r="V205" s="360" t="s">
        <v>311</v>
      </c>
      <c r="W205" s="360" t="s">
        <v>311</v>
      </c>
      <c r="X205" s="360" t="s">
        <v>311</v>
      </c>
      <c r="Y205" s="360" t="s">
        <v>311</v>
      </c>
      <c r="Z205" s="360" t="s">
        <v>311</v>
      </c>
      <c r="AA205" s="360" t="s">
        <v>311</v>
      </c>
      <c r="AB205" s="360" t="s">
        <v>311</v>
      </c>
      <c r="AC205" s="360" t="s">
        <v>311</v>
      </c>
      <c r="AD205" s="360" t="s">
        <v>311</v>
      </c>
      <c r="AE205" s="360" t="s">
        <v>311</v>
      </c>
      <c r="AF205" s="360" t="s">
        <v>311</v>
      </c>
      <c r="AG205" s="360" t="s">
        <v>311</v>
      </c>
      <c r="AH205" s="107">
        <f>SUM(C205:AG205)</f>
        <v>0</v>
      </c>
    </row>
    <row r="206" spans="1:34" ht="15">
      <c r="A206" s="427" t="s">
        <v>146</v>
      </c>
      <c r="B206" s="53">
        <f t="shared" si="36"/>
        <v>0</v>
      </c>
      <c r="C206" s="360" t="s">
        <v>311</v>
      </c>
      <c r="D206" s="360" t="s">
        <v>311</v>
      </c>
      <c r="E206" s="360" t="s">
        <v>311</v>
      </c>
      <c r="F206" s="360" t="s">
        <v>311</v>
      </c>
      <c r="G206" s="360" t="s">
        <v>311</v>
      </c>
      <c r="H206" s="360" t="s">
        <v>311</v>
      </c>
      <c r="I206" s="360" t="s">
        <v>311</v>
      </c>
      <c r="J206" s="361"/>
      <c r="K206" s="361"/>
      <c r="L206" s="361"/>
      <c r="M206" s="361"/>
      <c r="N206" s="361"/>
      <c r="O206" s="361"/>
      <c r="P206" s="361"/>
      <c r="Q206" s="361"/>
      <c r="R206" s="361"/>
      <c r="S206" s="361"/>
      <c r="T206" s="361"/>
      <c r="U206" s="361"/>
      <c r="V206" s="361"/>
      <c r="W206" s="361"/>
      <c r="X206" s="361"/>
      <c r="Y206" s="361"/>
      <c r="Z206" s="361"/>
      <c r="AA206" s="361"/>
      <c r="AB206" s="361"/>
      <c r="AC206" s="361"/>
      <c r="AD206" s="361"/>
      <c r="AE206" s="361"/>
      <c r="AF206" s="361"/>
      <c r="AG206" s="361"/>
      <c r="AH206" s="107">
        <f t="shared" ref="AH206:AH216" si="37">SUM(C206:AG206)</f>
        <v>0</v>
      </c>
    </row>
    <row r="207" spans="1:34" ht="15">
      <c r="A207" s="427" t="s">
        <v>147</v>
      </c>
      <c r="B207" s="53">
        <f t="shared" si="36"/>
        <v>0</v>
      </c>
      <c r="C207" s="361"/>
      <c r="D207" s="361"/>
      <c r="E207" s="361"/>
      <c r="F207" s="361"/>
      <c r="G207" s="361"/>
      <c r="H207" s="306"/>
      <c r="I207" s="306"/>
      <c r="J207" s="306"/>
      <c r="K207" s="306"/>
      <c r="L207" s="306"/>
      <c r="M207" s="306"/>
      <c r="N207" s="306"/>
      <c r="O207" s="306"/>
      <c r="P207" s="306"/>
      <c r="Q207" s="306"/>
      <c r="R207" s="306"/>
      <c r="S207" s="306"/>
      <c r="T207" s="306"/>
      <c r="U207" s="306"/>
      <c r="V207" s="306"/>
      <c r="W207" s="306"/>
      <c r="X207" s="306"/>
      <c r="Y207" s="306"/>
      <c r="Z207" s="306"/>
      <c r="AA207" s="306"/>
      <c r="AB207" s="306"/>
      <c r="AC207" s="360" t="s">
        <v>311</v>
      </c>
      <c r="AD207" s="360" t="s">
        <v>311</v>
      </c>
      <c r="AE207" s="360" t="s">
        <v>311</v>
      </c>
      <c r="AF207" s="360" t="s">
        <v>311</v>
      </c>
      <c r="AG207" s="360" t="s">
        <v>311</v>
      </c>
      <c r="AH207" s="107">
        <f t="shared" si="37"/>
        <v>0</v>
      </c>
    </row>
    <row r="208" spans="1:34" ht="15">
      <c r="A208" s="427" t="s">
        <v>148</v>
      </c>
      <c r="B208" s="53">
        <f t="shared" si="36"/>
        <v>0</v>
      </c>
      <c r="C208" s="360" t="s">
        <v>311</v>
      </c>
      <c r="D208" s="360" t="s">
        <v>311</v>
      </c>
      <c r="E208" s="360" t="s">
        <v>311</v>
      </c>
      <c r="F208" s="360" t="s">
        <v>311</v>
      </c>
      <c r="G208" s="360" t="s">
        <v>311</v>
      </c>
      <c r="H208" s="360" t="s">
        <v>311</v>
      </c>
      <c r="I208" s="360" t="s">
        <v>311</v>
      </c>
      <c r="J208" s="360" t="s">
        <v>311</v>
      </c>
      <c r="K208" s="360" t="s">
        <v>311</v>
      </c>
      <c r="L208" s="306"/>
      <c r="M208" s="306"/>
      <c r="N208" s="306"/>
      <c r="O208" s="306"/>
      <c r="P208" s="306"/>
      <c r="Q208" s="306"/>
      <c r="R208" s="306"/>
      <c r="S208" s="306"/>
      <c r="T208" s="306"/>
      <c r="U208" s="306"/>
      <c r="V208" s="306"/>
      <c r="W208" s="306"/>
      <c r="X208" s="306"/>
      <c r="Y208" s="306"/>
      <c r="Z208" s="306"/>
      <c r="AA208" s="306"/>
      <c r="AB208" s="306"/>
      <c r="AC208" s="306"/>
      <c r="AD208" s="306"/>
      <c r="AE208" s="306"/>
      <c r="AF208" s="306"/>
      <c r="AG208" s="306"/>
      <c r="AH208" s="107">
        <f t="shared" si="37"/>
        <v>0</v>
      </c>
    </row>
    <row r="209" spans="1:34" ht="15">
      <c r="A209" s="414" t="s">
        <v>149</v>
      </c>
      <c r="B209" s="53">
        <f t="shared" si="36"/>
        <v>0</v>
      </c>
      <c r="C209" s="10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c r="AB209" s="53"/>
      <c r="AC209" s="53"/>
      <c r="AD209" s="53"/>
      <c r="AE209" s="53"/>
      <c r="AF209" s="53"/>
      <c r="AG209" s="53"/>
      <c r="AH209" s="107">
        <f t="shared" si="37"/>
        <v>0</v>
      </c>
    </row>
    <row r="210" spans="1:34" ht="15">
      <c r="A210" s="414" t="s">
        <v>150</v>
      </c>
      <c r="B210" s="53">
        <f t="shared" si="36"/>
        <v>0</v>
      </c>
      <c r="C210" s="103"/>
      <c r="D210" s="53"/>
      <c r="E210" s="53"/>
      <c r="F210" s="53"/>
      <c r="G210" s="53"/>
      <c r="H210" s="188" t="s">
        <v>318</v>
      </c>
      <c r="I210" s="188" t="s">
        <v>318</v>
      </c>
      <c r="J210" s="188" t="s">
        <v>318</v>
      </c>
      <c r="K210" s="188" t="s">
        <v>318</v>
      </c>
      <c r="L210" s="188" t="s">
        <v>318</v>
      </c>
      <c r="M210" s="188" t="s">
        <v>318</v>
      </c>
      <c r="N210" s="188" t="s">
        <v>318</v>
      </c>
      <c r="O210" s="188" t="s">
        <v>318</v>
      </c>
      <c r="P210" s="188" t="s">
        <v>318</v>
      </c>
      <c r="Q210" s="188" t="s">
        <v>318</v>
      </c>
      <c r="R210" s="188" t="s">
        <v>318</v>
      </c>
      <c r="S210" s="188" t="s">
        <v>318</v>
      </c>
      <c r="T210" s="188" t="s">
        <v>318</v>
      </c>
      <c r="U210" s="188" t="s">
        <v>318</v>
      </c>
      <c r="V210" s="188" t="s">
        <v>318</v>
      </c>
      <c r="W210" s="188" t="s">
        <v>318</v>
      </c>
      <c r="X210" s="188" t="s">
        <v>318</v>
      </c>
      <c r="Y210" s="53"/>
      <c r="Z210" s="53"/>
      <c r="AA210" s="53"/>
      <c r="AB210" s="53"/>
      <c r="AC210" s="53"/>
      <c r="AD210" s="53"/>
      <c r="AE210" s="53"/>
      <c r="AF210" s="53"/>
      <c r="AG210" s="53"/>
      <c r="AH210" s="107">
        <f t="shared" si="37"/>
        <v>0</v>
      </c>
    </row>
    <row r="211" spans="1:34" ht="15">
      <c r="A211" s="414" t="s">
        <v>151</v>
      </c>
      <c r="B211" s="53">
        <f t="shared" si="36"/>
        <v>0</v>
      </c>
      <c r="C211" s="103"/>
      <c r="D211" s="107"/>
      <c r="E211" s="107"/>
      <c r="F211" s="107"/>
      <c r="G211" s="53"/>
      <c r="H211" s="53"/>
      <c r="I211" s="53"/>
      <c r="J211" s="111"/>
      <c r="K211" s="111"/>
      <c r="L211" s="107"/>
      <c r="M211" s="107"/>
      <c r="N211" s="107"/>
      <c r="O211" s="107"/>
      <c r="P211" s="107"/>
      <c r="Q211" s="107"/>
      <c r="R211" s="107"/>
      <c r="S211" s="107"/>
      <c r="T211" s="107"/>
      <c r="U211" s="107"/>
      <c r="V211" s="107"/>
      <c r="W211" s="107"/>
      <c r="X211" s="107"/>
      <c r="Y211" s="107"/>
      <c r="Z211" s="107"/>
      <c r="AA211" s="107"/>
      <c r="AB211" s="107"/>
      <c r="AC211" s="107"/>
      <c r="AD211" s="107"/>
      <c r="AE211" s="107"/>
      <c r="AF211" s="107"/>
      <c r="AG211" s="107"/>
      <c r="AH211" s="107">
        <f t="shared" si="37"/>
        <v>0</v>
      </c>
    </row>
    <row r="212" spans="1:34" ht="15">
      <c r="A212" s="414" t="s">
        <v>152</v>
      </c>
      <c r="B212" s="53">
        <f t="shared" si="36"/>
        <v>0</v>
      </c>
      <c r="C212" s="103"/>
      <c r="D212" s="53"/>
      <c r="E212" s="53"/>
      <c r="F212" s="53"/>
      <c r="G212" s="53"/>
      <c r="H212" s="53"/>
      <c r="I212" s="53"/>
      <c r="J212" s="188" t="s">
        <v>318</v>
      </c>
      <c r="K212" s="188" t="s">
        <v>318</v>
      </c>
      <c r="L212" s="188" t="s">
        <v>318</v>
      </c>
      <c r="M212" s="188" t="s">
        <v>318</v>
      </c>
      <c r="N212" s="188" t="s">
        <v>318</v>
      </c>
      <c r="O212" s="188" t="s">
        <v>318</v>
      </c>
      <c r="P212" s="188" t="s">
        <v>318</v>
      </c>
      <c r="Q212" s="188" t="s">
        <v>318</v>
      </c>
      <c r="R212" s="188" t="s">
        <v>318</v>
      </c>
      <c r="S212" s="188" t="s">
        <v>318</v>
      </c>
      <c r="T212" s="188" t="s">
        <v>318</v>
      </c>
      <c r="U212" s="188" t="s">
        <v>318</v>
      </c>
      <c r="V212" s="188" t="s">
        <v>318</v>
      </c>
      <c r="W212" s="188" t="s">
        <v>318</v>
      </c>
      <c r="X212" s="188" t="s">
        <v>318</v>
      </c>
      <c r="Y212" s="188" t="s">
        <v>318</v>
      </c>
      <c r="Z212" s="188" t="s">
        <v>318</v>
      </c>
      <c r="AA212" s="188" t="s">
        <v>318</v>
      </c>
      <c r="AB212" s="188" t="s">
        <v>318</v>
      </c>
      <c r="AC212" s="188" t="s">
        <v>318</v>
      </c>
      <c r="AD212" s="188" t="s">
        <v>318</v>
      </c>
      <c r="AE212" s="188" t="s">
        <v>318</v>
      </c>
      <c r="AF212" s="188" t="s">
        <v>318</v>
      </c>
      <c r="AG212" s="188" t="s">
        <v>318</v>
      </c>
      <c r="AH212" s="107">
        <f t="shared" si="37"/>
        <v>0</v>
      </c>
    </row>
    <row r="213" spans="1:34" ht="15">
      <c r="A213" s="428" t="s">
        <v>153</v>
      </c>
      <c r="B213" s="53">
        <f t="shared" si="36"/>
        <v>0</v>
      </c>
      <c r="C213" s="188" t="s">
        <v>318</v>
      </c>
      <c r="D213" s="188" t="s">
        <v>318</v>
      </c>
      <c r="E213" s="188" t="s">
        <v>318</v>
      </c>
      <c r="F213" s="188" t="s">
        <v>318</v>
      </c>
      <c r="G213" s="188" t="s">
        <v>318</v>
      </c>
      <c r="H213" s="188" t="s">
        <v>318</v>
      </c>
      <c r="I213" s="188" t="s">
        <v>318</v>
      </c>
      <c r="J213" s="188" t="s">
        <v>318</v>
      </c>
      <c r="K213" s="188" t="s">
        <v>318</v>
      </c>
      <c r="L213" s="188" t="s">
        <v>318</v>
      </c>
      <c r="M213" s="188" t="s">
        <v>318</v>
      </c>
      <c r="N213" s="188" t="s">
        <v>318</v>
      </c>
      <c r="O213" s="188" t="s">
        <v>318</v>
      </c>
      <c r="P213" s="188" t="s">
        <v>318</v>
      </c>
      <c r="Q213" s="188" t="s">
        <v>318</v>
      </c>
      <c r="R213" s="188" t="s">
        <v>318</v>
      </c>
      <c r="S213" s="188" t="s">
        <v>318</v>
      </c>
      <c r="T213" s="188" t="s">
        <v>318</v>
      </c>
      <c r="U213" s="188" t="s">
        <v>318</v>
      </c>
      <c r="V213" s="188" t="s">
        <v>318</v>
      </c>
      <c r="W213" s="188" t="s">
        <v>318</v>
      </c>
      <c r="X213" s="188" t="s">
        <v>318</v>
      </c>
      <c r="Y213" s="188" t="s">
        <v>318</v>
      </c>
      <c r="Z213" s="188" t="s">
        <v>318</v>
      </c>
      <c r="AA213" s="188" t="s">
        <v>318</v>
      </c>
      <c r="AB213" s="188" t="s">
        <v>318</v>
      </c>
      <c r="AC213" s="188" t="s">
        <v>318</v>
      </c>
      <c r="AD213" s="188" t="s">
        <v>318</v>
      </c>
      <c r="AE213" s="188" t="s">
        <v>318</v>
      </c>
      <c r="AF213" s="188" t="s">
        <v>318</v>
      </c>
      <c r="AG213" s="188" t="s">
        <v>318</v>
      </c>
      <c r="AH213" s="107">
        <f t="shared" si="37"/>
        <v>0</v>
      </c>
    </row>
    <row r="214" spans="1:34" ht="15">
      <c r="A214" s="428" t="s">
        <v>154</v>
      </c>
      <c r="B214" s="53">
        <f t="shared" si="36"/>
        <v>0</v>
      </c>
      <c r="C214" s="188" t="s">
        <v>318</v>
      </c>
      <c r="D214" s="188" t="s">
        <v>318</v>
      </c>
      <c r="E214" s="188" t="s">
        <v>318</v>
      </c>
      <c r="F214" s="188" t="s">
        <v>318</v>
      </c>
      <c r="G214" s="188" t="s">
        <v>318</v>
      </c>
      <c r="H214" s="188" t="s">
        <v>318</v>
      </c>
      <c r="I214" s="188" t="s">
        <v>318</v>
      </c>
      <c r="J214" s="188" t="s">
        <v>318</v>
      </c>
      <c r="K214" s="188" t="s">
        <v>318</v>
      </c>
      <c r="L214" s="188" t="s">
        <v>318</v>
      </c>
      <c r="M214" s="188" t="s">
        <v>318</v>
      </c>
      <c r="N214" s="188" t="s">
        <v>318</v>
      </c>
      <c r="O214" s="188" t="s">
        <v>318</v>
      </c>
      <c r="P214" s="188" t="s">
        <v>318</v>
      </c>
      <c r="Q214" s="188" t="s">
        <v>318</v>
      </c>
      <c r="R214" s="188" t="s">
        <v>318</v>
      </c>
      <c r="S214" s="188" t="s">
        <v>318</v>
      </c>
      <c r="T214" s="188" t="s">
        <v>318</v>
      </c>
      <c r="U214" s="188" t="s">
        <v>318</v>
      </c>
      <c r="V214" s="188" t="s">
        <v>318</v>
      </c>
      <c r="W214" s="188" t="s">
        <v>318</v>
      </c>
      <c r="X214" s="53"/>
      <c r="Y214" s="53"/>
      <c r="Z214" s="53"/>
      <c r="AA214" s="53"/>
      <c r="AB214" s="53"/>
      <c r="AC214" s="53"/>
      <c r="AD214" s="53"/>
      <c r="AE214" s="107"/>
      <c r="AF214" s="53"/>
      <c r="AG214" s="107"/>
      <c r="AH214" s="107">
        <f t="shared" si="37"/>
        <v>0</v>
      </c>
    </row>
    <row r="215" spans="1:34" ht="15">
      <c r="A215" s="428" t="s">
        <v>155</v>
      </c>
      <c r="B215" s="53">
        <f t="shared" si="36"/>
        <v>0</v>
      </c>
      <c r="C215" s="103"/>
      <c r="D215" s="53"/>
      <c r="E215" s="53"/>
      <c r="F215" s="53"/>
      <c r="G215" s="14"/>
      <c r="H215" s="53"/>
      <c r="I215" s="53"/>
      <c r="J215" s="53"/>
      <c r="K215" s="53"/>
      <c r="L215" s="53"/>
      <c r="M215" s="53"/>
      <c r="N215" s="53"/>
      <c r="O215" s="53"/>
      <c r="P215" s="53"/>
      <c r="Q215" s="53"/>
      <c r="R215" s="53"/>
      <c r="S215" s="53"/>
      <c r="T215" s="53"/>
      <c r="U215" s="53"/>
      <c r="V215" s="53"/>
      <c r="W215" s="53"/>
      <c r="X215" s="53"/>
      <c r="Y215" s="14"/>
      <c r="Z215" s="53"/>
      <c r="AA215" s="53"/>
      <c r="AB215" s="53"/>
      <c r="AC215" s="53"/>
      <c r="AD215" s="53"/>
      <c r="AE215" s="107"/>
      <c r="AF215" s="53"/>
      <c r="AG215" s="107"/>
      <c r="AH215" s="107">
        <f t="shared" si="37"/>
        <v>0</v>
      </c>
    </row>
    <row r="216" spans="1:34" ht="15">
      <c r="A216" s="428" t="s">
        <v>156</v>
      </c>
      <c r="B216" s="53">
        <f t="shared" si="36"/>
        <v>0</v>
      </c>
      <c r="C216" s="103"/>
      <c r="D216" s="53"/>
      <c r="E216" s="53"/>
      <c r="F216" s="53"/>
      <c r="G216" s="53"/>
      <c r="H216" s="53"/>
      <c r="I216" s="53"/>
      <c r="J216" s="53"/>
      <c r="K216" s="53"/>
      <c r="L216" s="53"/>
      <c r="M216" s="53"/>
      <c r="N216" s="53"/>
      <c r="O216" s="53"/>
      <c r="P216" s="3027">
        <v>0</v>
      </c>
      <c r="Q216" s="3027">
        <v>0</v>
      </c>
      <c r="R216" s="3027">
        <v>0</v>
      </c>
      <c r="S216" s="3027">
        <v>0</v>
      </c>
      <c r="T216" s="3027">
        <v>0</v>
      </c>
      <c r="U216" s="3027">
        <v>0</v>
      </c>
      <c r="V216" s="3027">
        <v>0</v>
      </c>
      <c r="W216" s="3027">
        <v>0</v>
      </c>
      <c r="X216" s="3027">
        <v>0</v>
      </c>
      <c r="Y216" s="3027">
        <v>0</v>
      </c>
      <c r="Z216" s="3027">
        <v>0</v>
      </c>
      <c r="AA216" s="3027">
        <v>0</v>
      </c>
      <c r="AB216" s="3027">
        <v>0</v>
      </c>
      <c r="AC216" s="3027">
        <v>0</v>
      </c>
      <c r="AD216" s="3027">
        <v>0</v>
      </c>
      <c r="AE216" s="3027">
        <v>0</v>
      </c>
      <c r="AF216" s="3027">
        <v>0</v>
      </c>
      <c r="AG216" s="3027">
        <v>0</v>
      </c>
      <c r="AH216" s="107">
        <f t="shared" si="37"/>
        <v>0</v>
      </c>
    </row>
    <row r="217" spans="1:34" ht="15">
      <c r="A217" s="199" t="s">
        <v>144</v>
      </c>
      <c r="B217" s="200">
        <f>SUM(B205:B216)</f>
        <v>0</v>
      </c>
      <c r="C217" s="100">
        <f>SUM(C205:C215)</f>
        <v>0</v>
      </c>
      <c r="D217" s="107">
        <f>SUM(D205:D215)</f>
        <v>0</v>
      </c>
      <c r="E217" s="107">
        <v>0</v>
      </c>
      <c r="F217" s="107">
        <f t="shared" ref="F217:AC217" si="38">SUM(F205:F215)</f>
        <v>0</v>
      </c>
      <c r="G217" s="107">
        <f t="shared" si="38"/>
        <v>0</v>
      </c>
      <c r="H217" s="107">
        <f t="shared" si="38"/>
        <v>0</v>
      </c>
      <c r="I217" s="107">
        <f t="shared" si="38"/>
        <v>0</v>
      </c>
      <c r="J217" s="107">
        <f t="shared" si="38"/>
        <v>0</v>
      </c>
      <c r="K217" s="107">
        <f t="shared" si="38"/>
        <v>0</v>
      </c>
      <c r="L217" s="107">
        <f t="shared" si="38"/>
        <v>0</v>
      </c>
      <c r="M217" s="107">
        <f t="shared" si="38"/>
        <v>0</v>
      </c>
      <c r="N217" s="107">
        <f t="shared" si="38"/>
        <v>0</v>
      </c>
      <c r="O217" s="107">
        <f t="shared" si="38"/>
        <v>0</v>
      </c>
      <c r="P217" s="107">
        <f t="shared" si="38"/>
        <v>0</v>
      </c>
      <c r="Q217" s="107">
        <f t="shared" si="38"/>
        <v>0</v>
      </c>
      <c r="R217" s="107">
        <f t="shared" si="38"/>
        <v>0</v>
      </c>
      <c r="S217" s="107">
        <f t="shared" si="38"/>
        <v>0</v>
      </c>
      <c r="T217" s="107">
        <f t="shared" si="38"/>
        <v>0</v>
      </c>
      <c r="U217" s="107">
        <f t="shared" si="38"/>
        <v>0</v>
      </c>
      <c r="V217" s="107">
        <f t="shared" si="38"/>
        <v>0</v>
      </c>
      <c r="W217" s="107">
        <f t="shared" si="38"/>
        <v>0</v>
      </c>
      <c r="X217" s="107">
        <f t="shared" si="38"/>
        <v>0</v>
      </c>
      <c r="Y217" s="107">
        <f t="shared" si="38"/>
        <v>0</v>
      </c>
      <c r="Z217" s="107">
        <f t="shared" si="38"/>
        <v>0</v>
      </c>
      <c r="AA217" s="107">
        <f t="shared" si="38"/>
        <v>0</v>
      </c>
      <c r="AB217" s="107">
        <f t="shared" si="38"/>
        <v>0</v>
      </c>
      <c r="AC217" s="107">
        <f t="shared" si="38"/>
        <v>0</v>
      </c>
      <c r="AD217" s="107">
        <v>0</v>
      </c>
      <c r="AE217" s="107">
        <f>SUM(AE205:AE215)</f>
        <v>0</v>
      </c>
      <c r="AF217" s="107">
        <f>SUM(AF205:AF215)</f>
        <v>0</v>
      </c>
      <c r="AG217" s="107">
        <f>SUM(AG205:AG215)</f>
        <v>0</v>
      </c>
      <c r="AH217" s="100">
        <f>SUM(AH205:AH215)</f>
        <v>0</v>
      </c>
    </row>
    <row r="218" spans="1:34" ht="5.0999999999999996" customHeight="1">
      <c r="A218" s="104"/>
      <c r="B218" s="112"/>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c r="AA218" s="106"/>
      <c r="AB218" s="106"/>
      <c r="AC218" s="106"/>
      <c r="AD218" s="106"/>
      <c r="AE218" s="106"/>
      <c r="AF218" s="106"/>
      <c r="AG218" s="106"/>
      <c r="AH218" s="106"/>
    </row>
    <row r="219" spans="1:34" ht="15">
      <c r="A219" s="3854" t="s">
        <v>290</v>
      </c>
      <c r="B219" s="3855"/>
      <c r="C219" s="3855"/>
      <c r="D219" s="3855"/>
      <c r="E219" s="3855"/>
      <c r="F219" s="3855"/>
      <c r="G219" s="3855"/>
      <c r="H219" s="3856"/>
      <c r="I219" s="3313"/>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row>
    <row r="220" spans="1:34" ht="15">
      <c r="A220" s="8" t="s">
        <v>161</v>
      </c>
      <c r="B220" s="8" t="s">
        <v>143</v>
      </c>
      <c r="C220" s="2907">
        <v>1</v>
      </c>
      <c r="D220" s="73">
        <v>2</v>
      </c>
      <c r="E220" s="73">
        <v>3</v>
      </c>
      <c r="F220" s="73">
        <v>4</v>
      </c>
      <c r="G220" s="73">
        <v>5</v>
      </c>
      <c r="H220" s="73">
        <v>6</v>
      </c>
      <c r="I220" s="73">
        <v>7</v>
      </c>
      <c r="J220" s="73">
        <v>8</v>
      </c>
      <c r="K220" s="73">
        <v>9</v>
      </c>
      <c r="L220" s="73">
        <v>10</v>
      </c>
      <c r="M220" s="73">
        <v>11</v>
      </c>
      <c r="N220" s="73">
        <v>12</v>
      </c>
      <c r="O220" s="73">
        <v>13</v>
      </c>
      <c r="P220" s="73">
        <v>14</v>
      </c>
      <c r="Q220" s="73">
        <v>15</v>
      </c>
      <c r="R220" s="73">
        <v>16</v>
      </c>
      <c r="S220" s="73">
        <v>17</v>
      </c>
      <c r="T220" s="73">
        <v>18</v>
      </c>
      <c r="U220" s="73">
        <v>19</v>
      </c>
      <c r="V220" s="73">
        <v>20</v>
      </c>
      <c r="W220" s="73">
        <v>21</v>
      </c>
      <c r="X220" s="73">
        <v>22</v>
      </c>
      <c r="Y220" s="73">
        <v>23</v>
      </c>
      <c r="Z220" s="73">
        <v>24</v>
      </c>
      <c r="AA220" s="73">
        <v>25</v>
      </c>
      <c r="AB220" s="73">
        <v>26</v>
      </c>
      <c r="AC220" s="73">
        <v>27</v>
      </c>
      <c r="AD220" s="73">
        <v>28</v>
      </c>
      <c r="AE220" s="73">
        <v>29</v>
      </c>
      <c r="AF220" s="73">
        <v>30</v>
      </c>
      <c r="AG220" s="73">
        <v>31</v>
      </c>
      <c r="AH220" s="88" t="s">
        <v>144</v>
      </c>
    </row>
    <row r="221" spans="1:34" ht="15">
      <c r="A221" s="427" t="s">
        <v>145</v>
      </c>
      <c r="B221" s="53">
        <f t="shared" ref="B221:B232" si="39">+AH221</f>
        <v>0</v>
      </c>
      <c r="C221" s="360" t="s">
        <v>311</v>
      </c>
      <c r="D221" s="360" t="s">
        <v>311</v>
      </c>
      <c r="E221" s="360" t="s">
        <v>311</v>
      </c>
      <c r="F221" s="360" t="s">
        <v>311</v>
      </c>
      <c r="G221" s="360" t="s">
        <v>311</v>
      </c>
      <c r="H221" s="360" t="s">
        <v>311</v>
      </c>
      <c r="I221" s="360" t="s">
        <v>311</v>
      </c>
      <c r="J221" s="360" t="s">
        <v>311</v>
      </c>
      <c r="K221" s="360" t="s">
        <v>311</v>
      </c>
      <c r="L221" s="360" t="s">
        <v>311</v>
      </c>
      <c r="M221" s="360" t="s">
        <v>311</v>
      </c>
      <c r="N221" s="360" t="s">
        <v>311</v>
      </c>
      <c r="O221" s="360" t="s">
        <v>311</v>
      </c>
      <c r="P221" s="360" t="s">
        <v>311</v>
      </c>
      <c r="Q221" s="360" t="s">
        <v>311</v>
      </c>
      <c r="R221" s="360" t="s">
        <v>311</v>
      </c>
      <c r="S221" s="360" t="s">
        <v>311</v>
      </c>
      <c r="T221" s="360" t="s">
        <v>311</v>
      </c>
      <c r="U221" s="360" t="s">
        <v>311</v>
      </c>
      <c r="V221" s="360" t="s">
        <v>311</v>
      </c>
      <c r="W221" s="360" t="s">
        <v>311</v>
      </c>
      <c r="X221" s="360" t="s">
        <v>311</v>
      </c>
      <c r="Y221" s="360" t="s">
        <v>311</v>
      </c>
      <c r="Z221" s="360" t="s">
        <v>311</v>
      </c>
      <c r="AA221" s="360" t="s">
        <v>311</v>
      </c>
      <c r="AB221" s="360" t="s">
        <v>311</v>
      </c>
      <c r="AC221" s="360" t="s">
        <v>311</v>
      </c>
      <c r="AD221" s="360" t="s">
        <v>311</v>
      </c>
      <c r="AE221" s="360" t="s">
        <v>311</v>
      </c>
      <c r="AF221" s="360" t="s">
        <v>311</v>
      </c>
      <c r="AG221" s="360" t="s">
        <v>311</v>
      </c>
      <c r="AH221" s="107">
        <f>SUM(C221:AG221)</f>
        <v>0</v>
      </c>
    </row>
    <row r="222" spans="1:34" ht="15">
      <c r="A222" s="427" t="s">
        <v>146</v>
      </c>
      <c r="B222" s="53">
        <f t="shared" si="39"/>
        <v>0</v>
      </c>
      <c r="C222" s="360" t="s">
        <v>311</v>
      </c>
      <c r="D222" s="360" t="s">
        <v>311</v>
      </c>
      <c r="E222" s="360" t="s">
        <v>311</v>
      </c>
      <c r="F222" s="360" t="s">
        <v>311</v>
      </c>
      <c r="G222" s="360" t="s">
        <v>311</v>
      </c>
      <c r="H222" s="360" t="s">
        <v>311</v>
      </c>
      <c r="I222" s="360" t="s">
        <v>311</v>
      </c>
      <c r="J222" s="361"/>
      <c r="K222" s="361"/>
      <c r="L222" s="361"/>
      <c r="M222" s="361"/>
      <c r="N222" s="361"/>
      <c r="O222" s="361"/>
      <c r="P222" s="361"/>
      <c r="Q222" s="361"/>
      <c r="R222" s="361"/>
      <c r="S222" s="361"/>
      <c r="T222" s="361"/>
      <c r="U222" s="361"/>
      <c r="V222" s="361"/>
      <c r="W222" s="361"/>
      <c r="X222" s="361"/>
      <c r="Y222" s="361"/>
      <c r="Z222" s="361"/>
      <c r="AA222" s="361"/>
      <c r="AB222" s="361"/>
      <c r="AC222" s="361"/>
      <c r="AD222" s="361"/>
      <c r="AE222" s="361"/>
      <c r="AF222" s="361"/>
      <c r="AG222" s="361"/>
      <c r="AH222" s="107">
        <f t="shared" ref="AH222:AH232" si="40">SUM(C222:AG222)</f>
        <v>0</v>
      </c>
    </row>
    <row r="223" spans="1:34" ht="15">
      <c r="A223" s="427" t="s">
        <v>147</v>
      </c>
      <c r="B223" s="53">
        <f t="shared" si="39"/>
        <v>0</v>
      </c>
      <c r="C223" s="361"/>
      <c r="D223" s="361"/>
      <c r="E223" s="361"/>
      <c r="F223" s="361"/>
      <c r="G223" s="361"/>
      <c r="H223" s="306"/>
      <c r="I223" s="306"/>
      <c r="J223" s="306"/>
      <c r="K223" s="306"/>
      <c r="L223" s="306"/>
      <c r="M223" s="306"/>
      <c r="N223" s="306"/>
      <c r="O223" s="306"/>
      <c r="P223" s="306"/>
      <c r="Q223" s="306"/>
      <c r="R223" s="53"/>
      <c r="S223" s="53"/>
      <c r="T223" s="53"/>
      <c r="U223" s="53"/>
      <c r="V223" s="53"/>
      <c r="W223" s="53"/>
      <c r="X223" s="53"/>
      <c r="Y223" s="53"/>
      <c r="Z223" s="53"/>
      <c r="AA223" s="53"/>
      <c r="AB223" s="53"/>
      <c r="AC223" s="360" t="s">
        <v>311</v>
      </c>
      <c r="AD223" s="360" t="s">
        <v>311</v>
      </c>
      <c r="AE223" s="360" t="s">
        <v>311</v>
      </c>
      <c r="AF223" s="360" t="s">
        <v>311</v>
      </c>
      <c r="AG223" s="360" t="s">
        <v>311</v>
      </c>
      <c r="AH223" s="107">
        <f t="shared" si="40"/>
        <v>0</v>
      </c>
    </row>
    <row r="224" spans="1:34" ht="15">
      <c r="A224" s="427" t="s">
        <v>148</v>
      </c>
      <c r="B224" s="53">
        <f t="shared" si="39"/>
        <v>0</v>
      </c>
      <c r="C224" s="360" t="s">
        <v>311</v>
      </c>
      <c r="D224" s="360" t="s">
        <v>311</v>
      </c>
      <c r="E224" s="360" t="s">
        <v>311</v>
      </c>
      <c r="F224" s="360" t="s">
        <v>311</v>
      </c>
      <c r="G224" s="360" t="s">
        <v>311</v>
      </c>
      <c r="H224" s="360" t="s">
        <v>311</v>
      </c>
      <c r="I224" s="360" t="s">
        <v>311</v>
      </c>
      <c r="J224" s="360" t="s">
        <v>311</v>
      </c>
      <c r="K224" s="360" t="s">
        <v>311</v>
      </c>
      <c r="L224" s="53"/>
      <c r="M224" s="53"/>
      <c r="N224" s="53"/>
      <c r="O224" s="53"/>
      <c r="P224" s="53"/>
      <c r="Q224" s="53"/>
      <c r="R224" s="53"/>
      <c r="S224" s="53"/>
      <c r="T224" s="53"/>
      <c r="U224" s="53"/>
      <c r="V224" s="53"/>
      <c r="W224" s="53"/>
      <c r="X224" s="53"/>
      <c r="Y224" s="53"/>
      <c r="Z224" s="53"/>
      <c r="AA224" s="53"/>
      <c r="AB224" s="53"/>
      <c r="AC224" s="53"/>
      <c r="AD224" s="53"/>
      <c r="AE224" s="53"/>
      <c r="AF224" s="53"/>
      <c r="AG224" s="53"/>
      <c r="AH224" s="107">
        <f t="shared" si="40"/>
        <v>0</v>
      </c>
    </row>
    <row r="225" spans="1:34" ht="15">
      <c r="A225" s="414" t="s">
        <v>149</v>
      </c>
      <c r="B225" s="53">
        <f t="shared" si="39"/>
        <v>0</v>
      </c>
      <c r="C225" s="103"/>
      <c r="D225" s="53"/>
      <c r="E225" s="53"/>
      <c r="F225" s="53"/>
      <c r="G225" s="53"/>
      <c r="H225" s="53"/>
      <c r="I225" s="53"/>
      <c r="J225" s="53"/>
      <c r="K225" s="53"/>
      <c r="L225" s="53"/>
      <c r="M225" s="53"/>
      <c r="N225" s="53"/>
      <c r="O225" s="53"/>
      <c r="P225" s="53"/>
      <c r="Q225" s="53"/>
      <c r="R225" s="53"/>
      <c r="S225" s="53"/>
      <c r="T225" s="53"/>
      <c r="U225" s="53"/>
      <c r="V225" s="53"/>
      <c r="W225" s="53"/>
      <c r="X225" s="53"/>
      <c r="Y225" s="53"/>
      <c r="Z225" s="53"/>
      <c r="AA225" s="53"/>
      <c r="AB225" s="53"/>
      <c r="AC225" s="53"/>
      <c r="AD225" s="53"/>
      <c r="AE225" s="53"/>
      <c r="AF225" s="53"/>
      <c r="AG225" s="53"/>
      <c r="AH225" s="107">
        <f t="shared" si="40"/>
        <v>0</v>
      </c>
    </row>
    <row r="226" spans="1:34" ht="15">
      <c r="A226" s="414" t="s">
        <v>150</v>
      </c>
      <c r="B226" s="53">
        <f t="shared" si="39"/>
        <v>0</v>
      </c>
      <c r="C226" s="103"/>
      <c r="D226" s="53"/>
      <c r="E226" s="53"/>
      <c r="F226" s="53"/>
      <c r="G226" s="53"/>
      <c r="H226" s="188" t="s">
        <v>318</v>
      </c>
      <c r="I226" s="188" t="s">
        <v>318</v>
      </c>
      <c r="J226" s="188" t="s">
        <v>318</v>
      </c>
      <c r="K226" s="188" t="s">
        <v>318</v>
      </c>
      <c r="L226" s="188" t="s">
        <v>318</v>
      </c>
      <c r="M226" s="188" t="s">
        <v>318</v>
      </c>
      <c r="N226" s="188" t="s">
        <v>318</v>
      </c>
      <c r="O226" s="188" t="s">
        <v>318</v>
      </c>
      <c r="P226" s="188" t="s">
        <v>318</v>
      </c>
      <c r="Q226" s="188" t="s">
        <v>318</v>
      </c>
      <c r="R226" s="188" t="s">
        <v>318</v>
      </c>
      <c r="S226" s="188" t="s">
        <v>318</v>
      </c>
      <c r="T226" s="188" t="s">
        <v>318</v>
      </c>
      <c r="U226" s="188" t="s">
        <v>318</v>
      </c>
      <c r="V226" s="188" t="s">
        <v>318</v>
      </c>
      <c r="W226" s="188" t="s">
        <v>318</v>
      </c>
      <c r="X226" s="188" t="s">
        <v>318</v>
      </c>
      <c r="Y226" s="53"/>
      <c r="Z226" s="53"/>
      <c r="AA226" s="53"/>
      <c r="AB226" s="53"/>
      <c r="AC226" s="53"/>
      <c r="AD226" s="53"/>
      <c r="AE226" s="53"/>
      <c r="AF226" s="53"/>
      <c r="AG226" s="53"/>
      <c r="AH226" s="107">
        <f t="shared" si="40"/>
        <v>0</v>
      </c>
    </row>
    <row r="227" spans="1:34" ht="15">
      <c r="A227" s="414" t="s">
        <v>151</v>
      </c>
      <c r="B227" s="53">
        <f t="shared" si="39"/>
        <v>0</v>
      </c>
      <c r="C227" s="103"/>
      <c r="D227" s="107"/>
      <c r="E227" s="107"/>
      <c r="F227" s="107"/>
      <c r="G227" s="53"/>
      <c r="H227" s="53"/>
      <c r="I227" s="53"/>
      <c r="J227" s="111"/>
      <c r="K227" s="111"/>
      <c r="L227" s="107"/>
      <c r="M227" s="107"/>
      <c r="N227" s="107"/>
      <c r="O227" s="107"/>
      <c r="P227" s="107"/>
      <c r="Q227" s="107"/>
      <c r="R227" s="107"/>
      <c r="S227" s="107"/>
      <c r="T227" s="107"/>
      <c r="U227" s="107"/>
      <c r="V227" s="107"/>
      <c r="W227" s="107"/>
      <c r="X227" s="107"/>
      <c r="Y227" s="107"/>
      <c r="Z227" s="107"/>
      <c r="AA227" s="107"/>
      <c r="AB227" s="107"/>
      <c r="AC227" s="107"/>
      <c r="AD227" s="107"/>
      <c r="AE227" s="107"/>
      <c r="AF227" s="107"/>
      <c r="AG227" s="107"/>
      <c r="AH227" s="107">
        <f t="shared" si="40"/>
        <v>0</v>
      </c>
    </row>
    <row r="228" spans="1:34" ht="15">
      <c r="A228" s="414" t="s">
        <v>152</v>
      </c>
      <c r="B228" s="53">
        <f t="shared" si="39"/>
        <v>0</v>
      </c>
      <c r="C228" s="103"/>
      <c r="D228" s="53"/>
      <c r="E228" s="53"/>
      <c r="F228" s="53"/>
      <c r="G228" s="53"/>
      <c r="H228" s="53"/>
      <c r="I228" s="53"/>
      <c r="J228" s="188" t="s">
        <v>318</v>
      </c>
      <c r="K228" s="188" t="s">
        <v>318</v>
      </c>
      <c r="L228" s="188" t="s">
        <v>318</v>
      </c>
      <c r="M228" s="188" t="s">
        <v>318</v>
      </c>
      <c r="N228" s="188" t="s">
        <v>318</v>
      </c>
      <c r="O228" s="188" t="s">
        <v>318</v>
      </c>
      <c r="P228" s="188" t="s">
        <v>318</v>
      </c>
      <c r="Q228" s="188" t="s">
        <v>318</v>
      </c>
      <c r="R228" s="188" t="s">
        <v>318</v>
      </c>
      <c r="S228" s="188" t="s">
        <v>318</v>
      </c>
      <c r="T228" s="188" t="s">
        <v>318</v>
      </c>
      <c r="U228" s="188" t="s">
        <v>318</v>
      </c>
      <c r="V228" s="188" t="s">
        <v>318</v>
      </c>
      <c r="W228" s="188" t="s">
        <v>318</v>
      </c>
      <c r="X228" s="188" t="s">
        <v>318</v>
      </c>
      <c r="Y228" s="188" t="s">
        <v>318</v>
      </c>
      <c r="Z228" s="188" t="s">
        <v>318</v>
      </c>
      <c r="AA228" s="188" t="s">
        <v>318</v>
      </c>
      <c r="AB228" s="188" t="s">
        <v>318</v>
      </c>
      <c r="AC228" s="188" t="s">
        <v>318</v>
      </c>
      <c r="AD228" s="188" t="s">
        <v>318</v>
      </c>
      <c r="AE228" s="188" t="s">
        <v>318</v>
      </c>
      <c r="AF228" s="188" t="s">
        <v>318</v>
      </c>
      <c r="AG228" s="188" t="s">
        <v>318</v>
      </c>
      <c r="AH228" s="107">
        <f t="shared" si="40"/>
        <v>0</v>
      </c>
    </row>
    <row r="229" spans="1:34" ht="15">
      <c r="A229" s="428" t="s">
        <v>153</v>
      </c>
      <c r="B229" s="53">
        <f t="shared" si="39"/>
        <v>0</v>
      </c>
      <c r="C229" s="188" t="s">
        <v>318</v>
      </c>
      <c r="D229" s="188" t="s">
        <v>318</v>
      </c>
      <c r="E229" s="188" t="s">
        <v>318</v>
      </c>
      <c r="F229" s="188" t="s">
        <v>318</v>
      </c>
      <c r="G229" s="188" t="s">
        <v>318</v>
      </c>
      <c r="H229" s="188" t="s">
        <v>318</v>
      </c>
      <c r="I229" s="188" t="s">
        <v>318</v>
      </c>
      <c r="J229" s="188" t="s">
        <v>318</v>
      </c>
      <c r="K229" s="188" t="s">
        <v>318</v>
      </c>
      <c r="L229" s="188" t="s">
        <v>318</v>
      </c>
      <c r="M229" s="188" t="s">
        <v>318</v>
      </c>
      <c r="N229" s="188" t="s">
        <v>318</v>
      </c>
      <c r="O229" s="188" t="s">
        <v>318</v>
      </c>
      <c r="P229" s="188" t="s">
        <v>318</v>
      </c>
      <c r="Q229" s="188" t="s">
        <v>318</v>
      </c>
      <c r="R229" s="188" t="s">
        <v>318</v>
      </c>
      <c r="S229" s="188" t="s">
        <v>318</v>
      </c>
      <c r="T229" s="188" t="s">
        <v>318</v>
      </c>
      <c r="U229" s="188" t="s">
        <v>318</v>
      </c>
      <c r="V229" s="188" t="s">
        <v>318</v>
      </c>
      <c r="W229" s="188" t="s">
        <v>318</v>
      </c>
      <c r="X229" s="188" t="s">
        <v>318</v>
      </c>
      <c r="Y229" s="188" t="s">
        <v>318</v>
      </c>
      <c r="Z229" s="188" t="s">
        <v>318</v>
      </c>
      <c r="AA229" s="188" t="s">
        <v>318</v>
      </c>
      <c r="AB229" s="188" t="s">
        <v>318</v>
      </c>
      <c r="AC229" s="188" t="s">
        <v>318</v>
      </c>
      <c r="AD229" s="188" t="s">
        <v>318</v>
      </c>
      <c r="AE229" s="188" t="s">
        <v>318</v>
      </c>
      <c r="AF229" s="188" t="s">
        <v>318</v>
      </c>
      <c r="AG229" s="188" t="s">
        <v>318</v>
      </c>
      <c r="AH229" s="107">
        <f t="shared" si="40"/>
        <v>0</v>
      </c>
    </row>
    <row r="230" spans="1:34" ht="15">
      <c r="A230" s="428" t="s">
        <v>154</v>
      </c>
      <c r="B230" s="53">
        <f t="shared" si="39"/>
        <v>0</v>
      </c>
      <c r="C230" s="188" t="s">
        <v>318</v>
      </c>
      <c r="D230" s="188" t="s">
        <v>318</v>
      </c>
      <c r="E230" s="188" t="s">
        <v>318</v>
      </c>
      <c r="F230" s="188" t="s">
        <v>318</v>
      </c>
      <c r="G230" s="188" t="s">
        <v>318</v>
      </c>
      <c r="H230" s="188" t="s">
        <v>318</v>
      </c>
      <c r="I230" s="188" t="s">
        <v>318</v>
      </c>
      <c r="J230" s="188" t="s">
        <v>318</v>
      </c>
      <c r="K230" s="188" t="s">
        <v>318</v>
      </c>
      <c r="L230" s="188" t="s">
        <v>318</v>
      </c>
      <c r="M230" s="188" t="s">
        <v>318</v>
      </c>
      <c r="N230" s="188" t="s">
        <v>318</v>
      </c>
      <c r="O230" s="188" t="s">
        <v>318</v>
      </c>
      <c r="P230" s="188" t="s">
        <v>318</v>
      </c>
      <c r="Q230" s="188" t="s">
        <v>318</v>
      </c>
      <c r="R230" s="188" t="s">
        <v>318</v>
      </c>
      <c r="S230" s="188" t="s">
        <v>318</v>
      </c>
      <c r="T230" s="188" t="s">
        <v>318</v>
      </c>
      <c r="U230" s="188" t="s">
        <v>318</v>
      </c>
      <c r="V230" s="188" t="s">
        <v>318</v>
      </c>
      <c r="W230" s="188" t="s">
        <v>318</v>
      </c>
      <c r="X230" s="53"/>
      <c r="Y230" s="53"/>
      <c r="Z230" s="53"/>
      <c r="AA230" s="53"/>
      <c r="AB230" s="53"/>
      <c r="AC230" s="53"/>
      <c r="AD230" s="53"/>
      <c r="AE230" s="107"/>
      <c r="AF230" s="53"/>
      <c r="AG230" s="107"/>
      <c r="AH230" s="107">
        <f t="shared" si="40"/>
        <v>0</v>
      </c>
    </row>
    <row r="231" spans="1:34" ht="15">
      <c r="A231" s="428" t="s">
        <v>155</v>
      </c>
      <c r="B231" s="53">
        <f t="shared" si="39"/>
        <v>0</v>
      </c>
      <c r="C231" s="103"/>
      <c r="D231" s="53"/>
      <c r="E231" s="53"/>
      <c r="F231" s="53"/>
      <c r="G231" s="14"/>
      <c r="H231" s="53"/>
      <c r="I231" s="53"/>
      <c r="J231" s="53"/>
      <c r="K231" s="53"/>
      <c r="L231" s="53"/>
      <c r="M231" s="53"/>
      <c r="N231" s="53"/>
      <c r="O231" s="53"/>
      <c r="P231" s="53"/>
      <c r="Q231" s="53"/>
      <c r="R231" s="53"/>
      <c r="S231" s="53"/>
      <c r="T231" s="53"/>
      <c r="U231" s="53"/>
      <c r="V231" s="53"/>
      <c r="W231" s="53"/>
      <c r="X231" s="53"/>
      <c r="Y231" s="14"/>
      <c r="Z231" s="53"/>
      <c r="AA231" s="53"/>
      <c r="AB231" s="53"/>
      <c r="AC231" s="53"/>
      <c r="AD231" s="53"/>
      <c r="AE231" s="107"/>
      <c r="AF231" s="53"/>
      <c r="AG231" s="107"/>
      <c r="AH231" s="107">
        <f t="shared" si="40"/>
        <v>0</v>
      </c>
    </row>
    <row r="232" spans="1:34" ht="15">
      <c r="A232" s="428" t="s">
        <v>156</v>
      </c>
      <c r="B232" s="53">
        <f t="shared" si="39"/>
        <v>0</v>
      </c>
      <c r="C232" s="103"/>
      <c r="D232" s="53"/>
      <c r="E232" s="53"/>
      <c r="F232" s="53"/>
      <c r="G232" s="53"/>
      <c r="H232" s="53"/>
      <c r="I232" s="53"/>
      <c r="J232" s="53"/>
      <c r="K232" s="53"/>
      <c r="L232" s="53"/>
      <c r="M232" s="53"/>
      <c r="N232" s="53"/>
      <c r="O232" s="53"/>
      <c r="P232" s="3027">
        <v>0</v>
      </c>
      <c r="Q232" s="3027">
        <v>0</v>
      </c>
      <c r="R232" s="3027">
        <v>0</v>
      </c>
      <c r="S232" s="3027">
        <v>0</v>
      </c>
      <c r="T232" s="3027">
        <v>0</v>
      </c>
      <c r="U232" s="3027">
        <v>0</v>
      </c>
      <c r="V232" s="3027">
        <v>0</v>
      </c>
      <c r="W232" s="3027">
        <v>0</v>
      </c>
      <c r="X232" s="3027">
        <v>0</v>
      </c>
      <c r="Y232" s="3027">
        <v>0</v>
      </c>
      <c r="Z232" s="3027">
        <v>0</v>
      </c>
      <c r="AA232" s="3027">
        <v>0</v>
      </c>
      <c r="AB232" s="3027">
        <v>0</v>
      </c>
      <c r="AC232" s="3027">
        <v>0</v>
      </c>
      <c r="AD232" s="3027">
        <v>0</v>
      </c>
      <c r="AE232" s="3027">
        <v>0</v>
      </c>
      <c r="AF232" s="3027">
        <v>0</v>
      </c>
      <c r="AG232" s="3027">
        <v>0</v>
      </c>
      <c r="AH232" s="107">
        <f t="shared" si="40"/>
        <v>0</v>
      </c>
    </row>
    <row r="233" spans="1:34" ht="15">
      <c r="A233" s="199" t="s">
        <v>144</v>
      </c>
      <c r="B233" s="200">
        <f>SUM(B221:B232)</f>
        <v>0</v>
      </c>
      <c r="C233" s="100">
        <f>SUM(C221:C231)</f>
        <v>0</v>
      </c>
      <c r="D233" s="107">
        <f>SUM(D221:D231)</f>
        <v>0</v>
      </c>
      <c r="E233" s="107">
        <v>0</v>
      </c>
      <c r="F233" s="107">
        <f t="shared" ref="F233:AC233" si="41">SUM(F221:F231)</f>
        <v>0</v>
      </c>
      <c r="G233" s="107">
        <f t="shared" si="41"/>
        <v>0</v>
      </c>
      <c r="H233" s="107">
        <f t="shared" si="41"/>
        <v>0</v>
      </c>
      <c r="I233" s="107">
        <f t="shared" si="41"/>
        <v>0</v>
      </c>
      <c r="J233" s="107">
        <f t="shared" si="41"/>
        <v>0</v>
      </c>
      <c r="K233" s="107">
        <f t="shared" si="41"/>
        <v>0</v>
      </c>
      <c r="L233" s="107">
        <f t="shared" si="41"/>
        <v>0</v>
      </c>
      <c r="M233" s="107">
        <f t="shared" si="41"/>
        <v>0</v>
      </c>
      <c r="N233" s="107">
        <f t="shared" si="41"/>
        <v>0</v>
      </c>
      <c r="O233" s="107">
        <f t="shared" si="41"/>
        <v>0</v>
      </c>
      <c r="P233" s="107">
        <f t="shared" si="41"/>
        <v>0</v>
      </c>
      <c r="Q233" s="107">
        <f t="shared" si="41"/>
        <v>0</v>
      </c>
      <c r="R233" s="107">
        <f t="shared" si="41"/>
        <v>0</v>
      </c>
      <c r="S233" s="107">
        <f t="shared" si="41"/>
        <v>0</v>
      </c>
      <c r="T233" s="107">
        <f t="shared" si="41"/>
        <v>0</v>
      </c>
      <c r="U233" s="107">
        <f t="shared" si="41"/>
        <v>0</v>
      </c>
      <c r="V233" s="107">
        <f t="shared" si="41"/>
        <v>0</v>
      </c>
      <c r="W233" s="107">
        <f t="shared" si="41"/>
        <v>0</v>
      </c>
      <c r="X233" s="107">
        <f t="shared" si="41"/>
        <v>0</v>
      </c>
      <c r="Y233" s="107">
        <f t="shared" si="41"/>
        <v>0</v>
      </c>
      <c r="Z233" s="107">
        <f t="shared" si="41"/>
        <v>0</v>
      </c>
      <c r="AA233" s="107">
        <f t="shared" si="41"/>
        <v>0</v>
      </c>
      <c r="AB233" s="107">
        <f t="shared" si="41"/>
        <v>0</v>
      </c>
      <c r="AC233" s="107">
        <f t="shared" si="41"/>
        <v>0</v>
      </c>
      <c r="AD233" s="107">
        <v>0</v>
      </c>
      <c r="AE233" s="107">
        <f>SUM(AE221:AE231)</f>
        <v>0</v>
      </c>
      <c r="AF233" s="107">
        <f>SUM(AF221:AF231)</f>
        <v>0</v>
      </c>
      <c r="AG233" s="107">
        <f>SUM(AG221:AG231)</f>
        <v>0</v>
      </c>
      <c r="AH233" s="100">
        <f>SUM(AH221:AH231)</f>
        <v>0</v>
      </c>
    </row>
    <row r="234" spans="1:34" ht="5.0999999999999996" customHeight="1">
      <c r="A234" s="49"/>
      <c r="B234" s="49"/>
      <c r="C234" s="1"/>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
    </row>
    <row r="235" spans="1:34" ht="15">
      <c r="A235" s="3854" t="s">
        <v>291</v>
      </c>
      <c r="B235" s="3855"/>
      <c r="C235" s="3855"/>
      <c r="D235" s="3855"/>
      <c r="E235" s="3855"/>
      <c r="F235" s="3855"/>
      <c r="G235" s="3855"/>
      <c r="H235" s="3856"/>
      <c r="I235" s="3313"/>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row>
    <row r="236" spans="1:34" ht="15">
      <c r="A236" s="8" t="s">
        <v>142</v>
      </c>
      <c r="B236" s="8" t="s">
        <v>143</v>
      </c>
      <c r="C236" s="2907">
        <v>1</v>
      </c>
      <c r="D236" s="73">
        <v>2</v>
      </c>
      <c r="E236" s="73">
        <v>3</v>
      </c>
      <c r="F236" s="73">
        <v>4</v>
      </c>
      <c r="G236" s="73">
        <v>5</v>
      </c>
      <c r="H236" s="73">
        <v>6</v>
      </c>
      <c r="I236" s="73">
        <v>7</v>
      </c>
      <c r="J236" s="73">
        <v>8</v>
      </c>
      <c r="K236" s="73">
        <v>9</v>
      </c>
      <c r="L236" s="73">
        <v>10</v>
      </c>
      <c r="M236" s="73">
        <v>11</v>
      </c>
      <c r="N236" s="73">
        <v>12</v>
      </c>
      <c r="O236" s="73">
        <v>13</v>
      </c>
      <c r="P236" s="73">
        <v>14</v>
      </c>
      <c r="Q236" s="73">
        <v>15</v>
      </c>
      <c r="R236" s="73">
        <v>16</v>
      </c>
      <c r="S236" s="73">
        <v>17</v>
      </c>
      <c r="T236" s="73">
        <v>18</v>
      </c>
      <c r="U236" s="73">
        <v>19</v>
      </c>
      <c r="V236" s="73">
        <v>20</v>
      </c>
      <c r="W236" s="73">
        <v>21</v>
      </c>
      <c r="X236" s="73">
        <v>22</v>
      </c>
      <c r="Y236" s="73">
        <v>23</v>
      </c>
      <c r="Z236" s="73">
        <v>24</v>
      </c>
      <c r="AA236" s="73">
        <v>25</v>
      </c>
      <c r="AB236" s="73">
        <v>26</v>
      </c>
      <c r="AC236" s="73">
        <v>27</v>
      </c>
      <c r="AD236" s="73">
        <v>28</v>
      </c>
      <c r="AE236" s="73">
        <v>29</v>
      </c>
      <c r="AF236" s="73">
        <v>30</v>
      </c>
      <c r="AG236" s="73">
        <v>31</v>
      </c>
      <c r="AH236" s="88" t="s">
        <v>144</v>
      </c>
    </row>
    <row r="237" spans="1:34" ht="15">
      <c r="A237" s="427" t="s">
        <v>145</v>
      </c>
      <c r="B237" s="162">
        <f t="shared" ref="B237:B248" si="42">+AH237</f>
        <v>0</v>
      </c>
      <c r="C237" s="360" t="s">
        <v>311</v>
      </c>
      <c r="D237" s="360" t="s">
        <v>311</v>
      </c>
      <c r="E237" s="360" t="s">
        <v>311</v>
      </c>
      <c r="F237" s="360" t="s">
        <v>311</v>
      </c>
      <c r="G237" s="360" t="s">
        <v>311</v>
      </c>
      <c r="H237" s="360" t="s">
        <v>311</v>
      </c>
      <c r="I237" s="360" t="s">
        <v>311</v>
      </c>
      <c r="J237" s="360" t="s">
        <v>311</v>
      </c>
      <c r="K237" s="360" t="s">
        <v>311</v>
      </c>
      <c r="L237" s="360" t="s">
        <v>311</v>
      </c>
      <c r="M237" s="360" t="s">
        <v>311</v>
      </c>
      <c r="N237" s="360" t="s">
        <v>311</v>
      </c>
      <c r="O237" s="360" t="s">
        <v>311</v>
      </c>
      <c r="P237" s="360" t="s">
        <v>311</v>
      </c>
      <c r="Q237" s="360" t="s">
        <v>311</v>
      </c>
      <c r="R237" s="360" t="s">
        <v>311</v>
      </c>
      <c r="S237" s="360" t="s">
        <v>311</v>
      </c>
      <c r="T237" s="360" t="s">
        <v>311</v>
      </c>
      <c r="U237" s="360" t="s">
        <v>311</v>
      </c>
      <c r="V237" s="360" t="s">
        <v>311</v>
      </c>
      <c r="W237" s="360" t="s">
        <v>311</v>
      </c>
      <c r="X237" s="360" t="s">
        <v>311</v>
      </c>
      <c r="Y237" s="360" t="s">
        <v>311</v>
      </c>
      <c r="Z237" s="360" t="s">
        <v>311</v>
      </c>
      <c r="AA237" s="360" t="s">
        <v>311</v>
      </c>
      <c r="AB237" s="360" t="s">
        <v>311</v>
      </c>
      <c r="AC237" s="360" t="s">
        <v>311</v>
      </c>
      <c r="AD237" s="360" t="s">
        <v>311</v>
      </c>
      <c r="AE237" s="360" t="s">
        <v>311</v>
      </c>
      <c r="AF237" s="360" t="s">
        <v>311</v>
      </c>
      <c r="AG237" s="360" t="s">
        <v>311</v>
      </c>
      <c r="AH237" s="107">
        <f>SUM(C237:AG237)</f>
        <v>0</v>
      </c>
    </row>
    <row r="238" spans="1:34" s="190" customFormat="1" ht="15">
      <c r="A238" s="427" t="s">
        <v>146</v>
      </c>
      <c r="B238" s="162">
        <f t="shared" si="42"/>
        <v>0</v>
      </c>
      <c r="C238" s="360" t="s">
        <v>311</v>
      </c>
      <c r="D238" s="360" t="s">
        <v>311</v>
      </c>
      <c r="E238" s="360" t="s">
        <v>311</v>
      </c>
      <c r="F238" s="360" t="s">
        <v>311</v>
      </c>
      <c r="G238" s="360" t="s">
        <v>311</v>
      </c>
      <c r="H238" s="360" t="s">
        <v>311</v>
      </c>
      <c r="I238" s="360" t="s">
        <v>311</v>
      </c>
      <c r="J238" s="361"/>
      <c r="K238" s="361"/>
      <c r="L238" s="361"/>
      <c r="M238" s="361"/>
      <c r="N238" s="361"/>
      <c r="O238" s="361"/>
      <c r="P238" s="361"/>
      <c r="Q238" s="361"/>
      <c r="R238" s="361"/>
      <c r="S238" s="361"/>
      <c r="T238" s="361"/>
      <c r="U238" s="361"/>
      <c r="V238" s="361"/>
      <c r="W238" s="361"/>
      <c r="X238" s="361"/>
      <c r="Y238" s="361"/>
      <c r="Z238" s="361"/>
      <c r="AA238" s="361"/>
      <c r="AB238" s="361"/>
      <c r="AC238" s="361"/>
      <c r="AD238" s="361"/>
      <c r="AE238" s="361"/>
      <c r="AF238" s="361"/>
      <c r="AG238" s="361"/>
      <c r="AH238" s="107">
        <f t="shared" ref="AH238:AH248" si="43">SUM(C238:AG238)</f>
        <v>0</v>
      </c>
    </row>
    <row r="239" spans="1:34" ht="15">
      <c r="A239" s="427" t="s">
        <v>147</v>
      </c>
      <c r="B239" s="162">
        <f t="shared" si="42"/>
        <v>0</v>
      </c>
      <c r="C239" s="361"/>
      <c r="D239" s="361"/>
      <c r="E239" s="361"/>
      <c r="F239" s="361"/>
      <c r="G239" s="361"/>
      <c r="H239" s="306"/>
      <c r="I239" s="306"/>
      <c r="J239" s="306"/>
      <c r="K239" s="306"/>
      <c r="L239" s="306"/>
      <c r="M239" s="306"/>
      <c r="N239" s="306"/>
      <c r="O239" s="306"/>
      <c r="P239" s="306"/>
      <c r="Q239" s="306"/>
      <c r="R239" s="53"/>
      <c r="S239" s="53"/>
      <c r="T239" s="53"/>
      <c r="U239" s="53"/>
      <c r="V239" s="53"/>
      <c r="W239" s="53"/>
      <c r="X239" s="53"/>
      <c r="Y239" s="53"/>
      <c r="Z239" s="53"/>
      <c r="AA239" s="53"/>
      <c r="AB239" s="53"/>
      <c r="AC239" s="360" t="s">
        <v>311</v>
      </c>
      <c r="AD239" s="360" t="s">
        <v>311</v>
      </c>
      <c r="AE239" s="360" t="s">
        <v>311</v>
      </c>
      <c r="AF239" s="360" t="s">
        <v>311</v>
      </c>
      <c r="AG239" s="360" t="s">
        <v>311</v>
      </c>
      <c r="AH239" s="107">
        <f t="shared" si="43"/>
        <v>0</v>
      </c>
    </row>
    <row r="240" spans="1:34" ht="15">
      <c r="A240" s="427" t="s">
        <v>148</v>
      </c>
      <c r="B240" s="162">
        <f t="shared" si="42"/>
        <v>0</v>
      </c>
      <c r="C240" s="360" t="s">
        <v>311</v>
      </c>
      <c r="D240" s="360" t="s">
        <v>311</v>
      </c>
      <c r="E240" s="360" t="s">
        <v>311</v>
      </c>
      <c r="F240" s="360" t="s">
        <v>311</v>
      </c>
      <c r="G240" s="360" t="s">
        <v>311</v>
      </c>
      <c r="H240" s="360" t="s">
        <v>311</v>
      </c>
      <c r="I240" s="360" t="s">
        <v>311</v>
      </c>
      <c r="J240" s="360" t="s">
        <v>311</v>
      </c>
      <c r="K240" s="360" t="s">
        <v>311</v>
      </c>
      <c r="L240" s="53"/>
      <c r="M240" s="53"/>
      <c r="N240" s="53"/>
      <c r="O240" s="53"/>
      <c r="P240" s="53"/>
      <c r="Q240" s="53"/>
      <c r="R240" s="53"/>
      <c r="S240" s="53"/>
      <c r="T240" s="53"/>
      <c r="U240" s="53"/>
      <c r="V240" s="53"/>
      <c r="W240" s="53"/>
      <c r="X240" s="53"/>
      <c r="Y240" s="53"/>
      <c r="Z240" s="53"/>
      <c r="AA240" s="53"/>
      <c r="AB240" s="53"/>
      <c r="AC240" s="53"/>
      <c r="AD240" s="53"/>
      <c r="AE240" s="53"/>
      <c r="AF240" s="53"/>
      <c r="AG240" s="53"/>
      <c r="AH240" s="107">
        <f t="shared" si="43"/>
        <v>0</v>
      </c>
    </row>
    <row r="241" spans="1:34" s="190" customFormat="1" ht="15">
      <c r="A241" s="414" t="s">
        <v>149</v>
      </c>
      <c r="B241" s="162">
        <f t="shared" si="42"/>
        <v>0</v>
      </c>
      <c r="C241" s="103"/>
      <c r="D241" s="53"/>
      <c r="E241" s="53"/>
      <c r="F241" s="53"/>
      <c r="G241" s="53"/>
      <c r="H241" s="53"/>
      <c r="I241" s="53"/>
      <c r="J241" s="53"/>
      <c r="K241" s="53"/>
      <c r="L241" s="53"/>
      <c r="M241" s="53"/>
      <c r="N241" s="53"/>
      <c r="O241" s="53"/>
      <c r="P241" s="53"/>
      <c r="Q241" s="53"/>
      <c r="R241" s="53"/>
      <c r="S241" s="53"/>
      <c r="T241" s="53"/>
      <c r="U241" s="53"/>
      <c r="V241" s="53"/>
      <c r="W241" s="53"/>
      <c r="X241" s="53"/>
      <c r="Y241" s="53"/>
      <c r="Z241" s="53"/>
      <c r="AA241" s="53"/>
      <c r="AB241" s="53"/>
      <c r="AC241" s="53"/>
      <c r="AD241" s="53"/>
      <c r="AE241" s="53"/>
      <c r="AF241" s="53"/>
      <c r="AG241" s="53"/>
      <c r="AH241" s="107">
        <f t="shared" si="43"/>
        <v>0</v>
      </c>
    </row>
    <row r="242" spans="1:34" ht="15">
      <c r="A242" s="414" t="s">
        <v>150</v>
      </c>
      <c r="B242" s="162">
        <f t="shared" si="42"/>
        <v>0</v>
      </c>
      <c r="C242" s="103"/>
      <c r="D242" s="53"/>
      <c r="E242" s="53"/>
      <c r="F242" s="53"/>
      <c r="G242" s="53"/>
      <c r="H242" s="188" t="s">
        <v>318</v>
      </c>
      <c r="I242" s="188" t="s">
        <v>318</v>
      </c>
      <c r="J242" s="188" t="s">
        <v>318</v>
      </c>
      <c r="K242" s="188" t="s">
        <v>318</v>
      </c>
      <c r="L242" s="188" t="s">
        <v>318</v>
      </c>
      <c r="M242" s="188" t="s">
        <v>318</v>
      </c>
      <c r="N242" s="188" t="s">
        <v>318</v>
      </c>
      <c r="O242" s="188" t="s">
        <v>318</v>
      </c>
      <c r="P242" s="188" t="s">
        <v>318</v>
      </c>
      <c r="Q242" s="188" t="s">
        <v>318</v>
      </c>
      <c r="R242" s="188" t="s">
        <v>318</v>
      </c>
      <c r="S242" s="188" t="s">
        <v>318</v>
      </c>
      <c r="T242" s="188" t="s">
        <v>318</v>
      </c>
      <c r="U242" s="188" t="s">
        <v>318</v>
      </c>
      <c r="V242" s="188" t="s">
        <v>318</v>
      </c>
      <c r="W242" s="188" t="s">
        <v>318</v>
      </c>
      <c r="X242" s="188" t="s">
        <v>318</v>
      </c>
      <c r="Y242" s="53"/>
      <c r="Z242" s="53"/>
      <c r="AA242" s="53"/>
      <c r="AB242" s="53"/>
      <c r="AC242" s="53"/>
      <c r="AD242" s="53"/>
      <c r="AE242" s="53"/>
      <c r="AF242" s="53"/>
      <c r="AG242" s="53"/>
      <c r="AH242" s="107">
        <f t="shared" si="43"/>
        <v>0</v>
      </c>
    </row>
    <row r="243" spans="1:34" ht="15">
      <c r="A243" s="414" t="s">
        <v>151</v>
      </c>
      <c r="B243" s="162">
        <f t="shared" si="42"/>
        <v>0</v>
      </c>
      <c r="C243" s="103"/>
      <c r="D243" s="107"/>
      <c r="E243" s="107"/>
      <c r="F243" s="107"/>
      <c r="G243" s="53"/>
      <c r="H243" s="53"/>
      <c r="I243" s="53"/>
      <c r="J243" s="111"/>
      <c r="K243" s="111"/>
      <c r="L243" s="107"/>
      <c r="M243" s="107"/>
      <c r="N243" s="107"/>
      <c r="O243" s="107"/>
      <c r="P243" s="107"/>
      <c r="Q243" s="107"/>
      <c r="R243" s="107"/>
      <c r="S243" s="107"/>
      <c r="T243" s="107"/>
      <c r="U243" s="107"/>
      <c r="V243" s="107"/>
      <c r="W243" s="107"/>
      <c r="X243" s="107"/>
      <c r="Y243" s="107"/>
      <c r="Z243" s="107"/>
      <c r="AA243" s="107"/>
      <c r="AB243" s="107"/>
      <c r="AC243" s="107"/>
      <c r="AD243" s="107"/>
      <c r="AE243" s="107"/>
      <c r="AF243" s="107"/>
      <c r="AG243" s="107"/>
      <c r="AH243" s="107">
        <f t="shared" si="43"/>
        <v>0</v>
      </c>
    </row>
    <row r="244" spans="1:34" s="190" customFormat="1" ht="15">
      <c r="A244" s="414" t="s">
        <v>152</v>
      </c>
      <c r="B244" s="162">
        <f t="shared" si="42"/>
        <v>0</v>
      </c>
      <c r="C244" s="103"/>
      <c r="D244" s="53"/>
      <c r="E244" s="53"/>
      <c r="F244" s="53"/>
      <c r="G244" s="53"/>
      <c r="H244" s="53"/>
      <c r="I244" s="53"/>
      <c r="J244" s="188" t="s">
        <v>318</v>
      </c>
      <c r="K244" s="188" t="s">
        <v>318</v>
      </c>
      <c r="L244" s="188" t="s">
        <v>318</v>
      </c>
      <c r="M244" s="188" t="s">
        <v>318</v>
      </c>
      <c r="N244" s="188" t="s">
        <v>318</v>
      </c>
      <c r="O244" s="188" t="s">
        <v>318</v>
      </c>
      <c r="P244" s="188" t="s">
        <v>318</v>
      </c>
      <c r="Q244" s="188" t="s">
        <v>318</v>
      </c>
      <c r="R244" s="188" t="s">
        <v>318</v>
      </c>
      <c r="S244" s="188" t="s">
        <v>318</v>
      </c>
      <c r="T244" s="188" t="s">
        <v>318</v>
      </c>
      <c r="U244" s="188" t="s">
        <v>318</v>
      </c>
      <c r="V244" s="188" t="s">
        <v>318</v>
      </c>
      <c r="W244" s="188" t="s">
        <v>318</v>
      </c>
      <c r="X244" s="188" t="s">
        <v>318</v>
      </c>
      <c r="Y244" s="188" t="s">
        <v>318</v>
      </c>
      <c r="Z244" s="188" t="s">
        <v>318</v>
      </c>
      <c r="AA244" s="188" t="s">
        <v>318</v>
      </c>
      <c r="AB244" s="188" t="s">
        <v>318</v>
      </c>
      <c r="AC244" s="188" t="s">
        <v>318</v>
      </c>
      <c r="AD244" s="188" t="s">
        <v>318</v>
      </c>
      <c r="AE244" s="188" t="s">
        <v>318</v>
      </c>
      <c r="AF244" s="188" t="s">
        <v>318</v>
      </c>
      <c r="AG244" s="188" t="s">
        <v>318</v>
      </c>
      <c r="AH244" s="107">
        <f t="shared" si="43"/>
        <v>0</v>
      </c>
    </row>
    <row r="245" spans="1:34" ht="15">
      <c r="A245" s="428" t="s">
        <v>153</v>
      </c>
      <c r="B245" s="162">
        <f t="shared" si="42"/>
        <v>0</v>
      </c>
      <c r="C245" s="188" t="s">
        <v>318</v>
      </c>
      <c r="D245" s="188" t="s">
        <v>318</v>
      </c>
      <c r="E245" s="188" t="s">
        <v>318</v>
      </c>
      <c r="F245" s="188" t="s">
        <v>318</v>
      </c>
      <c r="G245" s="188" t="s">
        <v>318</v>
      </c>
      <c r="H245" s="188" t="s">
        <v>318</v>
      </c>
      <c r="I245" s="188" t="s">
        <v>318</v>
      </c>
      <c r="J245" s="188" t="s">
        <v>318</v>
      </c>
      <c r="K245" s="188" t="s">
        <v>318</v>
      </c>
      <c r="L245" s="188" t="s">
        <v>318</v>
      </c>
      <c r="M245" s="188" t="s">
        <v>318</v>
      </c>
      <c r="N245" s="188" t="s">
        <v>318</v>
      </c>
      <c r="O245" s="188" t="s">
        <v>318</v>
      </c>
      <c r="P245" s="188" t="s">
        <v>318</v>
      </c>
      <c r="Q245" s="188" t="s">
        <v>318</v>
      </c>
      <c r="R245" s="188" t="s">
        <v>318</v>
      </c>
      <c r="S245" s="188" t="s">
        <v>318</v>
      </c>
      <c r="T245" s="188" t="s">
        <v>318</v>
      </c>
      <c r="U245" s="188" t="s">
        <v>318</v>
      </c>
      <c r="V245" s="188" t="s">
        <v>318</v>
      </c>
      <c r="W245" s="188" t="s">
        <v>318</v>
      </c>
      <c r="X245" s="188" t="s">
        <v>318</v>
      </c>
      <c r="Y245" s="188" t="s">
        <v>318</v>
      </c>
      <c r="Z245" s="188" t="s">
        <v>318</v>
      </c>
      <c r="AA245" s="188" t="s">
        <v>318</v>
      </c>
      <c r="AB245" s="188" t="s">
        <v>318</v>
      </c>
      <c r="AC245" s="188" t="s">
        <v>318</v>
      </c>
      <c r="AD245" s="188" t="s">
        <v>318</v>
      </c>
      <c r="AE245" s="188" t="s">
        <v>318</v>
      </c>
      <c r="AF245" s="188" t="s">
        <v>318</v>
      </c>
      <c r="AG245" s="188" t="s">
        <v>318</v>
      </c>
      <c r="AH245" s="107">
        <f t="shared" si="43"/>
        <v>0</v>
      </c>
    </row>
    <row r="246" spans="1:34" ht="15">
      <c r="A246" s="428" t="s">
        <v>154</v>
      </c>
      <c r="B246" s="162">
        <f t="shared" si="42"/>
        <v>0</v>
      </c>
      <c r="C246" s="188" t="s">
        <v>318</v>
      </c>
      <c r="D246" s="188" t="s">
        <v>318</v>
      </c>
      <c r="E246" s="188" t="s">
        <v>318</v>
      </c>
      <c r="F246" s="188" t="s">
        <v>318</v>
      </c>
      <c r="G246" s="188" t="s">
        <v>318</v>
      </c>
      <c r="H246" s="188" t="s">
        <v>318</v>
      </c>
      <c r="I246" s="188" t="s">
        <v>318</v>
      </c>
      <c r="J246" s="188" t="s">
        <v>318</v>
      </c>
      <c r="K246" s="188" t="s">
        <v>318</v>
      </c>
      <c r="L246" s="188" t="s">
        <v>318</v>
      </c>
      <c r="M246" s="188" t="s">
        <v>318</v>
      </c>
      <c r="N246" s="188" t="s">
        <v>318</v>
      </c>
      <c r="O246" s="188" t="s">
        <v>318</v>
      </c>
      <c r="P246" s="188" t="s">
        <v>318</v>
      </c>
      <c r="Q246" s="188" t="s">
        <v>318</v>
      </c>
      <c r="R246" s="188" t="s">
        <v>318</v>
      </c>
      <c r="S246" s="188" t="s">
        <v>318</v>
      </c>
      <c r="T246" s="188" t="s">
        <v>318</v>
      </c>
      <c r="U246" s="188" t="s">
        <v>318</v>
      </c>
      <c r="V246" s="188" t="s">
        <v>318</v>
      </c>
      <c r="W246" s="188" t="s">
        <v>318</v>
      </c>
      <c r="X246" s="53"/>
      <c r="Y246" s="53"/>
      <c r="Z246" s="53"/>
      <c r="AA246" s="53"/>
      <c r="AB246" s="53"/>
      <c r="AC246" s="53"/>
      <c r="AD246" s="53"/>
      <c r="AE246" s="107"/>
      <c r="AF246" s="53"/>
      <c r="AG246" s="107"/>
      <c r="AH246" s="107">
        <f t="shared" si="43"/>
        <v>0</v>
      </c>
    </row>
    <row r="247" spans="1:34" ht="15">
      <c r="A247" s="428" t="s">
        <v>155</v>
      </c>
      <c r="B247" s="162">
        <f t="shared" si="42"/>
        <v>0</v>
      </c>
      <c r="C247" s="103"/>
      <c r="D247" s="53"/>
      <c r="E247" s="53"/>
      <c r="F247" s="53"/>
      <c r="G247" s="14"/>
      <c r="H247" s="53"/>
      <c r="I247" s="53"/>
      <c r="J247" s="53"/>
      <c r="K247" s="53"/>
      <c r="L247" s="53"/>
      <c r="M247" s="53"/>
      <c r="N247" s="53"/>
      <c r="O247" s="53"/>
      <c r="P247" s="53"/>
      <c r="Q247" s="53"/>
      <c r="R247" s="53"/>
      <c r="S247" s="53"/>
      <c r="T247" s="53"/>
      <c r="U247" s="53"/>
      <c r="V247" s="53"/>
      <c r="W247" s="53"/>
      <c r="X247" s="53"/>
      <c r="Y247" s="14"/>
      <c r="Z247" s="53"/>
      <c r="AA247" s="53"/>
      <c r="AB247" s="53"/>
      <c r="AC247" s="53"/>
      <c r="AD247" s="53"/>
      <c r="AE247" s="107"/>
      <c r="AF247" s="53"/>
      <c r="AG247" s="107"/>
      <c r="AH247" s="107">
        <f t="shared" si="43"/>
        <v>0</v>
      </c>
    </row>
    <row r="248" spans="1:34" ht="15">
      <c r="A248" s="428" t="s">
        <v>156</v>
      </c>
      <c r="B248" s="162">
        <f t="shared" si="42"/>
        <v>0</v>
      </c>
      <c r="C248" s="103"/>
      <c r="D248" s="53"/>
      <c r="E248" s="53"/>
      <c r="F248" s="53"/>
      <c r="G248" s="53"/>
      <c r="H248" s="53"/>
      <c r="I248" s="53"/>
      <c r="J248" s="53"/>
      <c r="K248" s="53"/>
      <c r="L248" s="53"/>
      <c r="M248" s="53"/>
      <c r="N248" s="53"/>
      <c r="O248" s="53"/>
      <c r="P248" s="3027">
        <v>0</v>
      </c>
      <c r="Q248" s="3027">
        <v>0</v>
      </c>
      <c r="R248" s="3027">
        <v>0</v>
      </c>
      <c r="S248" s="3027">
        <v>0</v>
      </c>
      <c r="T248" s="3027">
        <v>0</v>
      </c>
      <c r="U248" s="3027">
        <v>0</v>
      </c>
      <c r="V248" s="3027">
        <v>0</v>
      </c>
      <c r="W248" s="3027">
        <v>0</v>
      </c>
      <c r="X248" s="3027">
        <v>0</v>
      </c>
      <c r="Y248" s="3027">
        <v>0</v>
      </c>
      <c r="Z248" s="3027">
        <v>0</v>
      </c>
      <c r="AA248" s="3027">
        <v>0</v>
      </c>
      <c r="AB248" s="3027">
        <v>0</v>
      </c>
      <c r="AC248" s="3027">
        <v>0</v>
      </c>
      <c r="AD248" s="3027">
        <v>0</v>
      </c>
      <c r="AE248" s="3027">
        <v>0</v>
      </c>
      <c r="AF248" s="3027">
        <v>0</v>
      </c>
      <c r="AG248" s="3027">
        <v>0</v>
      </c>
      <c r="AH248" s="107">
        <f t="shared" si="43"/>
        <v>0</v>
      </c>
    </row>
    <row r="249" spans="1:34" ht="15">
      <c r="A249" s="199" t="s">
        <v>144</v>
      </c>
      <c r="B249" s="232">
        <f>SUM(B237:B248)</f>
        <v>0</v>
      </c>
      <c r="C249" s="100">
        <f>SUM(C237:C247)</f>
        <v>0</v>
      </c>
      <c r="D249" s="107">
        <f>SUM(D237:D247)</f>
        <v>0</v>
      </c>
      <c r="E249" s="107">
        <v>0</v>
      </c>
      <c r="F249" s="107">
        <f t="shared" ref="F249:AC249" si="44">SUM(F237:F247)</f>
        <v>0</v>
      </c>
      <c r="G249" s="107">
        <f t="shared" si="44"/>
        <v>0</v>
      </c>
      <c r="H249" s="107">
        <f t="shared" si="44"/>
        <v>0</v>
      </c>
      <c r="I249" s="107">
        <f t="shared" si="44"/>
        <v>0</v>
      </c>
      <c r="J249" s="107">
        <f t="shared" si="44"/>
        <v>0</v>
      </c>
      <c r="K249" s="107">
        <f t="shared" si="44"/>
        <v>0</v>
      </c>
      <c r="L249" s="107">
        <f t="shared" si="44"/>
        <v>0</v>
      </c>
      <c r="M249" s="107">
        <f t="shared" si="44"/>
        <v>0</v>
      </c>
      <c r="N249" s="107">
        <f t="shared" si="44"/>
        <v>0</v>
      </c>
      <c r="O249" s="107">
        <f t="shared" si="44"/>
        <v>0</v>
      </c>
      <c r="P249" s="107">
        <f t="shared" si="44"/>
        <v>0</v>
      </c>
      <c r="Q249" s="107">
        <f t="shared" si="44"/>
        <v>0</v>
      </c>
      <c r="R249" s="107">
        <f t="shared" si="44"/>
        <v>0</v>
      </c>
      <c r="S249" s="107">
        <f t="shared" si="44"/>
        <v>0</v>
      </c>
      <c r="T249" s="107">
        <f t="shared" si="44"/>
        <v>0</v>
      </c>
      <c r="U249" s="107">
        <f t="shared" si="44"/>
        <v>0</v>
      </c>
      <c r="V249" s="107">
        <f t="shared" si="44"/>
        <v>0</v>
      </c>
      <c r="W249" s="107">
        <f t="shared" si="44"/>
        <v>0</v>
      </c>
      <c r="X249" s="107">
        <f t="shared" si="44"/>
        <v>0</v>
      </c>
      <c r="Y249" s="107">
        <f t="shared" si="44"/>
        <v>0</v>
      </c>
      <c r="Z249" s="107">
        <f t="shared" si="44"/>
        <v>0</v>
      </c>
      <c r="AA249" s="107">
        <f t="shared" si="44"/>
        <v>0</v>
      </c>
      <c r="AB249" s="107">
        <f t="shared" si="44"/>
        <v>0</v>
      </c>
      <c r="AC249" s="107">
        <f t="shared" si="44"/>
        <v>0</v>
      </c>
      <c r="AD249" s="107">
        <v>0</v>
      </c>
      <c r="AE249" s="107">
        <f>SUM(AE237:AE247)</f>
        <v>0</v>
      </c>
      <c r="AF249" s="107">
        <f>SUM(AF237:AF247)</f>
        <v>0</v>
      </c>
      <c r="AG249" s="107">
        <f>SUM(AG237:AG247)</f>
        <v>0</v>
      </c>
      <c r="AH249" s="100">
        <f>SUM(AH237:AH247)</f>
        <v>0</v>
      </c>
    </row>
    <row r="250" spans="1:34" ht="5.0999999999999996" customHeight="1">
      <c r="A250" s="49"/>
      <c r="B250" s="49"/>
      <c r="C250" s="1"/>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
    </row>
    <row r="251" spans="1:34" ht="15">
      <c r="A251" s="3854" t="s">
        <v>292</v>
      </c>
      <c r="B251" s="3855"/>
      <c r="C251" s="3855"/>
      <c r="D251" s="3855"/>
      <c r="E251" s="3855"/>
      <c r="F251" s="3855"/>
      <c r="G251" s="3855"/>
      <c r="H251" s="3856"/>
      <c r="I251" s="3313"/>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row>
    <row r="252" spans="1:34" ht="15">
      <c r="A252" s="8" t="s">
        <v>142</v>
      </c>
      <c r="B252" s="8" t="s">
        <v>143</v>
      </c>
      <c r="C252" s="2907">
        <v>1</v>
      </c>
      <c r="D252" s="73">
        <v>2</v>
      </c>
      <c r="E252" s="73">
        <v>3</v>
      </c>
      <c r="F252" s="73">
        <v>4</v>
      </c>
      <c r="G252" s="73">
        <v>5</v>
      </c>
      <c r="H252" s="73">
        <v>6</v>
      </c>
      <c r="I252" s="73">
        <v>7</v>
      </c>
      <c r="J252" s="73">
        <v>8</v>
      </c>
      <c r="K252" s="73">
        <v>9</v>
      </c>
      <c r="L252" s="73">
        <v>10</v>
      </c>
      <c r="M252" s="73">
        <v>11</v>
      </c>
      <c r="N252" s="73">
        <v>12</v>
      </c>
      <c r="O252" s="73">
        <v>13</v>
      </c>
      <c r="P252" s="73">
        <v>14</v>
      </c>
      <c r="Q252" s="73">
        <v>15</v>
      </c>
      <c r="R252" s="73">
        <v>16</v>
      </c>
      <c r="S252" s="73">
        <v>17</v>
      </c>
      <c r="T252" s="73">
        <v>18</v>
      </c>
      <c r="U252" s="73">
        <v>19</v>
      </c>
      <c r="V252" s="73">
        <v>20</v>
      </c>
      <c r="W252" s="73">
        <v>21</v>
      </c>
      <c r="X252" s="73">
        <v>22</v>
      </c>
      <c r="Y252" s="73">
        <v>23</v>
      </c>
      <c r="Z252" s="73">
        <v>24</v>
      </c>
      <c r="AA252" s="73">
        <v>25</v>
      </c>
      <c r="AB252" s="73">
        <v>26</v>
      </c>
      <c r="AC252" s="73">
        <v>27</v>
      </c>
      <c r="AD252" s="73">
        <v>28</v>
      </c>
      <c r="AE252" s="73">
        <v>29</v>
      </c>
      <c r="AF252" s="73">
        <v>30</v>
      </c>
      <c r="AG252" s="73">
        <v>31</v>
      </c>
      <c r="AH252" s="88" t="s">
        <v>144</v>
      </c>
    </row>
    <row r="253" spans="1:34" ht="15">
      <c r="A253" s="427" t="s">
        <v>145</v>
      </c>
      <c r="B253" s="53">
        <f t="shared" ref="B253:B264" si="45">+AH253</f>
        <v>0</v>
      </c>
      <c r="C253" s="360" t="s">
        <v>311</v>
      </c>
      <c r="D253" s="360" t="s">
        <v>311</v>
      </c>
      <c r="E253" s="360" t="s">
        <v>311</v>
      </c>
      <c r="F253" s="360" t="s">
        <v>311</v>
      </c>
      <c r="G253" s="360" t="s">
        <v>311</v>
      </c>
      <c r="H253" s="360" t="s">
        <v>311</v>
      </c>
      <c r="I253" s="360" t="s">
        <v>311</v>
      </c>
      <c r="J253" s="360" t="s">
        <v>311</v>
      </c>
      <c r="K253" s="360" t="s">
        <v>311</v>
      </c>
      <c r="L253" s="360" t="s">
        <v>311</v>
      </c>
      <c r="M253" s="360" t="s">
        <v>311</v>
      </c>
      <c r="N253" s="360" t="s">
        <v>311</v>
      </c>
      <c r="O253" s="360" t="s">
        <v>311</v>
      </c>
      <c r="P253" s="360" t="s">
        <v>311</v>
      </c>
      <c r="Q253" s="360" t="s">
        <v>311</v>
      </c>
      <c r="R253" s="360" t="s">
        <v>311</v>
      </c>
      <c r="S253" s="360" t="s">
        <v>311</v>
      </c>
      <c r="T253" s="360" t="s">
        <v>311</v>
      </c>
      <c r="U253" s="360" t="s">
        <v>311</v>
      </c>
      <c r="V253" s="360" t="s">
        <v>311</v>
      </c>
      <c r="W253" s="360" t="s">
        <v>311</v>
      </c>
      <c r="X253" s="360" t="s">
        <v>311</v>
      </c>
      <c r="Y253" s="360" t="s">
        <v>311</v>
      </c>
      <c r="Z253" s="360" t="s">
        <v>311</v>
      </c>
      <c r="AA253" s="360" t="s">
        <v>311</v>
      </c>
      <c r="AB253" s="360" t="s">
        <v>311</v>
      </c>
      <c r="AC253" s="360" t="s">
        <v>311</v>
      </c>
      <c r="AD253" s="360" t="s">
        <v>311</v>
      </c>
      <c r="AE253" s="360" t="s">
        <v>311</v>
      </c>
      <c r="AF253" s="360" t="s">
        <v>311</v>
      </c>
      <c r="AG253" s="360" t="s">
        <v>311</v>
      </c>
      <c r="AH253" s="107">
        <f>SUM(C253:AG253)</f>
        <v>0</v>
      </c>
    </row>
    <row r="254" spans="1:34" s="190" customFormat="1" ht="15">
      <c r="A254" s="427" t="s">
        <v>146</v>
      </c>
      <c r="B254" s="53">
        <f t="shared" si="45"/>
        <v>0</v>
      </c>
      <c r="C254" s="360" t="s">
        <v>311</v>
      </c>
      <c r="D254" s="360" t="s">
        <v>311</v>
      </c>
      <c r="E254" s="360" t="s">
        <v>311</v>
      </c>
      <c r="F254" s="360" t="s">
        <v>311</v>
      </c>
      <c r="G254" s="360" t="s">
        <v>311</v>
      </c>
      <c r="H254" s="360" t="s">
        <v>311</v>
      </c>
      <c r="I254" s="360" t="s">
        <v>311</v>
      </c>
      <c r="J254" s="361"/>
      <c r="K254" s="361"/>
      <c r="L254" s="361"/>
      <c r="M254" s="361"/>
      <c r="N254" s="361"/>
      <c r="O254" s="361"/>
      <c r="P254" s="361"/>
      <c r="Q254" s="361"/>
      <c r="R254" s="361"/>
      <c r="S254" s="361"/>
      <c r="T254" s="361"/>
      <c r="U254" s="361"/>
      <c r="V254" s="361"/>
      <c r="W254" s="361"/>
      <c r="X254" s="361"/>
      <c r="Y254" s="361"/>
      <c r="Z254" s="361"/>
      <c r="AA254" s="361"/>
      <c r="AB254" s="361"/>
      <c r="AC254" s="361"/>
      <c r="AD254" s="361"/>
      <c r="AE254" s="361"/>
      <c r="AF254" s="361"/>
      <c r="AG254" s="361"/>
      <c r="AH254" s="107">
        <f t="shared" ref="AH254:AH264" si="46">SUM(C254:AG254)</f>
        <v>0</v>
      </c>
    </row>
    <row r="255" spans="1:34" ht="15">
      <c r="A255" s="427" t="s">
        <v>147</v>
      </c>
      <c r="B255" s="53">
        <f t="shared" si="45"/>
        <v>0</v>
      </c>
      <c r="C255" s="361"/>
      <c r="D255" s="361"/>
      <c r="E255" s="361"/>
      <c r="F255" s="361"/>
      <c r="G255" s="361"/>
      <c r="H255" s="306"/>
      <c r="I255" s="306"/>
      <c r="J255" s="306"/>
      <c r="K255" s="306"/>
      <c r="L255" s="306"/>
      <c r="M255" s="306"/>
      <c r="N255" s="306"/>
      <c r="O255" s="306"/>
      <c r="P255" s="306"/>
      <c r="Q255" s="306"/>
      <c r="R255" s="306"/>
      <c r="S255" s="306"/>
      <c r="T255" s="306"/>
      <c r="U255" s="306"/>
      <c r="V255" s="306"/>
      <c r="W255" s="306"/>
      <c r="X255" s="306"/>
      <c r="Y255" s="306"/>
      <c r="Z255" s="306"/>
      <c r="AA255" s="306"/>
      <c r="AB255" s="306"/>
      <c r="AC255" s="360" t="s">
        <v>311</v>
      </c>
      <c r="AD255" s="360" t="s">
        <v>311</v>
      </c>
      <c r="AE255" s="360" t="s">
        <v>311</v>
      </c>
      <c r="AF255" s="360" t="s">
        <v>311</v>
      </c>
      <c r="AG255" s="360" t="s">
        <v>311</v>
      </c>
      <c r="AH255" s="107">
        <f t="shared" si="46"/>
        <v>0</v>
      </c>
    </row>
    <row r="256" spans="1:34" ht="15">
      <c r="A256" s="427" t="s">
        <v>148</v>
      </c>
      <c r="B256" s="53">
        <f t="shared" si="45"/>
        <v>0</v>
      </c>
      <c r="C256" s="360" t="s">
        <v>311</v>
      </c>
      <c r="D256" s="360" t="s">
        <v>311</v>
      </c>
      <c r="E256" s="360" t="s">
        <v>311</v>
      </c>
      <c r="F256" s="360" t="s">
        <v>311</v>
      </c>
      <c r="G256" s="360" t="s">
        <v>311</v>
      </c>
      <c r="H256" s="360" t="s">
        <v>311</v>
      </c>
      <c r="I256" s="360" t="s">
        <v>311</v>
      </c>
      <c r="J256" s="360" t="s">
        <v>311</v>
      </c>
      <c r="K256" s="360" t="s">
        <v>311</v>
      </c>
      <c r="L256" s="306"/>
      <c r="M256" s="306"/>
      <c r="N256" s="306"/>
      <c r="O256" s="306"/>
      <c r="P256" s="306"/>
      <c r="Q256" s="306"/>
      <c r="R256" s="306"/>
      <c r="S256" s="306"/>
      <c r="T256" s="306"/>
      <c r="U256" s="306"/>
      <c r="V256" s="306"/>
      <c r="W256" s="306"/>
      <c r="X256" s="306"/>
      <c r="Y256" s="306"/>
      <c r="Z256" s="306"/>
      <c r="AA256" s="53"/>
      <c r="AB256" s="53"/>
      <c r="AC256" s="53"/>
      <c r="AD256" s="53"/>
      <c r="AE256" s="53"/>
      <c r="AF256" s="53"/>
      <c r="AG256" s="53"/>
      <c r="AH256" s="107">
        <f t="shared" si="46"/>
        <v>0</v>
      </c>
    </row>
    <row r="257" spans="1:34" s="190" customFormat="1" ht="15">
      <c r="A257" s="414" t="s">
        <v>149</v>
      </c>
      <c r="B257" s="53">
        <f t="shared" si="45"/>
        <v>0</v>
      </c>
      <c r="C257" s="103"/>
      <c r="D257" s="53"/>
      <c r="E257" s="53"/>
      <c r="F257" s="53"/>
      <c r="G257" s="53"/>
      <c r="H257" s="53"/>
      <c r="I257" s="53"/>
      <c r="J257" s="53"/>
      <c r="K257" s="53"/>
      <c r="L257" s="53"/>
      <c r="M257" s="53"/>
      <c r="N257" s="53"/>
      <c r="O257" s="53"/>
      <c r="P257" s="53"/>
      <c r="Q257" s="53"/>
      <c r="R257" s="53"/>
      <c r="S257" s="53"/>
      <c r="T257" s="53"/>
      <c r="U257" s="53"/>
      <c r="V257" s="53"/>
      <c r="W257" s="53"/>
      <c r="X257" s="53"/>
      <c r="Y257" s="53"/>
      <c r="Z257" s="53"/>
      <c r="AA257" s="53"/>
      <c r="AB257" s="53"/>
      <c r="AC257" s="53"/>
      <c r="AD257" s="53"/>
      <c r="AE257" s="53"/>
      <c r="AF257" s="53"/>
      <c r="AG257" s="53"/>
      <c r="AH257" s="107">
        <f t="shared" si="46"/>
        <v>0</v>
      </c>
    </row>
    <row r="258" spans="1:34" ht="15">
      <c r="A258" s="414" t="s">
        <v>150</v>
      </c>
      <c r="B258" s="53">
        <f t="shared" si="45"/>
        <v>0</v>
      </c>
      <c r="C258" s="103"/>
      <c r="D258" s="53"/>
      <c r="E258" s="53"/>
      <c r="F258" s="53"/>
      <c r="G258" s="53"/>
      <c r="H258" s="188" t="s">
        <v>318</v>
      </c>
      <c r="I258" s="188" t="s">
        <v>318</v>
      </c>
      <c r="J258" s="188" t="s">
        <v>318</v>
      </c>
      <c r="K258" s="188" t="s">
        <v>318</v>
      </c>
      <c r="L258" s="188" t="s">
        <v>318</v>
      </c>
      <c r="M258" s="188" t="s">
        <v>318</v>
      </c>
      <c r="N258" s="188" t="s">
        <v>318</v>
      </c>
      <c r="O258" s="188" t="s">
        <v>318</v>
      </c>
      <c r="P258" s="188" t="s">
        <v>318</v>
      </c>
      <c r="Q258" s="188" t="s">
        <v>318</v>
      </c>
      <c r="R258" s="188" t="s">
        <v>318</v>
      </c>
      <c r="S258" s="188" t="s">
        <v>318</v>
      </c>
      <c r="T258" s="188" t="s">
        <v>318</v>
      </c>
      <c r="U258" s="188" t="s">
        <v>318</v>
      </c>
      <c r="V258" s="188" t="s">
        <v>318</v>
      </c>
      <c r="W258" s="188" t="s">
        <v>318</v>
      </c>
      <c r="X258" s="188" t="s">
        <v>318</v>
      </c>
      <c r="Y258" s="53"/>
      <c r="Z258" s="53"/>
      <c r="AA258" s="53"/>
      <c r="AB258" s="53"/>
      <c r="AC258" s="53"/>
      <c r="AD258" s="53"/>
      <c r="AE258" s="53"/>
      <c r="AF258" s="53"/>
      <c r="AG258" s="53"/>
      <c r="AH258" s="107">
        <f t="shared" si="46"/>
        <v>0</v>
      </c>
    </row>
    <row r="259" spans="1:34" ht="15">
      <c r="A259" s="414" t="s">
        <v>151</v>
      </c>
      <c r="B259" s="53">
        <f t="shared" si="45"/>
        <v>0</v>
      </c>
      <c r="C259" s="103"/>
      <c r="D259" s="107"/>
      <c r="E259" s="107"/>
      <c r="F259" s="107"/>
      <c r="G259" s="53"/>
      <c r="H259" s="53"/>
      <c r="I259" s="53"/>
      <c r="J259" s="111"/>
      <c r="K259" s="111"/>
      <c r="L259" s="107"/>
      <c r="M259" s="107"/>
      <c r="N259" s="107"/>
      <c r="O259" s="107"/>
      <c r="P259" s="107"/>
      <c r="Q259" s="107"/>
      <c r="R259" s="107"/>
      <c r="S259" s="107"/>
      <c r="T259" s="107"/>
      <c r="U259" s="107"/>
      <c r="V259" s="107"/>
      <c r="W259" s="107"/>
      <c r="X259" s="107"/>
      <c r="Y259" s="107"/>
      <c r="Z259" s="107"/>
      <c r="AA259" s="107"/>
      <c r="AB259" s="107"/>
      <c r="AC259" s="107"/>
      <c r="AD259" s="107"/>
      <c r="AE259" s="107"/>
      <c r="AF259" s="107"/>
      <c r="AG259" s="107"/>
      <c r="AH259" s="107">
        <f t="shared" si="46"/>
        <v>0</v>
      </c>
    </row>
    <row r="260" spans="1:34" s="190" customFormat="1" ht="15">
      <c r="A260" s="414" t="s">
        <v>152</v>
      </c>
      <c r="B260" s="53">
        <f t="shared" si="45"/>
        <v>0</v>
      </c>
      <c r="C260" s="103"/>
      <c r="D260" s="53"/>
      <c r="E260" s="53"/>
      <c r="F260" s="53"/>
      <c r="G260" s="53"/>
      <c r="H260" s="53"/>
      <c r="I260" s="53"/>
      <c r="J260" s="188" t="s">
        <v>318</v>
      </c>
      <c r="K260" s="188" t="s">
        <v>318</v>
      </c>
      <c r="L260" s="188" t="s">
        <v>318</v>
      </c>
      <c r="M260" s="188" t="s">
        <v>318</v>
      </c>
      <c r="N260" s="188" t="s">
        <v>318</v>
      </c>
      <c r="O260" s="188" t="s">
        <v>318</v>
      </c>
      <c r="P260" s="188" t="s">
        <v>318</v>
      </c>
      <c r="Q260" s="188" t="s">
        <v>318</v>
      </c>
      <c r="R260" s="188" t="s">
        <v>318</v>
      </c>
      <c r="S260" s="188" t="s">
        <v>318</v>
      </c>
      <c r="T260" s="188" t="s">
        <v>318</v>
      </c>
      <c r="U260" s="188" t="s">
        <v>318</v>
      </c>
      <c r="V260" s="188" t="s">
        <v>318</v>
      </c>
      <c r="W260" s="188" t="s">
        <v>318</v>
      </c>
      <c r="X260" s="188" t="s">
        <v>318</v>
      </c>
      <c r="Y260" s="188" t="s">
        <v>318</v>
      </c>
      <c r="Z260" s="188" t="s">
        <v>318</v>
      </c>
      <c r="AA260" s="188" t="s">
        <v>318</v>
      </c>
      <c r="AB260" s="188" t="s">
        <v>318</v>
      </c>
      <c r="AC260" s="188" t="s">
        <v>318</v>
      </c>
      <c r="AD260" s="188" t="s">
        <v>318</v>
      </c>
      <c r="AE260" s="188" t="s">
        <v>318</v>
      </c>
      <c r="AF260" s="188" t="s">
        <v>318</v>
      </c>
      <c r="AG260" s="188" t="s">
        <v>318</v>
      </c>
      <c r="AH260" s="107">
        <f t="shared" si="46"/>
        <v>0</v>
      </c>
    </row>
    <row r="261" spans="1:34" ht="15">
      <c r="A261" s="428" t="s">
        <v>153</v>
      </c>
      <c r="B261" s="53">
        <f t="shared" si="45"/>
        <v>0</v>
      </c>
      <c r="C261" s="188" t="s">
        <v>318</v>
      </c>
      <c r="D261" s="188" t="s">
        <v>318</v>
      </c>
      <c r="E261" s="188" t="s">
        <v>318</v>
      </c>
      <c r="F261" s="188" t="s">
        <v>318</v>
      </c>
      <c r="G261" s="188" t="s">
        <v>318</v>
      </c>
      <c r="H261" s="188" t="s">
        <v>318</v>
      </c>
      <c r="I261" s="188" t="s">
        <v>318</v>
      </c>
      <c r="J261" s="188" t="s">
        <v>318</v>
      </c>
      <c r="K261" s="188" t="s">
        <v>318</v>
      </c>
      <c r="L261" s="188" t="s">
        <v>318</v>
      </c>
      <c r="M261" s="188" t="s">
        <v>318</v>
      </c>
      <c r="N261" s="188" t="s">
        <v>318</v>
      </c>
      <c r="O261" s="188" t="s">
        <v>318</v>
      </c>
      <c r="P261" s="188" t="s">
        <v>318</v>
      </c>
      <c r="Q261" s="188" t="s">
        <v>318</v>
      </c>
      <c r="R261" s="188" t="s">
        <v>318</v>
      </c>
      <c r="S261" s="188" t="s">
        <v>318</v>
      </c>
      <c r="T261" s="188" t="s">
        <v>318</v>
      </c>
      <c r="U261" s="188" t="s">
        <v>318</v>
      </c>
      <c r="V261" s="188" t="s">
        <v>318</v>
      </c>
      <c r="W261" s="188" t="s">
        <v>318</v>
      </c>
      <c r="X261" s="188" t="s">
        <v>318</v>
      </c>
      <c r="Y261" s="188" t="s">
        <v>318</v>
      </c>
      <c r="Z261" s="188" t="s">
        <v>318</v>
      </c>
      <c r="AA261" s="188" t="s">
        <v>318</v>
      </c>
      <c r="AB261" s="188" t="s">
        <v>318</v>
      </c>
      <c r="AC261" s="188" t="s">
        <v>318</v>
      </c>
      <c r="AD261" s="188" t="s">
        <v>318</v>
      </c>
      <c r="AE261" s="188" t="s">
        <v>318</v>
      </c>
      <c r="AF261" s="188" t="s">
        <v>318</v>
      </c>
      <c r="AG261" s="188" t="s">
        <v>318</v>
      </c>
      <c r="AH261" s="107">
        <f t="shared" si="46"/>
        <v>0</v>
      </c>
    </row>
    <row r="262" spans="1:34" ht="15">
      <c r="A262" s="428" t="s">
        <v>154</v>
      </c>
      <c r="B262" s="53">
        <f t="shared" si="45"/>
        <v>0</v>
      </c>
      <c r="C262" s="188" t="s">
        <v>318</v>
      </c>
      <c r="D262" s="188" t="s">
        <v>318</v>
      </c>
      <c r="E262" s="188" t="s">
        <v>318</v>
      </c>
      <c r="F262" s="188" t="s">
        <v>318</v>
      </c>
      <c r="G262" s="188" t="s">
        <v>318</v>
      </c>
      <c r="H262" s="188" t="s">
        <v>318</v>
      </c>
      <c r="I262" s="188" t="s">
        <v>318</v>
      </c>
      <c r="J262" s="188" t="s">
        <v>318</v>
      </c>
      <c r="K262" s="188" t="s">
        <v>318</v>
      </c>
      <c r="L262" s="188" t="s">
        <v>318</v>
      </c>
      <c r="M262" s="188" t="s">
        <v>318</v>
      </c>
      <c r="N262" s="188" t="s">
        <v>318</v>
      </c>
      <c r="O262" s="188" t="s">
        <v>318</v>
      </c>
      <c r="P262" s="188" t="s">
        <v>318</v>
      </c>
      <c r="Q262" s="188" t="s">
        <v>318</v>
      </c>
      <c r="R262" s="188" t="s">
        <v>318</v>
      </c>
      <c r="S262" s="188" t="s">
        <v>318</v>
      </c>
      <c r="T262" s="188" t="s">
        <v>318</v>
      </c>
      <c r="U262" s="188" t="s">
        <v>318</v>
      </c>
      <c r="V262" s="188" t="s">
        <v>318</v>
      </c>
      <c r="W262" s="188" t="s">
        <v>318</v>
      </c>
      <c r="X262" s="53"/>
      <c r="Y262" s="53"/>
      <c r="Z262" s="53"/>
      <c r="AA262" s="53"/>
      <c r="AB262" s="53"/>
      <c r="AC262" s="53"/>
      <c r="AD262" s="53"/>
      <c r="AE262" s="107"/>
      <c r="AF262" s="53"/>
      <c r="AG262" s="107"/>
      <c r="AH262" s="107">
        <f t="shared" si="46"/>
        <v>0</v>
      </c>
    </row>
    <row r="263" spans="1:34" ht="15">
      <c r="A263" s="428" t="s">
        <v>155</v>
      </c>
      <c r="B263" s="53">
        <f t="shared" si="45"/>
        <v>0</v>
      </c>
      <c r="C263" s="103"/>
      <c r="D263" s="53"/>
      <c r="E263" s="53"/>
      <c r="F263" s="53"/>
      <c r="G263" s="14"/>
      <c r="H263" s="53"/>
      <c r="I263" s="53"/>
      <c r="J263" s="53"/>
      <c r="K263" s="53"/>
      <c r="L263" s="53"/>
      <c r="M263" s="53"/>
      <c r="N263" s="53"/>
      <c r="O263" s="53"/>
      <c r="P263" s="53"/>
      <c r="Q263" s="53"/>
      <c r="R263" s="53"/>
      <c r="S263" s="53"/>
      <c r="T263" s="53"/>
      <c r="U263" s="53"/>
      <c r="V263" s="53"/>
      <c r="W263" s="53"/>
      <c r="X263" s="53"/>
      <c r="Y263" s="14"/>
      <c r="Z263" s="53"/>
      <c r="AA263" s="53"/>
      <c r="AB263" s="53"/>
      <c r="AC263" s="53"/>
      <c r="AD263" s="53"/>
      <c r="AE263" s="107"/>
      <c r="AF263" s="53"/>
      <c r="AG263" s="107"/>
      <c r="AH263" s="107">
        <f t="shared" si="46"/>
        <v>0</v>
      </c>
    </row>
    <row r="264" spans="1:34" ht="15">
      <c r="A264" s="428" t="s">
        <v>156</v>
      </c>
      <c r="B264" s="53">
        <f t="shared" si="45"/>
        <v>0</v>
      </c>
      <c r="C264" s="103"/>
      <c r="D264" s="53"/>
      <c r="E264" s="53"/>
      <c r="F264" s="53"/>
      <c r="G264" s="53"/>
      <c r="H264" s="53"/>
      <c r="I264" s="53"/>
      <c r="J264" s="53"/>
      <c r="K264" s="53"/>
      <c r="L264" s="53"/>
      <c r="M264" s="53"/>
      <c r="N264" s="53"/>
      <c r="O264" s="53"/>
      <c r="P264" s="3027">
        <v>0</v>
      </c>
      <c r="Q264" s="3027">
        <v>0</v>
      </c>
      <c r="R264" s="3027">
        <v>0</v>
      </c>
      <c r="S264" s="3027">
        <v>0</v>
      </c>
      <c r="T264" s="3027">
        <v>0</v>
      </c>
      <c r="U264" s="3027">
        <v>0</v>
      </c>
      <c r="V264" s="3027">
        <v>0</v>
      </c>
      <c r="W264" s="3027">
        <v>0</v>
      </c>
      <c r="X264" s="3027">
        <v>0</v>
      </c>
      <c r="Y264" s="3027">
        <v>0</v>
      </c>
      <c r="Z264" s="3027">
        <v>0</v>
      </c>
      <c r="AA264" s="3027">
        <v>0</v>
      </c>
      <c r="AB264" s="3027">
        <v>0</v>
      </c>
      <c r="AC264" s="3027">
        <v>0</v>
      </c>
      <c r="AD264" s="3027">
        <v>0</v>
      </c>
      <c r="AE264" s="3027">
        <v>0</v>
      </c>
      <c r="AF264" s="3027">
        <v>0</v>
      </c>
      <c r="AG264" s="3027">
        <v>0</v>
      </c>
      <c r="AH264" s="107">
        <f t="shared" si="46"/>
        <v>0</v>
      </c>
    </row>
    <row r="265" spans="1:34" ht="15">
      <c r="A265" s="199" t="s">
        <v>144</v>
      </c>
      <c r="B265" s="200">
        <f>SUM(B253:B264)</f>
        <v>0</v>
      </c>
      <c r="C265" s="100">
        <f>SUM(C253:C263)</f>
        <v>0</v>
      </c>
      <c r="D265" s="107">
        <f>SUM(D253:D263)</f>
        <v>0</v>
      </c>
      <c r="E265" s="107">
        <v>0</v>
      </c>
      <c r="F265" s="107">
        <f t="shared" ref="F265:AC265" si="47">SUM(F253:F263)</f>
        <v>0</v>
      </c>
      <c r="G265" s="107">
        <f t="shared" si="47"/>
        <v>0</v>
      </c>
      <c r="H265" s="107">
        <f t="shared" si="47"/>
        <v>0</v>
      </c>
      <c r="I265" s="107">
        <f t="shared" si="47"/>
        <v>0</v>
      </c>
      <c r="J265" s="107">
        <f t="shared" si="47"/>
        <v>0</v>
      </c>
      <c r="K265" s="107">
        <f t="shared" si="47"/>
        <v>0</v>
      </c>
      <c r="L265" s="107">
        <f t="shared" si="47"/>
        <v>0</v>
      </c>
      <c r="M265" s="107">
        <f t="shared" si="47"/>
        <v>0</v>
      </c>
      <c r="N265" s="107">
        <f t="shared" si="47"/>
        <v>0</v>
      </c>
      <c r="O265" s="107">
        <f t="shared" si="47"/>
        <v>0</v>
      </c>
      <c r="P265" s="107">
        <f t="shared" si="47"/>
        <v>0</v>
      </c>
      <c r="Q265" s="107">
        <f t="shared" si="47"/>
        <v>0</v>
      </c>
      <c r="R265" s="107">
        <f t="shared" si="47"/>
        <v>0</v>
      </c>
      <c r="S265" s="107">
        <f t="shared" si="47"/>
        <v>0</v>
      </c>
      <c r="T265" s="107">
        <f t="shared" si="47"/>
        <v>0</v>
      </c>
      <c r="U265" s="107">
        <f t="shared" si="47"/>
        <v>0</v>
      </c>
      <c r="V265" s="107">
        <f t="shared" si="47"/>
        <v>0</v>
      </c>
      <c r="W265" s="107">
        <f t="shared" si="47"/>
        <v>0</v>
      </c>
      <c r="X265" s="107">
        <f t="shared" si="47"/>
        <v>0</v>
      </c>
      <c r="Y265" s="107">
        <f t="shared" si="47"/>
        <v>0</v>
      </c>
      <c r="Z265" s="107">
        <f t="shared" si="47"/>
        <v>0</v>
      </c>
      <c r="AA265" s="107">
        <f t="shared" si="47"/>
        <v>0</v>
      </c>
      <c r="AB265" s="107">
        <f t="shared" si="47"/>
        <v>0</v>
      </c>
      <c r="AC265" s="107">
        <f t="shared" si="47"/>
        <v>0</v>
      </c>
      <c r="AD265" s="107">
        <v>0</v>
      </c>
      <c r="AE265" s="107">
        <f>SUM(AE253:AE263)</f>
        <v>0</v>
      </c>
      <c r="AF265" s="107">
        <f>SUM(AF253:AF263)</f>
        <v>0</v>
      </c>
      <c r="AG265" s="107">
        <f>SUM(AG253:AG263)</f>
        <v>0</v>
      </c>
      <c r="AH265" s="100">
        <f>SUM(AH253:AH263)</f>
        <v>0</v>
      </c>
    </row>
    <row r="266" spans="1:34" ht="5.0999999999999996" customHeight="1">
      <c r="A266" s="49"/>
      <c r="B266" s="49"/>
      <c r="C266" s="1"/>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
    </row>
    <row r="267" spans="1:34" ht="15">
      <c r="A267" s="3854" t="s">
        <v>293</v>
      </c>
      <c r="B267" s="3855"/>
      <c r="C267" s="3855"/>
      <c r="D267" s="3855"/>
      <c r="E267" s="3855"/>
      <c r="F267" s="3855"/>
      <c r="G267" s="3855"/>
      <c r="H267" s="3856"/>
      <c r="I267" s="3313"/>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row>
    <row r="268" spans="1:34" ht="15">
      <c r="A268" s="8" t="s">
        <v>142</v>
      </c>
      <c r="B268" s="8" t="s">
        <v>143</v>
      </c>
      <c r="C268" s="2907">
        <v>1</v>
      </c>
      <c r="D268" s="73">
        <v>2</v>
      </c>
      <c r="E268" s="73">
        <v>3</v>
      </c>
      <c r="F268" s="73">
        <v>4</v>
      </c>
      <c r="G268" s="73">
        <v>5</v>
      </c>
      <c r="H268" s="73">
        <v>6</v>
      </c>
      <c r="I268" s="73">
        <v>7</v>
      </c>
      <c r="J268" s="73">
        <v>8</v>
      </c>
      <c r="K268" s="73">
        <v>9</v>
      </c>
      <c r="L268" s="73">
        <v>10</v>
      </c>
      <c r="M268" s="73">
        <v>11</v>
      </c>
      <c r="N268" s="73">
        <v>12</v>
      </c>
      <c r="O268" s="73">
        <v>13</v>
      </c>
      <c r="P268" s="73">
        <v>14</v>
      </c>
      <c r="Q268" s="73">
        <v>15</v>
      </c>
      <c r="R268" s="73">
        <v>16</v>
      </c>
      <c r="S268" s="73">
        <v>17</v>
      </c>
      <c r="T268" s="73">
        <v>18</v>
      </c>
      <c r="U268" s="73">
        <v>19</v>
      </c>
      <c r="V268" s="73">
        <v>20</v>
      </c>
      <c r="W268" s="73">
        <v>21</v>
      </c>
      <c r="X268" s="73">
        <v>22</v>
      </c>
      <c r="Y268" s="73">
        <v>23</v>
      </c>
      <c r="Z268" s="73">
        <v>24</v>
      </c>
      <c r="AA268" s="73">
        <v>25</v>
      </c>
      <c r="AB268" s="73">
        <v>26</v>
      </c>
      <c r="AC268" s="73">
        <v>27</v>
      </c>
      <c r="AD268" s="73">
        <v>28</v>
      </c>
      <c r="AE268" s="73">
        <v>29</v>
      </c>
      <c r="AF268" s="73">
        <v>30</v>
      </c>
      <c r="AG268" s="73">
        <v>31</v>
      </c>
      <c r="AH268" s="88" t="s">
        <v>144</v>
      </c>
    </row>
    <row r="269" spans="1:34" ht="15">
      <c r="A269" s="427" t="s">
        <v>145</v>
      </c>
      <c r="B269" s="53">
        <f t="shared" ref="B269:B280" si="48">+AH269</f>
        <v>0</v>
      </c>
      <c r="C269" s="360" t="s">
        <v>311</v>
      </c>
      <c r="D269" s="360" t="s">
        <v>311</v>
      </c>
      <c r="E269" s="360" t="s">
        <v>311</v>
      </c>
      <c r="F269" s="360" t="s">
        <v>311</v>
      </c>
      <c r="G269" s="360" t="s">
        <v>311</v>
      </c>
      <c r="H269" s="360" t="s">
        <v>311</v>
      </c>
      <c r="I269" s="360" t="s">
        <v>311</v>
      </c>
      <c r="J269" s="360" t="s">
        <v>311</v>
      </c>
      <c r="K269" s="360" t="s">
        <v>311</v>
      </c>
      <c r="L269" s="360" t="s">
        <v>311</v>
      </c>
      <c r="M269" s="360" t="s">
        <v>311</v>
      </c>
      <c r="N269" s="360" t="s">
        <v>311</v>
      </c>
      <c r="O269" s="360" t="s">
        <v>311</v>
      </c>
      <c r="P269" s="360" t="s">
        <v>311</v>
      </c>
      <c r="Q269" s="360" t="s">
        <v>311</v>
      </c>
      <c r="R269" s="360" t="s">
        <v>311</v>
      </c>
      <c r="S269" s="360" t="s">
        <v>311</v>
      </c>
      <c r="T269" s="360" t="s">
        <v>311</v>
      </c>
      <c r="U269" s="360" t="s">
        <v>311</v>
      </c>
      <c r="V269" s="360" t="s">
        <v>311</v>
      </c>
      <c r="W269" s="360" t="s">
        <v>311</v>
      </c>
      <c r="X269" s="360" t="s">
        <v>311</v>
      </c>
      <c r="Y269" s="360" t="s">
        <v>311</v>
      </c>
      <c r="Z269" s="360" t="s">
        <v>311</v>
      </c>
      <c r="AA269" s="360" t="s">
        <v>311</v>
      </c>
      <c r="AB269" s="360" t="s">
        <v>311</v>
      </c>
      <c r="AC269" s="360" t="s">
        <v>311</v>
      </c>
      <c r="AD269" s="360" t="s">
        <v>311</v>
      </c>
      <c r="AE269" s="360" t="s">
        <v>311</v>
      </c>
      <c r="AF269" s="360" t="s">
        <v>311</v>
      </c>
      <c r="AG269" s="360" t="s">
        <v>311</v>
      </c>
      <c r="AH269" s="107">
        <f>SUM(C269:AG269)</f>
        <v>0</v>
      </c>
    </row>
    <row r="270" spans="1:34" s="190" customFormat="1" ht="15">
      <c r="A270" s="427" t="s">
        <v>146</v>
      </c>
      <c r="B270" s="53">
        <f t="shared" si="48"/>
        <v>0</v>
      </c>
      <c r="C270" s="360" t="s">
        <v>311</v>
      </c>
      <c r="D270" s="360" t="s">
        <v>311</v>
      </c>
      <c r="E270" s="360" t="s">
        <v>311</v>
      </c>
      <c r="F270" s="360" t="s">
        <v>311</v>
      </c>
      <c r="G270" s="360" t="s">
        <v>311</v>
      </c>
      <c r="H270" s="360" t="s">
        <v>311</v>
      </c>
      <c r="I270" s="360" t="s">
        <v>311</v>
      </c>
      <c r="J270" s="361"/>
      <c r="K270" s="361"/>
      <c r="L270" s="361"/>
      <c r="M270" s="361"/>
      <c r="N270" s="361"/>
      <c r="O270" s="361"/>
      <c r="P270" s="361"/>
      <c r="Q270" s="361"/>
      <c r="R270" s="361"/>
      <c r="S270" s="361"/>
      <c r="T270" s="361"/>
      <c r="U270" s="361"/>
      <c r="V270" s="361"/>
      <c r="W270" s="361"/>
      <c r="X270" s="361"/>
      <c r="Y270" s="361"/>
      <c r="Z270" s="361"/>
      <c r="AA270" s="361"/>
      <c r="AB270" s="361"/>
      <c r="AC270" s="361"/>
      <c r="AD270" s="361"/>
      <c r="AE270" s="361"/>
      <c r="AF270" s="361"/>
      <c r="AG270" s="361"/>
      <c r="AH270" s="107">
        <f t="shared" ref="AH270:AH280" si="49">SUM(C270:AG270)</f>
        <v>0</v>
      </c>
    </row>
    <row r="271" spans="1:34" ht="15">
      <c r="A271" s="427" t="s">
        <v>147</v>
      </c>
      <c r="B271" s="53">
        <f t="shared" si="48"/>
        <v>0</v>
      </c>
      <c r="C271" s="361"/>
      <c r="D271" s="361"/>
      <c r="E271" s="361"/>
      <c r="F271" s="361"/>
      <c r="G271" s="361"/>
      <c r="H271" s="306"/>
      <c r="I271" s="306"/>
      <c r="J271" s="306"/>
      <c r="K271" s="306"/>
      <c r="L271" s="306"/>
      <c r="M271" s="306"/>
      <c r="N271" s="306"/>
      <c r="O271" s="306"/>
      <c r="P271" s="306"/>
      <c r="Q271" s="306"/>
      <c r="R271" s="306"/>
      <c r="S271" s="306"/>
      <c r="T271" s="306"/>
      <c r="U271" s="306"/>
      <c r="V271" s="306"/>
      <c r="W271" s="306"/>
      <c r="X271" s="306"/>
      <c r="Y271" s="306"/>
      <c r="Z271" s="306"/>
      <c r="AA271" s="306"/>
      <c r="AB271" s="306"/>
      <c r="AC271" s="360" t="s">
        <v>311</v>
      </c>
      <c r="AD271" s="360" t="s">
        <v>311</v>
      </c>
      <c r="AE271" s="360" t="s">
        <v>311</v>
      </c>
      <c r="AF271" s="360" t="s">
        <v>311</v>
      </c>
      <c r="AG271" s="360" t="s">
        <v>311</v>
      </c>
      <c r="AH271" s="107">
        <f t="shared" si="49"/>
        <v>0</v>
      </c>
    </row>
    <row r="272" spans="1:34" ht="15">
      <c r="A272" s="427" t="s">
        <v>148</v>
      </c>
      <c r="B272" s="53">
        <f t="shared" si="48"/>
        <v>0</v>
      </c>
      <c r="C272" s="360" t="s">
        <v>311</v>
      </c>
      <c r="D272" s="360" t="s">
        <v>311</v>
      </c>
      <c r="E272" s="360" t="s">
        <v>311</v>
      </c>
      <c r="F272" s="360" t="s">
        <v>311</v>
      </c>
      <c r="G272" s="360" t="s">
        <v>311</v>
      </c>
      <c r="H272" s="360" t="s">
        <v>311</v>
      </c>
      <c r="I272" s="360" t="s">
        <v>311</v>
      </c>
      <c r="J272" s="360" t="s">
        <v>311</v>
      </c>
      <c r="K272" s="360" t="s">
        <v>311</v>
      </c>
      <c r="L272" s="306"/>
      <c r="M272" s="306"/>
      <c r="N272" s="306"/>
      <c r="O272" s="306"/>
      <c r="P272" s="306"/>
      <c r="Q272" s="306"/>
      <c r="R272" s="306"/>
      <c r="S272" s="306"/>
      <c r="T272" s="306"/>
      <c r="U272" s="306"/>
      <c r="V272" s="306"/>
      <c r="W272" s="306"/>
      <c r="X272" s="306"/>
      <c r="Y272" s="306"/>
      <c r="Z272" s="306"/>
      <c r="AA272" s="306"/>
      <c r="AB272" s="306"/>
      <c r="AC272" s="306"/>
      <c r="AD272" s="306"/>
      <c r="AE272" s="306"/>
      <c r="AF272" s="306"/>
      <c r="AG272" s="306"/>
      <c r="AH272" s="107">
        <f t="shared" si="49"/>
        <v>0</v>
      </c>
    </row>
    <row r="273" spans="1:34" s="190" customFormat="1" ht="15">
      <c r="A273" s="414" t="s">
        <v>149</v>
      </c>
      <c r="B273" s="53">
        <f t="shared" si="48"/>
        <v>2.6480000000000001</v>
      </c>
      <c r="C273" s="103"/>
      <c r="D273" s="53"/>
      <c r="E273" s="53"/>
      <c r="F273" s="53"/>
      <c r="G273" s="53"/>
      <c r="H273" s="53"/>
      <c r="I273" s="53"/>
      <c r="J273" s="53"/>
      <c r="K273" s="53"/>
      <c r="L273" s="53"/>
      <c r="M273" s="53"/>
      <c r="N273" s="53"/>
      <c r="O273" s="53"/>
      <c r="P273" s="53"/>
      <c r="Q273" s="53"/>
      <c r="R273" s="53"/>
      <c r="S273" s="53"/>
      <c r="T273" s="53"/>
      <c r="U273" s="53"/>
      <c r="V273" s="53"/>
      <c r="W273" s="53"/>
      <c r="X273" s="53"/>
      <c r="Y273" s="53"/>
      <c r="Z273" s="53"/>
      <c r="AA273" s="53"/>
      <c r="AB273" s="53"/>
      <c r="AC273" s="53"/>
      <c r="AD273" s="53"/>
      <c r="AE273" s="53"/>
      <c r="AF273" s="53"/>
      <c r="AG273" s="53">
        <v>2.6480000000000001</v>
      </c>
      <c r="AH273" s="107">
        <f t="shared" si="49"/>
        <v>2.6480000000000001</v>
      </c>
    </row>
    <row r="274" spans="1:34" ht="15">
      <c r="A274" s="414" t="s">
        <v>150</v>
      </c>
      <c r="B274" s="53">
        <f t="shared" si="48"/>
        <v>0</v>
      </c>
      <c r="C274" s="103"/>
      <c r="D274" s="53"/>
      <c r="E274" s="53"/>
      <c r="F274" s="53"/>
      <c r="G274" s="53"/>
      <c r="H274" s="188" t="s">
        <v>318</v>
      </c>
      <c r="I274" s="188" t="s">
        <v>318</v>
      </c>
      <c r="J274" s="188" t="s">
        <v>318</v>
      </c>
      <c r="K274" s="188" t="s">
        <v>318</v>
      </c>
      <c r="L274" s="188" t="s">
        <v>318</v>
      </c>
      <c r="M274" s="188" t="s">
        <v>318</v>
      </c>
      <c r="N274" s="188" t="s">
        <v>318</v>
      </c>
      <c r="O274" s="188" t="s">
        <v>318</v>
      </c>
      <c r="P274" s="188" t="s">
        <v>318</v>
      </c>
      <c r="Q274" s="188" t="s">
        <v>318</v>
      </c>
      <c r="R274" s="188" t="s">
        <v>318</v>
      </c>
      <c r="S274" s="188" t="s">
        <v>318</v>
      </c>
      <c r="T274" s="188" t="s">
        <v>318</v>
      </c>
      <c r="U274" s="188" t="s">
        <v>318</v>
      </c>
      <c r="V274" s="188" t="s">
        <v>318</v>
      </c>
      <c r="W274" s="188" t="s">
        <v>318</v>
      </c>
      <c r="X274" s="188" t="s">
        <v>318</v>
      </c>
      <c r="Y274" s="53"/>
      <c r="Z274" s="53"/>
      <c r="AA274" s="53"/>
      <c r="AB274" s="53"/>
      <c r="AC274" s="53"/>
      <c r="AD274" s="53"/>
      <c r="AE274" s="53"/>
      <c r="AF274" s="53"/>
      <c r="AG274" s="53"/>
      <c r="AH274" s="107">
        <f t="shared" si="49"/>
        <v>0</v>
      </c>
    </row>
    <row r="275" spans="1:34" ht="15">
      <c r="A275" s="414" t="s">
        <v>151</v>
      </c>
      <c r="B275" s="53">
        <f t="shared" si="48"/>
        <v>0</v>
      </c>
      <c r="C275" s="103"/>
      <c r="D275" s="107"/>
      <c r="E275" s="107"/>
      <c r="F275" s="107"/>
      <c r="G275" s="53"/>
      <c r="H275" s="53"/>
      <c r="I275" s="53"/>
      <c r="J275" s="111"/>
      <c r="K275" s="111"/>
      <c r="L275" s="107"/>
      <c r="M275" s="107"/>
      <c r="N275" s="107"/>
      <c r="O275" s="107"/>
      <c r="P275" s="107"/>
      <c r="Q275" s="107"/>
      <c r="R275" s="107"/>
      <c r="S275" s="107"/>
      <c r="T275" s="107"/>
      <c r="U275" s="107"/>
      <c r="V275" s="107"/>
      <c r="W275" s="107"/>
      <c r="X275" s="107"/>
      <c r="Y275" s="107"/>
      <c r="Z275" s="107"/>
      <c r="AA275" s="107"/>
      <c r="AB275" s="107"/>
      <c r="AC275" s="107"/>
      <c r="AD275" s="107"/>
      <c r="AE275" s="107"/>
      <c r="AF275" s="107"/>
      <c r="AG275" s="107"/>
      <c r="AH275" s="107">
        <f t="shared" si="49"/>
        <v>0</v>
      </c>
    </row>
    <row r="276" spans="1:34" s="190" customFormat="1" ht="15">
      <c r="A276" s="414" t="s">
        <v>152</v>
      </c>
      <c r="B276" s="53">
        <f t="shared" si="48"/>
        <v>0</v>
      </c>
      <c r="C276" s="103"/>
      <c r="D276" s="53"/>
      <c r="E276" s="53"/>
      <c r="F276" s="53"/>
      <c r="G276" s="53"/>
      <c r="H276" s="53"/>
      <c r="I276" s="53"/>
      <c r="J276" s="188" t="s">
        <v>318</v>
      </c>
      <c r="K276" s="188" t="s">
        <v>318</v>
      </c>
      <c r="L276" s="188" t="s">
        <v>318</v>
      </c>
      <c r="M276" s="188" t="s">
        <v>318</v>
      </c>
      <c r="N276" s="188" t="s">
        <v>318</v>
      </c>
      <c r="O276" s="188" t="s">
        <v>318</v>
      </c>
      <c r="P276" s="188" t="s">
        <v>318</v>
      </c>
      <c r="Q276" s="188" t="s">
        <v>318</v>
      </c>
      <c r="R276" s="188" t="s">
        <v>318</v>
      </c>
      <c r="S276" s="188" t="s">
        <v>318</v>
      </c>
      <c r="T276" s="188" t="s">
        <v>318</v>
      </c>
      <c r="U276" s="188" t="s">
        <v>318</v>
      </c>
      <c r="V276" s="188" t="s">
        <v>318</v>
      </c>
      <c r="W276" s="188" t="s">
        <v>318</v>
      </c>
      <c r="X276" s="188" t="s">
        <v>318</v>
      </c>
      <c r="Y276" s="188" t="s">
        <v>318</v>
      </c>
      <c r="Z276" s="188" t="s">
        <v>318</v>
      </c>
      <c r="AA276" s="188" t="s">
        <v>318</v>
      </c>
      <c r="AB276" s="188" t="s">
        <v>318</v>
      </c>
      <c r="AC276" s="188" t="s">
        <v>318</v>
      </c>
      <c r="AD276" s="188" t="s">
        <v>318</v>
      </c>
      <c r="AE276" s="188" t="s">
        <v>318</v>
      </c>
      <c r="AF276" s="188" t="s">
        <v>318</v>
      </c>
      <c r="AG276" s="188" t="s">
        <v>318</v>
      </c>
      <c r="AH276" s="107">
        <f t="shared" si="49"/>
        <v>0</v>
      </c>
    </row>
    <row r="277" spans="1:34" ht="15">
      <c r="A277" s="428" t="s">
        <v>153</v>
      </c>
      <c r="B277" s="53">
        <f t="shared" si="48"/>
        <v>0</v>
      </c>
      <c r="C277" s="188" t="s">
        <v>318</v>
      </c>
      <c r="D277" s="188" t="s">
        <v>318</v>
      </c>
      <c r="E277" s="188" t="s">
        <v>318</v>
      </c>
      <c r="F277" s="188" t="s">
        <v>318</v>
      </c>
      <c r="G277" s="188" t="s">
        <v>318</v>
      </c>
      <c r="H277" s="188" t="s">
        <v>318</v>
      </c>
      <c r="I277" s="188" t="s">
        <v>318</v>
      </c>
      <c r="J277" s="188" t="s">
        <v>318</v>
      </c>
      <c r="K277" s="188" t="s">
        <v>318</v>
      </c>
      <c r="L277" s="188" t="s">
        <v>318</v>
      </c>
      <c r="M277" s="188" t="s">
        <v>318</v>
      </c>
      <c r="N277" s="188" t="s">
        <v>318</v>
      </c>
      <c r="O277" s="188" t="s">
        <v>318</v>
      </c>
      <c r="P277" s="188" t="s">
        <v>318</v>
      </c>
      <c r="Q277" s="188" t="s">
        <v>318</v>
      </c>
      <c r="R277" s="188" t="s">
        <v>318</v>
      </c>
      <c r="S277" s="188" t="s">
        <v>318</v>
      </c>
      <c r="T277" s="188" t="s">
        <v>318</v>
      </c>
      <c r="U277" s="188" t="s">
        <v>318</v>
      </c>
      <c r="V277" s="188" t="s">
        <v>318</v>
      </c>
      <c r="W277" s="188" t="s">
        <v>318</v>
      </c>
      <c r="X277" s="188" t="s">
        <v>318</v>
      </c>
      <c r="Y277" s="188" t="s">
        <v>318</v>
      </c>
      <c r="Z277" s="188" t="s">
        <v>318</v>
      </c>
      <c r="AA277" s="188" t="s">
        <v>318</v>
      </c>
      <c r="AB277" s="188" t="s">
        <v>318</v>
      </c>
      <c r="AC277" s="188" t="s">
        <v>318</v>
      </c>
      <c r="AD277" s="188" t="s">
        <v>318</v>
      </c>
      <c r="AE277" s="188" t="s">
        <v>318</v>
      </c>
      <c r="AF277" s="188" t="s">
        <v>318</v>
      </c>
      <c r="AG277" s="188" t="s">
        <v>318</v>
      </c>
      <c r="AH277" s="107">
        <f t="shared" si="49"/>
        <v>0</v>
      </c>
    </row>
    <row r="278" spans="1:34" ht="15">
      <c r="A278" s="428" t="s">
        <v>154</v>
      </c>
      <c r="B278" s="53">
        <f t="shared" si="48"/>
        <v>0</v>
      </c>
      <c r="C278" s="188" t="s">
        <v>318</v>
      </c>
      <c r="D278" s="188" t="s">
        <v>318</v>
      </c>
      <c r="E278" s="188" t="s">
        <v>318</v>
      </c>
      <c r="F278" s="188" t="s">
        <v>318</v>
      </c>
      <c r="G278" s="188" t="s">
        <v>318</v>
      </c>
      <c r="H278" s="188" t="s">
        <v>318</v>
      </c>
      <c r="I278" s="188" t="s">
        <v>318</v>
      </c>
      <c r="J278" s="188" t="s">
        <v>318</v>
      </c>
      <c r="K278" s="188" t="s">
        <v>318</v>
      </c>
      <c r="L278" s="188" t="s">
        <v>318</v>
      </c>
      <c r="M278" s="188" t="s">
        <v>318</v>
      </c>
      <c r="N278" s="188" t="s">
        <v>318</v>
      </c>
      <c r="O278" s="188" t="s">
        <v>318</v>
      </c>
      <c r="P278" s="188" t="s">
        <v>318</v>
      </c>
      <c r="Q278" s="188" t="s">
        <v>318</v>
      </c>
      <c r="R278" s="188" t="s">
        <v>318</v>
      </c>
      <c r="S278" s="188" t="s">
        <v>318</v>
      </c>
      <c r="T278" s="188" t="s">
        <v>318</v>
      </c>
      <c r="U278" s="188" t="s">
        <v>318</v>
      </c>
      <c r="V278" s="188" t="s">
        <v>318</v>
      </c>
      <c r="W278" s="188" t="s">
        <v>318</v>
      </c>
      <c r="X278" s="53"/>
      <c r="Y278" s="53"/>
      <c r="Z278" s="53"/>
      <c r="AA278" s="53"/>
      <c r="AB278" s="53"/>
      <c r="AC278" s="53"/>
      <c r="AD278" s="53"/>
      <c r="AE278" s="107"/>
      <c r="AF278" s="53"/>
      <c r="AG278" s="107"/>
      <c r="AH278" s="107">
        <f t="shared" si="49"/>
        <v>0</v>
      </c>
    </row>
    <row r="279" spans="1:34" ht="15">
      <c r="A279" s="428" t="s">
        <v>155</v>
      </c>
      <c r="B279" s="53">
        <f t="shared" si="48"/>
        <v>30.298999999999999</v>
      </c>
      <c r="C279" s="103"/>
      <c r="D279" s="53"/>
      <c r="E279" s="53"/>
      <c r="F279" s="53"/>
      <c r="G279" s="14"/>
      <c r="H279" s="53"/>
      <c r="I279" s="53"/>
      <c r="J279" s="53"/>
      <c r="K279" s="53"/>
      <c r="L279" s="53"/>
      <c r="M279" s="53">
        <v>30.298999999999999</v>
      </c>
      <c r="N279" s="53"/>
      <c r="O279" s="53"/>
      <c r="P279" s="53"/>
      <c r="Q279" s="53"/>
      <c r="R279" s="53"/>
      <c r="S279" s="53"/>
      <c r="T279" s="53"/>
      <c r="U279" s="53"/>
      <c r="V279" s="53"/>
      <c r="W279" s="53"/>
      <c r="X279" s="53"/>
      <c r="Y279" s="14"/>
      <c r="Z279" s="53"/>
      <c r="AA279" s="53"/>
      <c r="AB279" s="53"/>
      <c r="AC279" s="53"/>
      <c r="AD279" s="53"/>
      <c r="AE279" s="107"/>
      <c r="AF279" s="53"/>
      <c r="AG279" s="107"/>
      <c r="AH279" s="107">
        <f t="shared" si="49"/>
        <v>30.298999999999999</v>
      </c>
    </row>
    <row r="280" spans="1:34" ht="15">
      <c r="A280" s="428" t="s">
        <v>156</v>
      </c>
      <c r="B280" s="53">
        <f t="shared" si="48"/>
        <v>0</v>
      </c>
      <c r="C280" s="103"/>
      <c r="D280" s="53"/>
      <c r="E280" s="53"/>
      <c r="F280" s="53"/>
      <c r="G280" s="53"/>
      <c r="H280" s="53"/>
      <c r="I280" s="53"/>
      <c r="J280" s="53"/>
      <c r="K280" s="53"/>
      <c r="L280" s="53"/>
      <c r="M280" s="53"/>
      <c r="N280" s="53"/>
      <c r="O280" s="53"/>
      <c r="P280" s="3027">
        <v>0</v>
      </c>
      <c r="Q280" s="3027">
        <v>0</v>
      </c>
      <c r="R280" s="3027">
        <v>0</v>
      </c>
      <c r="S280" s="3027">
        <v>0</v>
      </c>
      <c r="T280" s="3027">
        <v>0</v>
      </c>
      <c r="U280" s="3027">
        <v>0</v>
      </c>
      <c r="V280" s="3027">
        <v>0</v>
      </c>
      <c r="W280" s="3027">
        <v>0</v>
      </c>
      <c r="X280" s="3027">
        <v>0</v>
      </c>
      <c r="Y280" s="3027">
        <v>0</v>
      </c>
      <c r="Z280" s="3027">
        <v>0</v>
      </c>
      <c r="AA280" s="3027">
        <v>0</v>
      </c>
      <c r="AB280" s="3027">
        <v>0</v>
      </c>
      <c r="AC280" s="3027">
        <v>0</v>
      </c>
      <c r="AD280" s="3027">
        <v>0</v>
      </c>
      <c r="AE280" s="3027">
        <v>0</v>
      </c>
      <c r="AF280" s="3027">
        <v>0</v>
      </c>
      <c r="AG280" s="3027">
        <v>0</v>
      </c>
      <c r="AH280" s="107">
        <f t="shared" si="49"/>
        <v>0</v>
      </c>
    </row>
    <row r="281" spans="1:34" ht="15">
      <c r="A281" s="199" t="s">
        <v>144</v>
      </c>
      <c r="B281" s="200">
        <f>SUM(B269:B280)</f>
        <v>32.947000000000003</v>
      </c>
      <c r="C281" s="100">
        <f>SUM(C269:C279)</f>
        <v>0</v>
      </c>
      <c r="D281" s="107">
        <f>SUM(D269:D279)</f>
        <v>0</v>
      </c>
      <c r="E281" s="107">
        <v>0</v>
      </c>
      <c r="F281" s="107">
        <f t="shared" ref="F281:AC281" si="50">SUM(F269:F279)</f>
        <v>0</v>
      </c>
      <c r="G281" s="107">
        <f t="shared" si="50"/>
        <v>0</v>
      </c>
      <c r="H281" s="107">
        <f t="shared" si="50"/>
        <v>0</v>
      </c>
      <c r="I281" s="107">
        <f t="shared" si="50"/>
        <v>0</v>
      </c>
      <c r="J281" s="107">
        <f t="shared" si="50"/>
        <v>0</v>
      </c>
      <c r="K281" s="107">
        <f t="shared" si="50"/>
        <v>0</v>
      </c>
      <c r="L281" s="107">
        <f t="shared" si="50"/>
        <v>0</v>
      </c>
      <c r="M281" s="107">
        <f t="shared" si="50"/>
        <v>30.298999999999999</v>
      </c>
      <c r="N281" s="107">
        <f t="shared" si="50"/>
        <v>0</v>
      </c>
      <c r="O281" s="107">
        <f t="shared" si="50"/>
        <v>0</v>
      </c>
      <c r="P281" s="107">
        <f t="shared" si="50"/>
        <v>0</v>
      </c>
      <c r="Q281" s="107">
        <f t="shared" si="50"/>
        <v>0</v>
      </c>
      <c r="R281" s="107">
        <f t="shared" si="50"/>
        <v>0</v>
      </c>
      <c r="S281" s="107">
        <f t="shared" si="50"/>
        <v>0</v>
      </c>
      <c r="T281" s="107">
        <f t="shared" si="50"/>
        <v>0</v>
      </c>
      <c r="U281" s="107">
        <f t="shared" si="50"/>
        <v>0</v>
      </c>
      <c r="V281" s="107">
        <f t="shared" si="50"/>
        <v>0</v>
      </c>
      <c r="W281" s="107">
        <f t="shared" si="50"/>
        <v>0</v>
      </c>
      <c r="X281" s="107">
        <f t="shared" si="50"/>
        <v>0</v>
      </c>
      <c r="Y281" s="107">
        <f t="shared" si="50"/>
        <v>0</v>
      </c>
      <c r="Z281" s="107">
        <f t="shared" si="50"/>
        <v>0</v>
      </c>
      <c r="AA281" s="107">
        <f t="shared" si="50"/>
        <v>0</v>
      </c>
      <c r="AB281" s="107">
        <f t="shared" si="50"/>
        <v>0</v>
      </c>
      <c r="AC281" s="107">
        <f t="shared" si="50"/>
        <v>0</v>
      </c>
      <c r="AD281" s="107">
        <v>0</v>
      </c>
      <c r="AE281" s="107">
        <f>SUM(AE269:AE279)</f>
        <v>0</v>
      </c>
      <c r="AF281" s="107">
        <f>SUM(AF269:AF279)</f>
        <v>0</v>
      </c>
      <c r="AG281" s="107">
        <f>SUM(AG269:AG279)</f>
        <v>2.6480000000000001</v>
      </c>
      <c r="AH281" s="100">
        <f>SUM(AH269:AH279)</f>
        <v>32.947000000000003</v>
      </c>
    </row>
    <row r="282" spans="1:34" ht="5.0999999999999996" customHeight="1">
      <c r="A282" s="49"/>
      <c r="B282" s="49"/>
      <c r="C282" s="1"/>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c r="AH282" s="1"/>
    </row>
    <row r="283" spans="1:34" ht="15">
      <c r="A283" s="3854" t="s">
        <v>294</v>
      </c>
      <c r="B283" s="3855"/>
      <c r="C283" s="3855"/>
      <c r="D283" s="3855"/>
      <c r="E283" s="3855"/>
      <c r="F283" s="3855"/>
      <c r="G283" s="3855"/>
      <c r="H283" s="3856"/>
      <c r="I283" s="3313"/>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row>
    <row r="284" spans="1:34" ht="15">
      <c r="A284" s="8" t="s">
        <v>142</v>
      </c>
      <c r="B284" s="8" t="s">
        <v>143</v>
      </c>
      <c r="C284" s="2907">
        <v>1</v>
      </c>
      <c r="D284" s="73">
        <v>2</v>
      </c>
      <c r="E284" s="73">
        <v>3</v>
      </c>
      <c r="F284" s="73">
        <v>4</v>
      </c>
      <c r="G284" s="73">
        <v>5</v>
      </c>
      <c r="H284" s="73">
        <v>6</v>
      </c>
      <c r="I284" s="73">
        <v>7</v>
      </c>
      <c r="J284" s="73">
        <v>8</v>
      </c>
      <c r="K284" s="73">
        <v>9</v>
      </c>
      <c r="L284" s="73">
        <v>10</v>
      </c>
      <c r="M284" s="73">
        <v>11</v>
      </c>
      <c r="N284" s="73">
        <v>12</v>
      </c>
      <c r="O284" s="73">
        <v>13</v>
      </c>
      <c r="P284" s="73">
        <v>14</v>
      </c>
      <c r="Q284" s="73">
        <v>15</v>
      </c>
      <c r="R284" s="73">
        <v>16</v>
      </c>
      <c r="S284" s="73">
        <v>17</v>
      </c>
      <c r="T284" s="73">
        <v>18</v>
      </c>
      <c r="U284" s="73">
        <v>19</v>
      </c>
      <c r="V284" s="73">
        <v>20</v>
      </c>
      <c r="W284" s="73">
        <v>21</v>
      </c>
      <c r="X284" s="73">
        <v>22</v>
      </c>
      <c r="Y284" s="73">
        <v>23</v>
      </c>
      <c r="Z284" s="73">
        <v>24</v>
      </c>
      <c r="AA284" s="73">
        <v>25</v>
      </c>
      <c r="AB284" s="73">
        <v>26</v>
      </c>
      <c r="AC284" s="73">
        <v>27</v>
      </c>
      <c r="AD284" s="73">
        <v>28</v>
      </c>
      <c r="AE284" s="73">
        <v>29</v>
      </c>
      <c r="AF284" s="73">
        <v>30</v>
      </c>
      <c r="AG284" s="73">
        <v>31</v>
      </c>
      <c r="AH284" s="88" t="s">
        <v>144</v>
      </c>
    </row>
    <row r="285" spans="1:34" ht="15">
      <c r="A285" s="427" t="s">
        <v>145</v>
      </c>
      <c r="B285" s="53">
        <f t="shared" ref="B285:B296" si="51">+AH285</f>
        <v>0</v>
      </c>
      <c r="C285" s="360" t="s">
        <v>311</v>
      </c>
      <c r="D285" s="360" t="s">
        <v>311</v>
      </c>
      <c r="E285" s="360" t="s">
        <v>311</v>
      </c>
      <c r="F285" s="360" t="s">
        <v>311</v>
      </c>
      <c r="G285" s="360" t="s">
        <v>311</v>
      </c>
      <c r="H285" s="360" t="s">
        <v>311</v>
      </c>
      <c r="I285" s="360" t="s">
        <v>311</v>
      </c>
      <c r="J285" s="360" t="s">
        <v>311</v>
      </c>
      <c r="K285" s="360" t="s">
        <v>311</v>
      </c>
      <c r="L285" s="360" t="s">
        <v>311</v>
      </c>
      <c r="M285" s="360" t="s">
        <v>311</v>
      </c>
      <c r="N285" s="360" t="s">
        <v>311</v>
      </c>
      <c r="O285" s="360" t="s">
        <v>311</v>
      </c>
      <c r="P285" s="360" t="s">
        <v>311</v>
      </c>
      <c r="Q285" s="360" t="s">
        <v>311</v>
      </c>
      <c r="R285" s="360" t="s">
        <v>311</v>
      </c>
      <c r="S285" s="360" t="s">
        <v>311</v>
      </c>
      <c r="T285" s="360" t="s">
        <v>311</v>
      </c>
      <c r="U285" s="360" t="s">
        <v>311</v>
      </c>
      <c r="V285" s="360" t="s">
        <v>311</v>
      </c>
      <c r="W285" s="360" t="s">
        <v>311</v>
      </c>
      <c r="X285" s="360" t="s">
        <v>311</v>
      </c>
      <c r="Y285" s="360" t="s">
        <v>311</v>
      </c>
      <c r="Z285" s="360" t="s">
        <v>311</v>
      </c>
      <c r="AA285" s="360" t="s">
        <v>311</v>
      </c>
      <c r="AB285" s="360" t="s">
        <v>311</v>
      </c>
      <c r="AC285" s="360" t="s">
        <v>311</v>
      </c>
      <c r="AD285" s="360" t="s">
        <v>311</v>
      </c>
      <c r="AE285" s="360" t="s">
        <v>311</v>
      </c>
      <c r="AF285" s="360" t="s">
        <v>311</v>
      </c>
      <c r="AG285" s="360" t="s">
        <v>311</v>
      </c>
      <c r="AH285" s="107">
        <f>SUM(C285:AG285)</f>
        <v>0</v>
      </c>
    </row>
    <row r="286" spans="1:34" s="190" customFormat="1" ht="15">
      <c r="A286" s="427" t="s">
        <v>146</v>
      </c>
      <c r="B286" s="53">
        <f t="shared" si="51"/>
        <v>0</v>
      </c>
      <c r="C286" s="360" t="s">
        <v>311</v>
      </c>
      <c r="D286" s="360" t="s">
        <v>311</v>
      </c>
      <c r="E286" s="360" t="s">
        <v>311</v>
      </c>
      <c r="F286" s="360" t="s">
        <v>311</v>
      </c>
      <c r="G286" s="360" t="s">
        <v>311</v>
      </c>
      <c r="H286" s="360" t="s">
        <v>311</v>
      </c>
      <c r="I286" s="360" t="s">
        <v>311</v>
      </c>
      <c r="J286" s="361"/>
      <c r="K286" s="361"/>
      <c r="L286" s="361"/>
      <c r="M286" s="361"/>
      <c r="N286" s="361"/>
      <c r="O286" s="361"/>
      <c r="P286" s="361"/>
      <c r="Q286" s="361"/>
      <c r="R286" s="361"/>
      <c r="S286" s="361"/>
      <c r="T286" s="361"/>
      <c r="U286" s="361"/>
      <c r="V286" s="361"/>
      <c r="W286" s="361"/>
      <c r="X286" s="361"/>
      <c r="Y286" s="361"/>
      <c r="Z286" s="361"/>
      <c r="AA286" s="361"/>
      <c r="AB286" s="361"/>
      <c r="AC286" s="361"/>
      <c r="AD286" s="361"/>
      <c r="AE286" s="361"/>
      <c r="AF286" s="361"/>
      <c r="AG286" s="361"/>
      <c r="AH286" s="107">
        <f t="shared" ref="AH286:AH296" si="52">SUM(C286:AG286)</f>
        <v>0</v>
      </c>
    </row>
    <row r="287" spans="1:34" ht="15">
      <c r="A287" s="427" t="s">
        <v>147</v>
      </c>
      <c r="B287" s="53">
        <f t="shared" si="51"/>
        <v>0</v>
      </c>
      <c r="C287" s="361"/>
      <c r="D287" s="361"/>
      <c r="E287" s="361"/>
      <c r="F287" s="361"/>
      <c r="G287" s="361"/>
      <c r="H287" s="306"/>
      <c r="I287" s="306"/>
      <c r="J287" s="306"/>
      <c r="K287" s="306"/>
      <c r="L287" s="306"/>
      <c r="M287" s="306"/>
      <c r="N287" s="306"/>
      <c r="O287" s="306"/>
      <c r="P287" s="306"/>
      <c r="Q287" s="306"/>
      <c r="R287" s="306"/>
      <c r="S287" s="306"/>
      <c r="T287" s="306"/>
      <c r="U287" s="306"/>
      <c r="V287" s="306"/>
      <c r="W287" s="306"/>
      <c r="X287" s="306"/>
      <c r="Y287" s="306"/>
      <c r="Z287" s="306"/>
      <c r="AA287" s="306"/>
      <c r="AB287" s="306"/>
      <c r="AC287" s="360" t="s">
        <v>311</v>
      </c>
      <c r="AD287" s="360" t="s">
        <v>311</v>
      </c>
      <c r="AE287" s="360" t="s">
        <v>311</v>
      </c>
      <c r="AF287" s="360" t="s">
        <v>311</v>
      </c>
      <c r="AG287" s="360" t="s">
        <v>311</v>
      </c>
      <c r="AH287" s="107">
        <f t="shared" si="52"/>
        <v>0</v>
      </c>
    </row>
    <row r="288" spans="1:34" ht="15">
      <c r="A288" s="427" t="s">
        <v>148</v>
      </c>
      <c r="B288" s="53">
        <f t="shared" si="51"/>
        <v>0</v>
      </c>
      <c r="C288" s="360" t="s">
        <v>311</v>
      </c>
      <c r="D288" s="360" t="s">
        <v>311</v>
      </c>
      <c r="E288" s="360" t="s">
        <v>311</v>
      </c>
      <c r="F288" s="360" t="s">
        <v>311</v>
      </c>
      <c r="G288" s="360" t="s">
        <v>311</v>
      </c>
      <c r="H288" s="360" t="s">
        <v>311</v>
      </c>
      <c r="I288" s="360" t="s">
        <v>311</v>
      </c>
      <c r="J288" s="360" t="s">
        <v>311</v>
      </c>
      <c r="K288" s="360" t="s">
        <v>311</v>
      </c>
      <c r="L288" s="306"/>
      <c r="M288" s="306"/>
      <c r="N288" s="306"/>
      <c r="O288" s="306"/>
      <c r="P288" s="306"/>
      <c r="Q288" s="306"/>
      <c r="R288" s="306"/>
      <c r="S288" s="306"/>
      <c r="T288" s="306"/>
      <c r="U288" s="306"/>
      <c r="V288" s="306"/>
      <c r="W288" s="306"/>
      <c r="X288" s="306"/>
      <c r="Y288" s="306"/>
      <c r="Z288" s="306"/>
      <c r="AA288" s="306"/>
      <c r="AB288" s="306"/>
      <c r="AC288" s="306"/>
      <c r="AD288" s="306"/>
      <c r="AE288" s="306"/>
      <c r="AF288" s="306"/>
      <c r="AG288" s="306"/>
      <c r="AH288" s="107">
        <f t="shared" si="52"/>
        <v>0</v>
      </c>
    </row>
    <row r="289" spans="1:34" s="190" customFormat="1" ht="15">
      <c r="A289" s="414" t="s">
        <v>149</v>
      </c>
      <c r="B289" s="53">
        <f t="shared" si="51"/>
        <v>0</v>
      </c>
      <c r="C289" s="103"/>
      <c r="D289" s="53"/>
      <c r="E289" s="53"/>
      <c r="F289" s="53"/>
      <c r="G289" s="53"/>
      <c r="H289" s="53"/>
      <c r="I289" s="53"/>
      <c r="J289" s="53"/>
      <c r="K289" s="53"/>
      <c r="L289" s="53"/>
      <c r="M289" s="53"/>
      <c r="N289" s="53"/>
      <c r="O289" s="53"/>
      <c r="P289" s="53"/>
      <c r="Q289" s="53"/>
      <c r="R289" s="53"/>
      <c r="S289" s="53"/>
      <c r="T289" s="53"/>
      <c r="U289" s="53"/>
      <c r="V289" s="53"/>
      <c r="W289" s="53"/>
      <c r="X289" s="53"/>
      <c r="Y289" s="53"/>
      <c r="Z289" s="53"/>
      <c r="AA289" s="53"/>
      <c r="AB289" s="53"/>
      <c r="AC289" s="53"/>
      <c r="AD289" s="53"/>
      <c r="AE289" s="53"/>
      <c r="AF289" s="53"/>
      <c r="AG289" s="53"/>
      <c r="AH289" s="107">
        <f t="shared" si="52"/>
        <v>0</v>
      </c>
    </row>
    <row r="290" spans="1:34" ht="15">
      <c r="A290" s="414" t="s">
        <v>150</v>
      </c>
      <c r="B290" s="53">
        <f t="shared" si="51"/>
        <v>0</v>
      </c>
      <c r="C290" s="103"/>
      <c r="D290" s="53"/>
      <c r="E290" s="53"/>
      <c r="F290" s="53"/>
      <c r="G290" s="53"/>
      <c r="H290" s="188" t="s">
        <v>318</v>
      </c>
      <c r="I290" s="188" t="s">
        <v>318</v>
      </c>
      <c r="J290" s="188" t="s">
        <v>318</v>
      </c>
      <c r="K290" s="188" t="s">
        <v>318</v>
      </c>
      <c r="L290" s="188" t="s">
        <v>318</v>
      </c>
      <c r="M290" s="188" t="s">
        <v>318</v>
      </c>
      <c r="N290" s="188" t="s">
        <v>318</v>
      </c>
      <c r="O290" s="188" t="s">
        <v>318</v>
      </c>
      <c r="P290" s="188" t="s">
        <v>318</v>
      </c>
      <c r="Q290" s="188" t="s">
        <v>318</v>
      </c>
      <c r="R290" s="188" t="s">
        <v>318</v>
      </c>
      <c r="S290" s="188" t="s">
        <v>318</v>
      </c>
      <c r="T290" s="188" t="s">
        <v>318</v>
      </c>
      <c r="U290" s="188" t="s">
        <v>318</v>
      </c>
      <c r="V290" s="188" t="s">
        <v>318</v>
      </c>
      <c r="W290" s="188" t="s">
        <v>318</v>
      </c>
      <c r="X290" s="188" t="s">
        <v>318</v>
      </c>
      <c r="Y290" s="53"/>
      <c r="Z290" s="53"/>
      <c r="AA290" s="53"/>
      <c r="AB290" s="53"/>
      <c r="AC290" s="53"/>
      <c r="AD290" s="53"/>
      <c r="AE290" s="53"/>
      <c r="AF290" s="53"/>
      <c r="AG290" s="53"/>
      <c r="AH290" s="107">
        <f t="shared" si="52"/>
        <v>0</v>
      </c>
    </row>
    <row r="291" spans="1:34" ht="15">
      <c r="A291" s="414" t="s">
        <v>151</v>
      </c>
      <c r="B291" s="53">
        <f t="shared" si="51"/>
        <v>0</v>
      </c>
      <c r="C291" s="103"/>
      <c r="D291" s="107"/>
      <c r="E291" s="107"/>
      <c r="F291" s="107"/>
      <c r="G291" s="53"/>
      <c r="H291" s="53"/>
      <c r="I291" s="53"/>
      <c r="J291" s="111"/>
      <c r="K291" s="111"/>
      <c r="L291" s="107"/>
      <c r="M291" s="107"/>
      <c r="N291" s="107"/>
      <c r="O291" s="107"/>
      <c r="P291" s="107"/>
      <c r="Q291" s="107"/>
      <c r="R291" s="107"/>
      <c r="S291" s="107"/>
      <c r="T291" s="107"/>
      <c r="U291" s="107"/>
      <c r="V291" s="107"/>
      <c r="W291" s="107"/>
      <c r="X291" s="107"/>
      <c r="Y291" s="107"/>
      <c r="Z291" s="107"/>
      <c r="AA291" s="107"/>
      <c r="AB291" s="107"/>
      <c r="AC291" s="107"/>
      <c r="AD291" s="107"/>
      <c r="AE291" s="107"/>
      <c r="AF291" s="107"/>
      <c r="AG291" s="107"/>
      <c r="AH291" s="107">
        <f t="shared" si="52"/>
        <v>0</v>
      </c>
    </row>
    <row r="292" spans="1:34" s="190" customFormat="1" ht="15">
      <c r="A292" s="414" t="s">
        <v>152</v>
      </c>
      <c r="B292" s="53">
        <f t="shared" si="51"/>
        <v>0</v>
      </c>
      <c r="C292" s="103"/>
      <c r="D292" s="53"/>
      <c r="E292" s="53"/>
      <c r="F292" s="53"/>
      <c r="G292" s="53"/>
      <c r="H292" s="53"/>
      <c r="I292" s="53"/>
      <c r="J292" s="188" t="s">
        <v>318</v>
      </c>
      <c r="K292" s="188" t="s">
        <v>318</v>
      </c>
      <c r="L292" s="188" t="s">
        <v>318</v>
      </c>
      <c r="M292" s="188" t="s">
        <v>318</v>
      </c>
      <c r="N292" s="188" t="s">
        <v>318</v>
      </c>
      <c r="O292" s="188" t="s">
        <v>318</v>
      </c>
      <c r="P292" s="188" t="s">
        <v>318</v>
      </c>
      <c r="Q292" s="188" t="s">
        <v>318</v>
      </c>
      <c r="R292" s="188" t="s">
        <v>318</v>
      </c>
      <c r="S292" s="188" t="s">
        <v>318</v>
      </c>
      <c r="T292" s="188" t="s">
        <v>318</v>
      </c>
      <c r="U292" s="188" t="s">
        <v>318</v>
      </c>
      <c r="V292" s="188" t="s">
        <v>318</v>
      </c>
      <c r="W292" s="188" t="s">
        <v>318</v>
      </c>
      <c r="X292" s="188" t="s">
        <v>318</v>
      </c>
      <c r="Y292" s="188" t="s">
        <v>318</v>
      </c>
      <c r="Z292" s="188" t="s">
        <v>318</v>
      </c>
      <c r="AA292" s="188" t="s">
        <v>318</v>
      </c>
      <c r="AB292" s="188" t="s">
        <v>318</v>
      </c>
      <c r="AC292" s="188" t="s">
        <v>318</v>
      </c>
      <c r="AD292" s="188" t="s">
        <v>318</v>
      </c>
      <c r="AE292" s="188" t="s">
        <v>318</v>
      </c>
      <c r="AF292" s="188" t="s">
        <v>318</v>
      </c>
      <c r="AG292" s="188" t="s">
        <v>318</v>
      </c>
      <c r="AH292" s="107">
        <f t="shared" si="52"/>
        <v>0</v>
      </c>
    </row>
    <row r="293" spans="1:34" ht="15">
      <c r="A293" s="428" t="s">
        <v>153</v>
      </c>
      <c r="B293" s="53">
        <f t="shared" si="51"/>
        <v>0</v>
      </c>
      <c r="C293" s="188" t="s">
        <v>318</v>
      </c>
      <c r="D293" s="188" t="s">
        <v>318</v>
      </c>
      <c r="E293" s="188" t="s">
        <v>318</v>
      </c>
      <c r="F293" s="188" t="s">
        <v>318</v>
      </c>
      <c r="G293" s="188" t="s">
        <v>318</v>
      </c>
      <c r="H293" s="188" t="s">
        <v>318</v>
      </c>
      <c r="I293" s="188" t="s">
        <v>318</v>
      </c>
      <c r="J293" s="188" t="s">
        <v>318</v>
      </c>
      <c r="K293" s="188" t="s">
        <v>318</v>
      </c>
      <c r="L293" s="188" t="s">
        <v>318</v>
      </c>
      <c r="M293" s="188" t="s">
        <v>318</v>
      </c>
      <c r="N293" s="188" t="s">
        <v>318</v>
      </c>
      <c r="O293" s="188" t="s">
        <v>318</v>
      </c>
      <c r="P293" s="188" t="s">
        <v>318</v>
      </c>
      <c r="Q293" s="188" t="s">
        <v>318</v>
      </c>
      <c r="R293" s="188" t="s">
        <v>318</v>
      </c>
      <c r="S293" s="188" t="s">
        <v>318</v>
      </c>
      <c r="T293" s="188" t="s">
        <v>318</v>
      </c>
      <c r="U293" s="188" t="s">
        <v>318</v>
      </c>
      <c r="V293" s="188" t="s">
        <v>318</v>
      </c>
      <c r="W293" s="188" t="s">
        <v>318</v>
      </c>
      <c r="X293" s="188" t="s">
        <v>318</v>
      </c>
      <c r="Y293" s="188" t="s">
        <v>318</v>
      </c>
      <c r="Z293" s="188" t="s">
        <v>318</v>
      </c>
      <c r="AA293" s="188" t="s">
        <v>318</v>
      </c>
      <c r="AB293" s="188" t="s">
        <v>318</v>
      </c>
      <c r="AC293" s="188" t="s">
        <v>318</v>
      </c>
      <c r="AD293" s="188" t="s">
        <v>318</v>
      </c>
      <c r="AE293" s="188" t="s">
        <v>318</v>
      </c>
      <c r="AF293" s="188" t="s">
        <v>318</v>
      </c>
      <c r="AG293" s="188" t="s">
        <v>318</v>
      </c>
      <c r="AH293" s="107">
        <f t="shared" si="52"/>
        <v>0</v>
      </c>
    </row>
    <row r="294" spans="1:34" ht="15">
      <c r="A294" s="428" t="s">
        <v>154</v>
      </c>
      <c r="B294" s="53">
        <f t="shared" si="51"/>
        <v>0</v>
      </c>
      <c r="C294" s="188" t="s">
        <v>318</v>
      </c>
      <c r="D294" s="188" t="s">
        <v>318</v>
      </c>
      <c r="E294" s="188" t="s">
        <v>318</v>
      </c>
      <c r="F294" s="188" t="s">
        <v>318</v>
      </c>
      <c r="G294" s="188" t="s">
        <v>318</v>
      </c>
      <c r="H294" s="188" t="s">
        <v>318</v>
      </c>
      <c r="I294" s="188" t="s">
        <v>318</v>
      </c>
      <c r="J294" s="188" t="s">
        <v>318</v>
      </c>
      <c r="K294" s="188" t="s">
        <v>318</v>
      </c>
      <c r="L294" s="188" t="s">
        <v>318</v>
      </c>
      <c r="M294" s="188" t="s">
        <v>318</v>
      </c>
      <c r="N294" s="188" t="s">
        <v>318</v>
      </c>
      <c r="O294" s="188" t="s">
        <v>318</v>
      </c>
      <c r="P294" s="188" t="s">
        <v>318</v>
      </c>
      <c r="Q294" s="188" t="s">
        <v>318</v>
      </c>
      <c r="R294" s="188" t="s">
        <v>318</v>
      </c>
      <c r="S294" s="188" t="s">
        <v>318</v>
      </c>
      <c r="T294" s="188" t="s">
        <v>318</v>
      </c>
      <c r="U294" s="188" t="s">
        <v>318</v>
      </c>
      <c r="V294" s="188" t="s">
        <v>318</v>
      </c>
      <c r="W294" s="188" t="s">
        <v>318</v>
      </c>
      <c r="X294" s="53"/>
      <c r="Y294" s="53"/>
      <c r="Z294" s="53"/>
      <c r="AA294" s="53"/>
      <c r="AB294" s="53"/>
      <c r="AC294" s="53"/>
      <c r="AD294" s="53"/>
      <c r="AE294" s="107"/>
      <c r="AF294" s="53"/>
      <c r="AG294" s="107"/>
      <c r="AH294" s="107">
        <f t="shared" si="52"/>
        <v>0</v>
      </c>
    </row>
    <row r="295" spans="1:34" ht="15">
      <c r="A295" s="428" t="s">
        <v>155</v>
      </c>
      <c r="B295" s="53">
        <f t="shared" si="51"/>
        <v>0</v>
      </c>
      <c r="C295" s="103"/>
      <c r="D295" s="53"/>
      <c r="E295" s="53"/>
      <c r="F295" s="53"/>
      <c r="G295" s="14"/>
      <c r="H295" s="53"/>
      <c r="I295" s="53"/>
      <c r="J295" s="53"/>
      <c r="K295" s="53"/>
      <c r="L295" s="53"/>
      <c r="M295" s="53"/>
      <c r="N295" s="53"/>
      <c r="O295" s="53"/>
      <c r="P295" s="53"/>
      <c r="Q295" s="53"/>
      <c r="R295" s="53"/>
      <c r="S295" s="53"/>
      <c r="T295" s="53"/>
      <c r="U295" s="53"/>
      <c r="V295" s="53"/>
      <c r="W295" s="53"/>
      <c r="X295" s="53"/>
      <c r="Y295" s="14"/>
      <c r="Z295" s="53"/>
      <c r="AA295" s="53"/>
      <c r="AB295" s="53"/>
      <c r="AC295" s="53"/>
      <c r="AD295" s="53"/>
      <c r="AE295" s="107"/>
      <c r="AF295" s="53"/>
      <c r="AG295" s="107"/>
      <c r="AH295" s="107">
        <f t="shared" si="52"/>
        <v>0</v>
      </c>
    </row>
    <row r="296" spans="1:34" ht="15">
      <c r="A296" s="428" t="s">
        <v>156</v>
      </c>
      <c r="B296" s="53">
        <f t="shared" si="51"/>
        <v>0</v>
      </c>
      <c r="C296" s="103"/>
      <c r="D296" s="53"/>
      <c r="E296" s="53"/>
      <c r="F296" s="53"/>
      <c r="G296" s="53"/>
      <c r="H296" s="53"/>
      <c r="I296" s="53"/>
      <c r="J296" s="53"/>
      <c r="K296" s="53"/>
      <c r="L296" s="53"/>
      <c r="M296" s="53"/>
      <c r="N296" s="53"/>
      <c r="O296" s="53"/>
      <c r="P296" s="3027">
        <v>0</v>
      </c>
      <c r="Q296" s="3027">
        <v>0</v>
      </c>
      <c r="R296" s="3027">
        <v>0</v>
      </c>
      <c r="S296" s="3027">
        <v>0</v>
      </c>
      <c r="T296" s="3027">
        <v>0</v>
      </c>
      <c r="U296" s="3027">
        <v>0</v>
      </c>
      <c r="V296" s="3027">
        <v>0</v>
      </c>
      <c r="W296" s="3027">
        <v>0</v>
      </c>
      <c r="X296" s="3027">
        <v>0</v>
      </c>
      <c r="Y296" s="3027">
        <v>0</v>
      </c>
      <c r="Z296" s="3027">
        <v>0</v>
      </c>
      <c r="AA296" s="3027">
        <v>0</v>
      </c>
      <c r="AB296" s="3027">
        <v>0</v>
      </c>
      <c r="AC296" s="3027">
        <v>0</v>
      </c>
      <c r="AD296" s="3027">
        <v>0</v>
      </c>
      <c r="AE296" s="3027">
        <v>0</v>
      </c>
      <c r="AF296" s="3027">
        <v>0</v>
      </c>
      <c r="AG296" s="3027">
        <v>0</v>
      </c>
      <c r="AH296" s="107">
        <f t="shared" si="52"/>
        <v>0</v>
      </c>
    </row>
    <row r="297" spans="1:34" ht="15">
      <c r="A297" s="199" t="s">
        <v>144</v>
      </c>
      <c r="B297" s="200">
        <f>SUM(B285:B296)</f>
        <v>0</v>
      </c>
      <c r="C297" s="100">
        <f>SUM(C285:C295)</f>
        <v>0</v>
      </c>
      <c r="D297" s="107">
        <f>SUM(D285:D295)</f>
        <v>0</v>
      </c>
      <c r="E297" s="107">
        <v>0</v>
      </c>
      <c r="F297" s="107">
        <f t="shared" ref="F297:AC297" si="53">SUM(F285:F295)</f>
        <v>0</v>
      </c>
      <c r="G297" s="107">
        <f t="shared" si="53"/>
        <v>0</v>
      </c>
      <c r="H297" s="107">
        <f t="shared" si="53"/>
        <v>0</v>
      </c>
      <c r="I297" s="107">
        <f t="shared" si="53"/>
        <v>0</v>
      </c>
      <c r="J297" s="107">
        <f t="shared" si="53"/>
        <v>0</v>
      </c>
      <c r="K297" s="107">
        <f t="shared" si="53"/>
        <v>0</v>
      </c>
      <c r="L297" s="107">
        <f t="shared" si="53"/>
        <v>0</v>
      </c>
      <c r="M297" s="107">
        <f t="shared" si="53"/>
        <v>0</v>
      </c>
      <c r="N297" s="107">
        <f t="shared" si="53"/>
        <v>0</v>
      </c>
      <c r="O297" s="107">
        <f t="shared" si="53"/>
        <v>0</v>
      </c>
      <c r="P297" s="107">
        <f t="shared" si="53"/>
        <v>0</v>
      </c>
      <c r="Q297" s="107">
        <f t="shared" si="53"/>
        <v>0</v>
      </c>
      <c r="R297" s="107">
        <f t="shared" si="53"/>
        <v>0</v>
      </c>
      <c r="S297" s="107">
        <f t="shared" si="53"/>
        <v>0</v>
      </c>
      <c r="T297" s="107">
        <f t="shared" si="53"/>
        <v>0</v>
      </c>
      <c r="U297" s="107">
        <f t="shared" si="53"/>
        <v>0</v>
      </c>
      <c r="V297" s="107">
        <f t="shared" si="53"/>
        <v>0</v>
      </c>
      <c r="W297" s="107">
        <f t="shared" si="53"/>
        <v>0</v>
      </c>
      <c r="X297" s="107">
        <f t="shared" si="53"/>
        <v>0</v>
      </c>
      <c r="Y297" s="107">
        <f t="shared" si="53"/>
        <v>0</v>
      </c>
      <c r="Z297" s="107">
        <f t="shared" si="53"/>
        <v>0</v>
      </c>
      <c r="AA297" s="107">
        <f t="shared" si="53"/>
        <v>0</v>
      </c>
      <c r="AB297" s="107">
        <f t="shared" si="53"/>
        <v>0</v>
      </c>
      <c r="AC297" s="107">
        <f t="shared" si="53"/>
        <v>0</v>
      </c>
      <c r="AD297" s="107">
        <v>0</v>
      </c>
      <c r="AE297" s="107">
        <f>SUM(AE285:AE295)</f>
        <v>0</v>
      </c>
      <c r="AF297" s="107">
        <f>SUM(AF285:AF295)</f>
        <v>0</v>
      </c>
      <c r="AG297" s="107">
        <f>SUM(AG285:AG295)</f>
        <v>0</v>
      </c>
      <c r="AH297" s="100">
        <f>SUM(AH285:AH295)</f>
        <v>0</v>
      </c>
    </row>
    <row r="298" spans="1:34" ht="5.0999999999999996" customHeight="1">
      <c r="A298" s="49"/>
      <c r="B298" s="49"/>
      <c r="C298" s="1"/>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c r="AG298" s="14"/>
      <c r="AH298" s="1"/>
    </row>
    <row r="299" spans="1:34" ht="15">
      <c r="A299" s="3854" t="s">
        <v>295</v>
      </c>
      <c r="B299" s="3855"/>
      <c r="C299" s="3855"/>
      <c r="D299" s="3855"/>
      <c r="E299" s="3855"/>
      <c r="F299" s="3855"/>
      <c r="G299" s="3855"/>
      <c r="H299" s="3856"/>
      <c r="I299" s="3313"/>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row>
    <row r="300" spans="1:34" ht="15">
      <c r="A300" s="8" t="s">
        <v>142</v>
      </c>
      <c r="B300" s="8" t="s">
        <v>143</v>
      </c>
      <c r="C300" s="2907">
        <v>1</v>
      </c>
      <c r="D300" s="73">
        <v>2</v>
      </c>
      <c r="E300" s="73">
        <v>3</v>
      </c>
      <c r="F300" s="73">
        <v>4</v>
      </c>
      <c r="G300" s="73">
        <v>5</v>
      </c>
      <c r="H300" s="73">
        <v>6</v>
      </c>
      <c r="I300" s="73">
        <v>7</v>
      </c>
      <c r="J300" s="73">
        <v>8</v>
      </c>
      <c r="K300" s="73">
        <v>9</v>
      </c>
      <c r="L300" s="73">
        <v>10</v>
      </c>
      <c r="M300" s="73">
        <v>11</v>
      </c>
      <c r="N300" s="73">
        <v>12</v>
      </c>
      <c r="O300" s="73">
        <v>13</v>
      </c>
      <c r="P300" s="73">
        <v>14</v>
      </c>
      <c r="Q300" s="73">
        <v>15</v>
      </c>
      <c r="R300" s="73">
        <v>16</v>
      </c>
      <c r="S300" s="73">
        <v>17</v>
      </c>
      <c r="T300" s="73">
        <v>18</v>
      </c>
      <c r="U300" s="73">
        <v>19</v>
      </c>
      <c r="V300" s="73">
        <v>20</v>
      </c>
      <c r="W300" s="73">
        <v>21</v>
      </c>
      <c r="X300" s="73">
        <v>22</v>
      </c>
      <c r="Y300" s="73">
        <v>23</v>
      </c>
      <c r="Z300" s="73">
        <v>24</v>
      </c>
      <c r="AA300" s="73">
        <v>25</v>
      </c>
      <c r="AB300" s="73">
        <v>26</v>
      </c>
      <c r="AC300" s="73">
        <v>27</v>
      </c>
      <c r="AD300" s="73">
        <v>28</v>
      </c>
      <c r="AE300" s="73">
        <v>29</v>
      </c>
      <c r="AF300" s="73">
        <v>30</v>
      </c>
      <c r="AG300" s="73">
        <v>31</v>
      </c>
      <c r="AH300" s="88" t="s">
        <v>144</v>
      </c>
    </row>
    <row r="301" spans="1:34" ht="15">
      <c r="A301" s="427" t="s">
        <v>145</v>
      </c>
      <c r="B301" s="53">
        <f t="shared" ref="B301:B312" si="54">+AH301</f>
        <v>0</v>
      </c>
      <c r="C301" s="360" t="s">
        <v>311</v>
      </c>
      <c r="D301" s="360" t="s">
        <v>311</v>
      </c>
      <c r="E301" s="360" t="s">
        <v>311</v>
      </c>
      <c r="F301" s="360" t="s">
        <v>311</v>
      </c>
      <c r="G301" s="360" t="s">
        <v>311</v>
      </c>
      <c r="H301" s="360" t="s">
        <v>311</v>
      </c>
      <c r="I301" s="360" t="s">
        <v>311</v>
      </c>
      <c r="J301" s="360" t="s">
        <v>311</v>
      </c>
      <c r="K301" s="360" t="s">
        <v>311</v>
      </c>
      <c r="L301" s="360" t="s">
        <v>311</v>
      </c>
      <c r="M301" s="360" t="s">
        <v>311</v>
      </c>
      <c r="N301" s="360" t="s">
        <v>311</v>
      </c>
      <c r="O301" s="360" t="s">
        <v>311</v>
      </c>
      <c r="P301" s="360" t="s">
        <v>311</v>
      </c>
      <c r="Q301" s="360" t="s">
        <v>311</v>
      </c>
      <c r="R301" s="360" t="s">
        <v>311</v>
      </c>
      <c r="S301" s="360" t="s">
        <v>311</v>
      </c>
      <c r="T301" s="360" t="s">
        <v>311</v>
      </c>
      <c r="U301" s="360" t="s">
        <v>311</v>
      </c>
      <c r="V301" s="360" t="s">
        <v>311</v>
      </c>
      <c r="W301" s="360" t="s">
        <v>311</v>
      </c>
      <c r="X301" s="360" t="s">
        <v>311</v>
      </c>
      <c r="Y301" s="360" t="s">
        <v>311</v>
      </c>
      <c r="Z301" s="360" t="s">
        <v>311</v>
      </c>
      <c r="AA301" s="360" t="s">
        <v>311</v>
      </c>
      <c r="AB301" s="360" t="s">
        <v>311</v>
      </c>
      <c r="AC301" s="360" t="s">
        <v>311</v>
      </c>
      <c r="AD301" s="360" t="s">
        <v>311</v>
      </c>
      <c r="AE301" s="360" t="s">
        <v>311</v>
      </c>
      <c r="AF301" s="360" t="s">
        <v>311</v>
      </c>
      <c r="AG301" s="360" t="s">
        <v>311</v>
      </c>
      <c r="AH301" s="107">
        <f>SUM(C301:AG301)</f>
        <v>0</v>
      </c>
    </row>
    <row r="302" spans="1:34" s="190" customFormat="1" ht="15">
      <c r="A302" s="427" t="s">
        <v>146</v>
      </c>
      <c r="B302" s="53">
        <f t="shared" si="54"/>
        <v>0</v>
      </c>
      <c r="C302" s="360" t="s">
        <v>311</v>
      </c>
      <c r="D302" s="360" t="s">
        <v>311</v>
      </c>
      <c r="E302" s="360" t="s">
        <v>311</v>
      </c>
      <c r="F302" s="360" t="s">
        <v>311</v>
      </c>
      <c r="G302" s="360" t="s">
        <v>311</v>
      </c>
      <c r="H302" s="360" t="s">
        <v>311</v>
      </c>
      <c r="I302" s="360" t="s">
        <v>311</v>
      </c>
      <c r="J302" s="361"/>
      <c r="K302" s="361"/>
      <c r="L302" s="361"/>
      <c r="M302" s="361"/>
      <c r="N302" s="361"/>
      <c r="O302" s="361"/>
      <c r="P302" s="361"/>
      <c r="Q302" s="361"/>
      <c r="R302" s="361"/>
      <c r="S302" s="361"/>
      <c r="T302" s="361"/>
      <c r="U302" s="361"/>
      <c r="V302" s="361"/>
      <c r="W302" s="361"/>
      <c r="X302" s="361"/>
      <c r="Y302" s="361"/>
      <c r="Z302" s="361"/>
      <c r="AA302" s="361"/>
      <c r="AB302" s="361"/>
      <c r="AC302" s="361"/>
      <c r="AD302" s="361"/>
      <c r="AE302" s="361"/>
      <c r="AF302" s="361"/>
      <c r="AG302" s="361"/>
      <c r="AH302" s="107">
        <f t="shared" ref="AH302:AH312" si="55">SUM(C302:AG302)</f>
        <v>0</v>
      </c>
    </row>
    <row r="303" spans="1:34" ht="15">
      <c r="A303" s="427" t="s">
        <v>147</v>
      </c>
      <c r="B303" s="53">
        <f t="shared" si="54"/>
        <v>0</v>
      </c>
      <c r="C303" s="361"/>
      <c r="D303" s="361"/>
      <c r="E303" s="361"/>
      <c r="F303" s="361"/>
      <c r="G303" s="361"/>
      <c r="H303" s="306"/>
      <c r="I303" s="306"/>
      <c r="J303" s="306"/>
      <c r="K303" s="306"/>
      <c r="L303" s="306"/>
      <c r="M303" s="306"/>
      <c r="N303" s="306"/>
      <c r="O303" s="306"/>
      <c r="P303" s="306"/>
      <c r="Q303" s="306"/>
      <c r="R303" s="306"/>
      <c r="S303" s="306"/>
      <c r="T303" s="306"/>
      <c r="U303" s="306"/>
      <c r="V303" s="306"/>
      <c r="W303" s="306"/>
      <c r="X303" s="306"/>
      <c r="Y303" s="306"/>
      <c r="Z303" s="306"/>
      <c r="AA303" s="306"/>
      <c r="AB303" s="306"/>
      <c r="AC303" s="360" t="s">
        <v>311</v>
      </c>
      <c r="AD303" s="360" t="s">
        <v>311</v>
      </c>
      <c r="AE303" s="360" t="s">
        <v>311</v>
      </c>
      <c r="AF303" s="360" t="s">
        <v>311</v>
      </c>
      <c r="AG303" s="360" t="s">
        <v>311</v>
      </c>
      <c r="AH303" s="107">
        <f t="shared" si="55"/>
        <v>0</v>
      </c>
    </row>
    <row r="304" spans="1:34" ht="15">
      <c r="A304" s="427" t="s">
        <v>148</v>
      </c>
      <c r="B304" s="53">
        <f t="shared" si="54"/>
        <v>0</v>
      </c>
      <c r="C304" s="360" t="s">
        <v>311</v>
      </c>
      <c r="D304" s="360" t="s">
        <v>311</v>
      </c>
      <c r="E304" s="360" t="s">
        <v>311</v>
      </c>
      <c r="F304" s="360" t="s">
        <v>311</v>
      </c>
      <c r="G304" s="360" t="s">
        <v>311</v>
      </c>
      <c r="H304" s="360" t="s">
        <v>311</v>
      </c>
      <c r="I304" s="360" t="s">
        <v>311</v>
      </c>
      <c r="J304" s="360" t="s">
        <v>311</v>
      </c>
      <c r="K304" s="360" t="s">
        <v>311</v>
      </c>
      <c r="L304" s="306"/>
      <c r="M304" s="306"/>
      <c r="N304" s="306"/>
      <c r="O304" s="306"/>
      <c r="P304" s="306"/>
      <c r="Q304" s="306"/>
      <c r="R304" s="306"/>
      <c r="S304" s="306"/>
      <c r="T304" s="306"/>
      <c r="U304" s="306"/>
      <c r="V304" s="306"/>
      <c r="W304" s="306"/>
      <c r="X304" s="306"/>
      <c r="Y304" s="306"/>
      <c r="Z304" s="306"/>
      <c r="AA304" s="306"/>
      <c r="AB304" s="306"/>
      <c r="AC304" s="306"/>
      <c r="AD304" s="306"/>
      <c r="AE304" s="306"/>
      <c r="AF304" s="306"/>
      <c r="AG304" s="306"/>
      <c r="AH304" s="107">
        <f t="shared" si="55"/>
        <v>0</v>
      </c>
    </row>
    <row r="305" spans="1:34" s="190" customFormat="1" ht="15">
      <c r="A305" s="414" t="s">
        <v>149</v>
      </c>
      <c r="B305" s="53">
        <f t="shared" si="54"/>
        <v>0</v>
      </c>
      <c r="C305" s="306"/>
      <c r="D305" s="306"/>
      <c r="E305" s="306"/>
      <c r="F305" s="306"/>
      <c r="G305" s="306"/>
      <c r="H305" s="306"/>
      <c r="I305" s="306"/>
      <c r="J305" s="306"/>
      <c r="K305" s="306"/>
      <c r="L305" s="306"/>
      <c r="M305" s="306"/>
      <c r="N305" s="306"/>
      <c r="O305" s="306"/>
      <c r="P305" s="306"/>
      <c r="Q305" s="306"/>
      <c r="R305" s="306"/>
      <c r="S305" s="306"/>
      <c r="T305" s="306"/>
      <c r="U305" s="306"/>
      <c r="V305" s="306"/>
      <c r="W305" s="306"/>
      <c r="X305" s="306"/>
      <c r="Y305" s="306"/>
      <c r="Z305" s="306"/>
      <c r="AA305" s="306"/>
      <c r="AB305" s="306"/>
      <c r="AC305" s="306"/>
      <c r="AD305" s="306"/>
      <c r="AE305" s="306"/>
      <c r="AF305" s="306"/>
      <c r="AG305" s="306"/>
      <c r="AH305" s="107">
        <f t="shared" si="55"/>
        <v>0</v>
      </c>
    </row>
    <row r="306" spans="1:34" ht="15">
      <c r="A306" s="414" t="s">
        <v>150</v>
      </c>
      <c r="B306" s="53">
        <f t="shared" si="54"/>
        <v>0</v>
      </c>
      <c r="C306" s="103"/>
      <c r="D306" s="53"/>
      <c r="E306" s="53"/>
      <c r="F306" s="53"/>
      <c r="G306" s="53"/>
      <c r="H306" s="188" t="s">
        <v>318</v>
      </c>
      <c r="I306" s="188" t="s">
        <v>318</v>
      </c>
      <c r="J306" s="188" t="s">
        <v>318</v>
      </c>
      <c r="K306" s="188" t="s">
        <v>318</v>
      </c>
      <c r="L306" s="188" t="s">
        <v>318</v>
      </c>
      <c r="M306" s="188" t="s">
        <v>318</v>
      </c>
      <c r="N306" s="188" t="s">
        <v>318</v>
      </c>
      <c r="O306" s="188" t="s">
        <v>318</v>
      </c>
      <c r="P306" s="188" t="s">
        <v>318</v>
      </c>
      <c r="Q306" s="188" t="s">
        <v>318</v>
      </c>
      <c r="R306" s="188" t="s">
        <v>318</v>
      </c>
      <c r="S306" s="188" t="s">
        <v>318</v>
      </c>
      <c r="T306" s="188" t="s">
        <v>318</v>
      </c>
      <c r="U306" s="188" t="s">
        <v>318</v>
      </c>
      <c r="V306" s="188" t="s">
        <v>318</v>
      </c>
      <c r="W306" s="188" t="s">
        <v>318</v>
      </c>
      <c r="X306" s="188" t="s">
        <v>318</v>
      </c>
      <c r="Y306" s="53"/>
      <c r="Z306" s="53"/>
      <c r="AA306" s="53"/>
      <c r="AB306" s="53"/>
      <c r="AC306" s="53"/>
      <c r="AD306" s="53"/>
      <c r="AE306" s="53"/>
      <c r="AF306" s="53"/>
      <c r="AG306" s="53"/>
      <c r="AH306" s="107">
        <f t="shared" si="55"/>
        <v>0</v>
      </c>
    </row>
    <row r="307" spans="1:34" ht="15">
      <c r="A307" s="414" t="s">
        <v>151</v>
      </c>
      <c r="B307" s="53">
        <f t="shared" si="54"/>
        <v>0</v>
      </c>
      <c r="C307" s="103"/>
      <c r="D307" s="107"/>
      <c r="E307" s="107"/>
      <c r="F307" s="107"/>
      <c r="G307" s="53"/>
      <c r="H307" s="53"/>
      <c r="I307" s="53"/>
      <c r="J307" s="111"/>
      <c r="K307" s="111"/>
      <c r="L307" s="107"/>
      <c r="M307" s="107"/>
      <c r="N307" s="107"/>
      <c r="O307" s="107"/>
      <c r="P307" s="107"/>
      <c r="Q307" s="107"/>
      <c r="R307" s="107"/>
      <c r="S307" s="107"/>
      <c r="T307" s="107"/>
      <c r="U307" s="107"/>
      <c r="V307" s="107"/>
      <c r="W307" s="107"/>
      <c r="X307" s="107"/>
      <c r="Y307" s="107"/>
      <c r="Z307" s="107"/>
      <c r="AA307" s="107"/>
      <c r="AB307" s="107"/>
      <c r="AC307" s="107"/>
      <c r="AD307" s="107"/>
      <c r="AE307" s="107"/>
      <c r="AF307" s="107"/>
      <c r="AG307" s="107"/>
      <c r="AH307" s="107">
        <f t="shared" si="55"/>
        <v>0</v>
      </c>
    </row>
    <row r="308" spans="1:34" s="190" customFormat="1" ht="15">
      <c r="A308" s="414" t="s">
        <v>152</v>
      </c>
      <c r="B308" s="53">
        <f t="shared" si="54"/>
        <v>0</v>
      </c>
      <c r="C308" s="103"/>
      <c r="D308" s="53"/>
      <c r="E308" s="53"/>
      <c r="F308" s="53"/>
      <c r="G308" s="53"/>
      <c r="H308" s="53"/>
      <c r="I308" s="53"/>
      <c r="J308" s="188" t="s">
        <v>318</v>
      </c>
      <c r="K308" s="188" t="s">
        <v>318</v>
      </c>
      <c r="L308" s="188" t="s">
        <v>318</v>
      </c>
      <c r="M308" s="188" t="s">
        <v>318</v>
      </c>
      <c r="N308" s="188" t="s">
        <v>318</v>
      </c>
      <c r="O308" s="188" t="s">
        <v>318</v>
      </c>
      <c r="P308" s="188" t="s">
        <v>318</v>
      </c>
      <c r="Q308" s="188" t="s">
        <v>318</v>
      </c>
      <c r="R308" s="188" t="s">
        <v>318</v>
      </c>
      <c r="S308" s="188" t="s">
        <v>318</v>
      </c>
      <c r="T308" s="188" t="s">
        <v>318</v>
      </c>
      <c r="U308" s="188" t="s">
        <v>318</v>
      </c>
      <c r="V308" s="188" t="s">
        <v>318</v>
      </c>
      <c r="W308" s="188" t="s">
        <v>318</v>
      </c>
      <c r="X308" s="188" t="s">
        <v>318</v>
      </c>
      <c r="Y308" s="188" t="s">
        <v>318</v>
      </c>
      <c r="Z308" s="188" t="s">
        <v>318</v>
      </c>
      <c r="AA308" s="188" t="s">
        <v>318</v>
      </c>
      <c r="AB308" s="188" t="s">
        <v>318</v>
      </c>
      <c r="AC308" s="188" t="s">
        <v>318</v>
      </c>
      <c r="AD308" s="188" t="s">
        <v>318</v>
      </c>
      <c r="AE308" s="188" t="s">
        <v>318</v>
      </c>
      <c r="AF308" s="188" t="s">
        <v>318</v>
      </c>
      <c r="AG308" s="188" t="s">
        <v>318</v>
      </c>
      <c r="AH308" s="107">
        <f t="shared" si="55"/>
        <v>0</v>
      </c>
    </row>
    <row r="309" spans="1:34" ht="15">
      <c r="A309" s="428" t="s">
        <v>153</v>
      </c>
      <c r="B309" s="53">
        <f t="shared" si="54"/>
        <v>0</v>
      </c>
      <c r="C309" s="188" t="s">
        <v>318</v>
      </c>
      <c r="D309" s="188" t="s">
        <v>318</v>
      </c>
      <c r="E309" s="188" t="s">
        <v>318</v>
      </c>
      <c r="F309" s="188" t="s">
        <v>318</v>
      </c>
      <c r="G309" s="188" t="s">
        <v>318</v>
      </c>
      <c r="H309" s="188" t="s">
        <v>318</v>
      </c>
      <c r="I309" s="188" t="s">
        <v>318</v>
      </c>
      <c r="J309" s="188" t="s">
        <v>318</v>
      </c>
      <c r="K309" s="188" t="s">
        <v>318</v>
      </c>
      <c r="L309" s="188" t="s">
        <v>318</v>
      </c>
      <c r="M309" s="188" t="s">
        <v>318</v>
      </c>
      <c r="N309" s="188" t="s">
        <v>318</v>
      </c>
      <c r="O309" s="188" t="s">
        <v>318</v>
      </c>
      <c r="P309" s="188" t="s">
        <v>318</v>
      </c>
      <c r="Q309" s="188" t="s">
        <v>318</v>
      </c>
      <c r="R309" s="188" t="s">
        <v>318</v>
      </c>
      <c r="S309" s="188" t="s">
        <v>318</v>
      </c>
      <c r="T309" s="188" t="s">
        <v>318</v>
      </c>
      <c r="U309" s="188" t="s">
        <v>318</v>
      </c>
      <c r="V309" s="188" t="s">
        <v>318</v>
      </c>
      <c r="W309" s="188" t="s">
        <v>318</v>
      </c>
      <c r="X309" s="188" t="s">
        <v>318</v>
      </c>
      <c r="Y309" s="188" t="s">
        <v>318</v>
      </c>
      <c r="Z309" s="188" t="s">
        <v>318</v>
      </c>
      <c r="AA309" s="188" t="s">
        <v>318</v>
      </c>
      <c r="AB309" s="188" t="s">
        <v>318</v>
      </c>
      <c r="AC309" s="188" t="s">
        <v>318</v>
      </c>
      <c r="AD309" s="188" t="s">
        <v>318</v>
      </c>
      <c r="AE309" s="188" t="s">
        <v>318</v>
      </c>
      <c r="AF309" s="188" t="s">
        <v>318</v>
      </c>
      <c r="AG309" s="188" t="s">
        <v>318</v>
      </c>
      <c r="AH309" s="107">
        <f t="shared" si="55"/>
        <v>0</v>
      </c>
    </row>
    <row r="310" spans="1:34" ht="15">
      <c r="A310" s="428" t="s">
        <v>154</v>
      </c>
      <c r="B310" s="53">
        <f t="shared" si="54"/>
        <v>0</v>
      </c>
      <c r="C310" s="188" t="s">
        <v>318</v>
      </c>
      <c r="D310" s="188" t="s">
        <v>318</v>
      </c>
      <c r="E310" s="188" t="s">
        <v>318</v>
      </c>
      <c r="F310" s="188" t="s">
        <v>318</v>
      </c>
      <c r="G310" s="188" t="s">
        <v>318</v>
      </c>
      <c r="H310" s="188" t="s">
        <v>318</v>
      </c>
      <c r="I310" s="188" t="s">
        <v>318</v>
      </c>
      <c r="J310" s="188" t="s">
        <v>318</v>
      </c>
      <c r="K310" s="188" t="s">
        <v>318</v>
      </c>
      <c r="L310" s="188" t="s">
        <v>318</v>
      </c>
      <c r="M310" s="188" t="s">
        <v>318</v>
      </c>
      <c r="N310" s="188" t="s">
        <v>318</v>
      </c>
      <c r="O310" s="188" t="s">
        <v>318</v>
      </c>
      <c r="P310" s="188" t="s">
        <v>318</v>
      </c>
      <c r="Q310" s="188" t="s">
        <v>318</v>
      </c>
      <c r="R310" s="188" t="s">
        <v>318</v>
      </c>
      <c r="S310" s="188" t="s">
        <v>318</v>
      </c>
      <c r="T310" s="188" t="s">
        <v>318</v>
      </c>
      <c r="U310" s="188" t="s">
        <v>318</v>
      </c>
      <c r="V310" s="188" t="s">
        <v>318</v>
      </c>
      <c r="W310" s="188" t="s">
        <v>318</v>
      </c>
      <c r="X310" s="53"/>
      <c r="Y310" s="53"/>
      <c r="Z310" s="53"/>
      <c r="AA310" s="53"/>
      <c r="AB310" s="53"/>
      <c r="AC310" s="53"/>
      <c r="AD310" s="53"/>
      <c r="AE310" s="107"/>
      <c r="AF310" s="53"/>
      <c r="AG310" s="107"/>
      <c r="AH310" s="107">
        <f t="shared" si="55"/>
        <v>0</v>
      </c>
    </row>
    <row r="311" spans="1:34" ht="15">
      <c r="A311" s="428" t="s">
        <v>155</v>
      </c>
      <c r="B311" s="53">
        <f t="shared" si="54"/>
        <v>0</v>
      </c>
      <c r="C311" s="103"/>
      <c r="D311" s="53"/>
      <c r="E311" s="53"/>
      <c r="F311" s="53"/>
      <c r="G311" s="14"/>
      <c r="H311" s="53"/>
      <c r="I311" s="53"/>
      <c r="J311" s="53"/>
      <c r="K311" s="53"/>
      <c r="L311" s="53"/>
      <c r="M311" s="53"/>
      <c r="N311" s="53"/>
      <c r="O311" s="53"/>
      <c r="P311" s="53"/>
      <c r="Q311" s="53"/>
      <c r="R311" s="53"/>
      <c r="S311" s="53"/>
      <c r="T311" s="53"/>
      <c r="U311" s="53"/>
      <c r="V311" s="53"/>
      <c r="W311" s="53"/>
      <c r="X311" s="53"/>
      <c r="Y311" s="14"/>
      <c r="Z311" s="53"/>
      <c r="AA311" s="53"/>
      <c r="AB311" s="53"/>
      <c r="AC311" s="53"/>
      <c r="AD311" s="53"/>
      <c r="AE311" s="107"/>
      <c r="AF311" s="53"/>
      <c r="AG311" s="107"/>
      <c r="AH311" s="107">
        <f t="shared" si="55"/>
        <v>0</v>
      </c>
    </row>
    <row r="312" spans="1:34" ht="15">
      <c r="A312" s="428" t="s">
        <v>156</v>
      </c>
      <c r="B312" s="53">
        <f t="shared" si="54"/>
        <v>0</v>
      </c>
      <c r="C312" s="103"/>
      <c r="D312" s="53"/>
      <c r="E312" s="53"/>
      <c r="F312" s="53"/>
      <c r="G312" s="53"/>
      <c r="H312" s="53"/>
      <c r="I312" s="53"/>
      <c r="J312" s="53"/>
      <c r="K312" s="53"/>
      <c r="L312" s="53"/>
      <c r="M312" s="53"/>
      <c r="N312" s="53"/>
      <c r="O312" s="53"/>
      <c r="P312" s="3027">
        <v>0</v>
      </c>
      <c r="Q312" s="3027">
        <v>0</v>
      </c>
      <c r="R312" s="3027">
        <v>0</v>
      </c>
      <c r="S312" s="3027">
        <v>0</v>
      </c>
      <c r="T312" s="3027">
        <v>0</v>
      </c>
      <c r="U312" s="3027">
        <v>0</v>
      </c>
      <c r="V312" s="3027">
        <v>0</v>
      </c>
      <c r="W312" s="3027">
        <v>0</v>
      </c>
      <c r="X312" s="3027">
        <v>0</v>
      </c>
      <c r="Y312" s="3027">
        <v>0</v>
      </c>
      <c r="Z312" s="3027">
        <v>0</v>
      </c>
      <c r="AA312" s="3027">
        <v>0</v>
      </c>
      <c r="AB312" s="3027">
        <v>0</v>
      </c>
      <c r="AC312" s="3027">
        <v>0</v>
      </c>
      <c r="AD312" s="3027">
        <v>0</v>
      </c>
      <c r="AE312" s="3027">
        <v>0</v>
      </c>
      <c r="AF312" s="3027">
        <v>0</v>
      </c>
      <c r="AG312" s="3027">
        <v>0</v>
      </c>
      <c r="AH312" s="107">
        <f t="shared" si="55"/>
        <v>0</v>
      </c>
    </row>
    <row r="313" spans="1:34" ht="15">
      <c r="A313" s="199" t="s">
        <v>144</v>
      </c>
      <c r="B313" s="200">
        <f>SUM(B301:B312)</f>
        <v>0</v>
      </c>
      <c r="C313" s="100">
        <f>SUM(C301:C311)</f>
        <v>0</v>
      </c>
      <c r="D313" s="107">
        <f>SUM(D301:D311)</f>
        <v>0</v>
      </c>
      <c r="E313" s="107">
        <v>0</v>
      </c>
      <c r="F313" s="107">
        <f t="shared" ref="F313:AC313" si="56">SUM(F301:F311)</f>
        <v>0</v>
      </c>
      <c r="G313" s="107">
        <f t="shared" si="56"/>
        <v>0</v>
      </c>
      <c r="H313" s="107">
        <f t="shared" si="56"/>
        <v>0</v>
      </c>
      <c r="I313" s="107">
        <f t="shared" si="56"/>
        <v>0</v>
      </c>
      <c r="J313" s="107">
        <f t="shared" si="56"/>
        <v>0</v>
      </c>
      <c r="K313" s="107">
        <f t="shared" si="56"/>
        <v>0</v>
      </c>
      <c r="L313" s="107">
        <f t="shared" si="56"/>
        <v>0</v>
      </c>
      <c r="M313" s="107">
        <f t="shared" si="56"/>
        <v>0</v>
      </c>
      <c r="N313" s="107">
        <f t="shared" si="56"/>
        <v>0</v>
      </c>
      <c r="O313" s="107">
        <f t="shared" si="56"/>
        <v>0</v>
      </c>
      <c r="P313" s="107">
        <f t="shared" si="56"/>
        <v>0</v>
      </c>
      <c r="Q313" s="107">
        <f t="shared" si="56"/>
        <v>0</v>
      </c>
      <c r="R313" s="107">
        <f t="shared" si="56"/>
        <v>0</v>
      </c>
      <c r="S313" s="107">
        <f t="shared" si="56"/>
        <v>0</v>
      </c>
      <c r="T313" s="107">
        <f t="shared" si="56"/>
        <v>0</v>
      </c>
      <c r="U313" s="107">
        <f t="shared" si="56"/>
        <v>0</v>
      </c>
      <c r="V313" s="107">
        <f t="shared" si="56"/>
        <v>0</v>
      </c>
      <c r="W313" s="107">
        <f t="shared" si="56"/>
        <v>0</v>
      </c>
      <c r="X313" s="107">
        <f t="shared" si="56"/>
        <v>0</v>
      </c>
      <c r="Y313" s="107">
        <f t="shared" si="56"/>
        <v>0</v>
      </c>
      <c r="Z313" s="107">
        <f t="shared" si="56"/>
        <v>0</v>
      </c>
      <c r="AA313" s="107">
        <f t="shared" si="56"/>
        <v>0</v>
      </c>
      <c r="AB313" s="107">
        <f t="shared" si="56"/>
        <v>0</v>
      </c>
      <c r="AC313" s="107">
        <f t="shared" si="56"/>
        <v>0</v>
      </c>
      <c r="AD313" s="107">
        <v>0</v>
      </c>
      <c r="AE313" s="107">
        <f>SUM(AE301:AE311)</f>
        <v>0</v>
      </c>
      <c r="AF313" s="107">
        <f>SUM(AF301:AF311)</f>
        <v>0</v>
      </c>
      <c r="AG313" s="107">
        <f>SUM(AG301:AG311)</f>
        <v>0</v>
      </c>
      <c r="AH313" s="100">
        <f>SUM(AH301:AH311)</f>
        <v>0</v>
      </c>
    </row>
    <row r="314" spans="1:34" ht="8.25" customHeight="1">
      <c r="A314" s="49"/>
      <c r="B314" s="49"/>
      <c r="C314" s="1"/>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c r="AG314" s="14"/>
      <c r="AH314" s="1"/>
    </row>
    <row r="315" spans="1:34" ht="15">
      <c r="A315" s="3854" t="s">
        <v>409</v>
      </c>
      <c r="B315" s="3855"/>
      <c r="C315" s="3855"/>
      <c r="D315" s="3855"/>
      <c r="E315" s="3855"/>
      <c r="F315" s="3855"/>
      <c r="G315" s="3855"/>
      <c r="H315" s="3856"/>
      <c r="I315" s="3313"/>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c r="AH315" s="14"/>
    </row>
    <row r="316" spans="1:34" ht="15">
      <c r="A316" s="8" t="s">
        <v>142</v>
      </c>
      <c r="B316" s="8" t="s">
        <v>143</v>
      </c>
      <c r="C316" s="2907">
        <v>1</v>
      </c>
      <c r="D316" s="73">
        <v>2</v>
      </c>
      <c r="E316" s="73">
        <v>3</v>
      </c>
      <c r="F316" s="73">
        <v>4</v>
      </c>
      <c r="G316" s="73">
        <v>5</v>
      </c>
      <c r="H316" s="73">
        <v>6</v>
      </c>
      <c r="I316" s="73">
        <v>7</v>
      </c>
      <c r="J316" s="73">
        <v>8</v>
      </c>
      <c r="K316" s="73">
        <v>9</v>
      </c>
      <c r="L316" s="73">
        <v>10</v>
      </c>
      <c r="M316" s="73">
        <v>11</v>
      </c>
      <c r="N316" s="73">
        <v>12</v>
      </c>
      <c r="O316" s="73">
        <v>13</v>
      </c>
      <c r="P316" s="73">
        <v>14</v>
      </c>
      <c r="Q316" s="73">
        <v>15</v>
      </c>
      <c r="R316" s="73">
        <v>16</v>
      </c>
      <c r="S316" s="73">
        <v>17</v>
      </c>
      <c r="T316" s="73">
        <v>18</v>
      </c>
      <c r="U316" s="73">
        <v>19</v>
      </c>
      <c r="V316" s="73">
        <v>20</v>
      </c>
      <c r="W316" s="73">
        <v>21</v>
      </c>
      <c r="X316" s="73">
        <v>22</v>
      </c>
      <c r="Y316" s="73">
        <v>23</v>
      </c>
      <c r="Z316" s="73">
        <v>24</v>
      </c>
      <c r="AA316" s="73">
        <v>25</v>
      </c>
      <c r="AB316" s="73">
        <v>26</v>
      </c>
      <c r="AC316" s="73">
        <v>27</v>
      </c>
      <c r="AD316" s="73">
        <v>28</v>
      </c>
      <c r="AE316" s="73">
        <v>29</v>
      </c>
      <c r="AF316" s="73">
        <v>30</v>
      </c>
      <c r="AG316" s="73">
        <v>31</v>
      </c>
      <c r="AH316" s="88" t="s">
        <v>144</v>
      </c>
    </row>
    <row r="317" spans="1:34" ht="15">
      <c r="A317" s="427" t="s">
        <v>145</v>
      </c>
      <c r="B317" s="53">
        <f t="shared" ref="B317:B328" si="57">+AH317</f>
        <v>0</v>
      </c>
      <c r="C317" s="360" t="s">
        <v>311</v>
      </c>
      <c r="D317" s="360" t="s">
        <v>311</v>
      </c>
      <c r="E317" s="360" t="s">
        <v>311</v>
      </c>
      <c r="F317" s="360" t="s">
        <v>311</v>
      </c>
      <c r="G317" s="360" t="s">
        <v>311</v>
      </c>
      <c r="H317" s="360" t="s">
        <v>311</v>
      </c>
      <c r="I317" s="360" t="s">
        <v>311</v>
      </c>
      <c r="J317" s="360" t="s">
        <v>311</v>
      </c>
      <c r="K317" s="360" t="s">
        <v>311</v>
      </c>
      <c r="L317" s="360" t="s">
        <v>311</v>
      </c>
      <c r="M317" s="360" t="s">
        <v>311</v>
      </c>
      <c r="N317" s="360" t="s">
        <v>311</v>
      </c>
      <c r="O317" s="360" t="s">
        <v>311</v>
      </c>
      <c r="P317" s="360" t="s">
        <v>311</v>
      </c>
      <c r="Q317" s="360" t="s">
        <v>311</v>
      </c>
      <c r="R317" s="360" t="s">
        <v>311</v>
      </c>
      <c r="S317" s="360" t="s">
        <v>311</v>
      </c>
      <c r="T317" s="360" t="s">
        <v>311</v>
      </c>
      <c r="U317" s="360" t="s">
        <v>311</v>
      </c>
      <c r="V317" s="360" t="s">
        <v>311</v>
      </c>
      <c r="W317" s="360" t="s">
        <v>311</v>
      </c>
      <c r="X317" s="360" t="s">
        <v>311</v>
      </c>
      <c r="Y317" s="360" t="s">
        <v>311</v>
      </c>
      <c r="Z317" s="360" t="s">
        <v>311</v>
      </c>
      <c r="AA317" s="360" t="s">
        <v>311</v>
      </c>
      <c r="AB317" s="360" t="s">
        <v>311</v>
      </c>
      <c r="AC317" s="360" t="s">
        <v>311</v>
      </c>
      <c r="AD317" s="360" t="s">
        <v>311</v>
      </c>
      <c r="AE317" s="360" t="s">
        <v>311</v>
      </c>
      <c r="AF317" s="360" t="s">
        <v>311</v>
      </c>
      <c r="AG317" s="360" t="s">
        <v>311</v>
      </c>
      <c r="AH317" s="107">
        <f>SUM(C317:AG317)</f>
        <v>0</v>
      </c>
    </row>
    <row r="318" spans="1:34" ht="15">
      <c r="A318" s="427" t="s">
        <v>146</v>
      </c>
      <c r="B318" s="53">
        <f t="shared" si="57"/>
        <v>0</v>
      </c>
      <c r="C318" s="360" t="s">
        <v>311</v>
      </c>
      <c r="D318" s="360" t="s">
        <v>311</v>
      </c>
      <c r="E318" s="360" t="s">
        <v>311</v>
      </c>
      <c r="F318" s="360" t="s">
        <v>311</v>
      </c>
      <c r="G318" s="360" t="s">
        <v>311</v>
      </c>
      <c r="H318" s="360" t="s">
        <v>311</v>
      </c>
      <c r="I318" s="360" t="s">
        <v>311</v>
      </c>
      <c r="J318" s="361"/>
      <c r="K318" s="361"/>
      <c r="L318" s="361"/>
      <c r="M318" s="361"/>
      <c r="N318" s="361"/>
      <c r="O318" s="361"/>
      <c r="P318" s="361"/>
      <c r="Q318" s="361"/>
      <c r="R318" s="361"/>
      <c r="S318" s="361"/>
      <c r="T318" s="361"/>
      <c r="U318" s="361"/>
      <c r="V318" s="361"/>
      <c r="W318" s="361"/>
      <c r="X318" s="361"/>
      <c r="Y318" s="361"/>
      <c r="Z318" s="361"/>
      <c r="AA318" s="361"/>
      <c r="AB318" s="361"/>
      <c r="AC318" s="361"/>
      <c r="AD318" s="361"/>
      <c r="AE318" s="361"/>
      <c r="AF318" s="361"/>
      <c r="AG318" s="361"/>
      <c r="AH318" s="107">
        <f t="shared" ref="AH318:AH328" si="58">SUM(C318:AG318)</f>
        <v>0</v>
      </c>
    </row>
    <row r="319" spans="1:34" ht="15">
      <c r="A319" s="427" t="s">
        <v>147</v>
      </c>
      <c r="B319" s="53">
        <f t="shared" si="57"/>
        <v>19.863</v>
      </c>
      <c r="C319" s="361"/>
      <c r="D319" s="361"/>
      <c r="E319" s="361"/>
      <c r="F319" s="361"/>
      <c r="G319" s="361"/>
      <c r="H319" s="306"/>
      <c r="I319" s="306"/>
      <c r="J319" s="306"/>
      <c r="K319" s="306">
        <v>9.8000000000000007</v>
      </c>
      <c r="L319" s="306"/>
      <c r="M319" s="306"/>
      <c r="N319" s="306"/>
      <c r="O319" s="306"/>
      <c r="P319" s="306"/>
      <c r="Q319" s="306"/>
      <c r="R319" s="306">
        <v>0.91600000000000004</v>
      </c>
      <c r="S319" s="306">
        <v>0.56599999999999995</v>
      </c>
      <c r="T319" s="306"/>
      <c r="U319" s="306"/>
      <c r="V319" s="306"/>
      <c r="W319" s="306"/>
      <c r="X319" s="306"/>
      <c r="Y319" s="306">
        <v>8.5809999999999995</v>
      </c>
      <c r="Z319" s="306"/>
      <c r="AA319" s="306"/>
      <c r="AB319" s="306"/>
      <c r="AC319" s="360" t="s">
        <v>311</v>
      </c>
      <c r="AD319" s="360" t="s">
        <v>311</v>
      </c>
      <c r="AE319" s="360" t="s">
        <v>311</v>
      </c>
      <c r="AF319" s="360" t="s">
        <v>311</v>
      </c>
      <c r="AG319" s="360" t="s">
        <v>311</v>
      </c>
      <c r="AH319" s="107">
        <f t="shared" si="58"/>
        <v>19.863</v>
      </c>
    </row>
    <row r="320" spans="1:34" ht="15">
      <c r="A320" s="427" t="s">
        <v>148</v>
      </c>
      <c r="B320" s="53">
        <f t="shared" si="57"/>
        <v>2.569</v>
      </c>
      <c r="C320" s="360" t="s">
        <v>311</v>
      </c>
      <c r="D320" s="360" t="s">
        <v>311</v>
      </c>
      <c r="E320" s="360" t="s">
        <v>311</v>
      </c>
      <c r="F320" s="360" t="s">
        <v>311</v>
      </c>
      <c r="G320" s="360" t="s">
        <v>311</v>
      </c>
      <c r="H320" s="360" t="s">
        <v>311</v>
      </c>
      <c r="I320" s="360" t="s">
        <v>311</v>
      </c>
      <c r="J320" s="360" t="s">
        <v>311</v>
      </c>
      <c r="K320" s="360" t="s">
        <v>311</v>
      </c>
      <c r="L320" s="306"/>
      <c r="M320" s="306"/>
      <c r="N320" s="306"/>
      <c r="O320" s="306"/>
      <c r="P320" s="306"/>
      <c r="Q320" s="306"/>
      <c r="R320" s="306">
        <v>0.73099999999999998</v>
      </c>
      <c r="S320" s="306"/>
      <c r="T320" s="306"/>
      <c r="U320" s="306"/>
      <c r="V320" s="306"/>
      <c r="W320" s="306"/>
      <c r="X320" s="306"/>
      <c r="Y320" s="306"/>
      <c r="Z320" s="306"/>
      <c r="AA320" s="306"/>
      <c r="AB320" s="306"/>
      <c r="AC320" s="306">
        <v>1.8380000000000001</v>
      </c>
      <c r="AD320" s="306"/>
      <c r="AE320" s="306"/>
      <c r="AF320" s="306"/>
      <c r="AG320" s="306"/>
      <c r="AH320" s="107">
        <f t="shared" si="58"/>
        <v>2.569</v>
      </c>
    </row>
    <row r="321" spans="1:34" ht="15">
      <c r="A321" s="414" t="s">
        <v>149</v>
      </c>
      <c r="B321" s="53">
        <f t="shared" si="57"/>
        <v>0.56100000000000005</v>
      </c>
      <c r="C321" s="103"/>
      <c r="D321" s="53"/>
      <c r="E321" s="53"/>
      <c r="F321" s="53"/>
      <c r="G321" s="53"/>
      <c r="H321" s="53"/>
      <c r="I321" s="53"/>
      <c r="J321" s="53"/>
      <c r="K321" s="53"/>
      <c r="L321" s="53">
        <v>0.56100000000000005</v>
      </c>
      <c r="M321" s="53"/>
      <c r="N321" s="53"/>
      <c r="O321" s="53"/>
      <c r="P321" s="53"/>
      <c r="Q321" s="53"/>
      <c r="R321" s="53"/>
      <c r="S321" s="53"/>
      <c r="T321" s="53"/>
      <c r="U321" s="53"/>
      <c r="V321" s="53"/>
      <c r="W321" s="53"/>
      <c r="X321" s="53"/>
      <c r="Y321" s="53"/>
      <c r="Z321" s="53"/>
      <c r="AA321" s="53"/>
      <c r="AB321" s="53"/>
      <c r="AC321" s="53"/>
      <c r="AD321" s="53"/>
      <c r="AE321" s="53"/>
      <c r="AF321" s="53"/>
      <c r="AG321" s="53"/>
      <c r="AH321" s="107">
        <f t="shared" si="58"/>
        <v>0.56100000000000005</v>
      </c>
    </row>
    <row r="322" spans="1:34" ht="15">
      <c r="A322" s="414" t="s">
        <v>150</v>
      </c>
      <c r="B322" s="53">
        <f t="shared" si="57"/>
        <v>12.196</v>
      </c>
      <c r="C322" s="103"/>
      <c r="D322" s="53"/>
      <c r="E322" s="53"/>
      <c r="F322" s="53"/>
      <c r="G322" s="53"/>
      <c r="H322" s="188" t="s">
        <v>318</v>
      </c>
      <c r="I322" s="188" t="s">
        <v>318</v>
      </c>
      <c r="J322" s="188" t="s">
        <v>318</v>
      </c>
      <c r="K322" s="188" t="s">
        <v>318</v>
      </c>
      <c r="L322" s="188" t="s">
        <v>318</v>
      </c>
      <c r="M322" s="188" t="s">
        <v>318</v>
      </c>
      <c r="N322" s="188" t="s">
        <v>318</v>
      </c>
      <c r="O322" s="188" t="s">
        <v>318</v>
      </c>
      <c r="P322" s="188" t="s">
        <v>318</v>
      </c>
      <c r="Q322" s="188" t="s">
        <v>318</v>
      </c>
      <c r="R322" s="188" t="s">
        <v>318</v>
      </c>
      <c r="S322" s="188" t="s">
        <v>318</v>
      </c>
      <c r="T322" s="188" t="s">
        <v>318</v>
      </c>
      <c r="U322" s="188" t="s">
        <v>318</v>
      </c>
      <c r="V322" s="188" t="s">
        <v>318</v>
      </c>
      <c r="W322" s="188" t="s">
        <v>318</v>
      </c>
      <c r="X322" s="188" t="s">
        <v>318</v>
      </c>
      <c r="Y322" s="53"/>
      <c r="Z322" s="53"/>
      <c r="AA322" s="53"/>
      <c r="AB322" s="53"/>
      <c r="AC322" s="53"/>
      <c r="AD322" s="53"/>
      <c r="AE322" s="53"/>
      <c r="AF322" s="53">
        <v>1.202</v>
      </c>
      <c r="AG322" s="53">
        <v>10.994</v>
      </c>
      <c r="AH322" s="107">
        <f t="shared" si="58"/>
        <v>12.196</v>
      </c>
    </row>
    <row r="323" spans="1:34" ht="15">
      <c r="A323" s="414" t="s">
        <v>151</v>
      </c>
      <c r="B323" s="53">
        <f t="shared" si="57"/>
        <v>0</v>
      </c>
      <c r="C323" s="103"/>
      <c r="D323" s="107"/>
      <c r="E323" s="107"/>
      <c r="F323" s="107"/>
      <c r="G323" s="53"/>
      <c r="H323" s="53"/>
      <c r="I323" s="53"/>
      <c r="J323" s="111"/>
      <c r="K323" s="111"/>
      <c r="L323" s="107"/>
      <c r="M323" s="107"/>
      <c r="N323" s="107"/>
      <c r="O323" s="107"/>
      <c r="P323" s="107"/>
      <c r="Q323" s="107"/>
      <c r="R323" s="107"/>
      <c r="S323" s="107"/>
      <c r="T323" s="107"/>
      <c r="U323" s="107"/>
      <c r="V323" s="107"/>
      <c r="W323" s="107"/>
      <c r="X323" s="107"/>
      <c r="Y323" s="107"/>
      <c r="Z323" s="107"/>
      <c r="AA323" s="107"/>
      <c r="AB323" s="107"/>
      <c r="AC323" s="107"/>
      <c r="AD323" s="107"/>
      <c r="AE323" s="107"/>
      <c r="AF323" s="107"/>
      <c r="AG323" s="107"/>
      <c r="AH323" s="107">
        <f t="shared" si="58"/>
        <v>0</v>
      </c>
    </row>
    <row r="324" spans="1:34" ht="15">
      <c r="A324" s="414" t="s">
        <v>152</v>
      </c>
      <c r="B324" s="53">
        <f t="shared" si="57"/>
        <v>0</v>
      </c>
      <c r="C324" s="103"/>
      <c r="D324" s="53"/>
      <c r="E324" s="53"/>
      <c r="F324" s="53"/>
      <c r="G324" s="53"/>
      <c r="H324" s="53"/>
      <c r="I324" s="53"/>
      <c r="J324" s="188" t="s">
        <v>318</v>
      </c>
      <c r="K324" s="188" t="s">
        <v>318</v>
      </c>
      <c r="L324" s="188" t="s">
        <v>318</v>
      </c>
      <c r="M324" s="188" t="s">
        <v>318</v>
      </c>
      <c r="N324" s="188" t="s">
        <v>318</v>
      </c>
      <c r="O324" s="188" t="s">
        <v>318</v>
      </c>
      <c r="P324" s="188" t="s">
        <v>318</v>
      </c>
      <c r="Q324" s="188" t="s">
        <v>318</v>
      </c>
      <c r="R324" s="188" t="s">
        <v>318</v>
      </c>
      <c r="S324" s="188" t="s">
        <v>318</v>
      </c>
      <c r="T324" s="188" t="s">
        <v>318</v>
      </c>
      <c r="U324" s="188" t="s">
        <v>318</v>
      </c>
      <c r="V324" s="188" t="s">
        <v>318</v>
      </c>
      <c r="W324" s="188" t="s">
        <v>318</v>
      </c>
      <c r="X324" s="188" t="s">
        <v>318</v>
      </c>
      <c r="Y324" s="188" t="s">
        <v>318</v>
      </c>
      <c r="Z324" s="188" t="s">
        <v>318</v>
      </c>
      <c r="AA324" s="188" t="s">
        <v>318</v>
      </c>
      <c r="AB324" s="188" t="s">
        <v>318</v>
      </c>
      <c r="AC324" s="188" t="s">
        <v>318</v>
      </c>
      <c r="AD324" s="188" t="s">
        <v>318</v>
      </c>
      <c r="AE324" s="188" t="s">
        <v>318</v>
      </c>
      <c r="AF324" s="188" t="s">
        <v>318</v>
      </c>
      <c r="AG324" s="188" t="s">
        <v>318</v>
      </c>
      <c r="AH324" s="107">
        <f t="shared" si="58"/>
        <v>0</v>
      </c>
    </row>
    <row r="325" spans="1:34" ht="15">
      <c r="A325" s="428" t="s">
        <v>153</v>
      </c>
      <c r="B325" s="53">
        <f t="shared" si="57"/>
        <v>0</v>
      </c>
      <c r="C325" s="188" t="s">
        <v>318</v>
      </c>
      <c r="D325" s="188" t="s">
        <v>318</v>
      </c>
      <c r="E325" s="188" t="s">
        <v>318</v>
      </c>
      <c r="F325" s="188" t="s">
        <v>318</v>
      </c>
      <c r="G325" s="188" t="s">
        <v>318</v>
      </c>
      <c r="H325" s="188" t="s">
        <v>318</v>
      </c>
      <c r="I325" s="188" t="s">
        <v>318</v>
      </c>
      <c r="J325" s="188" t="s">
        <v>318</v>
      </c>
      <c r="K325" s="188" t="s">
        <v>318</v>
      </c>
      <c r="L325" s="188" t="s">
        <v>318</v>
      </c>
      <c r="M325" s="188" t="s">
        <v>318</v>
      </c>
      <c r="N325" s="188" t="s">
        <v>318</v>
      </c>
      <c r="O325" s="188" t="s">
        <v>318</v>
      </c>
      <c r="P325" s="188" t="s">
        <v>318</v>
      </c>
      <c r="Q325" s="188" t="s">
        <v>318</v>
      </c>
      <c r="R325" s="188" t="s">
        <v>318</v>
      </c>
      <c r="S325" s="188" t="s">
        <v>318</v>
      </c>
      <c r="T325" s="188" t="s">
        <v>318</v>
      </c>
      <c r="U325" s="188" t="s">
        <v>318</v>
      </c>
      <c r="V325" s="188" t="s">
        <v>318</v>
      </c>
      <c r="W325" s="188" t="s">
        <v>318</v>
      </c>
      <c r="X325" s="188" t="s">
        <v>318</v>
      </c>
      <c r="Y325" s="188" t="s">
        <v>318</v>
      </c>
      <c r="Z325" s="188" t="s">
        <v>318</v>
      </c>
      <c r="AA325" s="188" t="s">
        <v>318</v>
      </c>
      <c r="AB325" s="188" t="s">
        <v>318</v>
      </c>
      <c r="AC325" s="188" t="s">
        <v>318</v>
      </c>
      <c r="AD325" s="188" t="s">
        <v>318</v>
      </c>
      <c r="AE325" s="188" t="s">
        <v>318</v>
      </c>
      <c r="AF325" s="188" t="s">
        <v>318</v>
      </c>
      <c r="AG325" s="188" t="s">
        <v>318</v>
      </c>
      <c r="AH325" s="107">
        <f t="shared" si="58"/>
        <v>0</v>
      </c>
    </row>
    <row r="326" spans="1:34" ht="15">
      <c r="A326" s="428" t="s">
        <v>154</v>
      </c>
      <c r="B326" s="53">
        <f t="shared" si="57"/>
        <v>2.6179999999999999</v>
      </c>
      <c r="C326" s="188" t="s">
        <v>318</v>
      </c>
      <c r="D326" s="188" t="s">
        <v>318</v>
      </c>
      <c r="E326" s="188" t="s">
        <v>318</v>
      </c>
      <c r="F326" s="188" t="s">
        <v>318</v>
      </c>
      <c r="G326" s="188" t="s">
        <v>318</v>
      </c>
      <c r="H326" s="188" t="s">
        <v>318</v>
      </c>
      <c r="I326" s="188" t="s">
        <v>318</v>
      </c>
      <c r="J326" s="188" t="s">
        <v>318</v>
      </c>
      <c r="K326" s="188" t="s">
        <v>318</v>
      </c>
      <c r="L326" s="188" t="s">
        <v>318</v>
      </c>
      <c r="M326" s="188" t="s">
        <v>318</v>
      </c>
      <c r="N326" s="188" t="s">
        <v>318</v>
      </c>
      <c r="O326" s="188" t="s">
        <v>318</v>
      </c>
      <c r="P326" s="188" t="s">
        <v>318</v>
      </c>
      <c r="Q326" s="188" t="s">
        <v>318</v>
      </c>
      <c r="R326" s="188" t="s">
        <v>318</v>
      </c>
      <c r="S326" s="188" t="s">
        <v>318</v>
      </c>
      <c r="T326" s="188" t="s">
        <v>318</v>
      </c>
      <c r="U326" s="188" t="s">
        <v>318</v>
      </c>
      <c r="V326" s="188" t="s">
        <v>318</v>
      </c>
      <c r="W326" s="188" t="s">
        <v>318</v>
      </c>
      <c r="X326" s="53"/>
      <c r="Y326" s="53"/>
      <c r="Z326" s="53"/>
      <c r="AA326" s="53"/>
      <c r="AB326" s="53"/>
      <c r="AC326" s="53"/>
      <c r="AD326" s="53"/>
      <c r="AE326" s="107">
        <v>0.68799999999999994</v>
      </c>
      <c r="AF326" s="53"/>
      <c r="AG326" s="107">
        <v>1.93</v>
      </c>
      <c r="AH326" s="107">
        <f t="shared" si="58"/>
        <v>2.6179999999999999</v>
      </c>
    </row>
    <row r="327" spans="1:34" ht="15">
      <c r="A327" s="428" t="s">
        <v>155</v>
      </c>
      <c r="B327" s="53">
        <f t="shared" si="57"/>
        <v>1.8</v>
      </c>
      <c r="C327" s="103"/>
      <c r="D327" s="53"/>
      <c r="E327" s="53"/>
      <c r="F327" s="53"/>
      <c r="G327" s="14"/>
      <c r="H327" s="53"/>
      <c r="I327" s="53"/>
      <c r="J327" s="53"/>
      <c r="K327" s="53"/>
      <c r="L327" s="53"/>
      <c r="M327" s="53"/>
      <c r="N327" s="53"/>
      <c r="O327" s="53"/>
      <c r="P327" s="53"/>
      <c r="Q327" s="53"/>
      <c r="R327" s="53"/>
      <c r="S327" s="53"/>
      <c r="T327" s="53"/>
      <c r="U327" s="53"/>
      <c r="V327" s="53"/>
      <c r="W327" s="53"/>
      <c r="X327" s="53"/>
      <c r="Y327" s="14">
        <v>1.8</v>
      </c>
      <c r="Z327" s="53"/>
      <c r="AA327" s="53"/>
      <c r="AB327" s="53"/>
      <c r="AC327" s="53"/>
      <c r="AD327" s="53"/>
      <c r="AE327" s="107"/>
      <c r="AF327" s="53"/>
      <c r="AG327" s="107"/>
      <c r="AH327" s="107">
        <f t="shared" si="58"/>
        <v>1.8</v>
      </c>
    </row>
    <row r="328" spans="1:34" ht="15">
      <c r="A328" s="428" t="s">
        <v>156</v>
      </c>
      <c r="B328" s="53">
        <f t="shared" si="57"/>
        <v>2.8580000000000001</v>
      </c>
      <c r="C328" s="103"/>
      <c r="D328" s="53"/>
      <c r="E328" s="53"/>
      <c r="F328" s="53">
        <v>1.7430000000000001</v>
      </c>
      <c r="G328" s="53"/>
      <c r="H328" s="53">
        <v>0.65</v>
      </c>
      <c r="I328" s="53"/>
      <c r="J328" s="53"/>
      <c r="K328" s="53">
        <v>0.46500000000000002</v>
      </c>
      <c r="L328" s="53"/>
      <c r="M328" s="53"/>
      <c r="N328" s="53"/>
      <c r="O328" s="53"/>
      <c r="P328" s="3027">
        <v>0</v>
      </c>
      <c r="Q328" s="3027">
        <v>0</v>
      </c>
      <c r="R328" s="3027">
        <v>0</v>
      </c>
      <c r="S328" s="3027">
        <v>0</v>
      </c>
      <c r="T328" s="3027">
        <v>0</v>
      </c>
      <c r="U328" s="3027">
        <v>0</v>
      </c>
      <c r="V328" s="3027">
        <v>0</v>
      </c>
      <c r="W328" s="3027">
        <v>0</v>
      </c>
      <c r="X328" s="3027">
        <v>0</v>
      </c>
      <c r="Y328" s="3027">
        <v>0</v>
      </c>
      <c r="Z328" s="3027">
        <v>0</v>
      </c>
      <c r="AA328" s="3027">
        <v>0</v>
      </c>
      <c r="AB328" s="3027">
        <v>0</v>
      </c>
      <c r="AC328" s="3027">
        <v>0</v>
      </c>
      <c r="AD328" s="3027">
        <v>0</v>
      </c>
      <c r="AE328" s="3027">
        <v>0</v>
      </c>
      <c r="AF328" s="3027">
        <v>0</v>
      </c>
      <c r="AG328" s="3027">
        <v>0</v>
      </c>
      <c r="AH328" s="107">
        <f t="shared" si="58"/>
        <v>2.8580000000000001</v>
      </c>
    </row>
    <row r="329" spans="1:34" ht="15">
      <c r="A329" s="199" t="s">
        <v>144</v>
      </c>
      <c r="B329" s="200">
        <f>SUM(B317:B328)</f>
        <v>42.464999999999996</v>
      </c>
      <c r="C329" s="100">
        <f>SUM(C317:C327)</f>
        <v>0</v>
      </c>
      <c r="D329" s="107">
        <f>SUM(D317:D327)</f>
        <v>0</v>
      </c>
      <c r="E329" s="107">
        <v>0</v>
      </c>
      <c r="F329" s="107">
        <f t="shared" ref="F329:AC329" si="59">SUM(F317:F327)</f>
        <v>0</v>
      </c>
      <c r="G329" s="107">
        <f t="shared" si="59"/>
        <v>0</v>
      </c>
      <c r="H329" s="107">
        <f t="shared" si="59"/>
        <v>0</v>
      </c>
      <c r="I329" s="107">
        <f t="shared" si="59"/>
        <v>0</v>
      </c>
      <c r="J329" s="107">
        <f t="shared" si="59"/>
        <v>0</v>
      </c>
      <c r="K329" s="107">
        <f t="shared" si="59"/>
        <v>9.8000000000000007</v>
      </c>
      <c r="L329" s="107">
        <f t="shared" si="59"/>
        <v>0.56100000000000005</v>
      </c>
      <c r="M329" s="107">
        <f t="shared" si="59"/>
        <v>0</v>
      </c>
      <c r="N329" s="107">
        <f t="shared" si="59"/>
        <v>0</v>
      </c>
      <c r="O329" s="107">
        <f t="shared" si="59"/>
        <v>0</v>
      </c>
      <c r="P329" s="107">
        <f t="shared" si="59"/>
        <v>0</v>
      </c>
      <c r="Q329" s="107">
        <f t="shared" si="59"/>
        <v>0</v>
      </c>
      <c r="R329" s="107">
        <f t="shared" si="59"/>
        <v>1.647</v>
      </c>
      <c r="S329" s="107">
        <f t="shared" si="59"/>
        <v>0.56599999999999995</v>
      </c>
      <c r="T329" s="107">
        <f t="shared" si="59"/>
        <v>0</v>
      </c>
      <c r="U329" s="107">
        <f t="shared" si="59"/>
        <v>0</v>
      </c>
      <c r="V329" s="107">
        <f t="shared" si="59"/>
        <v>0</v>
      </c>
      <c r="W329" s="107">
        <f t="shared" si="59"/>
        <v>0</v>
      </c>
      <c r="X329" s="107">
        <f t="shared" si="59"/>
        <v>0</v>
      </c>
      <c r="Y329" s="107">
        <f t="shared" si="59"/>
        <v>10.381</v>
      </c>
      <c r="Z329" s="107">
        <f t="shared" si="59"/>
        <v>0</v>
      </c>
      <c r="AA329" s="107">
        <f t="shared" si="59"/>
        <v>0</v>
      </c>
      <c r="AB329" s="107">
        <f t="shared" si="59"/>
        <v>0</v>
      </c>
      <c r="AC329" s="107">
        <f t="shared" si="59"/>
        <v>1.8380000000000001</v>
      </c>
      <c r="AD329" s="107">
        <v>0</v>
      </c>
      <c r="AE329" s="107">
        <f>SUM(AE317:AE327)</f>
        <v>0.68799999999999994</v>
      </c>
      <c r="AF329" s="107">
        <f>SUM(AF317:AF327)</f>
        <v>1.202</v>
      </c>
      <c r="AG329" s="107">
        <f>SUM(AG317:AG327)</f>
        <v>12.923999999999999</v>
      </c>
      <c r="AH329" s="100">
        <f>SUM(AH317:AH327)</f>
        <v>39.606999999999999</v>
      </c>
    </row>
    <row r="330" spans="1:34" ht="6.75" customHeight="1">
      <c r="A330" s="49"/>
      <c r="B330" s="49"/>
      <c r="C330" s="1"/>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1"/>
    </row>
    <row r="331" spans="1:34" ht="15">
      <c r="A331" s="3854" t="s">
        <v>410</v>
      </c>
      <c r="B331" s="3855"/>
      <c r="C331" s="3855"/>
      <c r="D331" s="3855"/>
      <c r="E331" s="3855"/>
      <c r="F331" s="3855"/>
      <c r="G331" s="3855"/>
      <c r="H331" s="3856"/>
      <c r="I331" s="3313"/>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c r="AG331" s="14"/>
      <c r="AH331" s="14"/>
    </row>
    <row r="332" spans="1:34" ht="15">
      <c r="A332" s="8" t="s">
        <v>142</v>
      </c>
      <c r="B332" s="8" t="s">
        <v>143</v>
      </c>
      <c r="C332" s="2907">
        <v>1</v>
      </c>
      <c r="D332" s="73">
        <v>2</v>
      </c>
      <c r="E332" s="73">
        <v>3</v>
      </c>
      <c r="F332" s="73">
        <v>4</v>
      </c>
      <c r="G332" s="73">
        <v>5</v>
      </c>
      <c r="H332" s="73">
        <v>6</v>
      </c>
      <c r="I332" s="73">
        <v>7</v>
      </c>
      <c r="J332" s="73">
        <v>8</v>
      </c>
      <c r="K332" s="73">
        <v>9</v>
      </c>
      <c r="L332" s="73">
        <v>10</v>
      </c>
      <c r="M332" s="73">
        <v>11</v>
      </c>
      <c r="N332" s="73">
        <v>12</v>
      </c>
      <c r="O332" s="73">
        <v>13</v>
      </c>
      <c r="P332" s="73">
        <v>14</v>
      </c>
      <c r="Q332" s="73">
        <v>15</v>
      </c>
      <c r="R332" s="73">
        <v>16</v>
      </c>
      <c r="S332" s="73">
        <v>17</v>
      </c>
      <c r="T332" s="73">
        <v>18</v>
      </c>
      <c r="U332" s="73">
        <v>19</v>
      </c>
      <c r="V332" s="73">
        <v>20</v>
      </c>
      <c r="W332" s="73">
        <v>21</v>
      </c>
      <c r="X332" s="73">
        <v>22</v>
      </c>
      <c r="Y332" s="73">
        <v>23</v>
      </c>
      <c r="Z332" s="73">
        <v>24</v>
      </c>
      <c r="AA332" s="73">
        <v>25</v>
      </c>
      <c r="AB332" s="73">
        <v>26</v>
      </c>
      <c r="AC332" s="73">
        <v>27</v>
      </c>
      <c r="AD332" s="73">
        <v>28</v>
      </c>
      <c r="AE332" s="73">
        <v>29</v>
      </c>
      <c r="AF332" s="73">
        <v>30</v>
      </c>
      <c r="AG332" s="73">
        <v>31</v>
      </c>
      <c r="AH332" s="88" t="s">
        <v>144</v>
      </c>
    </row>
    <row r="333" spans="1:34" ht="15">
      <c r="A333" s="427" t="s">
        <v>145</v>
      </c>
      <c r="B333" s="53">
        <f t="shared" ref="B333:B344" si="60">+AH333</f>
        <v>0</v>
      </c>
      <c r="C333" s="360" t="s">
        <v>311</v>
      </c>
      <c r="D333" s="360" t="s">
        <v>311</v>
      </c>
      <c r="E333" s="360" t="s">
        <v>311</v>
      </c>
      <c r="F333" s="360" t="s">
        <v>311</v>
      </c>
      <c r="G333" s="360" t="s">
        <v>311</v>
      </c>
      <c r="H333" s="360" t="s">
        <v>311</v>
      </c>
      <c r="I333" s="360" t="s">
        <v>311</v>
      </c>
      <c r="J333" s="360" t="s">
        <v>311</v>
      </c>
      <c r="K333" s="360" t="s">
        <v>311</v>
      </c>
      <c r="L333" s="360" t="s">
        <v>311</v>
      </c>
      <c r="M333" s="360" t="s">
        <v>311</v>
      </c>
      <c r="N333" s="360" t="s">
        <v>311</v>
      </c>
      <c r="O333" s="360" t="s">
        <v>311</v>
      </c>
      <c r="P333" s="360" t="s">
        <v>311</v>
      </c>
      <c r="Q333" s="360" t="s">
        <v>311</v>
      </c>
      <c r="R333" s="360" t="s">
        <v>311</v>
      </c>
      <c r="S333" s="360" t="s">
        <v>311</v>
      </c>
      <c r="T333" s="360" t="s">
        <v>311</v>
      </c>
      <c r="U333" s="360" t="s">
        <v>311</v>
      </c>
      <c r="V333" s="360" t="s">
        <v>311</v>
      </c>
      <c r="W333" s="360" t="s">
        <v>311</v>
      </c>
      <c r="X333" s="360" t="s">
        <v>311</v>
      </c>
      <c r="Y333" s="360" t="s">
        <v>311</v>
      </c>
      <c r="Z333" s="360" t="s">
        <v>311</v>
      </c>
      <c r="AA333" s="360" t="s">
        <v>311</v>
      </c>
      <c r="AB333" s="360" t="s">
        <v>311</v>
      </c>
      <c r="AC333" s="360" t="s">
        <v>311</v>
      </c>
      <c r="AD333" s="360" t="s">
        <v>311</v>
      </c>
      <c r="AE333" s="360" t="s">
        <v>311</v>
      </c>
      <c r="AF333" s="360" t="s">
        <v>311</v>
      </c>
      <c r="AG333" s="360" t="s">
        <v>311</v>
      </c>
      <c r="AH333" s="107">
        <f>SUM(C333:AG333)</f>
        <v>0</v>
      </c>
    </row>
    <row r="334" spans="1:34" ht="15">
      <c r="A334" s="427" t="s">
        <v>146</v>
      </c>
      <c r="B334" s="53">
        <f t="shared" si="60"/>
        <v>0</v>
      </c>
      <c r="C334" s="360" t="s">
        <v>311</v>
      </c>
      <c r="D334" s="360" t="s">
        <v>311</v>
      </c>
      <c r="E334" s="360" t="s">
        <v>311</v>
      </c>
      <c r="F334" s="360" t="s">
        <v>311</v>
      </c>
      <c r="G334" s="360" t="s">
        <v>311</v>
      </c>
      <c r="H334" s="360" t="s">
        <v>311</v>
      </c>
      <c r="I334" s="360" t="s">
        <v>311</v>
      </c>
      <c r="J334" s="361"/>
      <c r="K334" s="361"/>
      <c r="L334" s="361"/>
      <c r="M334" s="361"/>
      <c r="N334" s="361"/>
      <c r="O334" s="361"/>
      <c r="P334" s="361"/>
      <c r="Q334" s="361"/>
      <c r="R334" s="361"/>
      <c r="S334" s="361"/>
      <c r="T334" s="361"/>
      <c r="U334" s="361"/>
      <c r="V334" s="361"/>
      <c r="W334" s="361"/>
      <c r="X334" s="361"/>
      <c r="Y334" s="361"/>
      <c r="Z334" s="361"/>
      <c r="AA334" s="361"/>
      <c r="AB334" s="361"/>
      <c r="AC334" s="361"/>
      <c r="AD334" s="361"/>
      <c r="AE334" s="361"/>
      <c r="AF334" s="361"/>
      <c r="AG334" s="361"/>
      <c r="AH334" s="107">
        <f t="shared" ref="AH334:AH344" si="61">SUM(C334:AG334)</f>
        <v>0</v>
      </c>
    </row>
    <row r="335" spans="1:34" ht="15">
      <c r="A335" s="427" t="s">
        <v>147</v>
      </c>
      <c r="B335" s="53">
        <f t="shared" si="60"/>
        <v>19.917000000000002</v>
      </c>
      <c r="C335" s="361"/>
      <c r="D335" s="361"/>
      <c r="E335" s="361"/>
      <c r="F335" s="361"/>
      <c r="G335" s="361"/>
      <c r="H335" s="306"/>
      <c r="I335" s="306"/>
      <c r="J335" s="306"/>
      <c r="K335" s="306"/>
      <c r="L335" s="306"/>
      <c r="M335" s="306"/>
      <c r="N335" s="306"/>
      <c r="O335" s="306">
        <v>19.917000000000002</v>
      </c>
      <c r="P335" s="306"/>
      <c r="Q335" s="306"/>
      <c r="R335" s="306"/>
      <c r="S335" s="306"/>
      <c r="T335" s="306"/>
      <c r="U335" s="306"/>
      <c r="V335" s="306"/>
      <c r="W335" s="306"/>
      <c r="X335" s="306"/>
      <c r="Y335" s="306"/>
      <c r="Z335" s="306"/>
      <c r="AA335" s="306"/>
      <c r="AB335" s="306"/>
      <c r="AC335" s="360" t="s">
        <v>311</v>
      </c>
      <c r="AD335" s="360" t="s">
        <v>311</v>
      </c>
      <c r="AE335" s="360" t="s">
        <v>311</v>
      </c>
      <c r="AF335" s="360" t="s">
        <v>311</v>
      </c>
      <c r="AG335" s="360" t="s">
        <v>311</v>
      </c>
      <c r="AH335" s="107">
        <f t="shared" si="61"/>
        <v>19.917000000000002</v>
      </c>
    </row>
    <row r="336" spans="1:34" ht="15">
      <c r="A336" s="427" t="s">
        <v>148</v>
      </c>
      <c r="B336" s="53">
        <f t="shared" si="60"/>
        <v>0</v>
      </c>
      <c r="C336" s="360" t="s">
        <v>311</v>
      </c>
      <c r="D336" s="360" t="s">
        <v>311</v>
      </c>
      <c r="E336" s="360" t="s">
        <v>311</v>
      </c>
      <c r="F336" s="360" t="s">
        <v>311</v>
      </c>
      <c r="G336" s="360" t="s">
        <v>311</v>
      </c>
      <c r="H336" s="360" t="s">
        <v>311</v>
      </c>
      <c r="I336" s="360" t="s">
        <v>311</v>
      </c>
      <c r="J336" s="360" t="s">
        <v>311</v>
      </c>
      <c r="K336" s="360" t="s">
        <v>311</v>
      </c>
      <c r="L336" s="306"/>
      <c r="M336" s="306"/>
      <c r="N336" s="306"/>
      <c r="O336" s="306"/>
      <c r="P336" s="306"/>
      <c r="Q336" s="306"/>
      <c r="R336" s="306"/>
      <c r="S336" s="306"/>
      <c r="T336" s="306"/>
      <c r="U336" s="306"/>
      <c r="V336" s="306"/>
      <c r="W336" s="306"/>
      <c r="X336" s="306"/>
      <c r="Y336" s="306"/>
      <c r="Z336" s="306"/>
      <c r="AA336" s="306"/>
      <c r="AB336" s="306"/>
      <c r="AC336" s="306"/>
      <c r="AD336" s="306"/>
      <c r="AE336" s="306"/>
      <c r="AF336" s="306"/>
      <c r="AG336" s="306"/>
      <c r="AH336" s="107">
        <f t="shared" si="61"/>
        <v>0</v>
      </c>
    </row>
    <row r="337" spans="1:34" ht="15">
      <c r="A337" s="414" t="s">
        <v>149</v>
      </c>
      <c r="B337" s="53">
        <f t="shared" si="60"/>
        <v>46.802</v>
      </c>
      <c r="C337" s="103"/>
      <c r="D337" s="53"/>
      <c r="E337" s="53"/>
      <c r="F337" s="53"/>
      <c r="G337" s="53"/>
      <c r="H337" s="53"/>
      <c r="I337" s="53"/>
      <c r="J337" s="53"/>
      <c r="K337" s="53"/>
      <c r="L337" s="53"/>
      <c r="M337" s="53"/>
      <c r="N337" s="53"/>
      <c r="O337" s="53"/>
      <c r="P337" s="53"/>
      <c r="Q337" s="53"/>
      <c r="R337" s="53"/>
      <c r="S337" s="53"/>
      <c r="T337" s="53"/>
      <c r="U337" s="53"/>
      <c r="V337" s="53"/>
      <c r="W337" s="53"/>
      <c r="X337" s="53"/>
      <c r="Y337" s="53"/>
      <c r="Z337" s="53"/>
      <c r="AA337" s="53"/>
      <c r="AB337" s="53"/>
      <c r="AC337" s="53"/>
      <c r="AD337" s="53"/>
      <c r="AE337" s="53"/>
      <c r="AF337" s="53">
        <v>46.802</v>
      </c>
      <c r="AG337" s="53"/>
      <c r="AH337" s="107">
        <f t="shared" si="61"/>
        <v>46.802</v>
      </c>
    </row>
    <row r="338" spans="1:34" ht="15">
      <c r="A338" s="414" t="s">
        <v>150</v>
      </c>
      <c r="B338" s="53">
        <f t="shared" si="60"/>
        <v>0</v>
      </c>
      <c r="C338" s="103"/>
      <c r="D338" s="53"/>
      <c r="E338" s="53"/>
      <c r="F338" s="53"/>
      <c r="G338" s="53"/>
      <c r="H338" s="188" t="s">
        <v>318</v>
      </c>
      <c r="I338" s="188" t="s">
        <v>318</v>
      </c>
      <c r="J338" s="188" t="s">
        <v>318</v>
      </c>
      <c r="K338" s="188" t="s">
        <v>318</v>
      </c>
      <c r="L338" s="188" t="s">
        <v>318</v>
      </c>
      <c r="M338" s="188" t="s">
        <v>318</v>
      </c>
      <c r="N338" s="188" t="s">
        <v>318</v>
      </c>
      <c r="O338" s="188" t="s">
        <v>318</v>
      </c>
      <c r="P338" s="188" t="s">
        <v>318</v>
      </c>
      <c r="Q338" s="188" t="s">
        <v>318</v>
      </c>
      <c r="R338" s="188" t="s">
        <v>318</v>
      </c>
      <c r="S338" s="188" t="s">
        <v>318</v>
      </c>
      <c r="T338" s="188" t="s">
        <v>318</v>
      </c>
      <c r="U338" s="188" t="s">
        <v>318</v>
      </c>
      <c r="V338" s="188" t="s">
        <v>318</v>
      </c>
      <c r="W338" s="188" t="s">
        <v>318</v>
      </c>
      <c r="X338" s="188" t="s">
        <v>318</v>
      </c>
      <c r="Y338" s="53"/>
      <c r="Z338" s="53"/>
      <c r="AA338" s="53"/>
      <c r="AB338" s="53"/>
      <c r="AC338" s="53"/>
      <c r="AD338" s="53"/>
      <c r="AE338" s="53"/>
      <c r="AF338" s="53"/>
      <c r="AG338" s="53"/>
      <c r="AH338" s="107">
        <f t="shared" si="61"/>
        <v>0</v>
      </c>
    </row>
    <row r="339" spans="1:34" ht="15">
      <c r="A339" s="414" t="s">
        <v>151</v>
      </c>
      <c r="B339" s="53">
        <f t="shared" si="60"/>
        <v>0</v>
      </c>
      <c r="C339" s="103"/>
      <c r="D339" s="107"/>
      <c r="E339" s="107"/>
      <c r="F339" s="107"/>
      <c r="G339" s="53"/>
      <c r="H339" s="53"/>
      <c r="I339" s="53"/>
      <c r="J339" s="111"/>
      <c r="K339" s="111"/>
      <c r="L339" s="107"/>
      <c r="M339" s="107"/>
      <c r="N339" s="107"/>
      <c r="O339" s="107"/>
      <c r="P339" s="107"/>
      <c r="Q339" s="107"/>
      <c r="R339" s="107"/>
      <c r="S339" s="107"/>
      <c r="T339" s="107"/>
      <c r="U339" s="107"/>
      <c r="V339" s="107"/>
      <c r="W339" s="107"/>
      <c r="X339" s="107"/>
      <c r="Y339" s="107"/>
      <c r="Z339" s="107"/>
      <c r="AA339" s="107"/>
      <c r="AB339" s="107"/>
      <c r="AC339" s="107"/>
      <c r="AD339" s="107"/>
      <c r="AE339" s="107"/>
      <c r="AF339" s="107"/>
      <c r="AG339" s="107"/>
      <c r="AH339" s="107">
        <f t="shared" si="61"/>
        <v>0</v>
      </c>
    </row>
    <row r="340" spans="1:34" ht="15">
      <c r="A340" s="414" t="s">
        <v>152</v>
      </c>
      <c r="B340" s="53">
        <f t="shared" si="60"/>
        <v>0</v>
      </c>
      <c r="C340" s="103"/>
      <c r="D340" s="53"/>
      <c r="E340" s="53"/>
      <c r="F340" s="53"/>
      <c r="G340" s="53"/>
      <c r="H340" s="53"/>
      <c r="I340" s="53"/>
      <c r="J340" s="188" t="s">
        <v>318</v>
      </c>
      <c r="K340" s="188" t="s">
        <v>318</v>
      </c>
      <c r="L340" s="188" t="s">
        <v>318</v>
      </c>
      <c r="M340" s="188" t="s">
        <v>318</v>
      </c>
      <c r="N340" s="188" t="s">
        <v>318</v>
      </c>
      <c r="O340" s="188" t="s">
        <v>318</v>
      </c>
      <c r="P340" s="188" t="s">
        <v>318</v>
      </c>
      <c r="Q340" s="188" t="s">
        <v>318</v>
      </c>
      <c r="R340" s="188" t="s">
        <v>318</v>
      </c>
      <c r="S340" s="188" t="s">
        <v>318</v>
      </c>
      <c r="T340" s="188" t="s">
        <v>318</v>
      </c>
      <c r="U340" s="188" t="s">
        <v>318</v>
      </c>
      <c r="V340" s="188" t="s">
        <v>318</v>
      </c>
      <c r="W340" s="188" t="s">
        <v>318</v>
      </c>
      <c r="X340" s="188" t="s">
        <v>318</v>
      </c>
      <c r="Y340" s="188" t="s">
        <v>318</v>
      </c>
      <c r="Z340" s="188" t="s">
        <v>318</v>
      </c>
      <c r="AA340" s="188" t="s">
        <v>318</v>
      </c>
      <c r="AB340" s="188" t="s">
        <v>318</v>
      </c>
      <c r="AC340" s="188" t="s">
        <v>318</v>
      </c>
      <c r="AD340" s="188" t="s">
        <v>318</v>
      </c>
      <c r="AE340" s="188" t="s">
        <v>318</v>
      </c>
      <c r="AF340" s="188" t="s">
        <v>318</v>
      </c>
      <c r="AG340" s="188" t="s">
        <v>318</v>
      </c>
      <c r="AH340" s="107">
        <f t="shared" si="61"/>
        <v>0</v>
      </c>
    </row>
    <row r="341" spans="1:34" ht="15">
      <c r="A341" s="428" t="s">
        <v>153</v>
      </c>
      <c r="B341" s="53">
        <f t="shared" si="60"/>
        <v>0</v>
      </c>
      <c r="C341" s="188" t="s">
        <v>318</v>
      </c>
      <c r="D341" s="188" t="s">
        <v>318</v>
      </c>
      <c r="E341" s="188" t="s">
        <v>318</v>
      </c>
      <c r="F341" s="188" t="s">
        <v>318</v>
      </c>
      <c r="G341" s="188" t="s">
        <v>318</v>
      </c>
      <c r="H341" s="188" t="s">
        <v>318</v>
      </c>
      <c r="I341" s="188" t="s">
        <v>318</v>
      </c>
      <c r="J341" s="188" t="s">
        <v>318</v>
      </c>
      <c r="K341" s="188" t="s">
        <v>318</v>
      </c>
      <c r="L341" s="188" t="s">
        <v>318</v>
      </c>
      <c r="M341" s="188" t="s">
        <v>318</v>
      </c>
      <c r="N341" s="188" t="s">
        <v>318</v>
      </c>
      <c r="O341" s="188" t="s">
        <v>318</v>
      </c>
      <c r="P341" s="188" t="s">
        <v>318</v>
      </c>
      <c r="Q341" s="188" t="s">
        <v>318</v>
      </c>
      <c r="R341" s="188" t="s">
        <v>318</v>
      </c>
      <c r="S341" s="188" t="s">
        <v>318</v>
      </c>
      <c r="T341" s="188" t="s">
        <v>318</v>
      </c>
      <c r="U341" s="188" t="s">
        <v>318</v>
      </c>
      <c r="V341" s="188" t="s">
        <v>318</v>
      </c>
      <c r="W341" s="188" t="s">
        <v>318</v>
      </c>
      <c r="X341" s="188" t="s">
        <v>318</v>
      </c>
      <c r="Y341" s="188" t="s">
        <v>318</v>
      </c>
      <c r="Z341" s="188" t="s">
        <v>318</v>
      </c>
      <c r="AA341" s="188" t="s">
        <v>318</v>
      </c>
      <c r="AB341" s="188" t="s">
        <v>318</v>
      </c>
      <c r="AC341" s="188" t="s">
        <v>318</v>
      </c>
      <c r="AD341" s="188" t="s">
        <v>318</v>
      </c>
      <c r="AE341" s="188" t="s">
        <v>318</v>
      </c>
      <c r="AF341" s="188" t="s">
        <v>318</v>
      </c>
      <c r="AG341" s="188" t="s">
        <v>318</v>
      </c>
      <c r="AH341" s="107">
        <f t="shared" si="61"/>
        <v>0</v>
      </c>
    </row>
    <row r="342" spans="1:34" ht="15">
      <c r="A342" s="428" t="s">
        <v>154</v>
      </c>
      <c r="B342" s="53">
        <f t="shared" si="60"/>
        <v>0</v>
      </c>
      <c r="C342" s="188" t="s">
        <v>318</v>
      </c>
      <c r="D342" s="188" t="s">
        <v>318</v>
      </c>
      <c r="E342" s="188" t="s">
        <v>318</v>
      </c>
      <c r="F342" s="188" t="s">
        <v>318</v>
      </c>
      <c r="G342" s="188" t="s">
        <v>318</v>
      </c>
      <c r="H342" s="188" t="s">
        <v>318</v>
      </c>
      <c r="I342" s="188" t="s">
        <v>318</v>
      </c>
      <c r="J342" s="188" t="s">
        <v>318</v>
      </c>
      <c r="K342" s="188" t="s">
        <v>318</v>
      </c>
      <c r="L342" s="188" t="s">
        <v>318</v>
      </c>
      <c r="M342" s="188" t="s">
        <v>318</v>
      </c>
      <c r="N342" s="188" t="s">
        <v>318</v>
      </c>
      <c r="O342" s="188" t="s">
        <v>318</v>
      </c>
      <c r="P342" s="188" t="s">
        <v>318</v>
      </c>
      <c r="Q342" s="188" t="s">
        <v>318</v>
      </c>
      <c r="R342" s="188" t="s">
        <v>318</v>
      </c>
      <c r="S342" s="188" t="s">
        <v>318</v>
      </c>
      <c r="T342" s="188" t="s">
        <v>318</v>
      </c>
      <c r="U342" s="188" t="s">
        <v>318</v>
      </c>
      <c r="V342" s="188" t="s">
        <v>318</v>
      </c>
      <c r="W342" s="188" t="s">
        <v>318</v>
      </c>
      <c r="X342" s="53"/>
      <c r="Y342" s="53"/>
      <c r="Z342" s="53"/>
      <c r="AA342" s="53"/>
      <c r="AB342" s="53"/>
      <c r="AC342" s="53"/>
      <c r="AD342" s="53"/>
      <c r="AE342" s="107"/>
      <c r="AF342" s="53"/>
      <c r="AG342" s="107"/>
      <c r="AH342" s="107">
        <f t="shared" si="61"/>
        <v>0</v>
      </c>
    </row>
    <row r="343" spans="1:34" ht="15">
      <c r="A343" s="428" t="s">
        <v>155</v>
      </c>
      <c r="B343" s="53">
        <f t="shared" si="60"/>
        <v>15.319000000000001</v>
      </c>
      <c r="C343" s="103"/>
      <c r="D343" s="53"/>
      <c r="E343" s="53"/>
      <c r="F343" s="53"/>
      <c r="G343" s="14"/>
      <c r="H343" s="53"/>
      <c r="I343" s="53"/>
      <c r="J343" s="53"/>
      <c r="K343" s="53"/>
      <c r="L343" s="53"/>
      <c r="M343" s="53">
        <v>15.319000000000001</v>
      </c>
      <c r="N343" s="53"/>
      <c r="O343" s="53"/>
      <c r="P343" s="53"/>
      <c r="Q343" s="53"/>
      <c r="R343" s="53"/>
      <c r="S343" s="53"/>
      <c r="T343" s="53"/>
      <c r="U343" s="53"/>
      <c r="V343" s="53"/>
      <c r="W343" s="53"/>
      <c r="X343" s="53"/>
      <c r="Y343" s="14"/>
      <c r="Z343" s="53"/>
      <c r="AA343" s="53"/>
      <c r="AB343" s="53"/>
      <c r="AC343" s="53"/>
      <c r="AD343" s="53"/>
      <c r="AE343" s="107"/>
      <c r="AF343" s="53"/>
      <c r="AG343" s="107"/>
      <c r="AH343" s="107">
        <f t="shared" si="61"/>
        <v>15.319000000000001</v>
      </c>
    </row>
    <row r="344" spans="1:34" ht="15">
      <c r="A344" s="428" t="s">
        <v>156</v>
      </c>
      <c r="B344" s="53">
        <f t="shared" si="60"/>
        <v>0</v>
      </c>
      <c r="C344" s="103"/>
      <c r="D344" s="53"/>
      <c r="E344" s="53"/>
      <c r="F344" s="53"/>
      <c r="G344" s="53"/>
      <c r="H344" s="53"/>
      <c r="I344" s="53"/>
      <c r="J344" s="53"/>
      <c r="K344" s="53"/>
      <c r="L344" s="53"/>
      <c r="M344" s="53"/>
      <c r="N344" s="53"/>
      <c r="O344" s="53"/>
      <c r="P344" s="3027">
        <v>0</v>
      </c>
      <c r="Q344" s="3027">
        <v>0</v>
      </c>
      <c r="R344" s="3027">
        <v>0</v>
      </c>
      <c r="S344" s="3027">
        <v>0</v>
      </c>
      <c r="T344" s="3027">
        <v>0</v>
      </c>
      <c r="U344" s="3027">
        <v>0</v>
      </c>
      <c r="V344" s="3027">
        <v>0</v>
      </c>
      <c r="W344" s="3027">
        <v>0</v>
      </c>
      <c r="X344" s="3027">
        <v>0</v>
      </c>
      <c r="Y344" s="3027">
        <v>0</v>
      </c>
      <c r="Z344" s="3027">
        <v>0</v>
      </c>
      <c r="AA344" s="3027">
        <v>0</v>
      </c>
      <c r="AB344" s="3027">
        <v>0</v>
      </c>
      <c r="AC344" s="3027">
        <v>0</v>
      </c>
      <c r="AD344" s="3027">
        <v>0</v>
      </c>
      <c r="AE344" s="3027">
        <v>0</v>
      </c>
      <c r="AF344" s="3027">
        <v>0</v>
      </c>
      <c r="AG344" s="3027">
        <v>0</v>
      </c>
      <c r="AH344" s="107">
        <f t="shared" si="61"/>
        <v>0</v>
      </c>
    </row>
    <row r="345" spans="1:34" ht="15">
      <c r="A345" s="199" t="s">
        <v>144</v>
      </c>
      <c r="B345" s="200">
        <f>SUM(B333:B344)</f>
        <v>82.037999999999997</v>
      </c>
      <c r="C345" s="100">
        <f>SUM(C333:C343)</f>
        <v>0</v>
      </c>
      <c r="D345" s="107">
        <f>SUM(D333:D343)</f>
        <v>0</v>
      </c>
      <c r="E345" s="107">
        <v>0</v>
      </c>
      <c r="F345" s="107">
        <f t="shared" ref="F345:AC345" si="62">SUM(F333:F343)</f>
        <v>0</v>
      </c>
      <c r="G345" s="107">
        <f t="shared" si="62"/>
        <v>0</v>
      </c>
      <c r="H345" s="107">
        <f t="shared" si="62"/>
        <v>0</v>
      </c>
      <c r="I345" s="107">
        <f t="shared" si="62"/>
        <v>0</v>
      </c>
      <c r="J345" s="107">
        <f t="shared" si="62"/>
        <v>0</v>
      </c>
      <c r="K345" s="107">
        <f t="shared" si="62"/>
        <v>0</v>
      </c>
      <c r="L345" s="107">
        <f t="shared" si="62"/>
        <v>0</v>
      </c>
      <c r="M345" s="107">
        <f t="shared" si="62"/>
        <v>15.319000000000001</v>
      </c>
      <c r="N345" s="107">
        <f t="shared" si="62"/>
        <v>0</v>
      </c>
      <c r="O345" s="107">
        <f t="shared" si="62"/>
        <v>19.917000000000002</v>
      </c>
      <c r="P345" s="107">
        <f t="shared" si="62"/>
        <v>0</v>
      </c>
      <c r="Q345" s="107">
        <f t="shared" si="62"/>
        <v>0</v>
      </c>
      <c r="R345" s="107">
        <f t="shared" si="62"/>
        <v>0</v>
      </c>
      <c r="S345" s="107">
        <f t="shared" si="62"/>
        <v>0</v>
      </c>
      <c r="T345" s="107">
        <f t="shared" si="62"/>
        <v>0</v>
      </c>
      <c r="U345" s="107">
        <f t="shared" si="62"/>
        <v>0</v>
      </c>
      <c r="V345" s="107">
        <f t="shared" si="62"/>
        <v>0</v>
      </c>
      <c r="W345" s="107">
        <f t="shared" si="62"/>
        <v>0</v>
      </c>
      <c r="X345" s="107">
        <f t="shared" si="62"/>
        <v>0</v>
      </c>
      <c r="Y345" s="107">
        <f t="shared" si="62"/>
        <v>0</v>
      </c>
      <c r="Z345" s="107">
        <f t="shared" si="62"/>
        <v>0</v>
      </c>
      <c r="AA345" s="107">
        <f t="shared" si="62"/>
        <v>0</v>
      </c>
      <c r="AB345" s="107">
        <f t="shared" si="62"/>
        <v>0</v>
      </c>
      <c r="AC345" s="107">
        <f t="shared" si="62"/>
        <v>0</v>
      </c>
      <c r="AD345" s="107">
        <v>0</v>
      </c>
      <c r="AE345" s="107">
        <f>SUM(AE333:AE343)</f>
        <v>0</v>
      </c>
      <c r="AF345" s="107">
        <f>SUM(AF333:AF343)</f>
        <v>46.802</v>
      </c>
      <c r="AG345" s="107">
        <f>SUM(AG333:AG343)</f>
        <v>0</v>
      </c>
      <c r="AH345" s="100">
        <f>SUM(AH333:AH343)</f>
        <v>82.037999999999997</v>
      </c>
    </row>
    <row r="346" spans="1:34" ht="6" customHeight="1">
      <c r="A346" s="49"/>
      <c r="B346" s="49"/>
      <c r="C346" s="1"/>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1"/>
    </row>
    <row r="347" spans="1:34" ht="15">
      <c r="A347" s="3854" t="s">
        <v>411</v>
      </c>
      <c r="B347" s="3855"/>
      <c r="C347" s="3855"/>
      <c r="D347" s="3855"/>
      <c r="E347" s="3855"/>
      <c r="F347" s="3855"/>
      <c r="G347" s="3855"/>
      <c r="H347" s="3856"/>
      <c r="I347" s="3313"/>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row>
    <row r="348" spans="1:34" ht="15">
      <c r="A348" s="8" t="s">
        <v>142</v>
      </c>
      <c r="B348" s="8" t="s">
        <v>143</v>
      </c>
      <c r="C348" s="2907">
        <v>1</v>
      </c>
      <c r="D348" s="73">
        <v>2</v>
      </c>
      <c r="E348" s="73">
        <v>3</v>
      </c>
      <c r="F348" s="73">
        <v>4</v>
      </c>
      <c r="G348" s="73">
        <v>5</v>
      </c>
      <c r="H348" s="73">
        <v>6</v>
      </c>
      <c r="I348" s="73">
        <v>7</v>
      </c>
      <c r="J348" s="73">
        <v>8</v>
      </c>
      <c r="K348" s="73">
        <v>9</v>
      </c>
      <c r="L348" s="73">
        <v>10</v>
      </c>
      <c r="M348" s="73">
        <v>11</v>
      </c>
      <c r="N348" s="73">
        <v>12</v>
      </c>
      <c r="O348" s="73">
        <v>13</v>
      </c>
      <c r="P348" s="73">
        <v>14</v>
      </c>
      <c r="Q348" s="73">
        <v>15</v>
      </c>
      <c r="R348" s="73">
        <v>16</v>
      </c>
      <c r="S348" s="73">
        <v>17</v>
      </c>
      <c r="T348" s="73">
        <v>18</v>
      </c>
      <c r="U348" s="73">
        <v>19</v>
      </c>
      <c r="V348" s="73">
        <v>20</v>
      </c>
      <c r="W348" s="73">
        <v>21</v>
      </c>
      <c r="X348" s="73">
        <v>22</v>
      </c>
      <c r="Y348" s="73">
        <v>23</v>
      </c>
      <c r="Z348" s="73">
        <v>24</v>
      </c>
      <c r="AA348" s="73">
        <v>25</v>
      </c>
      <c r="AB348" s="73">
        <v>26</v>
      </c>
      <c r="AC348" s="73">
        <v>27</v>
      </c>
      <c r="AD348" s="73">
        <v>28</v>
      </c>
      <c r="AE348" s="73">
        <v>29</v>
      </c>
      <c r="AF348" s="73">
        <v>30</v>
      </c>
      <c r="AG348" s="73">
        <v>31</v>
      </c>
      <c r="AH348" s="88" t="s">
        <v>144</v>
      </c>
    </row>
    <row r="349" spans="1:34" ht="15">
      <c r="A349" s="427" t="s">
        <v>145</v>
      </c>
      <c r="B349" s="53">
        <f t="shared" ref="B349:B360" si="63">+AH349</f>
        <v>0</v>
      </c>
      <c r="C349" s="360" t="s">
        <v>311</v>
      </c>
      <c r="D349" s="360" t="s">
        <v>311</v>
      </c>
      <c r="E349" s="360" t="s">
        <v>311</v>
      </c>
      <c r="F349" s="360" t="s">
        <v>311</v>
      </c>
      <c r="G349" s="360" t="s">
        <v>311</v>
      </c>
      <c r="H349" s="360" t="s">
        <v>311</v>
      </c>
      <c r="I349" s="360" t="s">
        <v>311</v>
      </c>
      <c r="J349" s="360" t="s">
        <v>311</v>
      </c>
      <c r="K349" s="360" t="s">
        <v>311</v>
      </c>
      <c r="L349" s="360" t="s">
        <v>311</v>
      </c>
      <c r="M349" s="360" t="s">
        <v>311</v>
      </c>
      <c r="N349" s="360" t="s">
        <v>311</v>
      </c>
      <c r="O349" s="360" t="s">
        <v>311</v>
      </c>
      <c r="P349" s="360" t="s">
        <v>311</v>
      </c>
      <c r="Q349" s="360" t="s">
        <v>311</v>
      </c>
      <c r="R349" s="360" t="s">
        <v>311</v>
      </c>
      <c r="S349" s="360" t="s">
        <v>311</v>
      </c>
      <c r="T349" s="360" t="s">
        <v>311</v>
      </c>
      <c r="U349" s="360" t="s">
        <v>311</v>
      </c>
      <c r="V349" s="360" t="s">
        <v>311</v>
      </c>
      <c r="W349" s="360" t="s">
        <v>311</v>
      </c>
      <c r="X349" s="360" t="s">
        <v>311</v>
      </c>
      <c r="Y349" s="360" t="s">
        <v>311</v>
      </c>
      <c r="Z349" s="360" t="s">
        <v>311</v>
      </c>
      <c r="AA349" s="360" t="s">
        <v>311</v>
      </c>
      <c r="AB349" s="360" t="s">
        <v>311</v>
      </c>
      <c r="AC349" s="360" t="s">
        <v>311</v>
      </c>
      <c r="AD349" s="360" t="s">
        <v>311</v>
      </c>
      <c r="AE349" s="360" t="s">
        <v>311</v>
      </c>
      <c r="AF349" s="360" t="s">
        <v>311</v>
      </c>
      <c r="AG349" s="360" t="s">
        <v>311</v>
      </c>
      <c r="AH349" s="107">
        <f>SUM(C349:AG349)</f>
        <v>0</v>
      </c>
    </row>
    <row r="350" spans="1:34" ht="15">
      <c r="A350" s="427" t="s">
        <v>146</v>
      </c>
      <c r="B350" s="53">
        <f t="shared" si="63"/>
        <v>0</v>
      </c>
      <c r="C350" s="360" t="s">
        <v>311</v>
      </c>
      <c r="D350" s="360" t="s">
        <v>311</v>
      </c>
      <c r="E350" s="360" t="s">
        <v>311</v>
      </c>
      <c r="F350" s="360" t="s">
        <v>311</v>
      </c>
      <c r="G350" s="360" t="s">
        <v>311</v>
      </c>
      <c r="H350" s="360" t="s">
        <v>311</v>
      </c>
      <c r="I350" s="360" t="s">
        <v>311</v>
      </c>
      <c r="J350" s="361"/>
      <c r="K350" s="361"/>
      <c r="L350" s="361"/>
      <c r="M350" s="361"/>
      <c r="N350" s="361"/>
      <c r="O350" s="361"/>
      <c r="P350" s="361"/>
      <c r="Q350" s="361"/>
      <c r="R350" s="361"/>
      <c r="S350" s="361"/>
      <c r="T350" s="361"/>
      <c r="U350" s="361"/>
      <c r="V350" s="361"/>
      <c r="W350" s="361"/>
      <c r="X350" s="361"/>
      <c r="Y350" s="361"/>
      <c r="Z350" s="361"/>
      <c r="AA350" s="361"/>
      <c r="AB350" s="361"/>
      <c r="AC350" s="361"/>
      <c r="AD350" s="361"/>
      <c r="AE350" s="361"/>
      <c r="AF350" s="361"/>
      <c r="AG350" s="361"/>
      <c r="AH350" s="107">
        <f t="shared" ref="AH350:AH360" si="64">SUM(C350:AG350)</f>
        <v>0</v>
      </c>
    </row>
    <row r="351" spans="1:34" ht="15">
      <c r="A351" s="427" t="s">
        <v>147</v>
      </c>
      <c r="B351" s="53">
        <f t="shared" si="63"/>
        <v>0</v>
      </c>
      <c r="C351" s="361"/>
      <c r="D351" s="361"/>
      <c r="E351" s="361"/>
      <c r="F351" s="361"/>
      <c r="G351" s="361"/>
      <c r="H351" s="306"/>
      <c r="I351" s="306"/>
      <c r="J351" s="306"/>
      <c r="K351" s="306"/>
      <c r="L351" s="306"/>
      <c r="M351" s="306"/>
      <c r="N351" s="306"/>
      <c r="O351" s="306"/>
      <c r="P351" s="306"/>
      <c r="Q351" s="306"/>
      <c r="R351" s="306"/>
      <c r="S351" s="306"/>
      <c r="T351" s="306"/>
      <c r="U351" s="306"/>
      <c r="V351" s="306"/>
      <c r="W351" s="306"/>
      <c r="X351" s="306"/>
      <c r="Y351" s="306"/>
      <c r="Z351" s="306"/>
      <c r="AA351" s="306"/>
      <c r="AB351" s="306"/>
      <c r="AC351" s="360" t="s">
        <v>311</v>
      </c>
      <c r="AD351" s="360" t="s">
        <v>311</v>
      </c>
      <c r="AE351" s="360" t="s">
        <v>311</v>
      </c>
      <c r="AF351" s="360" t="s">
        <v>311</v>
      </c>
      <c r="AG351" s="360" t="s">
        <v>311</v>
      </c>
      <c r="AH351" s="107">
        <f t="shared" si="64"/>
        <v>0</v>
      </c>
    </row>
    <row r="352" spans="1:34" ht="15">
      <c r="A352" s="427" t="s">
        <v>148</v>
      </c>
      <c r="B352" s="53">
        <f t="shared" si="63"/>
        <v>0</v>
      </c>
      <c r="C352" s="360" t="s">
        <v>311</v>
      </c>
      <c r="D352" s="360" t="s">
        <v>311</v>
      </c>
      <c r="E352" s="360" t="s">
        <v>311</v>
      </c>
      <c r="F352" s="360" t="s">
        <v>311</v>
      </c>
      <c r="G352" s="360" t="s">
        <v>311</v>
      </c>
      <c r="H352" s="360" t="s">
        <v>311</v>
      </c>
      <c r="I352" s="360" t="s">
        <v>311</v>
      </c>
      <c r="J352" s="360" t="s">
        <v>311</v>
      </c>
      <c r="K352" s="360" t="s">
        <v>311</v>
      </c>
      <c r="L352" s="306"/>
      <c r="M352" s="306"/>
      <c r="N352" s="306"/>
      <c r="O352" s="306"/>
      <c r="P352" s="306"/>
      <c r="Q352" s="306"/>
      <c r="R352" s="306"/>
      <c r="S352" s="306"/>
      <c r="T352" s="306"/>
      <c r="U352" s="306"/>
      <c r="V352" s="306"/>
      <c r="W352" s="306"/>
      <c r="X352" s="306"/>
      <c r="Y352" s="306"/>
      <c r="Z352" s="306"/>
      <c r="AA352" s="306"/>
      <c r="AB352" s="306"/>
      <c r="AC352" s="306"/>
      <c r="AD352" s="306"/>
      <c r="AE352" s="306"/>
      <c r="AF352" s="306"/>
      <c r="AG352" s="306"/>
      <c r="AH352" s="107">
        <f t="shared" si="64"/>
        <v>0</v>
      </c>
    </row>
    <row r="353" spans="1:34" ht="15">
      <c r="A353" s="414" t="s">
        <v>149</v>
      </c>
      <c r="B353" s="53">
        <f t="shared" si="63"/>
        <v>0</v>
      </c>
      <c r="C353" s="103"/>
      <c r="D353" s="53"/>
      <c r="E353" s="53"/>
      <c r="F353" s="53"/>
      <c r="G353" s="53"/>
      <c r="H353" s="53"/>
      <c r="I353" s="53"/>
      <c r="J353" s="53"/>
      <c r="K353" s="53"/>
      <c r="L353" s="53"/>
      <c r="M353" s="53"/>
      <c r="N353" s="53"/>
      <c r="O353" s="53"/>
      <c r="P353" s="53"/>
      <c r="Q353" s="53"/>
      <c r="R353" s="53"/>
      <c r="S353" s="53"/>
      <c r="T353" s="53"/>
      <c r="U353" s="53"/>
      <c r="V353" s="53"/>
      <c r="W353" s="53"/>
      <c r="X353" s="53"/>
      <c r="Y353" s="53"/>
      <c r="Z353" s="53"/>
      <c r="AA353" s="53"/>
      <c r="AB353" s="53"/>
      <c r="AC353" s="53"/>
      <c r="AD353" s="53"/>
      <c r="AE353" s="53"/>
      <c r="AF353" s="53"/>
      <c r="AG353" s="53"/>
      <c r="AH353" s="107">
        <f t="shared" si="64"/>
        <v>0</v>
      </c>
    </row>
    <row r="354" spans="1:34" ht="15">
      <c r="A354" s="414" t="s">
        <v>150</v>
      </c>
      <c r="B354" s="53">
        <f t="shared" si="63"/>
        <v>0</v>
      </c>
      <c r="C354" s="103"/>
      <c r="D354" s="53"/>
      <c r="E354" s="53"/>
      <c r="F354" s="53"/>
      <c r="G354" s="53"/>
      <c r="H354" s="188" t="s">
        <v>318</v>
      </c>
      <c r="I354" s="188" t="s">
        <v>318</v>
      </c>
      <c r="J354" s="188" t="s">
        <v>318</v>
      </c>
      <c r="K354" s="188" t="s">
        <v>318</v>
      </c>
      <c r="L354" s="188" t="s">
        <v>318</v>
      </c>
      <c r="M354" s="188" t="s">
        <v>318</v>
      </c>
      <c r="N354" s="188" t="s">
        <v>318</v>
      </c>
      <c r="O354" s="188" t="s">
        <v>318</v>
      </c>
      <c r="P354" s="188" t="s">
        <v>318</v>
      </c>
      <c r="Q354" s="188" t="s">
        <v>318</v>
      </c>
      <c r="R354" s="188" t="s">
        <v>318</v>
      </c>
      <c r="S354" s="188" t="s">
        <v>318</v>
      </c>
      <c r="T354" s="188" t="s">
        <v>318</v>
      </c>
      <c r="U354" s="188" t="s">
        <v>318</v>
      </c>
      <c r="V354" s="188" t="s">
        <v>318</v>
      </c>
      <c r="W354" s="188" t="s">
        <v>318</v>
      </c>
      <c r="X354" s="188" t="s">
        <v>318</v>
      </c>
      <c r="Y354" s="53"/>
      <c r="Z354" s="53"/>
      <c r="AA354" s="53"/>
      <c r="AB354" s="53"/>
      <c r="AC354" s="53"/>
      <c r="AD354" s="53"/>
      <c r="AE354" s="53"/>
      <c r="AF354" s="53"/>
      <c r="AG354" s="53"/>
      <c r="AH354" s="107">
        <f t="shared" si="64"/>
        <v>0</v>
      </c>
    </row>
    <row r="355" spans="1:34" ht="15">
      <c r="A355" s="414" t="s">
        <v>151</v>
      </c>
      <c r="B355" s="53">
        <f t="shared" si="63"/>
        <v>0</v>
      </c>
      <c r="C355" s="103"/>
      <c r="D355" s="107"/>
      <c r="E355" s="107"/>
      <c r="F355" s="107"/>
      <c r="G355" s="53"/>
      <c r="H355" s="53"/>
      <c r="I355" s="53"/>
      <c r="J355" s="111"/>
      <c r="K355" s="111"/>
      <c r="L355" s="107"/>
      <c r="M355" s="107"/>
      <c r="N355" s="107"/>
      <c r="O355" s="107"/>
      <c r="P355" s="107"/>
      <c r="Q355" s="107"/>
      <c r="R355" s="107"/>
      <c r="S355" s="107"/>
      <c r="T355" s="107"/>
      <c r="U355" s="107"/>
      <c r="V355" s="107"/>
      <c r="W355" s="107"/>
      <c r="X355" s="107"/>
      <c r="Y355" s="107"/>
      <c r="Z355" s="107"/>
      <c r="AA355" s="107"/>
      <c r="AB355" s="107"/>
      <c r="AC355" s="107"/>
      <c r="AD355" s="107"/>
      <c r="AE355" s="107"/>
      <c r="AF355" s="107"/>
      <c r="AG355" s="107"/>
      <c r="AH355" s="107">
        <f t="shared" si="64"/>
        <v>0</v>
      </c>
    </row>
    <row r="356" spans="1:34" ht="15">
      <c r="A356" s="414" t="s">
        <v>152</v>
      </c>
      <c r="B356" s="53">
        <f t="shared" si="63"/>
        <v>0</v>
      </c>
      <c r="C356" s="103"/>
      <c r="D356" s="53"/>
      <c r="E356" s="53"/>
      <c r="F356" s="53"/>
      <c r="G356" s="53"/>
      <c r="H356" s="53"/>
      <c r="I356" s="53"/>
      <c r="J356" s="188" t="s">
        <v>318</v>
      </c>
      <c r="K356" s="188" t="s">
        <v>318</v>
      </c>
      <c r="L356" s="188" t="s">
        <v>318</v>
      </c>
      <c r="M356" s="188" t="s">
        <v>318</v>
      </c>
      <c r="N356" s="188" t="s">
        <v>318</v>
      </c>
      <c r="O356" s="188" t="s">
        <v>318</v>
      </c>
      <c r="P356" s="188" t="s">
        <v>318</v>
      </c>
      <c r="Q356" s="188" t="s">
        <v>318</v>
      </c>
      <c r="R356" s="188" t="s">
        <v>318</v>
      </c>
      <c r="S356" s="188" t="s">
        <v>318</v>
      </c>
      <c r="T356" s="188" t="s">
        <v>318</v>
      </c>
      <c r="U356" s="188" t="s">
        <v>318</v>
      </c>
      <c r="V356" s="188" t="s">
        <v>318</v>
      </c>
      <c r="W356" s="188" t="s">
        <v>318</v>
      </c>
      <c r="X356" s="188" t="s">
        <v>318</v>
      </c>
      <c r="Y356" s="188" t="s">
        <v>318</v>
      </c>
      <c r="Z356" s="188" t="s">
        <v>318</v>
      </c>
      <c r="AA356" s="188" t="s">
        <v>318</v>
      </c>
      <c r="AB356" s="188" t="s">
        <v>318</v>
      </c>
      <c r="AC356" s="188" t="s">
        <v>318</v>
      </c>
      <c r="AD356" s="188" t="s">
        <v>318</v>
      </c>
      <c r="AE356" s="188" t="s">
        <v>318</v>
      </c>
      <c r="AF356" s="188" t="s">
        <v>318</v>
      </c>
      <c r="AG356" s="188" t="s">
        <v>318</v>
      </c>
      <c r="AH356" s="107">
        <f t="shared" si="64"/>
        <v>0</v>
      </c>
    </row>
    <row r="357" spans="1:34" ht="15">
      <c r="A357" s="428" t="s">
        <v>153</v>
      </c>
      <c r="B357" s="53">
        <f t="shared" si="63"/>
        <v>0</v>
      </c>
      <c r="C357" s="188" t="s">
        <v>318</v>
      </c>
      <c r="D357" s="188" t="s">
        <v>318</v>
      </c>
      <c r="E357" s="188" t="s">
        <v>318</v>
      </c>
      <c r="F357" s="188" t="s">
        <v>318</v>
      </c>
      <c r="G357" s="188" t="s">
        <v>318</v>
      </c>
      <c r="H357" s="188" t="s">
        <v>318</v>
      </c>
      <c r="I357" s="188" t="s">
        <v>318</v>
      </c>
      <c r="J357" s="188" t="s">
        <v>318</v>
      </c>
      <c r="K357" s="188" t="s">
        <v>318</v>
      </c>
      <c r="L357" s="188" t="s">
        <v>318</v>
      </c>
      <c r="M357" s="188" t="s">
        <v>318</v>
      </c>
      <c r="N357" s="188" t="s">
        <v>318</v>
      </c>
      <c r="O357" s="188" t="s">
        <v>318</v>
      </c>
      <c r="P357" s="188" t="s">
        <v>318</v>
      </c>
      <c r="Q357" s="188" t="s">
        <v>318</v>
      </c>
      <c r="R357" s="188" t="s">
        <v>318</v>
      </c>
      <c r="S357" s="188" t="s">
        <v>318</v>
      </c>
      <c r="T357" s="188" t="s">
        <v>318</v>
      </c>
      <c r="U357" s="188" t="s">
        <v>318</v>
      </c>
      <c r="V357" s="188" t="s">
        <v>318</v>
      </c>
      <c r="W357" s="188" t="s">
        <v>318</v>
      </c>
      <c r="X357" s="188" t="s">
        <v>318</v>
      </c>
      <c r="Y357" s="188" t="s">
        <v>318</v>
      </c>
      <c r="Z357" s="188" t="s">
        <v>318</v>
      </c>
      <c r="AA357" s="188" t="s">
        <v>318</v>
      </c>
      <c r="AB357" s="188" t="s">
        <v>318</v>
      </c>
      <c r="AC357" s="188" t="s">
        <v>318</v>
      </c>
      <c r="AD357" s="188" t="s">
        <v>318</v>
      </c>
      <c r="AE357" s="188" t="s">
        <v>318</v>
      </c>
      <c r="AF357" s="188" t="s">
        <v>318</v>
      </c>
      <c r="AG357" s="188" t="s">
        <v>318</v>
      </c>
      <c r="AH357" s="107">
        <f t="shared" si="64"/>
        <v>0</v>
      </c>
    </row>
    <row r="358" spans="1:34" ht="15">
      <c r="A358" s="428" t="s">
        <v>154</v>
      </c>
      <c r="B358" s="53">
        <f t="shared" si="63"/>
        <v>0</v>
      </c>
      <c r="C358" s="188" t="s">
        <v>318</v>
      </c>
      <c r="D358" s="188" t="s">
        <v>318</v>
      </c>
      <c r="E358" s="188" t="s">
        <v>318</v>
      </c>
      <c r="F358" s="188" t="s">
        <v>318</v>
      </c>
      <c r="G358" s="188" t="s">
        <v>318</v>
      </c>
      <c r="H358" s="188" t="s">
        <v>318</v>
      </c>
      <c r="I358" s="188" t="s">
        <v>318</v>
      </c>
      <c r="J358" s="188" t="s">
        <v>318</v>
      </c>
      <c r="K358" s="188" t="s">
        <v>318</v>
      </c>
      <c r="L358" s="188" t="s">
        <v>318</v>
      </c>
      <c r="M358" s="188" t="s">
        <v>318</v>
      </c>
      <c r="N358" s="188" t="s">
        <v>318</v>
      </c>
      <c r="O358" s="188" t="s">
        <v>318</v>
      </c>
      <c r="P358" s="188" t="s">
        <v>318</v>
      </c>
      <c r="Q358" s="188" t="s">
        <v>318</v>
      </c>
      <c r="R358" s="188" t="s">
        <v>318</v>
      </c>
      <c r="S358" s="188" t="s">
        <v>318</v>
      </c>
      <c r="T358" s="188" t="s">
        <v>318</v>
      </c>
      <c r="U358" s="188" t="s">
        <v>318</v>
      </c>
      <c r="V358" s="188" t="s">
        <v>318</v>
      </c>
      <c r="W358" s="188" t="s">
        <v>318</v>
      </c>
      <c r="X358" s="53"/>
      <c r="Y358" s="53"/>
      <c r="Z358" s="53"/>
      <c r="AA358" s="53"/>
      <c r="AB358" s="53"/>
      <c r="AC358" s="53"/>
      <c r="AD358" s="53"/>
      <c r="AE358" s="107"/>
      <c r="AF358" s="53"/>
      <c r="AG358" s="107"/>
      <c r="AH358" s="107">
        <f t="shared" si="64"/>
        <v>0</v>
      </c>
    </row>
    <row r="359" spans="1:34" ht="15">
      <c r="A359" s="428" t="s">
        <v>155</v>
      </c>
      <c r="B359" s="53">
        <f t="shared" si="63"/>
        <v>0</v>
      </c>
      <c r="C359" s="103"/>
      <c r="D359" s="53"/>
      <c r="E359" s="53"/>
      <c r="F359" s="53"/>
      <c r="G359" s="14"/>
      <c r="H359" s="53"/>
      <c r="I359" s="53"/>
      <c r="J359" s="53"/>
      <c r="K359" s="53"/>
      <c r="L359" s="53"/>
      <c r="M359" s="53"/>
      <c r="N359" s="53"/>
      <c r="O359" s="53"/>
      <c r="P359" s="53"/>
      <c r="Q359" s="53"/>
      <c r="R359" s="53"/>
      <c r="S359" s="53"/>
      <c r="T359" s="53"/>
      <c r="U359" s="53"/>
      <c r="V359" s="53"/>
      <c r="W359" s="53"/>
      <c r="X359" s="53"/>
      <c r="Y359" s="14"/>
      <c r="Z359" s="53"/>
      <c r="AA359" s="53"/>
      <c r="AB359" s="53"/>
      <c r="AC359" s="53"/>
      <c r="AD359" s="53"/>
      <c r="AE359" s="107"/>
      <c r="AF359" s="53"/>
      <c r="AG359" s="107"/>
      <c r="AH359" s="107">
        <f t="shared" si="64"/>
        <v>0</v>
      </c>
    </row>
    <row r="360" spans="1:34" ht="15">
      <c r="A360" s="428" t="s">
        <v>156</v>
      </c>
      <c r="B360" s="53">
        <f t="shared" si="63"/>
        <v>0</v>
      </c>
      <c r="C360" s="103"/>
      <c r="D360" s="53"/>
      <c r="E360" s="53"/>
      <c r="F360" s="53"/>
      <c r="G360" s="53"/>
      <c r="H360" s="53"/>
      <c r="I360" s="53"/>
      <c r="J360" s="53"/>
      <c r="K360" s="53"/>
      <c r="L360" s="53"/>
      <c r="M360" s="53"/>
      <c r="N360" s="53"/>
      <c r="O360" s="53"/>
      <c r="P360" s="3027">
        <v>0</v>
      </c>
      <c r="Q360" s="3027">
        <v>0</v>
      </c>
      <c r="R360" s="3027">
        <v>0</v>
      </c>
      <c r="S360" s="3027">
        <v>0</v>
      </c>
      <c r="T360" s="3027">
        <v>0</v>
      </c>
      <c r="U360" s="3027">
        <v>0</v>
      </c>
      <c r="V360" s="3027">
        <v>0</v>
      </c>
      <c r="W360" s="3027">
        <v>0</v>
      </c>
      <c r="X360" s="3027">
        <v>0</v>
      </c>
      <c r="Y360" s="3027">
        <v>0</v>
      </c>
      <c r="Z360" s="3027">
        <v>0</v>
      </c>
      <c r="AA360" s="3027">
        <v>0</v>
      </c>
      <c r="AB360" s="3027">
        <v>0</v>
      </c>
      <c r="AC360" s="3027">
        <v>0</v>
      </c>
      <c r="AD360" s="3027">
        <v>0</v>
      </c>
      <c r="AE360" s="3027">
        <v>0</v>
      </c>
      <c r="AF360" s="3027">
        <v>0</v>
      </c>
      <c r="AG360" s="3027">
        <v>0</v>
      </c>
      <c r="AH360" s="107">
        <f t="shared" si="64"/>
        <v>0</v>
      </c>
    </row>
    <row r="361" spans="1:34" ht="15">
      <c r="A361" s="199" t="s">
        <v>144</v>
      </c>
      <c r="B361" s="200">
        <f>SUM(B349:B360)</f>
        <v>0</v>
      </c>
      <c r="C361" s="100">
        <f>SUM(C349:C359)</f>
        <v>0</v>
      </c>
      <c r="D361" s="107">
        <f>SUM(D349:D359)</f>
        <v>0</v>
      </c>
      <c r="E361" s="107">
        <v>0</v>
      </c>
      <c r="F361" s="107">
        <f t="shared" ref="F361:AC361" si="65">SUM(F349:F359)</f>
        <v>0</v>
      </c>
      <c r="G361" s="107">
        <f t="shared" si="65"/>
        <v>0</v>
      </c>
      <c r="H361" s="107">
        <f t="shared" si="65"/>
        <v>0</v>
      </c>
      <c r="I361" s="107">
        <f t="shared" si="65"/>
        <v>0</v>
      </c>
      <c r="J361" s="107">
        <f t="shared" si="65"/>
        <v>0</v>
      </c>
      <c r="K361" s="107">
        <f t="shared" si="65"/>
        <v>0</v>
      </c>
      <c r="L361" s="107">
        <f t="shared" si="65"/>
        <v>0</v>
      </c>
      <c r="M361" s="107">
        <f t="shared" si="65"/>
        <v>0</v>
      </c>
      <c r="N361" s="107">
        <f t="shared" si="65"/>
        <v>0</v>
      </c>
      <c r="O361" s="107">
        <f t="shared" si="65"/>
        <v>0</v>
      </c>
      <c r="P361" s="107">
        <f t="shared" si="65"/>
        <v>0</v>
      </c>
      <c r="Q361" s="107">
        <f t="shared" si="65"/>
        <v>0</v>
      </c>
      <c r="R361" s="107">
        <f t="shared" si="65"/>
        <v>0</v>
      </c>
      <c r="S361" s="107">
        <f t="shared" si="65"/>
        <v>0</v>
      </c>
      <c r="T361" s="107">
        <f t="shared" si="65"/>
        <v>0</v>
      </c>
      <c r="U361" s="107">
        <f t="shared" si="65"/>
        <v>0</v>
      </c>
      <c r="V361" s="107">
        <f t="shared" si="65"/>
        <v>0</v>
      </c>
      <c r="W361" s="107">
        <f t="shared" si="65"/>
        <v>0</v>
      </c>
      <c r="X361" s="107">
        <f t="shared" si="65"/>
        <v>0</v>
      </c>
      <c r="Y361" s="107">
        <f t="shared" si="65"/>
        <v>0</v>
      </c>
      <c r="Z361" s="107">
        <f t="shared" si="65"/>
        <v>0</v>
      </c>
      <c r="AA361" s="107">
        <f t="shared" si="65"/>
        <v>0</v>
      </c>
      <c r="AB361" s="107">
        <f t="shared" si="65"/>
        <v>0</v>
      </c>
      <c r="AC361" s="107">
        <f t="shared" si="65"/>
        <v>0</v>
      </c>
      <c r="AD361" s="107">
        <v>0</v>
      </c>
      <c r="AE361" s="107">
        <f>SUM(AE349:AE359)</f>
        <v>0</v>
      </c>
      <c r="AF361" s="107">
        <f>SUM(AF349:AF359)</f>
        <v>0</v>
      </c>
      <c r="AG361" s="107">
        <f>SUM(AG349:AG359)</f>
        <v>0</v>
      </c>
      <c r="AH361" s="100">
        <f>SUM(AH349:AH359)</f>
        <v>0</v>
      </c>
    </row>
    <row r="362" spans="1:34" ht="6.75" customHeight="1">
      <c r="A362" s="49"/>
      <c r="B362" s="49"/>
      <c r="C362" s="1"/>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c r="AG362" s="14"/>
      <c r="AH362" s="1"/>
    </row>
    <row r="363" spans="1:34" ht="15">
      <c r="A363" s="3854" t="s">
        <v>413</v>
      </c>
      <c r="B363" s="3855"/>
      <c r="C363" s="3855"/>
      <c r="D363" s="3855"/>
      <c r="E363" s="3855"/>
      <c r="F363" s="3855"/>
      <c r="G363" s="3855"/>
      <c r="H363" s="3856"/>
      <c r="I363" s="3313"/>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c r="AG363" s="14"/>
      <c r="AH363" s="14"/>
    </row>
    <row r="364" spans="1:34" ht="15">
      <c r="A364" s="8" t="s">
        <v>142</v>
      </c>
      <c r="B364" s="8" t="s">
        <v>143</v>
      </c>
      <c r="C364" s="2907">
        <v>1</v>
      </c>
      <c r="D364" s="73">
        <v>2</v>
      </c>
      <c r="E364" s="73">
        <v>3</v>
      </c>
      <c r="F364" s="73">
        <v>4</v>
      </c>
      <c r="G364" s="73">
        <v>5</v>
      </c>
      <c r="H364" s="73">
        <v>6</v>
      </c>
      <c r="I364" s="73">
        <v>7</v>
      </c>
      <c r="J364" s="73">
        <v>8</v>
      </c>
      <c r="K364" s="73">
        <v>9</v>
      </c>
      <c r="L364" s="73">
        <v>10</v>
      </c>
      <c r="M364" s="73">
        <v>11</v>
      </c>
      <c r="N364" s="73">
        <v>12</v>
      </c>
      <c r="O364" s="73">
        <v>13</v>
      </c>
      <c r="P364" s="73">
        <v>14</v>
      </c>
      <c r="Q364" s="73">
        <v>15</v>
      </c>
      <c r="R364" s="73">
        <v>16</v>
      </c>
      <c r="S364" s="73">
        <v>17</v>
      </c>
      <c r="T364" s="73">
        <v>18</v>
      </c>
      <c r="U364" s="73">
        <v>19</v>
      </c>
      <c r="V364" s="73">
        <v>20</v>
      </c>
      <c r="W364" s="73">
        <v>21</v>
      </c>
      <c r="X364" s="73">
        <v>22</v>
      </c>
      <c r="Y364" s="73">
        <v>23</v>
      </c>
      <c r="Z364" s="73">
        <v>24</v>
      </c>
      <c r="AA364" s="73">
        <v>25</v>
      </c>
      <c r="AB364" s="73">
        <v>26</v>
      </c>
      <c r="AC364" s="73">
        <v>27</v>
      </c>
      <c r="AD364" s="73">
        <v>28</v>
      </c>
      <c r="AE364" s="73">
        <v>29</v>
      </c>
      <c r="AF364" s="73">
        <v>30</v>
      </c>
      <c r="AG364" s="73">
        <v>31</v>
      </c>
      <c r="AH364" s="88" t="s">
        <v>144</v>
      </c>
    </row>
    <row r="365" spans="1:34" ht="15">
      <c r="A365" s="427" t="s">
        <v>145</v>
      </c>
      <c r="B365" s="53">
        <f t="shared" ref="B365:B376" si="66">+AH365</f>
        <v>0</v>
      </c>
      <c r="C365" s="360" t="s">
        <v>311</v>
      </c>
      <c r="D365" s="360" t="s">
        <v>311</v>
      </c>
      <c r="E365" s="360" t="s">
        <v>311</v>
      </c>
      <c r="F365" s="360" t="s">
        <v>311</v>
      </c>
      <c r="G365" s="360" t="s">
        <v>311</v>
      </c>
      <c r="H365" s="360" t="s">
        <v>311</v>
      </c>
      <c r="I365" s="360" t="s">
        <v>311</v>
      </c>
      <c r="J365" s="360" t="s">
        <v>311</v>
      </c>
      <c r="K365" s="360" t="s">
        <v>311</v>
      </c>
      <c r="L365" s="360" t="s">
        <v>311</v>
      </c>
      <c r="M365" s="360" t="s">
        <v>311</v>
      </c>
      <c r="N365" s="360" t="s">
        <v>311</v>
      </c>
      <c r="O365" s="360" t="s">
        <v>311</v>
      </c>
      <c r="P365" s="360" t="s">
        <v>311</v>
      </c>
      <c r="Q365" s="360" t="s">
        <v>311</v>
      </c>
      <c r="R365" s="360" t="s">
        <v>311</v>
      </c>
      <c r="S365" s="360" t="s">
        <v>311</v>
      </c>
      <c r="T365" s="360" t="s">
        <v>311</v>
      </c>
      <c r="U365" s="360" t="s">
        <v>311</v>
      </c>
      <c r="V365" s="360" t="s">
        <v>311</v>
      </c>
      <c r="W365" s="360" t="s">
        <v>311</v>
      </c>
      <c r="X365" s="360" t="s">
        <v>311</v>
      </c>
      <c r="Y365" s="360" t="s">
        <v>311</v>
      </c>
      <c r="Z365" s="360" t="s">
        <v>311</v>
      </c>
      <c r="AA365" s="360" t="s">
        <v>311</v>
      </c>
      <c r="AB365" s="360" t="s">
        <v>311</v>
      </c>
      <c r="AC365" s="360" t="s">
        <v>311</v>
      </c>
      <c r="AD365" s="360" t="s">
        <v>311</v>
      </c>
      <c r="AE365" s="360" t="s">
        <v>311</v>
      </c>
      <c r="AF365" s="360" t="s">
        <v>311</v>
      </c>
      <c r="AG365" s="360" t="s">
        <v>311</v>
      </c>
      <c r="AH365" s="107">
        <f>SUM(C365:AG365)</f>
        <v>0</v>
      </c>
    </row>
    <row r="366" spans="1:34" ht="15">
      <c r="A366" s="427" t="s">
        <v>146</v>
      </c>
      <c r="B366" s="53">
        <f t="shared" si="66"/>
        <v>0</v>
      </c>
      <c r="C366" s="360" t="s">
        <v>311</v>
      </c>
      <c r="D366" s="360" t="s">
        <v>311</v>
      </c>
      <c r="E366" s="360" t="s">
        <v>311</v>
      </c>
      <c r="F366" s="360" t="s">
        <v>311</v>
      </c>
      <c r="G366" s="360" t="s">
        <v>311</v>
      </c>
      <c r="H366" s="360" t="s">
        <v>311</v>
      </c>
      <c r="I366" s="360" t="s">
        <v>311</v>
      </c>
      <c r="J366" s="361"/>
      <c r="K366" s="361"/>
      <c r="L366" s="361"/>
      <c r="M366" s="361"/>
      <c r="N366" s="361"/>
      <c r="O366" s="361"/>
      <c r="P366" s="361"/>
      <c r="Q366" s="361"/>
      <c r="R366" s="361"/>
      <c r="S366" s="361"/>
      <c r="T366" s="361"/>
      <c r="U366" s="361"/>
      <c r="V366" s="361"/>
      <c r="W366" s="361"/>
      <c r="X366" s="361"/>
      <c r="Y366" s="361"/>
      <c r="Z366" s="361"/>
      <c r="AA366" s="361"/>
      <c r="AB366" s="361"/>
      <c r="AC366" s="361"/>
      <c r="AD366" s="361"/>
      <c r="AE366" s="361"/>
      <c r="AF366" s="361"/>
      <c r="AG366" s="361"/>
      <c r="AH366" s="107">
        <f t="shared" ref="AH366:AH376" si="67">SUM(C366:AG366)</f>
        <v>0</v>
      </c>
    </row>
    <row r="367" spans="1:34" ht="15">
      <c r="A367" s="427" t="s">
        <v>147</v>
      </c>
      <c r="B367" s="53">
        <f t="shared" si="66"/>
        <v>0</v>
      </c>
      <c r="C367" s="361"/>
      <c r="D367" s="361"/>
      <c r="E367" s="361"/>
      <c r="F367" s="361"/>
      <c r="G367" s="361"/>
      <c r="H367" s="306"/>
      <c r="I367" s="306"/>
      <c r="J367" s="306"/>
      <c r="K367" s="306"/>
      <c r="L367" s="306"/>
      <c r="M367" s="306"/>
      <c r="N367" s="306"/>
      <c r="O367" s="306"/>
      <c r="P367" s="306"/>
      <c r="Q367" s="306"/>
      <c r="R367" s="306"/>
      <c r="S367" s="306"/>
      <c r="T367" s="306"/>
      <c r="U367" s="306"/>
      <c r="V367" s="306"/>
      <c r="W367" s="306"/>
      <c r="X367" s="306"/>
      <c r="Y367" s="306"/>
      <c r="Z367" s="306"/>
      <c r="AA367" s="306"/>
      <c r="AB367" s="306"/>
      <c r="AC367" s="360" t="s">
        <v>311</v>
      </c>
      <c r="AD367" s="360" t="s">
        <v>311</v>
      </c>
      <c r="AE367" s="360" t="s">
        <v>311</v>
      </c>
      <c r="AF367" s="360" t="s">
        <v>311</v>
      </c>
      <c r="AG367" s="360" t="s">
        <v>311</v>
      </c>
      <c r="AH367" s="107">
        <f t="shared" si="67"/>
        <v>0</v>
      </c>
    </row>
    <row r="368" spans="1:34" ht="15">
      <c r="A368" s="427" t="s">
        <v>148</v>
      </c>
      <c r="B368" s="53">
        <f t="shared" si="66"/>
        <v>0</v>
      </c>
      <c r="C368" s="360" t="s">
        <v>311</v>
      </c>
      <c r="D368" s="360" t="s">
        <v>311</v>
      </c>
      <c r="E368" s="360" t="s">
        <v>311</v>
      </c>
      <c r="F368" s="360" t="s">
        <v>311</v>
      </c>
      <c r="G368" s="360" t="s">
        <v>311</v>
      </c>
      <c r="H368" s="360" t="s">
        <v>311</v>
      </c>
      <c r="I368" s="360" t="s">
        <v>311</v>
      </c>
      <c r="J368" s="360" t="s">
        <v>311</v>
      </c>
      <c r="K368" s="360" t="s">
        <v>311</v>
      </c>
      <c r="L368" s="306"/>
      <c r="M368" s="306"/>
      <c r="N368" s="306"/>
      <c r="O368" s="306"/>
      <c r="P368" s="306"/>
      <c r="Q368" s="306"/>
      <c r="R368" s="306"/>
      <c r="S368" s="306"/>
      <c r="T368" s="306"/>
      <c r="U368" s="306"/>
      <c r="V368" s="306"/>
      <c r="W368" s="306"/>
      <c r="X368" s="306"/>
      <c r="Y368" s="306"/>
      <c r="Z368" s="306"/>
      <c r="AA368" s="306"/>
      <c r="AB368" s="306"/>
      <c r="AC368" s="306"/>
      <c r="AD368" s="306"/>
      <c r="AE368" s="306"/>
      <c r="AF368" s="306"/>
      <c r="AG368" s="306"/>
      <c r="AH368" s="107">
        <f t="shared" si="67"/>
        <v>0</v>
      </c>
    </row>
    <row r="369" spans="1:34" ht="15">
      <c r="A369" s="414" t="s">
        <v>149</v>
      </c>
      <c r="B369" s="53">
        <f t="shared" si="66"/>
        <v>0</v>
      </c>
      <c r="C369" s="103"/>
      <c r="D369" s="53"/>
      <c r="E369" s="53"/>
      <c r="F369" s="53"/>
      <c r="G369" s="53"/>
      <c r="H369" s="53"/>
      <c r="I369" s="53"/>
      <c r="J369" s="53"/>
      <c r="K369" s="53"/>
      <c r="L369" s="53"/>
      <c r="M369" s="53"/>
      <c r="N369" s="53"/>
      <c r="O369" s="53"/>
      <c r="P369" s="53"/>
      <c r="Q369" s="53"/>
      <c r="R369" s="53"/>
      <c r="S369" s="53"/>
      <c r="T369" s="53"/>
      <c r="U369" s="53"/>
      <c r="V369" s="53"/>
      <c r="W369" s="53"/>
      <c r="X369" s="53"/>
      <c r="Y369" s="53"/>
      <c r="Z369" s="53"/>
      <c r="AA369" s="53"/>
      <c r="AB369" s="53"/>
      <c r="AC369" s="53"/>
      <c r="AD369" s="53"/>
      <c r="AE369" s="53"/>
      <c r="AF369" s="53"/>
      <c r="AG369" s="53"/>
      <c r="AH369" s="107">
        <f t="shared" si="67"/>
        <v>0</v>
      </c>
    </row>
    <row r="370" spans="1:34" ht="15">
      <c r="A370" s="414" t="s">
        <v>150</v>
      </c>
      <c r="B370" s="53">
        <f t="shared" si="66"/>
        <v>0</v>
      </c>
      <c r="C370" s="103"/>
      <c r="D370" s="53"/>
      <c r="E370" s="53"/>
      <c r="F370" s="53"/>
      <c r="G370" s="53"/>
      <c r="H370" s="188" t="s">
        <v>318</v>
      </c>
      <c r="I370" s="188" t="s">
        <v>318</v>
      </c>
      <c r="J370" s="188" t="s">
        <v>318</v>
      </c>
      <c r="K370" s="188" t="s">
        <v>318</v>
      </c>
      <c r="L370" s="188" t="s">
        <v>318</v>
      </c>
      <c r="M370" s="188" t="s">
        <v>318</v>
      </c>
      <c r="N370" s="188" t="s">
        <v>318</v>
      </c>
      <c r="O370" s="188" t="s">
        <v>318</v>
      </c>
      <c r="P370" s="188" t="s">
        <v>318</v>
      </c>
      <c r="Q370" s="188" t="s">
        <v>318</v>
      </c>
      <c r="R370" s="188" t="s">
        <v>318</v>
      </c>
      <c r="S370" s="188" t="s">
        <v>318</v>
      </c>
      <c r="T370" s="188" t="s">
        <v>318</v>
      </c>
      <c r="U370" s="188" t="s">
        <v>318</v>
      </c>
      <c r="V370" s="188" t="s">
        <v>318</v>
      </c>
      <c r="W370" s="188" t="s">
        <v>318</v>
      </c>
      <c r="X370" s="188" t="s">
        <v>318</v>
      </c>
      <c r="Y370" s="53"/>
      <c r="Z370" s="53"/>
      <c r="AA370" s="53"/>
      <c r="AB370" s="53"/>
      <c r="AC370" s="53"/>
      <c r="AD370" s="53"/>
      <c r="AE370" s="53"/>
      <c r="AF370" s="53"/>
      <c r="AG370" s="53"/>
      <c r="AH370" s="107">
        <f t="shared" si="67"/>
        <v>0</v>
      </c>
    </row>
    <row r="371" spans="1:34" ht="15">
      <c r="A371" s="414" t="s">
        <v>151</v>
      </c>
      <c r="B371" s="53">
        <f t="shared" si="66"/>
        <v>0</v>
      </c>
      <c r="C371" s="103"/>
      <c r="D371" s="107"/>
      <c r="E371" s="107"/>
      <c r="F371" s="107"/>
      <c r="G371" s="53"/>
      <c r="H371" s="53"/>
      <c r="I371" s="53"/>
      <c r="J371" s="111"/>
      <c r="K371" s="111"/>
      <c r="L371" s="107"/>
      <c r="M371" s="107"/>
      <c r="N371" s="107"/>
      <c r="O371" s="107"/>
      <c r="P371" s="107"/>
      <c r="Q371" s="107"/>
      <c r="R371" s="107"/>
      <c r="S371" s="107"/>
      <c r="T371" s="107"/>
      <c r="U371" s="107"/>
      <c r="V371" s="107"/>
      <c r="W371" s="107"/>
      <c r="X371" s="107"/>
      <c r="Y371" s="107"/>
      <c r="Z371" s="107"/>
      <c r="AA371" s="107"/>
      <c r="AB371" s="107"/>
      <c r="AC371" s="107"/>
      <c r="AD371" s="107"/>
      <c r="AE371" s="107"/>
      <c r="AF371" s="107"/>
      <c r="AG371" s="107"/>
      <c r="AH371" s="107">
        <f t="shared" si="67"/>
        <v>0</v>
      </c>
    </row>
    <row r="372" spans="1:34" ht="15">
      <c r="A372" s="414" t="s">
        <v>152</v>
      </c>
      <c r="B372" s="53">
        <f t="shared" si="66"/>
        <v>0</v>
      </c>
      <c r="C372" s="103"/>
      <c r="D372" s="53"/>
      <c r="E372" s="53"/>
      <c r="F372" s="53"/>
      <c r="G372" s="53"/>
      <c r="H372" s="53"/>
      <c r="I372" s="53"/>
      <c r="J372" s="188" t="s">
        <v>318</v>
      </c>
      <c r="K372" s="188" t="s">
        <v>318</v>
      </c>
      <c r="L372" s="188" t="s">
        <v>318</v>
      </c>
      <c r="M372" s="188" t="s">
        <v>318</v>
      </c>
      <c r="N372" s="188" t="s">
        <v>318</v>
      </c>
      <c r="O372" s="188" t="s">
        <v>318</v>
      </c>
      <c r="P372" s="188" t="s">
        <v>318</v>
      </c>
      <c r="Q372" s="188" t="s">
        <v>318</v>
      </c>
      <c r="R372" s="188" t="s">
        <v>318</v>
      </c>
      <c r="S372" s="188" t="s">
        <v>318</v>
      </c>
      <c r="T372" s="188" t="s">
        <v>318</v>
      </c>
      <c r="U372" s="188" t="s">
        <v>318</v>
      </c>
      <c r="V372" s="188" t="s">
        <v>318</v>
      </c>
      <c r="W372" s="188" t="s">
        <v>318</v>
      </c>
      <c r="X372" s="188" t="s">
        <v>318</v>
      </c>
      <c r="Y372" s="188" t="s">
        <v>318</v>
      </c>
      <c r="Z372" s="188" t="s">
        <v>318</v>
      </c>
      <c r="AA372" s="188" t="s">
        <v>318</v>
      </c>
      <c r="AB372" s="188" t="s">
        <v>318</v>
      </c>
      <c r="AC372" s="188" t="s">
        <v>318</v>
      </c>
      <c r="AD372" s="188" t="s">
        <v>318</v>
      </c>
      <c r="AE372" s="188" t="s">
        <v>318</v>
      </c>
      <c r="AF372" s="188" t="s">
        <v>318</v>
      </c>
      <c r="AG372" s="188" t="s">
        <v>318</v>
      </c>
      <c r="AH372" s="107">
        <f t="shared" si="67"/>
        <v>0</v>
      </c>
    </row>
    <row r="373" spans="1:34" ht="15">
      <c r="A373" s="428" t="s">
        <v>153</v>
      </c>
      <c r="B373" s="53">
        <f t="shared" si="66"/>
        <v>0</v>
      </c>
      <c r="C373" s="188" t="s">
        <v>318</v>
      </c>
      <c r="D373" s="188" t="s">
        <v>318</v>
      </c>
      <c r="E373" s="188" t="s">
        <v>318</v>
      </c>
      <c r="F373" s="188" t="s">
        <v>318</v>
      </c>
      <c r="G373" s="188" t="s">
        <v>318</v>
      </c>
      <c r="H373" s="188" t="s">
        <v>318</v>
      </c>
      <c r="I373" s="188" t="s">
        <v>318</v>
      </c>
      <c r="J373" s="188" t="s">
        <v>318</v>
      </c>
      <c r="K373" s="188" t="s">
        <v>318</v>
      </c>
      <c r="L373" s="188" t="s">
        <v>318</v>
      </c>
      <c r="M373" s="188" t="s">
        <v>318</v>
      </c>
      <c r="N373" s="188" t="s">
        <v>318</v>
      </c>
      <c r="O373" s="188" t="s">
        <v>318</v>
      </c>
      <c r="P373" s="188" t="s">
        <v>318</v>
      </c>
      <c r="Q373" s="188" t="s">
        <v>318</v>
      </c>
      <c r="R373" s="188" t="s">
        <v>318</v>
      </c>
      <c r="S373" s="188" t="s">
        <v>318</v>
      </c>
      <c r="T373" s="188" t="s">
        <v>318</v>
      </c>
      <c r="U373" s="188" t="s">
        <v>318</v>
      </c>
      <c r="V373" s="188" t="s">
        <v>318</v>
      </c>
      <c r="W373" s="188" t="s">
        <v>318</v>
      </c>
      <c r="X373" s="188" t="s">
        <v>318</v>
      </c>
      <c r="Y373" s="188" t="s">
        <v>318</v>
      </c>
      <c r="Z373" s="188" t="s">
        <v>318</v>
      </c>
      <c r="AA373" s="188" t="s">
        <v>318</v>
      </c>
      <c r="AB373" s="188" t="s">
        <v>318</v>
      </c>
      <c r="AC373" s="188" t="s">
        <v>318</v>
      </c>
      <c r="AD373" s="188" t="s">
        <v>318</v>
      </c>
      <c r="AE373" s="188" t="s">
        <v>318</v>
      </c>
      <c r="AF373" s="188" t="s">
        <v>318</v>
      </c>
      <c r="AG373" s="188" t="s">
        <v>318</v>
      </c>
      <c r="AH373" s="107">
        <f t="shared" si="67"/>
        <v>0</v>
      </c>
    </row>
    <row r="374" spans="1:34" ht="15">
      <c r="A374" s="428" t="s">
        <v>154</v>
      </c>
      <c r="B374" s="53">
        <f t="shared" si="66"/>
        <v>0</v>
      </c>
      <c r="C374" s="188" t="s">
        <v>318</v>
      </c>
      <c r="D374" s="188" t="s">
        <v>318</v>
      </c>
      <c r="E374" s="188" t="s">
        <v>318</v>
      </c>
      <c r="F374" s="188" t="s">
        <v>318</v>
      </c>
      <c r="G374" s="188" t="s">
        <v>318</v>
      </c>
      <c r="H374" s="188" t="s">
        <v>318</v>
      </c>
      <c r="I374" s="188" t="s">
        <v>318</v>
      </c>
      <c r="J374" s="188" t="s">
        <v>318</v>
      </c>
      <c r="K374" s="188" t="s">
        <v>318</v>
      </c>
      <c r="L374" s="188" t="s">
        <v>318</v>
      </c>
      <c r="M374" s="188" t="s">
        <v>318</v>
      </c>
      <c r="N374" s="188" t="s">
        <v>318</v>
      </c>
      <c r="O374" s="188" t="s">
        <v>318</v>
      </c>
      <c r="P374" s="188" t="s">
        <v>318</v>
      </c>
      <c r="Q374" s="188" t="s">
        <v>318</v>
      </c>
      <c r="R374" s="188" t="s">
        <v>318</v>
      </c>
      <c r="S374" s="188" t="s">
        <v>318</v>
      </c>
      <c r="T374" s="188" t="s">
        <v>318</v>
      </c>
      <c r="U374" s="188" t="s">
        <v>318</v>
      </c>
      <c r="V374" s="188" t="s">
        <v>318</v>
      </c>
      <c r="W374" s="188" t="s">
        <v>318</v>
      </c>
      <c r="X374" s="53"/>
      <c r="Y374" s="53"/>
      <c r="Z374" s="53"/>
      <c r="AA374" s="53"/>
      <c r="AB374" s="53"/>
      <c r="AC374" s="53"/>
      <c r="AD374" s="53"/>
      <c r="AE374" s="107"/>
      <c r="AF374" s="53"/>
      <c r="AG374" s="107"/>
      <c r="AH374" s="107">
        <f t="shared" si="67"/>
        <v>0</v>
      </c>
    </row>
    <row r="375" spans="1:34" ht="15">
      <c r="A375" s="428" t="s">
        <v>155</v>
      </c>
      <c r="B375" s="53">
        <f t="shared" si="66"/>
        <v>0</v>
      </c>
      <c r="C375" s="103"/>
      <c r="D375" s="53"/>
      <c r="E375" s="53"/>
      <c r="F375" s="53"/>
      <c r="G375" s="14"/>
      <c r="H375" s="53"/>
      <c r="I375" s="53"/>
      <c r="J375" s="53"/>
      <c r="K375" s="53"/>
      <c r="L375" s="53"/>
      <c r="M375" s="53"/>
      <c r="N375" s="53"/>
      <c r="O375" s="53"/>
      <c r="P375" s="53"/>
      <c r="Q375" s="53"/>
      <c r="R375" s="53"/>
      <c r="S375" s="53"/>
      <c r="T375" s="53"/>
      <c r="U375" s="53"/>
      <c r="V375" s="53"/>
      <c r="W375" s="53"/>
      <c r="X375" s="53"/>
      <c r="Y375" s="14"/>
      <c r="Z375" s="53"/>
      <c r="AA375" s="53"/>
      <c r="AB375" s="53"/>
      <c r="AC375" s="53"/>
      <c r="AD375" s="53"/>
      <c r="AE375" s="107"/>
      <c r="AF375" s="53"/>
      <c r="AG375" s="107"/>
      <c r="AH375" s="107">
        <f t="shared" si="67"/>
        <v>0</v>
      </c>
    </row>
    <row r="376" spans="1:34" ht="15">
      <c r="A376" s="428" t="s">
        <v>156</v>
      </c>
      <c r="B376" s="53">
        <f t="shared" si="66"/>
        <v>0</v>
      </c>
      <c r="C376" s="103"/>
      <c r="D376" s="53"/>
      <c r="E376" s="53"/>
      <c r="F376" s="53"/>
      <c r="G376" s="53"/>
      <c r="H376" s="53"/>
      <c r="I376" s="53"/>
      <c r="J376" s="53"/>
      <c r="K376" s="53"/>
      <c r="L376" s="53"/>
      <c r="M376" s="53"/>
      <c r="N376" s="53"/>
      <c r="O376" s="53"/>
      <c r="P376" s="3027">
        <v>0</v>
      </c>
      <c r="Q376" s="3027">
        <v>0</v>
      </c>
      <c r="R376" s="3027">
        <v>0</v>
      </c>
      <c r="S376" s="3027">
        <v>0</v>
      </c>
      <c r="T376" s="3027">
        <v>0</v>
      </c>
      <c r="U376" s="3027">
        <v>0</v>
      </c>
      <c r="V376" s="3027">
        <v>0</v>
      </c>
      <c r="W376" s="3027">
        <v>0</v>
      </c>
      <c r="X376" s="3027">
        <v>0</v>
      </c>
      <c r="Y376" s="3027">
        <v>0</v>
      </c>
      <c r="Z376" s="3027">
        <v>0</v>
      </c>
      <c r="AA376" s="3027">
        <v>0</v>
      </c>
      <c r="AB376" s="3027">
        <v>0</v>
      </c>
      <c r="AC376" s="3027">
        <v>0</v>
      </c>
      <c r="AD376" s="3027">
        <v>0</v>
      </c>
      <c r="AE376" s="3027">
        <v>0</v>
      </c>
      <c r="AF376" s="3027">
        <v>0</v>
      </c>
      <c r="AG376" s="3027">
        <v>0</v>
      </c>
      <c r="AH376" s="107">
        <f t="shared" si="67"/>
        <v>0</v>
      </c>
    </row>
    <row r="377" spans="1:34" ht="15">
      <c r="A377" s="199" t="s">
        <v>144</v>
      </c>
      <c r="B377" s="200">
        <f>SUM(B365:B376)</f>
        <v>0</v>
      </c>
      <c r="C377" s="100">
        <f>SUM(C365:C375)</f>
        <v>0</v>
      </c>
      <c r="D377" s="107">
        <f>SUM(D365:D375)</f>
        <v>0</v>
      </c>
      <c r="E377" s="107">
        <v>0</v>
      </c>
      <c r="F377" s="107">
        <f t="shared" ref="F377:AC377" si="68">SUM(F365:F375)</f>
        <v>0</v>
      </c>
      <c r="G377" s="107">
        <f t="shared" si="68"/>
        <v>0</v>
      </c>
      <c r="H377" s="107">
        <f t="shared" si="68"/>
        <v>0</v>
      </c>
      <c r="I377" s="107">
        <f t="shared" si="68"/>
        <v>0</v>
      </c>
      <c r="J377" s="107">
        <f t="shared" si="68"/>
        <v>0</v>
      </c>
      <c r="K377" s="107">
        <f t="shared" si="68"/>
        <v>0</v>
      </c>
      <c r="L377" s="107">
        <f t="shared" si="68"/>
        <v>0</v>
      </c>
      <c r="M377" s="107">
        <f t="shared" si="68"/>
        <v>0</v>
      </c>
      <c r="N377" s="107">
        <f t="shared" si="68"/>
        <v>0</v>
      </c>
      <c r="O377" s="107">
        <f t="shared" si="68"/>
        <v>0</v>
      </c>
      <c r="P377" s="107">
        <f t="shared" si="68"/>
        <v>0</v>
      </c>
      <c r="Q377" s="107">
        <f t="shared" si="68"/>
        <v>0</v>
      </c>
      <c r="R377" s="107">
        <f t="shared" si="68"/>
        <v>0</v>
      </c>
      <c r="S377" s="107">
        <f t="shared" si="68"/>
        <v>0</v>
      </c>
      <c r="T377" s="107">
        <f t="shared" si="68"/>
        <v>0</v>
      </c>
      <c r="U377" s="107">
        <f t="shared" si="68"/>
        <v>0</v>
      </c>
      <c r="V377" s="107">
        <f t="shared" si="68"/>
        <v>0</v>
      </c>
      <c r="W377" s="107">
        <f t="shared" si="68"/>
        <v>0</v>
      </c>
      <c r="X377" s="107">
        <f t="shared" si="68"/>
        <v>0</v>
      </c>
      <c r="Y377" s="107">
        <f t="shared" si="68"/>
        <v>0</v>
      </c>
      <c r="Z377" s="107">
        <f t="shared" si="68"/>
        <v>0</v>
      </c>
      <c r="AA377" s="107">
        <f t="shared" si="68"/>
        <v>0</v>
      </c>
      <c r="AB377" s="107">
        <f t="shared" si="68"/>
        <v>0</v>
      </c>
      <c r="AC377" s="107">
        <f t="shared" si="68"/>
        <v>0</v>
      </c>
      <c r="AD377" s="107">
        <v>0</v>
      </c>
      <c r="AE377" s="107">
        <f>SUM(AE365:AE375)</f>
        <v>0</v>
      </c>
      <c r="AF377" s="107">
        <f>SUM(AF365:AF375)</f>
        <v>0</v>
      </c>
      <c r="AG377" s="107">
        <f>SUM(AG365:AG375)</f>
        <v>0</v>
      </c>
      <c r="AH377" s="100">
        <f>SUM(AH365:AH375)</f>
        <v>0</v>
      </c>
    </row>
    <row r="378" spans="1:34" ht="15" customHeight="1">
      <c r="A378" s="49"/>
      <c r="B378" s="49"/>
      <c r="C378" s="1"/>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c r="AG378" s="14"/>
      <c r="AH378" s="1"/>
    </row>
    <row r="379" spans="1:34" ht="15">
      <c r="A379" s="3854" t="s">
        <v>119</v>
      </c>
      <c r="B379" s="3855"/>
      <c r="C379" s="3855"/>
      <c r="D379" s="3855"/>
      <c r="E379" s="3855"/>
      <c r="F379" s="3855"/>
      <c r="G379" s="3855"/>
      <c r="H379" s="3856"/>
      <c r="I379" s="3313"/>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c r="AG379" s="14"/>
      <c r="AH379" s="14"/>
    </row>
    <row r="380" spans="1:34" ht="15">
      <c r="A380" s="8" t="s">
        <v>142</v>
      </c>
      <c r="B380" s="8" t="s">
        <v>143</v>
      </c>
      <c r="C380" s="2907">
        <v>1</v>
      </c>
      <c r="D380" s="73">
        <v>2</v>
      </c>
      <c r="E380" s="73">
        <v>3</v>
      </c>
      <c r="F380" s="73">
        <v>4</v>
      </c>
      <c r="G380" s="73">
        <v>5</v>
      </c>
      <c r="H380" s="73">
        <v>6</v>
      </c>
      <c r="I380" s="73">
        <v>7</v>
      </c>
      <c r="J380" s="73">
        <v>8</v>
      </c>
      <c r="K380" s="73">
        <v>9</v>
      </c>
      <c r="L380" s="73">
        <v>10</v>
      </c>
      <c r="M380" s="73">
        <v>11</v>
      </c>
      <c r="N380" s="73">
        <v>12</v>
      </c>
      <c r="O380" s="73">
        <v>13</v>
      </c>
      <c r="P380" s="73">
        <v>14</v>
      </c>
      <c r="Q380" s="73">
        <v>15</v>
      </c>
      <c r="R380" s="73">
        <v>16</v>
      </c>
      <c r="S380" s="73">
        <v>17</v>
      </c>
      <c r="T380" s="73">
        <v>18</v>
      </c>
      <c r="U380" s="73">
        <v>19</v>
      </c>
      <c r="V380" s="73">
        <v>20</v>
      </c>
      <c r="W380" s="73">
        <v>21</v>
      </c>
      <c r="X380" s="73">
        <v>22</v>
      </c>
      <c r="Y380" s="73">
        <v>23</v>
      </c>
      <c r="Z380" s="73">
        <v>24</v>
      </c>
      <c r="AA380" s="73">
        <v>25</v>
      </c>
      <c r="AB380" s="73">
        <v>26</v>
      </c>
      <c r="AC380" s="73">
        <v>27</v>
      </c>
      <c r="AD380" s="73">
        <v>28</v>
      </c>
      <c r="AE380" s="73">
        <v>29</v>
      </c>
      <c r="AF380" s="73">
        <v>30</v>
      </c>
      <c r="AG380" s="73">
        <v>31</v>
      </c>
      <c r="AH380" s="88" t="s">
        <v>144</v>
      </c>
    </row>
    <row r="381" spans="1:34" ht="15">
      <c r="A381" s="427" t="s">
        <v>145</v>
      </c>
      <c r="B381" s="53">
        <f t="shared" ref="B381:B392" si="69">+AH381</f>
        <v>0</v>
      </c>
      <c r="C381" s="360" t="s">
        <v>311</v>
      </c>
      <c r="D381" s="360" t="s">
        <v>311</v>
      </c>
      <c r="E381" s="360" t="s">
        <v>311</v>
      </c>
      <c r="F381" s="360" t="s">
        <v>311</v>
      </c>
      <c r="G381" s="360" t="s">
        <v>311</v>
      </c>
      <c r="H381" s="360" t="s">
        <v>311</v>
      </c>
      <c r="I381" s="360" t="s">
        <v>311</v>
      </c>
      <c r="J381" s="360" t="s">
        <v>311</v>
      </c>
      <c r="K381" s="360" t="s">
        <v>311</v>
      </c>
      <c r="L381" s="360" t="s">
        <v>311</v>
      </c>
      <c r="M381" s="360" t="s">
        <v>311</v>
      </c>
      <c r="N381" s="360" t="s">
        <v>311</v>
      </c>
      <c r="O381" s="360" t="s">
        <v>311</v>
      </c>
      <c r="P381" s="360" t="s">
        <v>311</v>
      </c>
      <c r="Q381" s="360" t="s">
        <v>311</v>
      </c>
      <c r="R381" s="360" t="s">
        <v>311</v>
      </c>
      <c r="S381" s="360" t="s">
        <v>311</v>
      </c>
      <c r="T381" s="360" t="s">
        <v>311</v>
      </c>
      <c r="U381" s="360" t="s">
        <v>311</v>
      </c>
      <c r="V381" s="360" t="s">
        <v>311</v>
      </c>
      <c r="W381" s="360" t="s">
        <v>311</v>
      </c>
      <c r="X381" s="360" t="s">
        <v>311</v>
      </c>
      <c r="Y381" s="360" t="s">
        <v>311</v>
      </c>
      <c r="Z381" s="360" t="s">
        <v>311</v>
      </c>
      <c r="AA381" s="360" t="s">
        <v>311</v>
      </c>
      <c r="AB381" s="360" t="s">
        <v>311</v>
      </c>
      <c r="AC381" s="360" t="s">
        <v>311</v>
      </c>
      <c r="AD381" s="360" t="s">
        <v>311</v>
      </c>
      <c r="AE381" s="360" t="s">
        <v>311</v>
      </c>
      <c r="AF381" s="360" t="s">
        <v>311</v>
      </c>
      <c r="AG381" s="360" t="s">
        <v>311</v>
      </c>
      <c r="AH381" s="107">
        <f>SUM(C381:AG381)</f>
        <v>0</v>
      </c>
    </row>
    <row r="382" spans="1:34" ht="15">
      <c r="A382" s="427" t="s">
        <v>146</v>
      </c>
      <c r="B382" s="53">
        <f t="shared" si="69"/>
        <v>0</v>
      </c>
      <c r="C382" s="360" t="s">
        <v>311</v>
      </c>
      <c r="D382" s="360" t="s">
        <v>311</v>
      </c>
      <c r="E382" s="360" t="s">
        <v>311</v>
      </c>
      <c r="F382" s="360" t="s">
        <v>311</v>
      </c>
      <c r="G382" s="360" t="s">
        <v>311</v>
      </c>
      <c r="H382" s="360" t="s">
        <v>311</v>
      </c>
      <c r="I382" s="360" t="s">
        <v>311</v>
      </c>
      <c r="J382" s="361"/>
      <c r="K382" s="361"/>
      <c r="L382" s="361"/>
      <c r="M382" s="361"/>
      <c r="N382" s="361"/>
      <c r="O382" s="361"/>
      <c r="P382" s="361"/>
      <c r="Q382" s="361"/>
      <c r="R382" s="361"/>
      <c r="S382" s="361"/>
      <c r="T382" s="361"/>
      <c r="U382" s="361"/>
      <c r="V382" s="361"/>
      <c r="W382" s="361"/>
      <c r="X382" s="361"/>
      <c r="Y382" s="361"/>
      <c r="Z382" s="361"/>
      <c r="AA382" s="361"/>
      <c r="AB382" s="361"/>
      <c r="AC382" s="361"/>
      <c r="AD382" s="361"/>
      <c r="AE382" s="361"/>
      <c r="AF382" s="361"/>
      <c r="AG382" s="361"/>
      <c r="AH382" s="107">
        <f t="shared" ref="AH382:AH392" si="70">SUM(C382:AG382)</f>
        <v>0</v>
      </c>
    </row>
    <row r="383" spans="1:34" ht="15">
      <c r="A383" s="427" t="s">
        <v>147</v>
      </c>
      <c r="B383" s="53">
        <f t="shared" si="69"/>
        <v>0</v>
      </c>
      <c r="C383" s="361"/>
      <c r="D383" s="361"/>
      <c r="E383" s="361"/>
      <c r="F383" s="361"/>
      <c r="G383" s="361"/>
      <c r="H383" s="306"/>
      <c r="I383" s="306"/>
      <c r="J383" s="306"/>
      <c r="K383" s="306"/>
      <c r="L383" s="306"/>
      <c r="M383" s="306"/>
      <c r="N383" s="306"/>
      <c r="O383" s="306"/>
      <c r="P383" s="306"/>
      <c r="Q383" s="306"/>
      <c r="R383" s="306"/>
      <c r="S383" s="306"/>
      <c r="T383" s="306"/>
      <c r="U383" s="306"/>
      <c r="V383" s="306"/>
      <c r="W383" s="306"/>
      <c r="X383" s="306"/>
      <c r="Y383" s="306"/>
      <c r="Z383" s="306"/>
      <c r="AA383" s="306"/>
      <c r="AB383" s="306"/>
      <c r="AC383" s="360" t="s">
        <v>311</v>
      </c>
      <c r="AD383" s="360" t="s">
        <v>311</v>
      </c>
      <c r="AE383" s="360" t="s">
        <v>311</v>
      </c>
      <c r="AF383" s="360" t="s">
        <v>311</v>
      </c>
      <c r="AG383" s="360" t="s">
        <v>311</v>
      </c>
      <c r="AH383" s="107">
        <f t="shared" si="70"/>
        <v>0</v>
      </c>
    </row>
    <row r="384" spans="1:34" ht="15">
      <c r="A384" s="427" t="s">
        <v>148</v>
      </c>
      <c r="B384" s="53">
        <f t="shared" si="69"/>
        <v>0</v>
      </c>
      <c r="C384" s="360" t="s">
        <v>311</v>
      </c>
      <c r="D384" s="360" t="s">
        <v>311</v>
      </c>
      <c r="E384" s="360" t="s">
        <v>311</v>
      </c>
      <c r="F384" s="360" t="s">
        <v>311</v>
      </c>
      <c r="G384" s="360" t="s">
        <v>311</v>
      </c>
      <c r="H384" s="360" t="s">
        <v>311</v>
      </c>
      <c r="I384" s="360" t="s">
        <v>311</v>
      </c>
      <c r="J384" s="360" t="s">
        <v>311</v>
      </c>
      <c r="K384" s="360" t="s">
        <v>311</v>
      </c>
      <c r="L384" s="306"/>
      <c r="M384" s="306"/>
      <c r="N384" s="306"/>
      <c r="O384" s="306"/>
      <c r="P384" s="306"/>
      <c r="Q384" s="306"/>
      <c r="R384" s="306"/>
      <c r="S384" s="306"/>
      <c r="T384" s="306"/>
      <c r="U384" s="306"/>
      <c r="V384" s="306"/>
      <c r="W384" s="306"/>
      <c r="X384" s="306"/>
      <c r="Y384" s="306"/>
      <c r="Z384" s="306"/>
      <c r="AA384" s="306"/>
      <c r="AB384" s="306"/>
      <c r="AC384" s="306"/>
      <c r="AD384" s="306"/>
      <c r="AE384" s="306"/>
      <c r="AF384" s="306"/>
      <c r="AG384" s="306"/>
      <c r="AH384" s="107">
        <f t="shared" si="70"/>
        <v>0</v>
      </c>
    </row>
    <row r="385" spans="1:34" ht="15">
      <c r="A385" s="414" t="s">
        <v>149</v>
      </c>
      <c r="B385" s="53">
        <f t="shared" si="69"/>
        <v>0</v>
      </c>
      <c r="C385" s="103"/>
      <c r="D385" s="53"/>
      <c r="E385" s="53"/>
      <c r="F385" s="53"/>
      <c r="G385" s="53"/>
      <c r="H385" s="53"/>
      <c r="I385" s="53"/>
      <c r="J385" s="53"/>
      <c r="K385" s="53"/>
      <c r="L385" s="53"/>
      <c r="M385" s="53"/>
      <c r="N385" s="53"/>
      <c r="O385" s="53"/>
      <c r="P385" s="53"/>
      <c r="Q385" s="53"/>
      <c r="R385" s="53"/>
      <c r="S385" s="53"/>
      <c r="T385" s="53"/>
      <c r="U385" s="53"/>
      <c r="V385" s="53"/>
      <c r="W385" s="53"/>
      <c r="X385" s="53"/>
      <c r="Y385" s="53"/>
      <c r="Z385" s="53"/>
      <c r="AA385" s="53"/>
      <c r="AB385" s="53"/>
      <c r="AC385" s="53"/>
      <c r="AD385" s="53"/>
      <c r="AE385" s="53"/>
      <c r="AF385" s="53"/>
      <c r="AG385" s="53"/>
      <c r="AH385" s="107">
        <f t="shared" si="70"/>
        <v>0</v>
      </c>
    </row>
    <row r="386" spans="1:34" ht="15">
      <c r="A386" s="414" t="s">
        <v>150</v>
      </c>
      <c r="B386" s="53">
        <f t="shared" si="69"/>
        <v>0</v>
      </c>
      <c r="C386" s="103"/>
      <c r="D386" s="53"/>
      <c r="E386" s="53"/>
      <c r="F386" s="53"/>
      <c r="G386" s="53"/>
      <c r="H386" s="188" t="s">
        <v>318</v>
      </c>
      <c r="I386" s="188" t="s">
        <v>318</v>
      </c>
      <c r="J386" s="188" t="s">
        <v>318</v>
      </c>
      <c r="K386" s="188" t="s">
        <v>318</v>
      </c>
      <c r="L386" s="188" t="s">
        <v>318</v>
      </c>
      <c r="M386" s="188" t="s">
        <v>318</v>
      </c>
      <c r="N386" s="188" t="s">
        <v>318</v>
      </c>
      <c r="O386" s="188" t="s">
        <v>318</v>
      </c>
      <c r="P386" s="188" t="s">
        <v>318</v>
      </c>
      <c r="Q386" s="188" t="s">
        <v>318</v>
      </c>
      <c r="R386" s="188" t="s">
        <v>318</v>
      </c>
      <c r="S386" s="188" t="s">
        <v>318</v>
      </c>
      <c r="T386" s="188" t="s">
        <v>318</v>
      </c>
      <c r="U386" s="188" t="s">
        <v>318</v>
      </c>
      <c r="V386" s="188" t="s">
        <v>318</v>
      </c>
      <c r="W386" s="188" t="s">
        <v>318</v>
      </c>
      <c r="X386" s="188" t="s">
        <v>318</v>
      </c>
      <c r="Y386" s="53"/>
      <c r="Z386" s="53"/>
      <c r="AA386" s="53"/>
      <c r="AB386" s="53"/>
      <c r="AC386" s="53"/>
      <c r="AD386" s="53"/>
      <c r="AE386" s="53"/>
      <c r="AF386" s="53"/>
      <c r="AG386" s="53"/>
      <c r="AH386" s="107">
        <f t="shared" si="70"/>
        <v>0</v>
      </c>
    </row>
    <row r="387" spans="1:34" ht="15">
      <c r="A387" s="414" t="s">
        <v>151</v>
      </c>
      <c r="B387" s="53">
        <f t="shared" si="69"/>
        <v>0</v>
      </c>
      <c r="C387" s="103"/>
      <c r="D387" s="107"/>
      <c r="E387" s="107"/>
      <c r="F387" s="107"/>
      <c r="G387" s="53"/>
      <c r="H387" s="53"/>
      <c r="I387" s="53"/>
      <c r="J387" s="111"/>
      <c r="K387" s="111"/>
      <c r="L387" s="107"/>
      <c r="M387" s="107"/>
      <c r="N387" s="107"/>
      <c r="O387" s="107"/>
      <c r="P387" s="107"/>
      <c r="Q387" s="107"/>
      <c r="R387" s="107"/>
      <c r="S387" s="107"/>
      <c r="T387" s="107"/>
      <c r="U387" s="107"/>
      <c r="V387" s="107"/>
      <c r="W387" s="107"/>
      <c r="X387" s="107"/>
      <c r="Y387" s="107"/>
      <c r="Z387" s="107"/>
      <c r="AA387" s="107"/>
      <c r="AB387" s="107"/>
      <c r="AC387" s="107"/>
      <c r="AD387" s="107"/>
      <c r="AE387" s="107"/>
      <c r="AF387" s="107"/>
      <c r="AG387" s="107"/>
      <c r="AH387" s="107">
        <f t="shared" si="70"/>
        <v>0</v>
      </c>
    </row>
    <row r="388" spans="1:34" ht="15">
      <c r="A388" s="414" t="s">
        <v>152</v>
      </c>
      <c r="B388" s="53">
        <f t="shared" si="69"/>
        <v>0</v>
      </c>
      <c r="C388" s="103"/>
      <c r="D388" s="53"/>
      <c r="E388" s="53"/>
      <c r="F388" s="53"/>
      <c r="G388" s="53"/>
      <c r="H388" s="53"/>
      <c r="I388" s="53"/>
      <c r="J388" s="188" t="s">
        <v>318</v>
      </c>
      <c r="K388" s="188" t="s">
        <v>318</v>
      </c>
      <c r="L388" s="188" t="s">
        <v>318</v>
      </c>
      <c r="M388" s="188" t="s">
        <v>318</v>
      </c>
      <c r="N388" s="188" t="s">
        <v>318</v>
      </c>
      <c r="O388" s="188" t="s">
        <v>318</v>
      </c>
      <c r="P388" s="188" t="s">
        <v>318</v>
      </c>
      <c r="Q388" s="188" t="s">
        <v>318</v>
      </c>
      <c r="R388" s="188" t="s">
        <v>318</v>
      </c>
      <c r="S388" s="188" t="s">
        <v>318</v>
      </c>
      <c r="T388" s="188" t="s">
        <v>318</v>
      </c>
      <c r="U388" s="188" t="s">
        <v>318</v>
      </c>
      <c r="V388" s="188" t="s">
        <v>318</v>
      </c>
      <c r="W388" s="188" t="s">
        <v>318</v>
      </c>
      <c r="X388" s="188" t="s">
        <v>318</v>
      </c>
      <c r="Y388" s="188" t="s">
        <v>318</v>
      </c>
      <c r="Z388" s="188" t="s">
        <v>318</v>
      </c>
      <c r="AA388" s="188" t="s">
        <v>318</v>
      </c>
      <c r="AB388" s="188" t="s">
        <v>318</v>
      </c>
      <c r="AC388" s="188" t="s">
        <v>318</v>
      </c>
      <c r="AD388" s="188" t="s">
        <v>318</v>
      </c>
      <c r="AE388" s="188" t="s">
        <v>318</v>
      </c>
      <c r="AF388" s="188" t="s">
        <v>318</v>
      </c>
      <c r="AG388" s="188" t="s">
        <v>318</v>
      </c>
      <c r="AH388" s="107">
        <f t="shared" si="70"/>
        <v>0</v>
      </c>
    </row>
    <row r="389" spans="1:34" ht="15">
      <c r="A389" s="428" t="s">
        <v>153</v>
      </c>
      <c r="B389" s="53">
        <f t="shared" si="69"/>
        <v>0</v>
      </c>
      <c r="C389" s="188" t="s">
        <v>318</v>
      </c>
      <c r="D389" s="188" t="s">
        <v>318</v>
      </c>
      <c r="E389" s="188" t="s">
        <v>318</v>
      </c>
      <c r="F389" s="188" t="s">
        <v>318</v>
      </c>
      <c r="G389" s="188" t="s">
        <v>318</v>
      </c>
      <c r="H389" s="188" t="s">
        <v>318</v>
      </c>
      <c r="I389" s="188" t="s">
        <v>318</v>
      </c>
      <c r="J389" s="188" t="s">
        <v>318</v>
      </c>
      <c r="K389" s="188" t="s">
        <v>318</v>
      </c>
      <c r="L389" s="188" t="s">
        <v>318</v>
      </c>
      <c r="M389" s="188" t="s">
        <v>318</v>
      </c>
      <c r="N389" s="188" t="s">
        <v>318</v>
      </c>
      <c r="O389" s="188" t="s">
        <v>318</v>
      </c>
      <c r="P389" s="188" t="s">
        <v>318</v>
      </c>
      <c r="Q389" s="188" t="s">
        <v>318</v>
      </c>
      <c r="R389" s="188" t="s">
        <v>318</v>
      </c>
      <c r="S389" s="188" t="s">
        <v>318</v>
      </c>
      <c r="T389" s="188" t="s">
        <v>318</v>
      </c>
      <c r="U389" s="188" t="s">
        <v>318</v>
      </c>
      <c r="V389" s="188" t="s">
        <v>318</v>
      </c>
      <c r="W389" s="188" t="s">
        <v>318</v>
      </c>
      <c r="X389" s="188" t="s">
        <v>318</v>
      </c>
      <c r="Y389" s="188" t="s">
        <v>318</v>
      </c>
      <c r="Z389" s="188" t="s">
        <v>318</v>
      </c>
      <c r="AA389" s="188" t="s">
        <v>318</v>
      </c>
      <c r="AB389" s="188" t="s">
        <v>318</v>
      </c>
      <c r="AC389" s="188" t="s">
        <v>318</v>
      </c>
      <c r="AD389" s="188" t="s">
        <v>318</v>
      </c>
      <c r="AE389" s="188" t="s">
        <v>318</v>
      </c>
      <c r="AF389" s="188" t="s">
        <v>318</v>
      </c>
      <c r="AG389" s="188" t="s">
        <v>318</v>
      </c>
      <c r="AH389" s="107">
        <f t="shared" si="70"/>
        <v>0</v>
      </c>
    </row>
    <row r="390" spans="1:34" ht="15">
      <c r="A390" s="428" t="s">
        <v>154</v>
      </c>
      <c r="B390" s="53">
        <f t="shared" si="69"/>
        <v>0</v>
      </c>
      <c r="C390" s="188" t="s">
        <v>318</v>
      </c>
      <c r="D390" s="188" t="s">
        <v>318</v>
      </c>
      <c r="E390" s="188" t="s">
        <v>318</v>
      </c>
      <c r="F390" s="188" t="s">
        <v>318</v>
      </c>
      <c r="G390" s="188" t="s">
        <v>318</v>
      </c>
      <c r="H390" s="188" t="s">
        <v>318</v>
      </c>
      <c r="I390" s="188" t="s">
        <v>318</v>
      </c>
      <c r="J390" s="188" t="s">
        <v>318</v>
      </c>
      <c r="K390" s="188" t="s">
        <v>318</v>
      </c>
      <c r="L390" s="188" t="s">
        <v>318</v>
      </c>
      <c r="M390" s="188" t="s">
        <v>318</v>
      </c>
      <c r="N390" s="188" t="s">
        <v>318</v>
      </c>
      <c r="O390" s="188" t="s">
        <v>318</v>
      </c>
      <c r="P390" s="188" t="s">
        <v>318</v>
      </c>
      <c r="Q390" s="188" t="s">
        <v>318</v>
      </c>
      <c r="R390" s="188" t="s">
        <v>318</v>
      </c>
      <c r="S390" s="188" t="s">
        <v>318</v>
      </c>
      <c r="T390" s="188" t="s">
        <v>318</v>
      </c>
      <c r="U390" s="188" t="s">
        <v>318</v>
      </c>
      <c r="V390" s="188" t="s">
        <v>318</v>
      </c>
      <c r="W390" s="188" t="s">
        <v>318</v>
      </c>
      <c r="X390" s="53"/>
      <c r="Y390" s="53"/>
      <c r="Z390" s="53"/>
      <c r="AA390" s="53"/>
      <c r="AB390" s="53"/>
      <c r="AC390" s="53"/>
      <c r="AD390" s="53"/>
      <c r="AE390" s="107"/>
      <c r="AF390" s="53"/>
      <c r="AG390" s="107"/>
      <c r="AH390" s="107">
        <f t="shared" si="70"/>
        <v>0</v>
      </c>
    </row>
    <row r="391" spans="1:34" ht="15">
      <c r="A391" s="428" t="s">
        <v>155</v>
      </c>
      <c r="B391" s="53">
        <f t="shared" si="69"/>
        <v>0</v>
      </c>
      <c r="C391" s="103"/>
      <c r="D391" s="53"/>
      <c r="E391" s="53"/>
      <c r="F391" s="53"/>
      <c r="G391" s="14"/>
      <c r="H391" s="53"/>
      <c r="I391" s="53"/>
      <c r="J391" s="53"/>
      <c r="K391" s="53"/>
      <c r="L391" s="53"/>
      <c r="M391" s="53"/>
      <c r="N391" s="53"/>
      <c r="O391" s="53"/>
      <c r="P391" s="53"/>
      <c r="Q391" s="53"/>
      <c r="R391" s="53"/>
      <c r="S391" s="53"/>
      <c r="T391" s="53"/>
      <c r="U391" s="53"/>
      <c r="V391" s="53"/>
      <c r="W391" s="53"/>
      <c r="X391" s="53"/>
      <c r="Y391" s="14"/>
      <c r="Z391" s="53"/>
      <c r="AA391" s="53"/>
      <c r="AB391" s="53"/>
      <c r="AC391" s="53"/>
      <c r="AD391" s="53"/>
      <c r="AE391" s="107"/>
      <c r="AF391" s="53"/>
      <c r="AG391" s="107"/>
      <c r="AH391" s="107">
        <f t="shared" si="70"/>
        <v>0</v>
      </c>
    </row>
    <row r="392" spans="1:34" ht="15">
      <c r="A392" s="428" t="s">
        <v>156</v>
      </c>
      <c r="B392" s="53">
        <f t="shared" si="69"/>
        <v>0</v>
      </c>
      <c r="C392" s="103"/>
      <c r="D392" s="53"/>
      <c r="E392" s="53"/>
      <c r="F392" s="53"/>
      <c r="G392" s="53"/>
      <c r="H392" s="53"/>
      <c r="I392" s="53"/>
      <c r="J392" s="53"/>
      <c r="K392" s="53"/>
      <c r="L392" s="53"/>
      <c r="M392" s="53"/>
      <c r="N392" s="53"/>
      <c r="O392" s="53"/>
      <c r="P392" s="3027">
        <v>0</v>
      </c>
      <c r="Q392" s="3027">
        <v>0</v>
      </c>
      <c r="R392" s="3027">
        <v>0</v>
      </c>
      <c r="S392" s="3027">
        <v>0</v>
      </c>
      <c r="T392" s="3027">
        <v>0</v>
      </c>
      <c r="U392" s="3027">
        <v>0</v>
      </c>
      <c r="V392" s="3027">
        <v>0</v>
      </c>
      <c r="W392" s="3027">
        <v>0</v>
      </c>
      <c r="X392" s="3027">
        <v>0</v>
      </c>
      <c r="Y392" s="3027">
        <v>0</v>
      </c>
      <c r="Z392" s="3027">
        <v>0</v>
      </c>
      <c r="AA392" s="3027">
        <v>0</v>
      </c>
      <c r="AB392" s="3027">
        <v>0</v>
      </c>
      <c r="AC392" s="3027">
        <v>0</v>
      </c>
      <c r="AD392" s="3027">
        <v>0</v>
      </c>
      <c r="AE392" s="3027">
        <v>0</v>
      </c>
      <c r="AF392" s="3027">
        <v>0</v>
      </c>
      <c r="AG392" s="3027">
        <v>0</v>
      </c>
      <c r="AH392" s="107">
        <f t="shared" si="70"/>
        <v>0</v>
      </c>
    </row>
    <row r="393" spans="1:34" ht="15">
      <c r="A393" s="199" t="s">
        <v>144</v>
      </c>
      <c r="B393" s="200">
        <f>SUM(B381:B392)</f>
        <v>0</v>
      </c>
      <c r="C393" s="100">
        <f>SUM(C381:C391)</f>
        <v>0</v>
      </c>
      <c r="D393" s="107">
        <f>SUM(D381:D391)</f>
        <v>0</v>
      </c>
      <c r="E393" s="107">
        <v>0</v>
      </c>
      <c r="F393" s="107">
        <f t="shared" ref="F393:AC393" si="71">SUM(F381:F391)</f>
        <v>0</v>
      </c>
      <c r="G393" s="107">
        <f t="shared" si="71"/>
        <v>0</v>
      </c>
      <c r="H393" s="107">
        <f t="shared" si="71"/>
        <v>0</v>
      </c>
      <c r="I393" s="107">
        <f t="shared" si="71"/>
        <v>0</v>
      </c>
      <c r="J393" s="107">
        <f t="shared" si="71"/>
        <v>0</v>
      </c>
      <c r="K393" s="107">
        <f t="shared" si="71"/>
        <v>0</v>
      </c>
      <c r="L393" s="107">
        <f t="shared" si="71"/>
        <v>0</v>
      </c>
      <c r="M393" s="107">
        <f t="shared" si="71"/>
        <v>0</v>
      </c>
      <c r="N393" s="107">
        <f t="shared" si="71"/>
        <v>0</v>
      </c>
      <c r="O393" s="107">
        <f t="shared" si="71"/>
        <v>0</v>
      </c>
      <c r="P393" s="107">
        <f t="shared" si="71"/>
        <v>0</v>
      </c>
      <c r="Q393" s="107">
        <f t="shared" si="71"/>
        <v>0</v>
      </c>
      <c r="R393" s="107">
        <f t="shared" si="71"/>
        <v>0</v>
      </c>
      <c r="S393" s="107">
        <f t="shared" si="71"/>
        <v>0</v>
      </c>
      <c r="T393" s="107">
        <f t="shared" si="71"/>
        <v>0</v>
      </c>
      <c r="U393" s="107">
        <f t="shared" si="71"/>
        <v>0</v>
      </c>
      <c r="V393" s="107">
        <f t="shared" si="71"/>
        <v>0</v>
      </c>
      <c r="W393" s="107">
        <f t="shared" si="71"/>
        <v>0</v>
      </c>
      <c r="X393" s="107">
        <f t="shared" si="71"/>
        <v>0</v>
      </c>
      <c r="Y393" s="107">
        <f t="shared" si="71"/>
        <v>0</v>
      </c>
      <c r="Z393" s="107">
        <f t="shared" si="71"/>
        <v>0</v>
      </c>
      <c r="AA393" s="107">
        <f t="shared" si="71"/>
        <v>0</v>
      </c>
      <c r="AB393" s="107">
        <f t="shared" si="71"/>
        <v>0</v>
      </c>
      <c r="AC393" s="107">
        <f t="shared" si="71"/>
        <v>0</v>
      </c>
      <c r="AD393" s="107">
        <v>0</v>
      </c>
      <c r="AE393" s="107">
        <f>SUM(AE381:AE391)</f>
        <v>0</v>
      </c>
      <c r="AF393" s="107">
        <f>SUM(AF381:AF391)</f>
        <v>0</v>
      </c>
      <c r="AG393" s="107">
        <f>SUM(AG381:AG391)</f>
        <v>0</v>
      </c>
      <c r="AH393" s="100">
        <f>SUM(AH381:AH391)</f>
        <v>0</v>
      </c>
    </row>
    <row r="394" spans="1:34" ht="15">
      <c r="A394" s="113"/>
      <c r="B394" s="113"/>
      <c r="C394" s="114"/>
      <c r="D394" s="114"/>
      <c r="E394" s="114"/>
      <c r="F394" s="114"/>
      <c r="G394" s="114"/>
      <c r="H394" s="114"/>
      <c r="I394" s="114"/>
      <c r="J394" s="114"/>
      <c r="K394" s="114"/>
      <c r="L394" s="114"/>
      <c r="M394" s="114"/>
      <c r="N394" s="114"/>
      <c r="O394" s="114"/>
      <c r="P394" s="114"/>
      <c r="Q394" s="114"/>
      <c r="R394" s="114"/>
      <c r="S394" s="114"/>
      <c r="T394" s="114"/>
      <c r="U394" s="114"/>
      <c r="V394" s="114"/>
      <c r="W394" s="114"/>
      <c r="X394" s="114"/>
      <c r="Y394" s="114"/>
      <c r="Z394" s="114"/>
      <c r="AA394" s="114"/>
      <c r="AB394" s="114"/>
      <c r="AC394" s="114"/>
      <c r="AD394" s="114"/>
      <c r="AE394" s="114"/>
      <c r="AF394" s="114"/>
      <c r="AG394" s="114"/>
      <c r="AH394" s="114"/>
    </row>
    <row r="395" spans="1:34" ht="15">
      <c r="A395" s="3873" t="s">
        <v>120</v>
      </c>
      <c r="B395" s="3874"/>
      <c r="C395" s="3874"/>
      <c r="D395" s="3874"/>
      <c r="E395" s="3874"/>
      <c r="F395" s="3874"/>
      <c r="G395" s="3874"/>
      <c r="H395" s="3874"/>
      <c r="I395" s="3874"/>
      <c r="J395" s="3874"/>
      <c r="K395" s="3874"/>
      <c r="L395" s="3874"/>
      <c r="M395" s="3874"/>
      <c r="N395" s="3874"/>
      <c r="O395" s="3874"/>
      <c r="P395" s="3874"/>
      <c r="Q395" s="3874"/>
      <c r="R395" s="3875"/>
      <c r="S395" s="14"/>
      <c r="T395" s="14"/>
      <c r="U395" s="14"/>
      <c r="V395" s="14"/>
      <c r="W395" s="14"/>
      <c r="X395" s="14"/>
      <c r="Y395" s="14"/>
      <c r="Z395" s="14"/>
      <c r="AA395" s="14"/>
      <c r="AB395" s="14"/>
      <c r="AC395" s="14"/>
      <c r="AD395" s="14"/>
      <c r="AE395" s="14"/>
      <c r="AF395" s="14"/>
      <c r="AG395" s="14"/>
      <c r="AH395" s="14"/>
    </row>
    <row r="396" spans="1:34" ht="5.0999999999999996" customHeight="1">
      <c r="A396" s="104"/>
      <c r="B396" s="104"/>
      <c r="C396" s="104"/>
      <c r="D396" s="104"/>
      <c r="E396" s="104"/>
      <c r="F396" s="104"/>
      <c r="G396" s="104"/>
      <c r="H396" s="104"/>
      <c r="I396" s="104"/>
      <c r="J396" s="104"/>
      <c r="K396" s="104"/>
      <c r="L396" s="104"/>
      <c r="M396" s="104"/>
      <c r="N396" s="104"/>
      <c r="O396" s="104"/>
      <c r="P396" s="104"/>
      <c r="Q396" s="104"/>
      <c r="R396" s="104"/>
      <c r="S396" s="14"/>
      <c r="T396" s="14"/>
      <c r="U396" s="14"/>
      <c r="V396" s="14"/>
      <c r="W396" s="14"/>
      <c r="X396" s="14"/>
      <c r="Y396" s="14"/>
      <c r="Z396" s="14"/>
      <c r="AA396" s="14"/>
      <c r="AB396" s="14"/>
      <c r="AC396" s="14"/>
      <c r="AD396" s="14"/>
      <c r="AE396" s="14"/>
      <c r="AF396" s="14"/>
      <c r="AG396" s="14"/>
      <c r="AH396" s="14"/>
    </row>
    <row r="397" spans="1:34" ht="15">
      <c r="A397" s="3854" t="s">
        <v>121</v>
      </c>
      <c r="B397" s="3855"/>
      <c r="C397" s="3855"/>
      <c r="D397" s="3855"/>
      <c r="E397" s="3855"/>
      <c r="F397" s="3855"/>
      <c r="G397" s="3855"/>
      <c r="H397" s="3856"/>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c r="AG397" s="14"/>
      <c r="AH397" s="14"/>
    </row>
    <row r="398" spans="1:34" ht="15">
      <c r="A398" s="8" t="s">
        <v>142</v>
      </c>
      <c r="B398" s="8" t="s">
        <v>143</v>
      </c>
      <c r="C398" s="2907">
        <v>1</v>
      </c>
      <c r="D398" s="73">
        <v>2</v>
      </c>
      <c r="E398" s="73">
        <v>3</v>
      </c>
      <c r="F398" s="73">
        <v>4</v>
      </c>
      <c r="G398" s="73">
        <v>5</v>
      </c>
      <c r="H398" s="73">
        <v>6</v>
      </c>
      <c r="I398" s="73">
        <v>7</v>
      </c>
      <c r="J398" s="73">
        <v>8</v>
      </c>
      <c r="K398" s="73">
        <v>9</v>
      </c>
      <c r="L398" s="73">
        <v>10</v>
      </c>
      <c r="M398" s="73">
        <v>11</v>
      </c>
      <c r="N398" s="73">
        <v>12</v>
      </c>
      <c r="O398" s="73">
        <v>13</v>
      </c>
      <c r="P398" s="73">
        <v>14</v>
      </c>
      <c r="Q398" s="73">
        <v>15</v>
      </c>
      <c r="R398" s="73">
        <v>16</v>
      </c>
      <c r="S398" s="73">
        <v>17</v>
      </c>
      <c r="T398" s="73">
        <v>18</v>
      </c>
      <c r="U398" s="73">
        <v>19</v>
      </c>
      <c r="V398" s="73">
        <v>20</v>
      </c>
      <c r="W398" s="73">
        <v>21</v>
      </c>
      <c r="X398" s="73">
        <v>22</v>
      </c>
      <c r="Y398" s="73">
        <v>23</v>
      </c>
      <c r="Z398" s="73">
        <v>24</v>
      </c>
      <c r="AA398" s="73">
        <v>25</v>
      </c>
      <c r="AB398" s="73">
        <v>26</v>
      </c>
      <c r="AC398" s="73">
        <v>27</v>
      </c>
      <c r="AD398" s="73">
        <v>28</v>
      </c>
      <c r="AE398" s="73">
        <v>29</v>
      </c>
      <c r="AF398" s="73">
        <v>30</v>
      </c>
      <c r="AG398" s="73">
        <v>31</v>
      </c>
      <c r="AH398" s="88" t="s">
        <v>144</v>
      </c>
    </row>
    <row r="399" spans="1:34" ht="15">
      <c r="A399" s="73" t="s">
        <v>145</v>
      </c>
      <c r="B399" s="311">
        <f t="shared" ref="B399:B410" si="72">+AH399</f>
        <v>0</v>
      </c>
      <c r="C399" s="360" t="s">
        <v>311</v>
      </c>
      <c r="D399" s="360" t="s">
        <v>311</v>
      </c>
      <c r="E399" s="360" t="s">
        <v>311</v>
      </c>
      <c r="F399" s="360" t="s">
        <v>311</v>
      </c>
      <c r="G399" s="360" t="s">
        <v>311</v>
      </c>
      <c r="H399" s="360" t="s">
        <v>311</v>
      </c>
      <c r="I399" s="360" t="s">
        <v>311</v>
      </c>
      <c r="J399" s="360" t="s">
        <v>311</v>
      </c>
      <c r="K399" s="360" t="s">
        <v>311</v>
      </c>
      <c r="L399" s="360" t="s">
        <v>311</v>
      </c>
      <c r="M399" s="360" t="s">
        <v>311</v>
      </c>
      <c r="N399" s="360" t="s">
        <v>311</v>
      </c>
      <c r="O399" s="360" t="s">
        <v>311</v>
      </c>
      <c r="P399" s="360" t="s">
        <v>311</v>
      </c>
      <c r="Q399" s="360" t="s">
        <v>311</v>
      </c>
      <c r="R399" s="360" t="s">
        <v>311</v>
      </c>
      <c r="S399" s="360" t="s">
        <v>311</v>
      </c>
      <c r="T399" s="360" t="s">
        <v>311</v>
      </c>
      <c r="U399" s="360" t="s">
        <v>311</v>
      </c>
      <c r="V399" s="360" t="s">
        <v>311</v>
      </c>
      <c r="W399" s="360" t="s">
        <v>311</v>
      </c>
      <c r="X399" s="360" t="s">
        <v>311</v>
      </c>
      <c r="Y399" s="360" t="s">
        <v>311</v>
      </c>
      <c r="Z399" s="360" t="s">
        <v>311</v>
      </c>
      <c r="AA399" s="360" t="s">
        <v>311</v>
      </c>
      <c r="AB399" s="188" t="s">
        <v>311</v>
      </c>
      <c r="AC399" s="360" t="s">
        <v>311</v>
      </c>
      <c r="AD399" s="360" t="s">
        <v>311</v>
      </c>
      <c r="AE399" s="360" t="s">
        <v>311</v>
      </c>
      <c r="AF399" s="360" t="s">
        <v>311</v>
      </c>
      <c r="AG399" s="360" t="s">
        <v>311</v>
      </c>
      <c r="AH399" s="107">
        <f>SUM(C399:AG399)</f>
        <v>0</v>
      </c>
    </row>
    <row r="400" spans="1:34" ht="15">
      <c r="A400" s="73" t="s">
        <v>146</v>
      </c>
      <c r="B400" s="311">
        <f t="shared" si="72"/>
        <v>0</v>
      </c>
      <c r="C400" s="360" t="s">
        <v>311</v>
      </c>
      <c r="D400" s="360" t="s">
        <v>311</v>
      </c>
      <c r="E400" s="360" t="s">
        <v>311</v>
      </c>
      <c r="F400" s="360" t="s">
        <v>311</v>
      </c>
      <c r="G400" s="360" t="s">
        <v>311</v>
      </c>
      <c r="H400" s="360" t="s">
        <v>311</v>
      </c>
      <c r="I400" s="360" t="s">
        <v>311</v>
      </c>
      <c r="J400" s="361"/>
      <c r="K400" s="361"/>
      <c r="L400" s="361"/>
      <c r="M400" s="361"/>
      <c r="N400" s="361"/>
      <c r="O400" s="361"/>
      <c r="P400" s="361"/>
      <c r="Q400" s="361"/>
      <c r="R400" s="361"/>
      <c r="S400" s="361"/>
      <c r="T400" s="361"/>
      <c r="U400" s="361"/>
      <c r="V400" s="361"/>
      <c r="W400" s="361"/>
      <c r="X400" s="361"/>
      <c r="Y400" s="361"/>
      <c r="Z400" s="361"/>
      <c r="AA400" s="361"/>
      <c r="AB400" s="361"/>
      <c r="AC400" s="361"/>
      <c r="AD400" s="361"/>
      <c r="AE400" s="361"/>
      <c r="AF400" s="361"/>
      <c r="AG400" s="361"/>
      <c r="AH400" s="107">
        <f t="shared" ref="AH400:AH410" si="73">SUM(C400:AG400)</f>
        <v>0</v>
      </c>
    </row>
    <row r="401" spans="1:34" ht="15">
      <c r="A401" s="73" t="s">
        <v>147</v>
      </c>
      <c r="B401" s="311">
        <f t="shared" si="72"/>
        <v>0</v>
      </c>
      <c r="C401" s="361"/>
      <c r="D401" s="361"/>
      <c r="E401" s="361"/>
      <c r="F401" s="361"/>
      <c r="G401" s="361"/>
      <c r="H401" s="53"/>
      <c r="I401" s="53"/>
      <c r="J401" s="53"/>
      <c r="K401" s="53"/>
      <c r="L401" s="53"/>
      <c r="M401" s="53"/>
      <c r="N401" s="53"/>
      <c r="O401" s="53"/>
      <c r="P401" s="53"/>
      <c r="Q401" s="53"/>
      <c r="R401" s="53"/>
      <c r="S401" s="53"/>
      <c r="T401" s="53"/>
      <c r="U401" s="53"/>
      <c r="V401" s="53"/>
      <c r="W401" s="53"/>
      <c r="X401" s="53"/>
      <c r="Y401" s="53"/>
      <c r="Z401" s="53"/>
      <c r="AA401" s="53"/>
      <c r="AB401" s="53"/>
      <c r="AC401" s="53"/>
      <c r="AD401" s="53"/>
      <c r="AE401" s="53"/>
      <c r="AF401" s="53"/>
      <c r="AG401" s="53"/>
      <c r="AH401" s="107">
        <f t="shared" si="73"/>
        <v>0</v>
      </c>
    </row>
    <row r="402" spans="1:34" ht="15">
      <c r="A402" s="73" t="s">
        <v>148</v>
      </c>
      <c r="B402" s="311">
        <f t="shared" si="72"/>
        <v>0</v>
      </c>
      <c r="C402" s="103"/>
      <c r="D402" s="53"/>
      <c r="E402" s="53"/>
      <c r="F402" s="53"/>
      <c r="G402" s="53"/>
      <c r="H402" s="53"/>
      <c r="I402" s="53"/>
      <c r="J402" s="53"/>
      <c r="K402" s="53"/>
      <c r="L402" s="53"/>
      <c r="M402" s="53"/>
      <c r="N402" s="53"/>
      <c r="O402" s="53"/>
      <c r="P402" s="53"/>
      <c r="Q402" s="53"/>
      <c r="R402" s="53"/>
      <c r="S402" s="53"/>
      <c r="T402" s="53"/>
      <c r="U402" s="53"/>
      <c r="V402" s="53"/>
      <c r="W402" s="53"/>
      <c r="X402" s="53"/>
      <c r="Y402" s="53"/>
      <c r="Z402" s="53"/>
      <c r="AA402" s="53"/>
      <c r="AB402" s="53"/>
      <c r="AC402" s="53"/>
      <c r="AD402" s="53"/>
      <c r="AE402" s="53"/>
      <c r="AF402" s="53"/>
      <c r="AG402" s="53"/>
      <c r="AH402" s="107">
        <f t="shared" si="73"/>
        <v>0</v>
      </c>
    </row>
    <row r="403" spans="1:34" ht="15">
      <c r="A403" s="73" t="s">
        <v>149</v>
      </c>
      <c r="B403" s="311">
        <f t="shared" si="72"/>
        <v>0</v>
      </c>
      <c r="C403" s="103"/>
      <c r="D403" s="53"/>
      <c r="E403" s="53"/>
      <c r="F403" s="53"/>
      <c r="G403" s="53"/>
      <c r="H403" s="53"/>
      <c r="I403" s="53"/>
      <c r="J403" s="53"/>
      <c r="K403" s="53"/>
      <c r="L403" s="53"/>
      <c r="M403" s="53"/>
      <c r="N403" s="53"/>
      <c r="O403" s="53"/>
      <c r="P403" s="53"/>
      <c r="Q403" s="53"/>
      <c r="R403" s="53"/>
      <c r="S403" s="53"/>
      <c r="T403" s="53"/>
      <c r="U403" s="53"/>
      <c r="V403" s="53"/>
      <c r="W403" s="53"/>
      <c r="X403" s="53"/>
      <c r="Y403" s="53"/>
      <c r="Z403" s="53"/>
      <c r="AA403" s="53"/>
      <c r="AB403" s="53"/>
      <c r="AC403" s="53"/>
      <c r="AD403" s="53"/>
      <c r="AE403" s="53"/>
      <c r="AF403" s="53"/>
      <c r="AG403" s="53"/>
      <c r="AH403" s="107">
        <f t="shared" si="73"/>
        <v>0</v>
      </c>
    </row>
    <row r="404" spans="1:34" ht="15">
      <c r="A404" s="73" t="s">
        <v>150</v>
      </c>
      <c r="B404" s="311">
        <f t="shared" si="72"/>
        <v>0</v>
      </c>
      <c r="C404" s="103"/>
      <c r="D404" s="53"/>
      <c r="E404" s="53"/>
      <c r="F404" s="53"/>
      <c r="G404" s="53"/>
      <c r="H404" s="53"/>
      <c r="I404" s="53"/>
      <c r="J404" s="53"/>
      <c r="K404" s="53"/>
      <c r="L404" s="53"/>
      <c r="M404" s="53"/>
      <c r="N404" s="53"/>
      <c r="O404" s="53"/>
      <c r="P404" s="53"/>
      <c r="Q404" s="53"/>
      <c r="R404" s="53"/>
      <c r="S404" s="53"/>
      <c r="T404" s="53"/>
      <c r="U404" s="53"/>
      <c r="V404" s="53"/>
      <c r="W404" s="53"/>
      <c r="X404" s="53"/>
      <c r="Y404" s="53"/>
      <c r="Z404" s="53"/>
      <c r="AA404" s="53"/>
      <c r="AB404" s="53"/>
      <c r="AC404" s="53"/>
      <c r="AD404" s="53"/>
      <c r="AE404" s="53"/>
      <c r="AF404" s="53"/>
      <c r="AG404" s="53"/>
      <c r="AH404" s="107">
        <f t="shared" si="73"/>
        <v>0</v>
      </c>
    </row>
    <row r="405" spans="1:34" ht="15">
      <c r="A405" s="73" t="s">
        <v>151</v>
      </c>
      <c r="B405" s="306">
        <f t="shared" si="72"/>
        <v>0</v>
      </c>
      <c r="C405" s="103"/>
      <c r="D405" s="107"/>
      <c r="E405" s="107"/>
      <c r="F405" s="107"/>
      <c r="G405" s="53"/>
      <c r="H405" s="53"/>
      <c r="I405" s="53"/>
      <c r="J405" s="111"/>
      <c r="K405" s="111"/>
      <c r="L405" s="107"/>
      <c r="M405" s="107"/>
      <c r="N405" s="107"/>
      <c r="O405" s="107"/>
      <c r="P405" s="107"/>
      <c r="Q405" s="107"/>
      <c r="R405" s="107"/>
      <c r="S405" s="107"/>
      <c r="T405" s="107"/>
      <c r="U405" s="107"/>
      <c r="V405" s="107"/>
      <c r="W405" s="107"/>
      <c r="X405" s="107"/>
      <c r="Y405" s="107"/>
      <c r="Z405" s="107"/>
      <c r="AA405" s="107"/>
      <c r="AB405" s="107"/>
      <c r="AC405" s="107"/>
      <c r="AD405" s="107"/>
      <c r="AE405" s="107"/>
      <c r="AF405" s="107"/>
      <c r="AG405" s="107"/>
      <c r="AH405" s="107">
        <f t="shared" si="73"/>
        <v>0</v>
      </c>
    </row>
    <row r="406" spans="1:34" ht="15">
      <c r="A406" s="73" t="s">
        <v>152</v>
      </c>
      <c r="B406" s="306">
        <f t="shared" si="72"/>
        <v>0</v>
      </c>
      <c r="C406" s="103"/>
      <c r="D406" s="53"/>
      <c r="E406" s="53"/>
      <c r="F406" s="53"/>
      <c r="G406" s="53"/>
      <c r="H406" s="53"/>
      <c r="I406" s="53"/>
      <c r="J406" s="111"/>
      <c r="K406" s="111"/>
      <c r="L406" s="107"/>
      <c r="M406" s="107"/>
      <c r="N406" s="107"/>
      <c r="O406" s="107"/>
      <c r="P406" s="107"/>
      <c r="Q406" s="107"/>
      <c r="R406" s="107"/>
      <c r="S406" s="107"/>
      <c r="T406" s="107"/>
      <c r="U406" s="107"/>
      <c r="V406" s="107"/>
      <c r="W406" s="107"/>
      <c r="X406" s="107"/>
      <c r="Y406" s="107"/>
      <c r="Z406" s="107"/>
      <c r="AA406" s="107"/>
      <c r="AB406" s="107"/>
      <c r="AC406" s="107"/>
      <c r="AD406" s="107"/>
      <c r="AE406" s="107"/>
      <c r="AF406" s="107"/>
      <c r="AG406" s="107"/>
      <c r="AH406" s="107">
        <f t="shared" si="73"/>
        <v>0</v>
      </c>
    </row>
    <row r="407" spans="1:34" ht="15">
      <c r="A407" s="73" t="s">
        <v>153</v>
      </c>
      <c r="B407" s="306">
        <f t="shared" si="72"/>
        <v>0</v>
      </c>
      <c r="C407" s="100"/>
      <c r="D407" s="107"/>
      <c r="E407" s="107"/>
      <c r="F407" s="107"/>
      <c r="G407" s="107"/>
      <c r="H407" s="107"/>
      <c r="I407" s="107"/>
      <c r="J407" s="111"/>
      <c r="K407" s="111"/>
      <c r="L407" s="53"/>
      <c r="M407" s="53"/>
      <c r="N407" s="53"/>
      <c r="O407" s="53"/>
      <c r="P407" s="53"/>
      <c r="Q407" s="53"/>
      <c r="R407" s="53"/>
      <c r="S407" s="53"/>
      <c r="T407" s="53"/>
      <c r="U407" s="53"/>
      <c r="V407" s="53"/>
      <c r="W407" s="53"/>
      <c r="X407" s="53"/>
      <c r="Y407" s="53"/>
      <c r="Z407" s="53"/>
      <c r="AA407" s="53"/>
      <c r="AB407" s="53"/>
      <c r="AC407" s="53"/>
      <c r="AD407" s="53"/>
      <c r="AE407" s="53"/>
      <c r="AF407" s="53"/>
      <c r="AG407" s="53"/>
      <c r="AH407" s="107">
        <f t="shared" si="73"/>
        <v>0</v>
      </c>
    </row>
    <row r="408" spans="1:34" ht="15">
      <c r="A408" s="73" t="s">
        <v>154</v>
      </c>
      <c r="B408" s="306">
        <f t="shared" si="72"/>
        <v>0</v>
      </c>
      <c r="C408" s="103"/>
      <c r="D408" s="2503" t="s">
        <v>318</v>
      </c>
      <c r="E408" s="2503" t="s">
        <v>318</v>
      </c>
      <c r="F408" s="2503" t="s">
        <v>318</v>
      </c>
      <c r="G408" s="2503" t="s">
        <v>318</v>
      </c>
      <c r="H408" s="2503" t="s">
        <v>318</v>
      </c>
      <c r="I408" s="2503" t="s">
        <v>318</v>
      </c>
      <c r="J408" s="2503" t="s">
        <v>318</v>
      </c>
      <c r="K408" s="2503" t="s">
        <v>318</v>
      </c>
      <c r="L408" s="2503" t="s">
        <v>318</v>
      </c>
      <c r="M408" s="2503" t="s">
        <v>318</v>
      </c>
      <c r="N408" s="2503" t="s">
        <v>318</v>
      </c>
      <c r="O408" s="2503" t="s">
        <v>318</v>
      </c>
      <c r="P408" s="2503" t="s">
        <v>318</v>
      </c>
      <c r="Q408" s="2503" t="s">
        <v>318</v>
      </c>
      <c r="R408" s="2503" t="s">
        <v>318</v>
      </c>
      <c r="S408" s="2503" t="s">
        <v>318</v>
      </c>
      <c r="T408" s="2503" t="s">
        <v>318</v>
      </c>
      <c r="U408" s="2503" t="s">
        <v>318</v>
      </c>
      <c r="V408" s="2503" t="s">
        <v>318</v>
      </c>
      <c r="W408" s="2503" t="s">
        <v>318</v>
      </c>
      <c r="X408" s="2503" t="s">
        <v>318</v>
      </c>
      <c r="Y408" s="2503" t="s">
        <v>318</v>
      </c>
      <c r="Z408" s="2503" t="s">
        <v>318</v>
      </c>
      <c r="AA408" s="2503" t="s">
        <v>318</v>
      </c>
      <c r="AB408" s="2503" t="s">
        <v>318</v>
      </c>
      <c r="AC408" s="2503" t="s">
        <v>318</v>
      </c>
      <c r="AD408" s="2503" t="s">
        <v>318</v>
      </c>
      <c r="AE408" s="2503" t="s">
        <v>318</v>
      </c>
      <c r="AF408" s="2503" t="s">
        <v>318</v>
      </c>
      <c r="AG408" s="2503" t="s">
        <v>318</v>
      </c>
      <c r="AH408" s="107">
        <f t="shared" si="73"/>
        <v>0</v>
      </c>
    </row>
    <row r="409" spans="1:34" ht="15">
      <c r="A409" s="73" t="s">
        <v>155</v>
      </c>
      <c r="B409" s="53">
        <f t="shared" si="72"/>
        <v>0</v>
      </c>
      <c r="C409" s="188" t="s">
        <v>318</v>
      </c>
      <c r="D409" s="188" t="s">
        <v>318</v>
      </c>
      <c r="E409" s="188" t="s">
        <v>318</v>
      </c>
      <c r="F409" s="188" t="s">
        <v>318</v>
      </c>
      <c r="G409" s="188" t="s">
        <v>318</v>
      </c>
      <c r="H409" s="188" t="s">
        <v>318</v>
      </c>
      <c r="I409" s="188" t="s">
        <v>318</v>
      </c>
      <c r="J409" s="188" t="s">
        <v>318</v>
      </c>
      <c r="K409" s="188" t="s">
        <v>318</v>
      </c>
      <c r="L409" s="188" t="s">
        <v>318</v>
      </c>
      <c r="M409" s="188" t="s">
        <v>318</v>
      </c>
      <c r="N409" s="188" t="s">
        <v>318</v>
      </c>
      <c r="O409" s="188" t="s">
        <v>318</v>
      </c>
      <c r="P409" s="188" t="s">
        <v>318</v>
      </c>
      <c r="Q409" s="188" t="s">
        <v>318</v>
      </c>
      <c r="R409" s="53"/>
      <c r="S409" s="53"/>
      <c r="T409" s="53"/>
      <c r="U409" s="53"/>
      <c r="V409" s="53"/>
      <c r="W409" s="53"/>
      <c r="X409" s="53"/>
      <c r="Y409" s="14"/>
      <c r="Z409" s="53"/>
      <c r="AA409" s="53"/>
      <c r="AB409" s="53"/>
      <c r="AC409" s="53"/>
      <c r="AD409" s="53"/>
      <c r="AE409" s="107"/>
      <c r="AF409" s="53"/>
      <c r="AG409" s="107"/>
      <c r="AH409" s="107">
        <f t="shared" si="73"/>
        <v>0</v>
      </c>
    </row>
    <row r="410" spans="1:34" ht="15">
      <c r="A410" s="73" t="s">
        <v>156</v>
      </c>
      <c r="B410" s="53">
        <f t="shared" si="72"/>
        <v>0</v>
      </c>
      <c r="C410" s="103"/>
      <c r="D410" s="53"/>
      <c r="E410" s="53"/>
      <c r="F410" s="53"/>
      <c r="G410" s="53"/>
      <c r="H410" s="53"/>
      <c r="I410" s="53"/>
      <c r="J410" s="53"/>
      <c r="K410" s="53"/>
      <c r="L410" s="53"/>
      <c r="M410" s="53"/>
      <c r="N410" s="53"/>
      <c r="O410" s="53"/>
      <c r="P410" s="53"/>
      <c r="Q410" s="53"/>
      <c r="R410" s="53"/>
      <c r="S410" s="53"/>
      <c r="T410" s="53"/>
      <c r="U410" s="53"/>
      <c r="V410" s="53"/>
      <c r="W410" s="53"/>
      <c r="X410" s="53"/>
      <c r="Y410" s="53"/>
      <c r="Z410" s="53"/>
      <c r="AA410" s="53"/>
      <c r="AB410" s="53"/>
      <c r="AC410" s="53"/>
      <c r="AD410" s="53"/>
      <c r="AE410" s="107"/>
      <c r="AF410" s="53"/>
      <c r="AG410" s="107"/>
      <c r="AH410" s="107">
        <f t="shared" si="73"/>
        <v>0</v>
      </c>
    </row>
    <row r="411" spans="1:34" ht="15">
      <c r="A411" s="199" t="s">
        <v>144</v>
      </c>
      <c r="B411" s="200">
        <f>SUM(B399:B410)</f>
        <v>0</v>
      </c>
      <c r="C411" s="100">
        <f>SUM(C399:C409)</f>
        <v>0</v>
      </c>
      <c r="D411" s="107">
        <f>SUM(D399:D409)</f>
        <v>0</v>
      </c>
      <c r="E411" s="107">
        <v>0</v>
      </c>
      <c r="F411" s="107">
        <f>SUM(F399:F409)</f>
        <v>0</v>
      </c>
      <c r="G411" s="107">
        <f>SUM(G399:G409)</f>
        <v>0</v>
      </c>
      <c r="H411" s="107">
        <f>SUM(H399:H409)</f>
        <v>0</v>
      </c>
      <c r="I411" s="107">
        <f>SUM(I399:I409)</f>
        <v>0</v>
      </c>
      <c r="J411" s="107">
        <f t="shared" ref="J411:AC411" si="74">SUM(J399:J409)</f>
        <v>0</v>
      </c>
      <c r="K411" s="107">
        <f t="shared" si="74"/>
        <v>0</v>
      </c>
      <c r="L411" s="107">
        <f t="shared" si="74"/>
        <v>0</v>
      </c>
      <c r="M411" s="107">
        <f t="shared" si="74"/>
        <v>0</v>
      </c>
      <c r="N411" s="107">
        <f t="shared" si="74"/>
        <v>0</v>
      </c>
      <c r="O411" s="107">
        <f t="shared" si="74"/>
        <v>0</v>
      </c>
      <c r="P411" s="107">
        <f t="shared" si="74"/>
        <v>0</v>
      </c>
      <c r="Q411" s="107">
        <f t="shared" si="74"/>
        <v>0</v>
      </c>
      <c r="R411" s="107">
        <f t="shared" si="74"/>
        <v>0</v>
      </c>
      <c r="S411" s="107">
        <f t="shared" si="74"/>
        <v>0</v>
      </c>
      <c r="T411" s="107">
        <f t="shared" si="74"/>
        <v>0</v>
      </c>
      <c r="U411" s="107">
        <f t="shared" si="74"/>
        <v>0</v>
      </c>
      <c r="V411" s="107">
        <f t="shared" si="74"/>
        <v>0</v>
      </c>
      <c r="W411" s="107">
        <f t="shared" si="74"/>
        <v>0</v>
      </c>
      <c r="X411" s="107">
        <f t="shared" si="74"/>
        <v>0</v>
      </c>
      <c r="Y411" s="107">
        <f t="shared" si="74"/>
        <v>0</v>
      </c>
      <c r="Z411" s="107">
        <f t="shared" si="74"/>
        <v>0</v>
      </c>
      <c r="AA411" s="107">
        <f t="shared" si="74"/>
        <v>0</v>
      </c>
      <c r="AB411" s="107">
        <f t="shared" si="74"/>
        <v>0</v>
      </c>
      <c r="AC411" s="107">
        <f t="shared" si="74"/>
        <v>0</v>
      </c>
      <c r="AD411" s="107">
        <v>0</v>
      </c>
      <c r="AE411" s="107">
        <f>SUM(AE399:AE409)</f>
        <v>0</v>
      </c>
      <c r="AF411" s="107">
        <f>SUM(AF399:AF409)</f>
        <v>0</v>
      </c>
      <c r="AG411" s="107">
        <f>SUM(AG399:AG409)</f>
        <v>0</v>
      </c>
      <c r="AH411" s="100">
        <f>SUM(AH399:AH409)</f>
        <v>0</v>
      </c>
    </row>
    <row r="412" spans="1:34" ht="5.0999999999999996" customHeight="1">
      <c r="A412" s="49"/>
      <c r="B412" s="49"/>
      <c r="C412" s="1"/>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c r="AG412" s="14"/>
      <c r="AH412" s="1"/>
    </row>
    <row r="413" spans="1:34" ht="15">
      <c r="A413" s="3854" t="s">
        <v>122</v>
      </c>
      <c r="B413" s="3855"/>
      <c r="C413" s="3855"/>
      <c r="D413" s="3855"/>
      <c r="E413" s="3855"/>
      <c r="F413" s="3855"/>
      <c r="G413" s="3855"/>
      <c r="H413" s="3856"/>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c r="AG413" s="14"/>
      <c r="AH413" s="14"/>
    </row>
    <row r="414" spans="1:34" ht="15">
      <c r="A414" s="8" t="s">
        <v>142</v>
      </c>
      <c r="B414" s="8" t="s">
        <v>143</v>
      </c>
      <c r="C414" s="2907">
        <v>1</v>
      </c>
      <c r="D414" s="73">
        <v>2</v>
      </c>
      <c r="E414" s="73">
        <v>3</v>
      </c>
      <c r="F414" s="73">
        <v>4</v>
      </c>
      <c r="G414" s="73">
        <v>5</v>
      </c>
      <c r="H414" s="73">
        <v>6</v>
      </c>
      <c r="I414" s="73">
        <v>7</v>
      </c>
      <c r="J414" s="73">
        <v>8</v>
      </c>
      <c r="K414" s="73">
        <v>9</v>
      </c>
      <c r="L414" s="73">
        <v>10</v>
      </c>
      <c r="M414" s="73">
        <v>11</v>
      </c>
      <c r="N414" s="73">
        <v>12</v>
      </c>
      <c r="O414" s="73">
        <v>13</v>
      </c>
      <c r="P414" s="73">
        <v>14</v>
      </c>
      <c r="Q414" s="73">
        <v>15</v>
      </c>
      <c r="R414" s="73">
        <v>16</v>
      </c>
      <c r="S414" s="73">
        <v>17</v>
      </c>
      <c r="T414" s="73">
        <v>18</v>
      </c>
      <c r="U414" s="73">
        <v>19</v>
      </c>
      <c r="V414" s="73">
        <v>20</v>
      </c>
      <c r="W414" s="73">
        <v>21</v>
      </c>
      <c r="X414" s="73">
        <v>22</v>
      </c>
      <c r="Y414" s="73">
        <v>23</v>
      </c>
      <c r="Z414" s="73">
        <v>24</v>
      </c>
      <c r="AA414" s="73">
        <v>25</v>
      </c>
      <c r="AB414" s="73">
        <v>26</v>
      </c>
      <c r="AC414" s="73">
        <v>27</v>
      </c>
      <c r="AD414" s="73">
        <v>28</v>
      </c>
      <c r="AE414" s="73">
        <v>29</v>
      </c>
      <c r="AF414" s="73">
        <v>30</v>
      </c>
      <c r="AG414" s="73">
        <v>31</v>
      </c>
      <c r="AH414" s="88" t="s">
        <v>144</v>
      </c>
    </row>
    <row r="415" spans="1:34" ht="15">
      <c r="A415" s="73" t="s">
        <v>145</v>
      </c>
      <c r="B415" s="311">
        <f t="shared" ref="B415:B426" si="75">+AH415</f>
        <v>0</v>
      </c>
      <c r="C415" s="360" t="s">
        <v>311</v>
      </c>
      <c r="D415" s="360" t="s">
        <v>311</v>
      </c>
      <c r="E415" s="360" t="s">
        <v>311</v>
      </c>
      <c r="F415" s="360" t="s">
        <v>311</v>
      </c>
      <c r="G415" s="360" t="s">
        <v>311</v>
      </c>
      <c r="H415" s="360" t="s">
        <v>311</v>
      </c>
      <c r="I415" s="360" t="s">
        <v>311</v>
      </c>
      <c r="J415" s="360" t="s">
        <v>311</v>
      </c>
      <c r="K415" s="360" t="s">
        <v>311</v>
      </c>
      <c r="L415" s="360" t="s">
        <v>311</v>
      </c>
      <c r="M415" s="360" t="s">
        <v>311</v>
      </c>
      <c r="N415" s="360" t="s">
        <v>311</v>
      </c>
      <c r="O415" s="360" t="s">
        <v>311</v>
      </c>
      <c r="P415" s="360" t="s">
        <v>311</v>
      </c>
      <c r="Q415" s="360" t="s">
        <v>311</v>
      </c>
      <c r="R415" s="360" t="s">
        <v>311</v>
      </c>
      <c r="S415" s="360" t="s">
        <v>311</v>
      </c>
      <c r="T415" s="360" t="s">
        <v>311</v>
      </c>
      <c r="U415" s="360" t="s">
        <v>311</v>
      </c>
      <c r="V415" s="360" t="s">
        <v>311</v>
      </c>
      <c r="W415" s="360" t="s">
        <v>311</v>
      </c>
      <c r="X415" s="360" t="s">
        <v>311</v>
      </c>
      <c r="Y415" s="360" t="s">
        <v>311</v>
      </c>
      <c r="Z415" s="360" t="s">
        <v>311</v>
      </c>
      <c r="AA415" s="360" t="s">
        <v>311</v>
      </c>
      <c r="AB415" s="360" t="s">
        <v>311</v>
      </c>
      <c r="AC415" s="360" t="s">
        <v>311</v>
      </c>
      <c r="AD415" s="360" t="s">
        <v>311</v>
      </c>
      <c r="AE415" s="360" t="s">
        <v>311</v>
      </c>
      <c r="AF415" s="360" t="s">
        <v>311</v>
      </c>
      <c r="AG415" s="360" t="s">
        <v>311</v>
      </c>
      <c r="AH415" s="107"/>
    </row>
    <row r="416" spans="1:34" ht="15">
      <c r="A416" s="73" t="s">
        <v>146</v>
      </c>
      <c r="B416" s="311">
        <f t="shared" si="75"/>
        <v>0</v>
      </c>
      <c r="C416" s="360" t="s">
        <v>311</v>
      </c>
      <c r="D416" s="360" t="s">
        <v>311</v>
      </c>
      <c r="E416" s="360" t="s">
        <v>311</v>
      </c>
      <c r="F416" s="360" t="s">
        <v>311</v>
      </c>
      <c r="G416" s="360" t="s">
        <v>311</v>
      </c>
      <c r="H416" s="360" t="s">
        <v>311</v>
      </c>
      <c r="I416" s="360" t="s">
        <v>311</v>
      </c>
      <c r="J416" s="361"/>
      <c r="K416" s="361"/>
      <c r="L416" s="361"/>
      <c r="M416" s="361"/>
      <c r="N416" s="361"/>
      <c r="O416" s="361"/>
      <c r="P416" s="361"/>
      <c r="Q416" s="361"/>
      <c r="R416" s="361"/>
      <c r="S416" s="361"/>
      <c r="T416" s="361"/>
      <c r="U416" s="361"/>
      <c r="V416" s="361"/>
      <c r="W416" s="361"/>
      <c r="X416" s="361"/>
      <c r="Y416" s="361"/>
      <c r="Z416" s="361"/>
      <c r="AA416" s="361"/>
      <c r="AB416" s="361"/>
      <c r="AC416" s="361"/>
      <c r="AD416" s="361"/>
      <c r="AE416" s="361"/>
      <c r="AF416" s="361"/>
      <c r="AG416" s="361"/>
      <c r="AH416" s="107"/>
    </row>
    <row r="417" spans="1:34" ht="15">
      <c r="A417" s="73" t="s">
        <v>147</v>
      </c>
      <c r="B417" s="311">
        <f t="shared" si="75"/>
        <v>11.267999999999999</v>
      </c>
      <c r="C417" s="361"/>
      <c r="D417" s="361"/>
      <c r="E417" s="361"/>
      <c r="F417" s="361"/>
      <c r="G417" s="361"/>
      <c r="H417" s="53"/>
      <c r="I417" s="53"/>
      <c r="J417" s="53"/>
      <c r="K417" s="53"/>
      <c r="L417" s="53"/>
      <c r="M417" s="53"/>
      <c r="N417" s="53"/>
      <c r="O417" s="53"/>
      <c r="P417" s="53"/>
      <c r="Q417" s="53"/>
      <c r="R417" s="53"/>
      <c r="S417" s="53"/>
      <c r="T417" s="53"/>
      <c r="U417" s="53"/>
      <c r="V417" s="53">
        <v>0.24199999999999999</v>
      </c>
      <c r="W417" s="53"/>
      <c r="X417" s="53"/>
      <c r="Y417" s="53">
        <v>10.44</v>
      </c>
      <c r="Z417" s="53"/>
      <c r="AA417" s="53"/>
      <c r="AB417" s="53"/>
      <c r="AC417" s="53"/>
      <c r="AD417" s="53">
        <v>9.6000000000000002E-2</v>
      </c>
      <c r="AE417" s="53"/>
      <c r="AF417" s="53"/>
      <c r="AG417" s="53">
        <v>0.49</v>
      </c>
      <c r="AH417" s="107">
        <f>SUM(C417:AG417)</f>
        <v>11.267999999999999</v>
      </c>
    </row>
    <row r="418" spans="1:34" ht="15">
      <c r="A418" s="73" t="s">
        <v>148</v>
      </c>
      <c r="B418" s="311">
        <f>+AH418</f>
        <v>13.401000000000002</v>
      </c>
      <c r="C418" s="103"/>
      <c r="D418" s="53">
        <v>2.4510000000000001</v>
      </c>
      <c r="E418" s="53"/>
      <c r="F418" s="53"/>
      <c r="G418" s="53"/>
      <c r="H418" s="53"/>
      <c r="I418" s="53"/>
      <c r="J418" s="53"/>
      <c r="K418" s="53"/>
      <c r="L418" s="53"/>
      <c r="M418" s="53"/>
      <c r="N418" s="53"/>
      <c r="O418" s="53">
        <v>2.077</v>
      </c>
      <c r="P418" s="53"/>
      <c r="Q418" s="53"/>
      <c r="R418" s="53">
        <v>1.9850000000000001</v>
      </c>
      <c r="S418" s="53">
        <v>4.4800000000000004</v>
      </c>
      <c r="T418" s="53">
        <v>1.321</v>
      </c>
      <c r="U418" s="53"/>
      <c r="V418" s="53"/>
      <c r="W418" s="53">
        <v>1.087</v>
      </c>
      <c r="X418" s="53"/>
      <c r="Y418" s="53"/>
      <c r="Z418" s="53"/>
      <c r="AA418" s="53"/>
      <c r="AB418" s="53"/>
      <c r="AC418" s="53"/>
      <c r="AD418" s="53"/>
      <c r="AE418" s="53"/>
      <c r="AF418" s="53"/>
      <c r="AG418" s="53"/>
      <c r="AH418" s="107">
        <f t="shared" ref="AH418:AH426" si="76">SUM(C418:AG418)</f>
        <v>13.401000000000002</v>
      </c>
    </row>
    <row r="419" spans="1:34" ht="15">
      <c r="A419" s="73" t="s">
        <v>149</v>
      </c>
      <c r="B419" s="311">
        <f t="shared" si="75"/>
        <v>0</v>
      </c>
      <c r="C419" s="103"/>
      <c r="D419" s="53"/>
      <c r="E419" s="53"/>
      <c r="F419" s="53"/>
      <c r="G419" s="53"/>
      <c r="H419" s="53"/>
      <c r="I419" s="53"/>
      <c r="J419" s="53"/>
      <c r="K419" s="53"/>
      <c r="L419" s="53"/>
      <c r="M419" s="53"/>
      <c r="N419" s="53"/>
      <c r="O419" s="53"/>
      <c r="P419" s="53"/>
      <c r="Q419" s="53"/>
      <c r="R419" s="53"/>
      <c r="S419" s="53"/>
      <c r="T419" s="53"/>
      <c r="U419" s="53"/>
      <c r="V419" s="53"/>
      <c r="W419" s="53"/>
      <c r="X419" s="53"/>
      <c r="Y419" s="53"/>
      <c r="Z419" s="53"/>
      <c r="AA419" s="53"/>
      <c r="AB419" s="53"/>
      <c r="AC419" s="53"/>
      <c r="AD419" s="53"/>
      <c r="AE419" s="53"/>
      <c r="AF419" s="53"/>
      <c r="AG419" s="53"/>
      <c r="AH419" s="107">
        <f t="shared" si="76"/>
        <v>0</v>
      </c>
    </row>
    <row r="420" spans="1:34" ht="15">
      <c r="A420" s="73" t="s">
        <v>150</v>
      </c>
      <c r="B420" s="311">
        <f t="shared" si="75"/>
        <v>0.49099999999999999</v>
      </c>
      <c r="C420" s="103"/>
      <c r="D420" s="53"/>
      <c r="E420" s="53"/>
      <c r="F420" s="53"/>
      <c r="G420" s="53"/>
      <c r="H420" s="53"/>
      <c r="I420" s="53"/>
      <c r="J420" s="53"/>
      <c r="K420" s="53"/>
      <c r="L420" s="53"/>
      <c r="M420" s="53"/>
      <c r="N420" s="53"/>
      <c r="O420" s="53">
        <v>0.49099999999999999</v>
      </c>
      <c r="P420" s="53"/>
      <c r="Q420" s="53"/>
      <c r="R420" s="53"/>
      <c r="S420" s="53"/>
      <c r="T420" s="53"/>
      <c r="U420" s="53"/>
      <c r="V420" s="53"/>
      <c r="W420" s="53"/>
      <c r="X420" s="53"/>
      <c r="Y420" s="53"/>
      <c r="Z420" s="53"/>
      <c r="AA420" s="53"/>
      <c r="AB420" s="53"/>
      <c r="AC420" s="53"/>
      <c r="AD420" s="53"/>
      <c r="AE420" s="53"/>
      <c r="AF420" s="53"/>
      <c r="AG420" s="53"/>
      <c r="AH420" s="107">
        <f t="shared" si="76"/>
        <v>0.49099999999999999</v>
      </c>
    </row>
    <row r="421" spans="1:34" ht="15">
      <c r="A421" s="73" t="s">
        <v>151</v>
      </c>
      <c r="B421" s="311">
        <f t="shared" si="75"/>
        <v>0</v>
      </c>
      <c r="C421" s="103"/>
      <c r="D421" s="107"/>
      <c r="E421" s="107"/>
      <c r="F421" s="107"/>
      <c r="G421" s="53"/>
      <c r="H421" s="53"/>
      <c r="I421" s="53"/>
      <c r="J421" s="111"/>
      <c r="K421" s="111"/>
      <c r="L421" s="107"/>
      <c r="M421" s="107"/>
      <c r="N421" s="107"/>
      <c r="O421" s="107"/>
      <c r="P421" s="107"/>
      <c r="Q421" s="107"/>
      <c r="R421" s="107"/>
      <c r="S421" s="107"/>
      <c r="T421" s="107"/>
      <c r="U421" s="107"/>
      <c r="V421" s="107"/>
      <c r="W421" s="107"/>
      <c r="X421" s="107"/>
      <c r="Y421" s="107"/>
      <c r="Z421" s="107"/>
      <c r="AA421" s="107"/>
      <c r="AB421" s="107"/>
      <c r="AC421" s="107"/>
      <c r="AD421" s="107"/>
      <c r="AE421" s="107"/>
      <c r="AF421" s="107"/>
      <c r="AG421" s="107"/>
      <c r="AH421" s="107">
        <f t="shared" si="76"/>
        <v>0</v>
      </c>
    </row>
    <row r="422" spans="1:34" ht="15">
      <c r="A422" s="73" t="s">
        <v>152</v>
      </c>
      <c r="B422" s="311">
        <f t="shared" si="75"/>
        <v>0</v>
      </c>
      <c r="C422" s="103"/>
      <c r="D422" s="53"/>
      <c r="E422" s="53"/>
      <c r="F422" s="53"/>
      <c r="G422" s="53"/>
      <c r="H422" s="53"/>
      <c r="I422" s="53"/>
      <c r="J422" s="111"/>
      <c r="K422" s="111"/>
      <c r="L422" s="107"/>
      <c r="M422" s="107"/>
      <c r="N422" s="107"/>
      <c r="O422" s="107"/>
      <c r="P422" s="107"/>
      <c r="Q422" s="107"/>
      <c r="R422" s="107"/>
      <c r="S422" s="107"/>
      <c r="T422" s="107"/>
      <c r="U422" s="107"/>
      <c r="V422" s="107"/>
      <c r="W422" s="107"/>
      <c r="X422" s="107"/>
      <c r="Y422" s="107"/>
      <c r="Z422" s="107"/>
      <c r="AA422" s="107"/>
      <c r="AB422" s="107"/>
      <c r="AC422" s="107"/>
      <c r="AD422" s="107"/>
      <c r="AE422" s="107"/>
      <c r="AF422" s="107"/>
      <c r="AG422" s="107"/>
      <c r="AH422" s="107">
        <f t="shared" si="76"/>
        <v>0</v>
      </c>
    </row>
    <row r="423" spans="1:34" ht="15">
      <c r="A423" s="73" t="s">
        <v>153</v>
      </c>
      <c r="B423" s="311">
        <f t="shared" si="75"/>
        <v>0</v>
      </c>
      <c r="C423" s="100"/>
      <c r="D423" s="107"/>
      <c r="E423" s="107"/>
      <c r="F423" s="107"/>
      <c r="G423" s="107"/>
      <c r="H423" s="107"/>
      <c r="I423" s="107"/>
      <c r="J423" s="111"/>
      <c r="K423" s="111"/>
      <c r="L423" s="53"/>
      <c r="M423" s="53"/>
      <c r="N423" s="53"/>
      <c r="O423" s="53"/>
      <c r="P423" s="53"/>
      <c r="Q423" s="53"/>
      <c r="R423" s="53"/>
      <c r="S423" s="53"/>
      <c r="T423" s="53"/>
      <c r="U423" s="53"/>
      <c r="V423" s="53"/>
      <c r="W423" s="53"/>
      <c r="X423" s="53"/>
      <c r="Y423" s="53"/>
      <c r="Z423" s="53"/>
      <c r="AA423" s="53"/>
      <c r="AB423" s="53"/>
      <c r="AC423" s="53"/>
      <c r="AD423" s="53"/>
      <c r="AE423" s="53"/>
      <c r="AF423" s="53"/>
      <c r="AG423" s="53"/>
      <c r="AH423" s="107">
        <f t="shared" si="76"/>
        <v>0</v>
      </c>
    </row>
    <row r="424" spans="1:34" ht="15">
      <c r="A424" s="73" t="s">
        <v>154</v>
      </c>
      <c r="B424" s="311">
        <f t="shared" si="75"/>
        <v>0</v>
      </c>
      <c r="C424" s="103"/>
      <c r="D424" s="2503" t="s">
        <v>318</v>
      </c>
      <c r="E424" s="2503" t="s">
        <v>318</v>
      </c>
      <c r="F424" s="2503" t="s">
        <v>318</v>
      </c>
      <c r="G424" s="2503" t="s">
        <v>318</v>
      </c>
      <c r="H424" s="2503" t="s">
        <v>318</v>
      </c>
      <c r="I424" s="2503" t="s">
        <v>318</v>
      </c>
      <c r="J424" s="2503" t="s">
        <v>318</v>
      </c>
      <c r="K424" s="2503" t="s">
        <v>318</v>
      </c>
      <c r="L424" s="2503" t="s">
        <v>318</v>
      </c>
      <c r="M424" s="2503" t="s">
        <v>318</v>
      </c>
      <c r="N424" s="2503" t="s">
        <v>318</v>
      </c>
      <c r="O424" s="2503" t="s">
        <v>318</v>
      </c>
      <c r="P424" s="2503" t="s">
        <v>318</v>
      </c>
      <c r="Q424" s="2503" t="s">
        <v>318</v>
      </c>
      <c r="R424" s="2503" t="s">
        <v>318</v>
      </c>
      <c r="S424" s="2503" t="s">
        <v>318</v>
      </c>
      <c r="T424" s="2503" t="s">
        <v>318</v>
      </c>
      <c r="U424" s="2503" t="s">
        <v>318</v>
      </c>
      <c r="V424" s="2503" t="s">
        <v>318</v>
      </c>
      <c r="W424" s="2503" t="s">
        <v>318</v>
      </c>
      <c r="X424" s="2503" t="s">
        <v>318</v>
      </c>
      <c r="Y424" s="2503" t="s">
        <v>318</v>
      </c>
      <c r="Z424" s="2503" t="s">
        <v>318</v>
      </c>
      <c r="AA424" s="2503" t="s">
        <v>318</v>
      </c>
      <c r="AB424" s="2503" t="s">
        <v>318</v>
      </c>
      <c r="AC424" s="2503" t="s">
        <v>318</v>
      </c>
      <c r="AD424" s="2503" t="s">
        <v>318</v>
      </c>
      <c r="AE424" s="2503" t="s">
        <v>318</v>
      </c>
      <c r="AF424" s="2503" t="s">
        <v>318</v>
      </c>
      <c r="AG424" s="2503" t="s">
        <v>318</v>
      </c>
      <c r="AH424" s="107">
        <f t="shared" si="76"/>
        <v>0</v>
      </c>
    </row>
    <row r="425" spans="1:34" ht="15">
      <c r="A425" s="73" t="s">
        <v>155</v>
      </c>
      <c r="B425" s="311">
        <f t="shared" si="75"/>
        <v>0</v>
      </c>
      <c r="C425" s="188" t="s">
        <v>318</v>
      </c>
      <c r="D425" s="188" t="s">
        <v>318</v>
      </c>
      <c r="E425" s="188" t="s">
        <v>318</v>
      </c>
      <c r="F425" s="188" t="s">
        <v>318</v>
      </c>
      <c r="G425" s="188" t="s">
        <v>318</v>
      </c>
      <c r="H425" s="188" t="s">
        <v>318</v>
      </c>
      <c r="I425" s="188" t="s">
        <v>318</v>
      </c>
      <c r="J425" s="188" t="s">
        <v>318</v>
      </c>
      <c r="K425" s="188" t="s">
        <v>318</v>
      </c>
      <c r="L425" s="188" t="s">
        <v>318</v>
      </c>
      <c r="M425" s="188" t="s">
        <v>318</v>
      </c>
      <c r="N425" s="188" t="s">
        <v>318</v>
      </c>
      <c r="O425" s="188" t="s">
        <v>318</v>
      </c>
      <c r="P425" s="188" t="s">
        <v>318</v>
      </c>
      <c r="Q425" s="188" t="s">
        <v>318</v>
      </c>
      <c r="R425" s="53"/>
      <c r="S425" s="53"/>
      <c r="T425" s="53"/>
      <c r="U425" s="53"/>
      <c r="V425" s="53"/>
      <c r="W425" s="53"/>
      <c r="X425" s="53"/>
      <c r="Y425" s="14"/>
      <c r="Z425" s="53"/>
      <c r="AA425" s="53"/>
      <c r="AB425" s="53"/>
      <c r="AC425" s="53"/>
      <c r="AD425" s="53"/>
      <c r="AE425" s="107"/>
      <c r="AF425" s="53"/>
      <c r="AG425" s="107"/>
      <c r="AH425" s="107">
        <f t="shared" si="76"/>
        <v>0</v>
      </c>
    </row>
    <row r="426" spans="1:34" ht="15">
      <c r="A426" s="73" t="s">
        <v>156</v>
      </c>
      <c r="B426" s="311">
        <f t="shared" si="75"/>
        <v>0</v>
      </c>
      <c r="C426" s="103"/>
      <c r="D426" s="53"/>
      <c r="E426" s="53"/>
      <c r="F426" s="53"/>
      <c r="G426" s="53"/>
      <c r="H426" s="53"/>
      <c r="I426" s="53"/>
      <c r="J426" s="53"/>
      <c r="K426" s="53"/>
      <c r="L426" s="53"/>
      <c r="M426" s="53"/>
      <c r="N426" s="53"/>
      <c r="O426" s="53"/>
      <c r="P426" s="53"/>
      <c r="Q426" s="53"/>
      <c r="R426" s="53"/>
      <c r="S426" s="53"/>
      <c r="T426" s="53"/>
      <c r="U426" s="53"/>
      <c r="V426" s="53"/>
      <c r="W426" s="53"/>
      <c r="X426" s="53"/>
      <c r="Y426" s="53"/>
      <c r="Z426" s="53"/>
      <c r="AA426" s="53"/>
      <c r="AB426" s="53"/>
      <c r="AC426" s="53"/>
      <c r="AD426" s="53"/>
      <c r="AE426" s="107"/>
      <c r="AF426" s="53"/>
      <c r="AG426" s="107"/>
      <c r="AH426" s="107">
        <f t="shared" si="76"/>
        <v>0</v>
      </c>
    </row>
    <row r="427" spans="1:34" ht="15">
      <c r="A427" s="199" t="s">
        <v>144</v>
      </c>
      <c r="B427" s="232">
        <f>SUM(B415:B426)</f>
        <v>25.16</v>
      </c>
      <c r="C427" s="100">
        <f>SUM(C415:C425)</f>
        <v>0</v>
      </c>
      <c r="D427" s="107">
        <f>SUM(D415:D425)</f>
        <v>2.4510000000000001</v>
      </c>
      <c r="E427" s="107">
        <v>0</v>
      </c>
      <c r="F427" s="107">
        <f t="shared" ref="F427:AC427" si="77">SUM(F415:F425)</f>
        <v>0</v>
      </c>
      <c r="G427" s="107">
        <f t="shared" si="77"/>
        <v>0</v>
      </c>
      <c r="H427" s="107">
        <f t="shared" si="77"/>
        <v>0</v>
      </c>
      <c r="I427" s="107">
        <f t="shared" si="77"/>
        <v>0</v>
      </c>
      <c r="J427" s="107">
        <f t="shared" si="77"/>
        <v>0</v>
      </c>
      <c r="K427" s="107">
        <f t="shared" si="77"/>
        <v>0</v>
      </c>
      <c r="L427" s="107">
        <f t="shared" si="77"/>
        <v>0</v>
      </c>
      <c r="M427" s="107">
        <f t="shared" si="77"/>
        <v>0</v>
      </c>
      <c r="N427" s="107">
        <f t="shared" si="77"/>
        <v>0</v>
      </c>
      <c r="O427" s="107">
        <f t="shared" si="77"/>
        <v>2.5680000000000001</v>
      </c>
      <c r="P427" s="107">
        <f t="shared" si="77"/>
        <v>0</v>
      </c>
      <c r="Q427" s="107">
        <f t="shared" si="77"/>
        <v>0</v>
      </c>
      <c r="R427" s="107">
        <f t="shared" si="77"/>
        <v>1.9850000000000001</v>
      </c>
      <c r="S427" s="107">
        <f t="shared" si="77"/>
        <v>4.4800000000000004</v>
      </c>
      <c r="T427" s="107">
        <f t="shared" si="77"/>
        <v>1.321</v>
      </c>
      <c r="U427" s="107">
        <f t="shared" si="77"/>
        <v>0</v>
      </c>
      <c r="V427" s="107">
        <f t="shared" si="77"/>
        <v>0.24199999999999999</v>
      </c>
      <c r="W427" s="107">
        <f t="shared" si="77"/>
        <v>1.087</v>
      </c>
      <c r="X427" s="107">
        <f t="shared" si="77"/>
        <v>0</v>
      </c>
      <c r="Y427" s="107">
        <f t="shared" si="77"/>
        <v>10.44</v>
      </c>
      <c r="Z427" s="107">
        <f t="shared" si="77"/>
        <v>0</v>
      </c>
      <c r="AA427" s="107">
        <f t="shared" si="77"/>
        <v>0</v>
      </c>
      <c r="AB427" s="107">
        <f t="shared" si="77"/>
        <v>0</v>
      </c>
      <c r="AC427" s="107">
        <f t="shared" si="77"/>
        <v>0</v>
      </c>
      <c r="AD427" s="107">
        <v>0</v>
      </c>
      <c r="AE427" s="107">
        <f>SUM(AE415:AE425)</f>
        <v>0</v>
      </c>
      <c r="AF427" s="107">
        <f>SUM(AF415:AF425)</f>
        <v>0</v>
      </c>
      <c r="AG427" s="107">
        <f>SUM(AG415:AG425)</f>
        <v>0.49</v>
      </c>
      <c r="AH427" s="100">
        <f>SUM(AH415:AH425)</f>
        <v>25.16</v>
      </c>
    </row>
    <row r="428" spans="1:34" ht="5.0999999999999996" customHeight="1">
      <c r="A428" s="49"/>
      <c r="B428" s="49"/>
      <c r="C428" s="1"/>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c r="AG428" s="14"/>
      <c r="AH428" s="1"/>
    </row>
    <row r="429" spans="1:34" ht="15">
      <c r="A429" s="3854" t="s">
        <v>123</v>
      </c>
      <c r="B429" s="3855"/>
      <c r="C429" s="3855"/>
      <c r="D429" s="3855"/>
      <c r="E429" s="3855"/>
      <c r="F429" s="3855"/>
      <c r="G429" s="3855"/>
      <c r="H429" s="3856"/>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c r="AG429" s="14"/>
      <c r="AH429" s="14"/>
    </row>
    <row r="430" spans="1:34" ht="15">
      <c r="A430" s="8" t="s">
        <v>142</v>
      </c>
      <c r="B430" s="8" t="s">
        <v>143</v>
      </c>
      <c r="C430" s="2907">
        <v>1</v>
      </c>
      <c r="D430" s="73">
        <v>2</v>
      </c>
      <c r="E430" s="73">
        <v>3</v>
      </c>
      <c r="F430" s="73">
        <v>4</v>
      </c>
      <c r="G430" s="73">
        <v>5</v>
      </c>
      <c r="H430" s="73">
        <v>6</v>
      </c>
      <c r="I430" s="73">
        <v>7</v>
      </c>
      <c r="J430" s="73">
        <v>8</v>
      </c>
      <c r="K430" s="73">
        <v>9</v>
      </c>
      <c r="L430" s="73">
        <v>10</v>
      </c>
      <c r="M430" s="73">
        <v>11</v>
      </c>
      <c r="N430" s="73">
        <v>12</v>
      </c>
      <c r="O430" s="73">
        <v>13</v>
      </c>
      <c r="P430" s="73">
        <v>14</v>
      </c>
      <c r="Q430" s="73">
        <v>15</v>
      </c>
      <c r="R430" s="73">
        <v>16</v>
      </c>
      <c r="S430" s="73">
        <v>17</v>
      </c>
      <c r="T430" s="73">
        <v>18</v>
      </c>
      <c r="U430" s="73">
        <v>19</v>
      </c>
      <c r="V430" s="73">
        <v>20</v>
      </c>
      <c r="W430" s="73">
        <v>21</v>
      </c>
      <c r="X430" s="73">
        <v>22</v>
      </c>
      <c r="Y430" s="73">
        <v>23</v>
      </c>
      <c r="Z430" s="73">
        <v>24</v>
      </c>
      <c r="AA430" s="73">
        <v>25</v>
      </c>
      <c r="AB430" s="73">
        <v>26</v>
      </c>
      <c r="AC430" s="73">
        <v>27</v>
      </c>
      <c r="AD430" s="73">
        <v>28</v>
      </c>
      <c r="AE430" s="73">
        <v>29</v>
      </c>
      <c r="AF430" s="73">
        <v>30</v>
      </c>
      <c r="AG430" s="73">
        <v>31</v>
      </c>
      <c r="AH430" s="88" t="s">
        <v>144</v>
      </c>
    </row>
    <row r="431" spans="1:34" ht="15">
      <c r="A431" s="73" t="s">
        <v>145</v>
      </c>
      <c r="B431" s="311">
        <f t="shared" ref="B431:B442" si="78">+AH431</f>
        <v>0</v>
      </c>
      <c r="C431" s="360" t="s">
        <v>311</v>
      </c>
      <c r="D431" s="360" t="s">
        <v>311</v>
      </c>
      <c r="E431" s="360" t="s">
        <v>311</v>
      </c>
      <c r="F431" s="360" t="s">
        <v>311</v>
      </c>
      <c r="G431" s="360" t="s">
        <v>311</v>
      </c>
      <c r="H431" s="360" t="s">
        <v>311</v>
      </c>
      <c r="I431" s="360" t="s">
        <v>311</v>
      </c>
      <c r="J431" s="360" t="s">
        <v>311</v>
      </c>
      <c r="K431" s="360" t="s">
        <v>311</v>
      </c>
      <c r="L431" s="360" t="s">
        <v>311</v>
      </c>
      <c r="M431" s="360" t="s">
        <v>311</v>
      </c>
      <c r="N431" s="360" t="s">
        <v>311</v>
      </c>
      <c r="O431" s="360" t="s">
        <v>311</v>
      </c>
      <c r="P431" s="360" t="s">
        <v>311</v>
      </c>
      <c r="Q431" s="360" t="s">
        <v>311</v>
      </c>
      <c r="R431" s="360" t="s">
        <v>311</v>
      </c>
      <c r="S431" s="360" t="s">
        <v>311</v>
      </c>
      <c r="T431" s="360" t="s">
        <v>311</v>
      </c>
      <c r="U431" s="360" t="s">
        <v>311</v>
      </c>
      <c r="V431" s="360" t="s">
        <v>311</v>
      </c>
      <c r="W431" s="360" t="s">
        <v>311</v>
      </c>
      <c r="X431" s="360" t="s">
        <v>311</v>
      </c>
      <c r="Y431" s="360" t="s">
        <v>311</v>
      </c>
      <c r="Z431" s="360" t="s">
        <v>311</v>
      </c>
      <c r="AA431" s="360" t="s">
        <v>311</v>
      </c>
      <c r="AB431" s="360" t="s">
        <v>311</v>
      </c>
      <c r="AC431" s="360" t="s">
        <v>311</v>
      </c>
      <c r="AD431" s="360" t="s">
        <v>311</v>
      </c>
      <c r="AE431" s="360" t="s">
        <v>311</v>
      </c>
      <c r="AF431" s="360" t="s">
        <v>311</v>
      </c>
      <c r="AG431" s="360" t="s">
        <v>311</v>
      </c>
      <c r="AH431" s="107">
        <f>SUM(C431:AG431)</f>
        <v>0</v>
      </c>
    </row>
    <row r="432" spans="1:34" ht="15">
      <c r="A432" s="73" t="s">
        <v>146</v>
      </c>
      <c r="B432" s="311">
        <f t="shared" si="78"/>
        <v>0</v>
      </c>
      <c r="C432" s="360" t="s">
        <v>311</v>
      </c>
      <c r="D432" s="360" t="s">
        <v>311</v>
      </c>
      <c r="E432" s="360" t="s">
        <v>311</v>
      </c>
      <c r="F432" s="360" t="s">
        <v>311</v>
      </c>
      <c r="G432" s="360" t="s">
        <v>311</v>
      </c>
      <c r="H432" s="360" t="s">
        <v>311</v>
      </c>
      <c r="I432" s="360" t="s">
        <v>311</v>
      </c>
      <c r="J432" s="361"/>
      <c r="K432" s="361"/>
      <c r="L432" s="361"/>
      <c r="M432" s="361"/>
      <c r="N432" s="361"/>
      <c r="O432" s="361"/>
      <c r="P432" s="361"/>
      <c r="Q432" s="361"/>
      <c r="R432" s="361"/>
      <c r="S432" s="361"/>
      <c r="T432" s="361"/>
      <c r="U432" s="361"/>
      <c r="V432" s="361"/>
      <c r="W432" s="361"/>
      <c r="X432" s="361"/>
      <c r="Y432" s="361"/>
      <c r="Z432" s="361"/>
      <c r="AA432" s="361"/>
      <c r="AB432" s="361"/>
      <c r="AC432" s="361"/>
      <c r="AD432" s="361"/>
      <c r="AE432" s="361"/>
      <c r="AF432" s="361"/>
      <c r="AG432" s="361"/>
      <c r="AH432" s="107">
        <f t="shared" ref="AH432:AH442" si="79">SUM(C432:AG432)</f>
        <v>0</v>
      </c>
    </row>
    <row r="433" spans="1:34" ht="15">
      <c r="A433" s="73" t="s">
        <v>147</v>
      </c>
      <c r="B433" s="311">
        <f t="shared" si="78"/>
        <v>0</v>
      </c>
      <c r="C433" s="361"/>
      <c r="D433" s="361"/>
      <c r="E433" s="361"/>
      <c r="F433" s="361"/>
      <c r="G433" s="361"/>
      <c r="H433" s="53"/>
      <c r="I433" s="53"/>
      <c r="J433" s="53"/>
      <c r="K433" s="53"/>
      <c r="L433" s="53"/>
      <c r="M433" s="53"/>
      <c r="N433" s="53"/>
      <c r="O433" s="53"/>
      <c r="P433" s="53"/>
      <c r="Q433" s="53"/>
      <c r="R433" s="53"/>
      <c r="S433" s="53"/>
      <c r="T433" s="53"/>
      <c r="U433" s="53"/>
      <c r="V433" s="53"/>
      <c r="W433" s="53"/>
      <c r="X433" s="53"/>
      <c r="Y433" s="53"/>
      <c r="Z433" s="53"/>
      <c r="AA433" s="53"/>
      <c r="AB433" s="53"/>
      <c r="AC433" s="53"/>
      <c r="AD433" s="53"/>
      <c r="AE433" s="53"/>
      <c r="AF433" s="53"/>
      <c r="AG433" s="53"/>
      <c r="AH433" s="107">
        <f t="shared" si="79"/>
        <v>0</v>
      </c>
    </row>
    <row r="434" spans="1:34" ht="15">
      <c r="A434" s="73" t="s">
        <v>148</v>
      </c>
      <c r="B434" s="816">
        <f t="shared" si="78"/>
        <v>7.7350000000000003</v>
      </c>
      <c r="C434" s="645"/>
      <c r="D434" s="162"/>
      <c r="E434" s="162"/>
      <c r="F434" s="162"/>
      <c r="G434" s="162"/>
      <c r="H434" s="162"/>
      <c r="I434" s="162"/>
      <c r="J434" s="162"/>
      <c r="K434" s="162"/>
      <c r="L434" s="162"/>
      <c r="M434" s="162"/>
      <c r="N434" s="162">
        <v>1.3140000000000001</v>
      </c>
      <c r="O434" s="162">
        <v>1.762</v>
      </c>
      <c r="P434" s="162"/>
      <c r="Q434" s="162">
        <v>1.48</v>
      </c>
      <c r="R434" s="162"/>
      <c r="S434" s="162">
        <v>2.1840000000000002</v>
      </c>
      <c r="T434" s="162"/>
      <c r="U434" s="162"/>
      <c r="V434" s="162"/>
      <c r="W434" s="162">
        <v>0.995</v>
      </c>
      <c r="X434" s="162"/>
      <c r="Y434" s="162"/>
      <c r="Z434" s="162"/>
      <c r="AA434" s="162"/>
      <c r="AB434" s="162"/>
      <c r="AC434" s="162"/>
      <c r="AD434" s="162"/>
      <c r="AE434" s="162"/>
      <c r="AF434" s="162"/>
      <c r="AG434" s="162"/>
      <c r="AH434" s="328">
        <f t="shared" si="79"/>
        <v>7.7350000000000003</v>
      </c>
    </row>
    <row r="435" spans="1:34" ht="15">
      <c r="A435" s="73" t="s">
        <v>149</v>
      </c>
      <c r="B435" s="816">
        <f t="shared" si="78"/>
        <v>0.98399999999999999</v>
      </c>
      <c r="C435" s="103"/>
      <c r="D435" s="53"/>
      <c r="E435" s="53"/>
      <c r="F435" s="53"/>
      <c r="G435" s="53"/>
      <c r="H435" s="53"/>
      <c r="I435" s="53"/>
      <c r="J435" s="53"/>
      <c r="K435" s="53">
        <v>0.98399999999999999</v>
      </c>
      <c r="L435" s="53"/>
      <c r="M435" s="53"/>
      <c r="N435" s="53"/>
      <c r="O435" s="53"/>
      <c r="P435" s="53"/>
      <c r="Q435" s="53"/>
      <c r="R435" s="53"/>
      <c r="S435" s="53"/>
      <c r="T435" s="53"/>
      <c r="U435" s="53"/>
      <c r="V435" s="53"/>
      <c r="W435" s="53"/>
      <c r="X435" s="53"/>
      <c r="Y435" s="53"/>
      <c r="Z435" s="53"/>
      <c r="AA435" s="53"/>
      <c r="AB435" s="53"/>
      <c r="AC435" s="53"/>
      <c r="AD435" s="53"/>
      <c r="AE435" s="53"/>
      <c r="AF435" s="53"/>
      <c r="AG435" s="53"/>
      <c r="AH435" s="107">
        <f t="shared" si="79"/>
        <v>0.98399999999999999</v>
      </c>
    </row>
    <row r="436" spans="1:34" ht="15">
      <c r="A436" s="73" t="s">
        <v>150</v>
      </c>
      <c r="B436" s="816">
        <f t="shared" si="78"/>
        <v>1.246</v>
      </c>
      <c r="C436" s="103"/>
      <c r="D436" s="53"/>
      <c r="E436" s="53"/>
      <c r="F436" s="53"/>
      <c r="G436" s="53"/>
      <c r="H436" s="53"/>
      <c r="I436" s="53"/>
      <c r="J436" s="53"/>
      <c r="K436" s="53"/>
      <c r="L436" s="53">
        <v>1.18</v>
      </c>
      <c r="M436" s="53">
        <v>6.6000000000000003E-2</v>
      </c>
      <c r="N436" s="53"/>
      <c r="O436" s="53"/>
      <c r="P436" s="53"/>
      <c r="Q436" s="53"/>
      <c r="R436" s="53"/>
      <c r="S436" s="53"/>
      <c r="T436" s="53"/>
      <c r="U436" s="53"/>
      <c r="V436" s="53"/>
      <c r="W436" s="53"/>
      <c r="X436" s="53"/>
      <c r="Y436" s="53"/>
      <c r="Z436" s="53"/>
      <c r="AA436" s="53"/>
      <c r="AB436" s="53"/>
      <c r="AC436" s="53"/>
      <c r="AD436" s="53"/>
      <c r="AE436" s="53"/>
      <c r="AF436" s="53"/>
      <c r="AG436" s="53"/>
      <c r="AH436" s="107">
        <f t="shared" si="79"/>
        <v>1.246</v>
      </c>
    </row>
    <row r="437" spans="1:34" ht="15">
      <c r="A437" s="73" t="s">
        <v>151</v>
      </c>
      <c r="B437" s="329">
        <f t="shared" si="78"/>
        <v>0</v>
      </c>
      <c r="C437" s="103"/>
      <c r="D437" s="107"/>
      <c r="E437" s="107"/>
      <c r="F437" s="107"/>
      <c r="G437" s="53"/>
      <c r="H437" s="53"/>
      <c r="I437" s="53"/>
      <c r="J437" s="111"/>
      <c r="K437" s="111"/>
      <c r="L437" s="107"/>
      <c r="M437" s="107"/>
      <c r="N437" s="107"/>
      <c r="O437" s="107"/>
      <c r="P437" s="107"/>
      <c r="Q437" s="107"/>
      <c r="R437" s="107"/>
      <c r="S437" s="107"/>
      <c r="T437" s="107"/>
      <c r="U437" s="107"/>
      <c r="V437" s="107"/>
      <c r="W437" s="107"/>
      <c r="X437" s="107"/>
      <c r="Y437" s="107"/>
      <c r="Z437" s="107"/>
      <c r="AA437" s="107"/>
      <c r="AB437" s="107"/>
      <c r="AC437" s="107"/>
      <c r="AD437" s="107"/>
      <c r="AE437" s="107"/>
      <c r="AF437" s="107"/>
      <c r="AG437" s="107"/>
      <c r="AH437" s="107">
        <f t="shared" si="79"/>
        <v>0</v>
      </c>
    </row>
    <row r="438" spans="1:34" ht="15">
      <c r="A438" s="73" t="s">
        <v>152</v>
      </c>
      <c r="B438" s="329">
        <f t="shared" si="78"/>
        <v>0</v>
      </c>
      <c r="C438" s="103"/>
      <c r="D438" s="53"/>
      <c r="E438" s="53"/>
      <c r="F438" s="53"/>
      <c r="G438" s="53"/>
      <c r="H438" s="53"/>
      <c r="I438" s="53"/>
      <c r="J438" s="111"/>
      <c r="K438" s="111"/>
      <c r="L438" s="107"/>
      <c r="M438" s="107"/>
      <c r="N438" s="107"/>
      <c r="O438" s="107"/>
      <c r="P438" s="107"/>
      <c r="Q438" s="107"/>
      <c r="R438" s="107"/>
      <c r="S438" s="107"/>
      <c r="T438" s="107"/>
      <c r="U438" s="107"/>
      <c r="V438" s="107"/>
      <c r="W438" s="107"/>
      <c r="X438" s="107"/>
      <c r="Y438" s="107"/>
      <c r="Z438" s="107"/>
      <c r="AA438" s="107"/>
      <c r="AB438" s="107"/>
      <c r="AC438" s="107"/>
      <c r="AD438" s="107"/>
      <c r="AE438" s="107"/>
      <c r="AF438" s="107"/>
      <c r="AG438" s="107"/>
      <c r="AH438" s="107">
        <f t="shared" si="79"/>
        <v>0</v>
      </c>
    </row>
    <row r="439" spans="1:34" ht="15">
      <c r="A439" s="73" t="s">
        <v>153</v>
      </c>
      <c r="B439" s="329">
        <f t="shared" si="78"/>
        <v>0</v>
      </c>
      <c r="C439" s="100"/>
      <c r="D439" s="107"/>
      <c r="E439" s="107"/>
      <c r="F439" s="107"/>
      <c r="G439" s="107"/>
      <c r="H439" s="107"/>
      <c r="I439" s="107"/>
      <c r="J439" s="111"/>
      <c r="K439" s="111"/>
      <c r="L439" s="53"/>
      <c r="M439" s="53"/>
      <c r="N439" s="53"/>
      <c r="O439" s="53"/>
      <c r="P439" s="53"/>
      <c r="Q439" s="53"/>
      <c r="R439" s="53"/>
      <c r="S439" s="53"/>
      <c r="T439" s="53"/>
      <c r="U439" s="53"/>
      <c r="V439" s="53"/>
      <c r="W439" s="53"/>
      <c r="X439" s="53"/>
      <c r="Y439" s="53"/>
      <c r="Z439" s="53"/>
      <c r="AA439" s="53"/>
      <c r="AB439" s="53"/>
      <c r="AC439" s="53"/>
      <c r="AD439" s="53"/>
      <c r="AE439" s="53"/>
      <c r="AF439" s="53"/>
      <c r="AG439" s="53"/>
      <c r="AH439" s="107">
        <f t="shared" si="79"/>
        <v>0</v>
      </c>
    </row>
    <row r="440" spans="1:34" ht="15">
      <c r="A440" s="73" t="s">
        <v>154</v>
      </c>
      <c r="B440" s="329">
        <f t="shared" si="78"/>
        <v>0</v>
      </c>
      <c r="C440" s="103"/>
      <c r="D440" s="2503" t="s">
        <v>318</v>
      </c>
      <c r="E440" s="2503" t="s">
        <v>318</v>
      </c>
      <c r="F440" s="2503" t="s">
        <v>318</v>
      </c>
      <c r="G440" s="2503" t="s">
        <v>318</v>
      </c>
      <c r="H440" s="2503" t="s">
        <v>318</v>
      </c>
      <c r="I440" s="2503" t="s">
        <v>318</v>
      </c>
      <c r="J440" s="2503" t="s">
        <v>318</v>
      </c>
      <c r="K440" s="2503" t="s">
        <v>318</v>
      </c>
      <c r="L440" s="2503" t="s">
        <v>318</v>
      </c>
      <c r="M440" s="2503" t="s">
        <v>318</v>
      </c>
      <c r="N440" s="2503" t="s">
        <v>318</v>
      </c>
      <c r="O440" s="2503" t="s">
        <v>318</v>
      </c>
      <c r="P440" s="2503" t="s">
        <v>318</v>
      </c>
      <c r="Q440" s="2503" t="s">
        <v>318</v>
      </c>
      <c r="R440" s="2503" t="s">
        <v>318</v>
      </c>
      <c r="S440" s="2503" t="s">
        <v>318</v>
      </c>
      <c r="T440" s="2503" t="s">
        <v>318</v>
      </c>
      <c r="U440" s="2503" t="s">
        <v>318</v>
      </c>
      <c r="V440" s="2503" t="s">
        <v>318</v>
      </c>
      <c r="W440" s="2503" t="s">
        <v>318</v>
      </c>
      <c r="X440" s="2503" t="s">
        <v>318</v>
      </c>
      <c r="Y440" s="2503" t="s">
        <v>318</v>
      </c>
      <c r="Z440" s="2503" t="s">
        <v>318</v>
      </c>
      <c r="AA440" s="2503" t="s">
        <v>318</v>
      </c>
      <c r="AB440" s="2503" t="s">
        <v>318</v>
      </c>
      <c r="AC440" s="2503" t="s">
        <v>318</v>
      </c>
      <c r="AD440" s="2503" t="s">
        <v>318</v>
      </c>
      <c r="AE440" s="2503" t="s">
        <v>318</v>
      </c>
      <c r="AF440" s="2503" t="s">
        <v>318</v>
      </c>
      <c r="AG440" s="2503" t="s">
        <v>318</v>
      </c>
      <c r="AH440" s="107">
        <f t="shared" si="79"/>
        <v>0</v>
      </c>
    </row>
    <row r="441" spans="1:34" ht="15">
      <c r="A441" s="73" t="s">
        <v>155</v>
      </c>
      <c r="B441" s="329">
        <f t="shared" si="78"/>
        <v>0</v>
      </c>
      <c r="C441" s="188" t="s">
        <v>318</v>
      </c>
      <c r="D441" s="188" t="s">
        <v>318</v>
      </c>
      <c r="E441" s="188" t="s">
        <v>318</v>
      </c>
      <c r="F441" s="188" t="s">
        <v>318</v>
      </c>
      <c r="G441" s="188" t="s">
        <v>318</v>
      </c>
      <c r="H441" s="188" t="s">
        <v>318</v>
      </c>
      <c r="I441" s="188" t="s">
        <v>318</v>
      </c>
      <c r="J441" s="188" t="s">
        <v>318</v>
      </c>
      <c r="K441" s="188" t="s">
        <v>318</v>
      </c>
      <c r="L441" s="188" t="s">
        <v>318</v>
      </c>
      <c r="M441" s="188" t="s">
        <v>318</v>
      </c>
      <c r="N441" s="188" t="s">
        <v>318</v>
      </c>
      <c r="O441" s="188" t="s">
        <v>318</v>
      </c>
      <c r="P441" s="188" t="s">
        <v>318</v>
      </c>
      <c r="Q441" s="188" t="s">
        <v>318</v>
      </c>
      <c r="R441" s="53"/>
      <c r="S441" s="53"/>
      <c r="T441" s="53"/>
      <c r="U441" s="53"/>
      <c r="V441" s="53"/>
      <c r="W441" s="53"/>
      <c r="X441" s="53"/>
      <c r="Y441" s="14"/>
      <c r="Z441" s="53"/>
      <c r="AA441" s="53"/>
      <c r="AB441" s="53"/>
      <c r="AC441" s="53"/>
      <c r="AD441" s="53"/>
      <c r="AE441" s="107"/>
      <c r="AF441" s="53"/>
      <c r="AG441" s="107"/>
      <c r="AH441" s="107">
        <f t="shared" si="79"/>
        <v>0</v>
      </c>
    </row>
    <row r="442" spans="1:34" ht="15">
      <c r="A442" s="73" t="s">
        <v>156</v>
      </c>
      <c r="B442" s="329">
        <f t="shared" si="78"/>
        <v>0</v>
      </c>
      <c r="C442" s="103"/>
      <c r="D442" s="53"/>
      <c r="E442" s="53"/>
      <c r="F442" s="53"/>
      <c r="G442" s="53"/>
      <c r="H442" s="53"/>
      <c r="I442" s="53"/>
      <c r="J442" s="53"/>
      <c r="K442" s="53"/>
      <c r="L442" s="53"/>
      <c r="M442" s="53"/>
      <c r="N442" s="53"/>
      <c r="O442" s="53"/>
      <c r="P442" s="53"/>
      <c r="Q442" s="53"/>
      <c r="R442" s="53"/>
      <c r="S442" s="53"/>
      <c r="T442" s="53"/>
      <c r="U442" s="53"/>
      <c r="V442" s="53"/>
      <c r="W442" s="53"/>
      <c r="X442" s="53"/>
      <c r="Y442" s="53"/>
      <c r="Z442" s="53"/>
      <c r="AA442" s="53"/>
      <c r="AB442" s="53"/>
      <c r="AC442" s="53"/>
      <c r="AD442" s="53"/>
      <c r="AE442" s="107"/>
      <c r="AF442" s="53"/>
      <c r="AG442" s="107"/>
      <c r="AH442" s="107">
        <f t="shared" si="79"/>
        <v>0</v>
      </c>
    </row>
    <row r="443" spans="1:34" ht="15">
      <c r="A443" s="199" t="s">
        <v>144</v>
      </c>
      <c r="B443" s="232">
        <f>SUM(B431:B442)</f>
        <v>9.9650000000000016</v>
      </c>
      <c r="C443" s="100">
        <f>SUM(C431:C441)</f>
        <v>0</v>
      </c>
      <c r="D443" s="107">
        <f>SUM(D431:D441)</f>
        <v>0</v>
      </c>
      <c r="E443" s="107">
        <v>0</v>
      </c>
      <c r="F443" s="107">
        <f t="shared" ref="F443:AC443" si="80">SUM(F431:F441)</f>
        <v>0</v>
      </c>
      <c r="G443" s="107">
        <f t="shared" si="80"/>
        <v>0</v>
      </c>
      <c r="H443" s="107">
        <f>SUM(H431:H442)</f>
        <v>0</v>
      </c>
      <c r="I443" s="107">
        <f t="shared" si="80"/>
        <v>0</v>
      </c>
      <c r="J443" s="107">
        <f t="shared" si="80"/>
        <v>0</v>
      </c>
      <c r="K443" s="107">
        <f t="shared" si="80"/>
        <v>0.98399999999999999</v>
      </c>
      <c r="L443" s="107">
        <f t="shared" si="80"/>
        <v>1.18</v>
      </c>
      <c r="M443" s="107">
        <f t="shared" si="80"/>
        <v>6.6000000000000003E-2</v>
      </c>
      <c r="N443" s="107">
        <f t="shared" si="80"/>
        <v>1.3140000000000001</v>
      </c>
      <c r="O443" s="107">
        <f t="shared" si="80"/>
        <v>1.762</v>
      </c>
      <c r="P443" s="107">
        <f t="shared" si="80"/>
        <v>0</v>
      </c>
      <c r="Q443" s="107">
        <f t="shared" si="80"/>
        <v>1.48</v>
      </c>
      <c r="R443" s="107">
        <f t="shared" si="80"/>
        <v>0</v>
      </c>
      <c r="S443" s="107">
        <f t="shared" si="80"/>
        <v>2.1840000000000002</v>
      </c>
      <c r="T443" s="107">
        <f t="shared" si="80"/>
        <v>0</v>
      </c>
      <c r="U443" s="107">
        <f t="shared" si="80"/>
        <v>0</v>
      </c>
      <c r="V443" s="107">
        <f t="shared" si="80"/>
        <v>0</v>
      </c>
      <c r="W443" s="107">
        <f t="shared" si="80"/>
        <v>0.995</v>
      </c>
      <c r="X443" s="107">
        <f t="shared" si="80"/>
        <v>0</v>
      </c>
      <c r="Y443" s="107">
        <f t="shared" si="80"/>
        <v>0</v>
      </c>
      <c r="Z443" s="107">
        <f t="shared" si="80"/>
        <v>0</v>
      </c>
      <c r="AA443" s="107">
        <f t="shared" si="80"/>
        <v>0</v>
      </c>
      <c r="AB443" s="107">
        <f t="shared" si="80"/>
        <v>0</v>
      </c>
      <c r="AC443" s="107">
        <f t="shared" si="80"/>
        <v>0</v>
      </c>
      <c r="AD443" s="107">
        <v>0</v>
      </c>
      <c r="AE443" s="107">
        <f>SUM(AE431:AE441)</f>
        <v>0</v>
      </c>
      <c r="AF443" s="107">
        <f>SUM(AF431:AF441)</f>
        <v>0</v>
      </c>
      <c r="AG443" s="107">
        <f>SUM(AG431:AG441)</f>
        <v>0</v>
      </c>
      <c r="AH443" s="100">
        <f>SUM(AH431:AH441)</f>
        <v>9.9650000000000016</v>
      </c>
    </row>
    <row r="444" spans="1:34" ht="5.0999999999999996" customHeight="1">
      <c r="A444" s="49"/>
      <c r="B444" s="49"/>
      <c r="C444" s="1"/>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c r="AG444" s="14"/>
      <c r="AH444" s="1"/>
    </row>
    <row r="445" spans="1:34" ht="15">
      <c r="A445" s="3854" t="s">
        <v>124</v>
      </c>
      <c r="B445" s="3855"/>
      <c r="C445" s="3855"/>
      <c r="D445" s="3855"/>
      <c r="E445" s="3855"/>
      <c r="F445" s="3855"/>
      <c r="G445" s="3855"/>
      <c r="H445" s="3856"/>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c r="AG445" s="14"/>
      <c r="AH445" s="14"/>
    </row>
    <row r="446" spans="1:34" ht="15">
      <c r="A446" s="8" t="s">
        <v>142</v>
      </c>
      <c r="B446" s="8" t="s">
        <v>143</v>
      </c>
      <c r="C446" s="3676">
        <v>1</v>
      </c>
      <c r="D446" s="73">
        <v>2</v>
      </c>
      <c r="E446" s="73">
        <v>3</v>
      </c>
      <c r="F446" s="73">
        <v>4</v>
      </c>
      <c r="G446" s="73">
        <v>5</v>
      </c>
      <c r="H446" s="73">
        <v>6</v>
      </c>
      <c r="I446" s="73">
        <v>7</v>
      </c>
      <c r="J446" s="73">
        <v>8</v>
      </c>
      <c r="K446" s="73">
        <v>9</v>
      </c>
      <c r="L446" s="73">
        <v>10</v>
      </c>
      <c r="M446" s="73">
        <v>11</v>
      </c>
      <c r="N446" s="73">
        <v>12</v>
      </c>
      <c r="O446" s="73">
        <v>13</v>
      </c>
      <c r="P446" s="73">
        <v>14</v>
      </c>
      <c r="Q446" s="73">
        <v>15</v>
      </c>
      <c r="R446" s="73">
        <v>16</v>
      </c>
      <c r="S446" s="73">
        <v>17</v>
      </c>
      <c r="T446" s="73">
        <v>18</v>
      </c>
      <c r="U446" s="73">
        <v>19</v>
      </c>
      <c r="V446" s="73">
        <v>20</v>
      </c>
      <c r="W446" s="73">
        <v>21</v>
      </c>
      <c r="X446" s="73">
        <v>22</v>
      </c>
      <c r="Y446" s="73">
        <v>23</v>
      </c>
      <c r="Z446" s="73">
        <v>24</v>
      </c>
      <c r="AA446" s="73">
        <v>25</v>
      </c>
      <c r="AB446" s="73">
        <v>26</v>
      </c>
      <c r="AC446" s="73">
        <v>27</v>
      </c>
      <c r="AD446" s="73">
        <v>28</v>
      </c>
      <c r="AE446" s="73">
        <v>29</v>
      </c>
      <c r="AF446" s="73">
        <v>30</v>
      </c>
      <c r="AG446" s="73">
        <v>31</v>
      </c>
      <c r="AH446" s="88" t="s">
        <v>144</v>
      </c>
    </row>
    <row r="447" spans="1:34" ht="15">
      <c r="A447" s="73" t="s">
        <v>145</v>
      </c>
      <c r="B447" s="311">
        <f t="shared" ref="B447:B458" si="81">+AH447</f>
        <v>0</v>
      </c>
      <c r="C447" s="360" t="s">
        <v>311</v>
      </c>
      <c r="D447" s="360" t="s">
        <v>311</v>
      </c>
      <c r="E447" s="360" t="s">
        <v>311</v>
      </c>
      <c r="F447" s="360" t="s">
        <v>311</v>
      </c>
      <c r="G447" s="360" t="s">
        <v>311</v>
      </c>
      <c r="H447" s="360" t="s">
        <v>311</v>
      </c>
      <c r="I447" s="360" t="s">
        <v>311</v>
      </c>
      <c r="J447" s="360" t="s">
        <v>311</v>
      </c>
      <c r="K447" s="360" t="s">
        <v>311</v>
      </c>
      <c r="L447" s="360" t="s">
        <v>311</v>
      </c>
      <c r="M447" s="360" t="s">
        <v>311</v>
      </c>
      <c r="N447" s="360" t="s">
        <v>311</v>
      </c>
      <c r="O447" s="360" t="s">
        <v>311</v>
      </c>
      <c r="P447" s="360" t="s">
        <v>311</v>
      </c>
      <c r="Q447" s="360" t="s">
        <v>311</v>
      </c>
      <c r="R447" s="360" t="s">
        <v>311</v>
      </c>
      <c r="S447" s="360" t="s">
        <v>311</v>
      </c>
      <c r="T447" s="360" t="s">
        <v>311</v>
      </c>
      <c r="U447" s="360" t="s">
        <v>311</v>
      </c>
      <c r="V447" s="360" t="s">
        <v>311</v>
      </c>
      <c r="W447" s="360" t="s">
        <v>311</v>
      </c>
      <c r="X447" s="360" t="s">
        <v>311</v>
      </c>
      <c r="Y447" s="360" t="s">
        <v>311</v>
      </c>
      <c r="Z447" s="360" t="s">
        <v>311</v>
      </c>
      <c r="AA447" s="360" t="s">
        <v>311</v>
      </c>
      <c r="AB447" s="330" t="s">
        <v>311</v>
      </c>
      <c r="AC447" s="360" t="s">
        <v>311</v>
      </c>
      <c r="AD447" s="360" t="s">
        <v>311</v>
      </c>
      <c r="AE447" s="360" t="s">
        <v>311</v>
      </c>
      <c r="AF447" s="360" t="s">
        <v>311</v>
      </c>
      <c r="AG447" s="360" t="s">
        <v>311</v>
      </c>
      <c r="AH447" s="107">
        <f t="shared" ref="AH447:AH458" si="82">SUM(C447:AG447)</f>
        <v>0</v>
      </c>
    </row>
    <row r="448" spans="1:34" ht="15">
      <c r="A448" s="73" t="s">
        <v>146</v>
      </c>
      <c r="B448" s="311">
        <f t="shared" si="81"/>
        <v>0</v>
      </c>
      <c r="C448" s="360" t="s">
        <v>311</v>
      </c>
      <c r="D448" s="360" t="s">
        <v>311</v>
      </c>
      <c r="E448" s="360" t="s">
        <v>311</v>
      </c>
      <c r="F448" s="360" t="s">
        <v>311</v>
      </c>
      <c r="G448" s="360" t="s">
        <v>311</v>
      </c>
      <c r="H448" s="360" t="s">
        <v>311</v>
      </c>
      <c r="I448" s="360" t="s">
        <v>311</v>
      </c>
      <c r="J448" s="361"/>
      <c r="K448" s="361"/>
      <c r="L448" s="361"/>
      <c r="M448" s="361"/>
      <c r="N448" s="361"/>
      <c r="O448" s="361"/>
      <c r="P448" s="361"/>
      <c r="Q448" s="361"/>
      <c r="R448" s="361"/>
      <c r="S448" s="361"/>
      <c r="T448" s="361"/>
      <c r="U448" s="361"/>
      <c r="V448" s="361"/>
      <c r="W448" s="361"/>
      <c r="X448" s="361"/>
      <c r="Y448" s="361"/>
      <c r="Z448" s="361"/>
      <c r="AA448" s="361"/>
      <c r="AB448" s="361"/>
      <c r="AC448" s="361"/>
      <c r="AD448" s="361"/>
      <c r="AE448" s="361"/>
      <c r="AF448" s="361"/>
      <c r="AG448" s="361"/>
      <c r="AH448" s="107">
        <f t="shared" si="82"/>
        <v>0</v>
      </c>
    </row>
    <row r="449" spans="1:34" s="190" customFormat="1" ht="15">
      <c r="A449" s="73" t="s">
        <v>147</v>
      </c>
      <c r="B449" s="311">
        <f t="shared" si="81"/>
        <v>0</v>
      </c>
      <c r="C449" s="361"/>
      <c r="D449" s="361"/>
      <c r="E449" s="361"/>
      <c r="F449" s="361"/>
      <c r="G449" s="361"/>
      <c r="H449" s="53"/>
      <c r="I449" s="53"/>
      <c r="J449" s="53"/>
      <c r="K449" s="53"/>
      <c r="L449" s="53"/>
      <c r="M449" s="53"/>
      <c r="N449" s="53"/>
      <c r="O449" s="53"/>
      <c r="P449" s="53"/>
      <c r="Q449" s="53"/>
      <c r="R449" s="53"/>
      <c r="S449" s="53"/>
      <c r="T449" s="53"/>
      <c r="U449" s="53"/>
      <c r="V449" s="53"/>
      <c r="W449" s="53"/>
      <c r="X449" s="53"/>
      <c r="Y449" s="53"/>
      <c r="Z449" s="53"/>
      <c r="AA449" s="53"/>
      <c r="AB449" s="53"/>
      <c r="AC449" s="53"/>
      <c r="AD449" s="53"/>
      <c r="AE449" s="53"/>
      <c r="AF449" s="53"/>
      <c r="AG449" s="53"/>
      <c r="AH449" s="107">
        <f t="shared" si="82"/>
        <v>0</v>
      </c>
    </row>
    <row r="450" spans="1:34" s="817" customFormat="1" ht="15">
      <c r="A450" s="162" t="s">
        <v>148</v>
      </c>
      <c r="B450" s="816">
        <f t="shared" si="81"/>
        <v>31.640999999999998</v>
      </c>
      <c r="C450" s="645"/>
      <c r="D450" s="162">
        <v>1.17</v>
      </c>
      <c r="E450" s="162"/>
      <c r="F450" s="162"/>
      <c r="G450" s="162"/>
      <c r="H450" s="162"/>
      <c r="I450" s="162"/>
      <c r="J450" s="162"/>
      <c r="K450" s="162"/>
      <c r="L450" s="162"/>
      <c r="M450" s="162"/>
      <c r="N450" s="162"/>
      <c r="O450" s="162"/>
      <c r="P450" s="162"/>
      <c r="Q450" s="162"/>
      <c r="R450" s="162">
        <v>12.331</v>
      </c>
      <c r="S450" s="162">
        <v>10.268000000000001</v>
      </c>
      <c r="T450" s="162"/>
      <c r="U450" s="162"/>
      <c r="V450" s="162">
        <v>2.85</v>
      </c>
      <c r="W450" s="162">
        <v>2.8439999999999999</v>
      </c>
      <c r="X450" s="162">
        <v>0.96699999999999997</v>
      </c>
      <c r="Y450" s="162">
        <v>1.2110000000000001</v>
      </c>
      <c r="Z450" s="162"/>
      <c r="AA450" s="162"/>
      <c r="AB450" s="162"/>
      <c r="AC450" s="162"/>
      <c r="AD450" s="162"/>
      <c r="AE450" s="162"/>
      <c r="AF450" s="162"/>
      <c r="AG450" s="162"/>
      <c r="AH450" s="328">
        <f t="shared" si="82"/>
        <v>31.640999999999998</v>
      </c>
    </row>
    <row r="451" spans="1:34" ht="15">
      <c r="A451" s="73" t="s">
        <v>149</v>
      </c>
      <c r="B451" s="311">
        <f t="shared" si="81"/>
        <v>0</v>
      </c>
      <c r="C451" s="103"/>
      <c r="D451" s="53"/>
      <c r="E451" s="53"/>
      <c r="F451" s="53"/>
      <c r="G451" s="53"/>
      <c r="H451" s="53"/>
      <c r="I451" s="53"/>
      <c r="J451" s="53"/>
      <c r="K451" s="53"/>
      <c r="L451" s="53"/>
      <c r="M451" s="53"/>
      <c r="N451" s="53"/>
      <c r="O451" s="53"/>
      <c r="P451" s="53"/>
      <c r="Q451" s="53"/>
      <c r="R451" s="53"/>
      <c r="S451" s="53"/>
      <c r="T451" s="53"/>
      <c r="U451" s="53"/>
      <c r="V451" s="53"/>
      <c r="W451" s="53"/>
      <c r="X451" s="53"/>
      <c r="Y451" s="53"/>
      <c r="Z451" s="53"/>
      <c r="AA451" s="53"/>
      <c r="AB451" s="53"/>
      <c r="AC451" s="53"/>
      <c r="AD451" s="53"/>
      <c r="AE451" s="53"/>
      <c r="AF451" s="53"/>
      <c r="AG451" s="53"/>
      <c r="AH451" s="107">
        <f t="shared" si="82"/>
        <v>0</v>
      </c>
    </row>
    <row r="452" spans="1:34" ht="15">
      <c r="A452" s="73" t="s">
        <v>150</v>
      </c>
      <c r="B452" s="311">
        <f t="shared" si="81"/>
        <v>8</v>
      </c>
      <c r="C452" s="103"/>
      <c r="D452" s="53"/>
      <c r="E452" s="53"/>
      <c r="F452" s="53"/>
      <c r="G452" s="53"/>
      <c r="H452" s="53"/>
      <c r="I452" s="53"/>
      <c r="J452" s="53"/>
      <c r="K452" s="53"/>
      <c r="L452" s="53"/>
      <c r="M452" s="53"/>
      <c r="N452" s="53"/>
      <c r="O452" s="53"/>
      <c r="P452" s="53"/>
      <c r="Q452" s="53"/>
      <c r="R452" s="53"/>
      <c r="S452" s="53"/>
      <c r="T452" s="53"/>
      <c r="U452" s="53"/>
      <c r="V452" s="53"/>
      <c r="W452" s="53"/>
      <c r="X452" s="53"/>
      <c r="Y452" s="53"/>
      <c r="Z452" s="53"/>
      <c r="AA452" s="53"/>
      <c r="AB452" s="53">
        <v>8</v>
      </c>
      <c r="AC452" s="53"/>
      <c r="AD452" s="53"/>
      <c r="AE452" s="53"/>
      <c r="AF452" s="53"/>
      <c r="AG452" s="53"/>
      <c r="AH452" s="107">
        <f t="shared" si="82"/>
        <v>8</v>
      </c>
    </row>
    <row r="453" spans="1:34" s="190" customFormat="1" ht="15">
      <c r="A453" s="73" t="s">
        <v>151</v>
      </c>
      <c r="B453" s="306">
        <f t="shared" si="81"/>
        <v>0</v>
      </c>
      <c r="C453" s="103"/>
      <c r="D453" s="107"/>
      <c r="E453" s="107"/>
      <c r="F453" s="107"/>
      <c r="G453" s="53"/>
      <c r="H453" s="53"/>
      <c r="I453" s="53"/>
      <c r="J453" s="111"/>
      <c r="K453" s="111"/>
      <c r="L453" s="107"/>
      <c r="M453" s="107"/>
      <c r="N453" s="107"/>
      <c r="O453" s="107"/>
      <c r="P453" s="107"/>
      <c r="Q453" s="107"/>
      <c r="R453" s="107"/>
      <c r="S453" s="107"/>
      <c r="T453" s="107"/>
      <c r="U453" s="107"/>
      <c r="V453" s="107"/>
      <c r="W453" s="107"/>
      <c r="X453" s="107"/>
      <c r="Y453" s="107"/>
      <c r="Z453" s="107"/>
      <c r="AA453" s="107"/>
      <c r="AB453" s="107"/>
      <c r="AC453" s="107"/>
      <c r="AD453" s="107"/>
      <c r="AE453" s="107"/>
      <c r="AF453" s="107"/>
      <c r="AG453" s="107"/>
      <c r="AH453" s="107">
        <f t="shared" si="82"/>
        <v>0</v>
      </c>
    </row>
    <row r="454" spans="1:34" ht="15">
      <c r="A454" s="73" t="s">
        <v>152</v>
      </c>
      <c r="B454" s="306">
        <f t="shared" si="81"/>
        <v>1.2</v>
      </c>
      <c r="C454" s="103"/>
      <c r="D454" s="53"/>
      <c r="E454" s="53"/>
      <c r="F454" s="53"/>
      <c r="G454" s="53"/>
      <c r="H454" s="53"/>
      <c r="I454" s="53"/>
      <c r="J454" s="111"/>
      <c r="K454" s="111"/>
      <c r="L454" s="107"/>
      <c r="M454" s="107"/>
      <c r="N454" s="107"/>
      <c r="O454" s="107"/>
      <c r="P454" s="107"/>
      <c r="Q454" s="107"/>
      <c r="R454" s="107"/>
      <c r="S454" s="107"/>
      <c r="T454" s="107"/>
      <c r="U454" s="107"/>
      <c r="V454" s="107"/>
      <c r="W454" s="107"/>
      <c r="X454" s="107"/>
      <c r="Y454" s="107"/>
      <c r="Z454" s="107"/>
      <c r="AA454" s="107">
        <v>1.2</v>
      </c>
      <c r="AB454" s="107"/>
      <c r="AC454" s="107"/>
      <c r="AD454" s="107"/>
      <c r="AE454" s="107"/>
      <c r="AF454" s="107"/>
      <c r="AG454" s="107"/>
      <c r="AH454" s="107">
        <f t="shared" si="82"/>
        <v>1.2</v>
      </c>
    </row>
    <row r="455" spans="1:34" ht="15">
      <c r="A455" s="73" t="s">
        <v>153</v>
      </c>
      <c r="B455" s="306">
        <f t="shared" si="81"/>
        <v>0</v>
      </c>
      <c r="C455" s="100"/>
      <c r="D455" s="107"/>
      <c r="E455" s="107"/>
      <c r="F455" s="107"/>
      <c r="G455" s="107"/>
      <c r="H455" s="107"/>
      <c r="I455" s="107"/>
      <c r="J455" s="111"/>
      <c r="K455" s="111"/>
      <c r="L455" s="53"/>
      <c r="M455" s="53"/>
      <c r="N455" s="53"/>
      <c r="O455" s="53"/>
      <c r="P455" s="53"/>
      <c r="Q455" s="53"/>
      <c r="R455" s="53"/>
      <c r="S455" s="53"/>
      <c r="T455" s="53"/>
      <c r="U455" s="53"/>
      <c r="V455" s="53"/>
      <c r="W455" s="53"/>
      <c r="X455" s="53"/>
      <c r="Y455" s="53"/>
      <c r="Z455" s="53"/>
      <c r="AA455" s="53"/>
      <c r="AB455" s="53"/>
      <c r="AC455" s="53"/>
      <c r="AD455" s="53"/>
      <c r="AE455" s="53"/>
      <c r="AF455" s="53"/>
      <c r="AG455" s="53"/>
      <c r="AH455" s="107">
        <f t="shared" si="82"/>
        <v>0</v>
      </c>
    </row>
    <row r="456" spans="1:34" ht="15">
      <c r="A456" s="73" t="s">
        <v>154</v>
      </c>
      <c r="B456" s="53">
        <f t="shared" si="81"/>
        <v>0</v>
      </c>
      <c r="C456" s="103"/>
      <c r="D456" s="2503" t="s">
        <v>318</v>
      </c>
      <c r="E456" s="2503" t="s">
        <v>318</v>
      </c>
      <c r="F456" s="2503" t="s">
        <v>318</v>
      </c>
      <c r="G456" s="2503" t="s">
        <v>318</v>
      </c>
      <c r="H456" s="2503" t="s">
        <v>318</v>
      </c>
      <c r="I456" s="2503" t="s">
        <v>318</v>
      </c>
      <c r="J456" s="2503" t="s">
        <v>318</v>
      </c>
      <c r="K456" s="2503" t="s">
        <v>318</v>
      </c>
      <c r="L456" s="2503" t="s">
        <v>318</v>
      </c>
      <c r="M456" s="2503" t="s">
        <v>318</v>
      </c>
      <c r="N456" s="2503" t="s">
        <v>318</v>
      </c>
      <c r="O456" s="2503" t="s">
        <v>318</v>
      </c>
      <c r="P456" s="2503" t="s">
        <v>318</v>
      </c>
      <c r="Q456" s="2503" t="s">
        <v>318</v>
      </c>
      <c r="R456" s="2503" t="s">
        <v>318</v>
      </c>
      <c r="S456" s="2503" t="s">
        <v>318</v>
      </c>
      <c r="T456" s="2503" t="s">
        <v>318</v>
      </c>
      <c r="U456" s="2503" t="s">
        <v>318</v>
      </c>
      <c r="V456" s="2503" t="s">
        <v>318</v>
      </c>
      <c r="W456" s="2503" t="s">
        <v>318</v>
      </c>
      <c r="X456" s="2503" t="s">
        <v>318</v>
      </c>
      <c r="Y456" s="2503" t="s">
        <v>318</v>
      </c>
      <c r="Z456" s="2503" t="s">
        <v>318</v>
      </c>
      <c r="AA456" s="2503" t="s">
        <v>318</v>
      </c>
      <c r="AB456" s="2503" t="s">
        <v>318</v>
      </c>
      <c r="AC456" s="2503" t="s">
        <v>318</v>
      </c>
      <c r="AD456" s="2503" t="s">
        <v>318</v>
      </c>
      <c r="AE456" s="2503" t="s">
        <v>318</v>
      </c>
      <c r="AF456" s="2503" t="s">
        <v>318</v>
      </c>
      <c r="AG456" s="2503" t="s">
        <v>318</v>
      </c>
      <c r="AH456" s="107">
        <f t="shared" si="82"/>
        <v>0</v>
      </c>
    </row>
    <row r="457" spans="1:34" ht="15">
      <c r="A457" s="73" t="s">
        <v>155</v>
      </c>
      <c r="B457" s="53">
        <f t="shared" si="81"/>
        <v>0</v>
      </c>
      <c r="C457" s="188" t="s">
        <v>318</v>
      </c>
      <c r="D457" s="188" t="s">
        <v>318</v>
      </c>
      <c r="E457" s="188" t="s">
        <v>318</v>
      </c>
      <c r="F457" s="188" t="s">
        <v>318</v>
      </c>
      <c r="G457" s="188" t="s">
        <v>318</v>
      </c>
      <c r="H457" s="188" t="s">
        <v>318</v>
      </c>
      <c r="I457" s="188" t="s">
        <v>318</v>
      </c>
      <c r="J457" s="188" t="s">
        <v>318</v>
      </c>
      <c r="K457" s="188" t="s">
        <v>318</v>
      </c>
      <c r="L457" s="188" t="s">
        <v>318</v>
      </c>
      <c r="M457" s="188" t="s">
        <v>318</v>
      </c>
      <c r="N457" s="188" t="s">
        <v>318</v>
      </c>
      <c r="O457" s="188" t="s">
        <v>318</v>
      </c>
      <c r="P457" s="188" t="s">
        <v>318</v>
      </c>
      <c r="Q457" s="188" t="s">
        <v>318</v>
      </c>
      <c r="R457" s="53"/>
      <c r="S457" s="53"/>
      <c r="T457" s="53"/>
      <c r="U457" s="53"/>
      <c r="V457" s="53"/>
      <c r="W457" s="53"/>
      <c r="X457" s="53"/>
      <c r="Y457" s="14"/>
      <c r="Z457" s="53"/>
      <c r="AA457" s="53"/>
      <c r="AB457" s="53"/>
      <c r="AC457" s="53"/>
      <c r="AD457" s="53"/>
      <c r="AE457" s="107"/>
      <c r="AF457" s="53"/>
      <c r="AG457" s="107"/>
      <c r="AH457" s="107">
        <f t="shared" si="82"/>
        <v>0</v>
      </c>
    </row>
    <row r="458" spans="1:34" ht="15">
      <c r="A458" s="73" t="s">
        <v>156</v>
      </c>
      <c r="B458" s="53">
        <f t="shared" si="81"/>
        <v>0</v>
      </c>
      <c r="C458" s="103"/>
      <c r="D458" s="53"/>
      <c r="E458" s="53"/>
      <c r="F458" s="53"/>
      <c r="G458" s="53"/>
      <c r="H458" s="53"/>
      <c r="I458" s="53"/>
      <c r="J458" s="53"/>
      <c r="K458" s="53"/>
      <c r="L458" s="53"/>
      <c r="M458" s="53"/>
      <c r="N458" s="53"/>
      <c r="O458" s="53"/>
      <c r="P458" s="53"/>
      <c r="Q458" s="53"/>
      <c r="R458" s="53"/>
      <c r="S458" s="53"/>
      <c r="T458" s="53"/>
      <c r="U458" s="53"/>
      <c r="V458" s="53"/>
      <c r="W458" s="53"/>
      <c r="X458" s="53"/>
      <c r="Y458" s="53"/>
      <c r="Z458" s="53"/>
      <c r="AA458" s="53"/>
      <c r="AB458" s="53"/>
      <c r="AC458" s="53"/>
      <c r="AD458" s="53"/>
      <c r="AE458" s="107"/>
      <c r="AF458" s="53"/>
      <c r="AG458" s="107"/>
      <c r="AH458" s="107">
        <f t="shared" si="82"/>
        <v>0</v>
      </c>
    </row>
    <row r="459" spans="1:34" ht="15">
      <c r="A459" s="199" t="s">
        <v>144</v>
      </c>
      <c r="B459" s="232">
        <f>SUM(B447:B458)</f>
        <v>40.841000000000001</v>
      </c>
      <c r="C459" s="100">
        <f>SUM(C447:C457)</f>
        <v>0</v>
      </c>
      <c r="D459" s="107">
        <f>SUM(D447:D457)</f>
        <v>1.17</v>
      </c>
      <c r="E459" s="107">
        <v>0</v>
      </c>
      <c r="F459" s="107">
        <f t="shared" ref="F459:AC459" si="83">SUM(F447:F457)</f>
        <v>0</v>
      </c>
      <c r="G459" s="107">
        <f t="shared" si="83"/>
        <v>0</v>
      </c>
      <c r="H459" s="107">
        <f t="shared" si="83"/>
        <v>0</v>
      </c>
      <c r="I459" s="107">
        <f t="shared" si="83"/>
        <v>0</v>
      </c>
      <c r="J459" s="107">
        <f t="shared" si="83"/>
        <v>0</v>
      </c>
      <c r="K459" s="107">
        <f t="shared" si="83"/>
        <v>0</v>
      </c>
      <c r="L459" s="107">
        <f t="shared" si="83"/>
        <v>0</v>
      </c>
      <c r="M459" s="107">
        <f t="shared" si="83"/>
        <v>0</v>
      </c>
      <c r="N459" s="107">
        <f t="shared" si="83"/>
        <v>0</v>
      </c>
      <c r="O459" s="107">
        <f t="shared" si="83"/>
        <v>0</v>
      </c>
      <c r="P459" s="107">
        <f t="shared" si="83"/>
        <v>0</v>
      </c>
      <c r="Q459" s="107">
        <f t="shared" si="83"/>
        <v>0</v>
      </c>
      <c r="R459" s="107">
        <f t="shared" si="83"/>
        <v>12.331</v>
      </c>
      <c r="S459" s="107">
        <f t="shared" si="83"/>
        <v>10.268000000000001</v>
      </c>
      <c r="T459" s="107">
        <f t="shared" si="83"/>
        <v>0</v>
      </c>
      <c r="U459" s="107">
        <f t="shared" si="83"/>
        <v>0</v>
      </c>
      <c r="V459" s="107">
        <f t="shared" si="83"/>
        <v>2.85</v>
      </c>
      <c r="W459" s="107">
        <f t="shared" si="83"/>
        <v>2.8439999999999999</v>
      </c>
      <c r="X459" s="107">
        <f t="shared" si="83"/>
        <v>0.96699999999999997</v>
      </c>
      <c r="Y459" s="107">
        <f t="shared" si="83"/>
        <v>1.2110000000000001</v>
      </c>
      <c r="Z459" s="107">
        <f t="shared" si="83"/>
        <v>0</v>
      </c>
      <c r="AA459" s="107">
        <f t="shared" si="83"/>
        <v>1.2</v>
      </c>
      <c r="AB459" s="107">
        <f t="shared" si="83"/>
        <v>8</v>
      </c>
      <c r="AC459" s="107">
        <f t="shared" si="83"/>
        <v>0</v>
      </c>
      <c r="AD459" s="107">
        <v>0</v>
      </c>
      <c r="AE459" s="107">
        <f>SUM(AE447:AE457)</f>
        <v>0</v>
      </c>
      <c r="AF459" s="107">
        <f>SUM(AF447:AF457)</f>
        <v>0</v>
      </c>
      <c r="AG459" s="107">
        <f>SUM(AG447:AG457)</f>
        <v>0</v>
      </c>
      <c r="AH459" s="100">
        <f>SUM(AH447:AH457)</f>
        <v>40.841000000000001</v>
      </c>
    </row>
    <row r="460" spans="1:34" ht="5.0999999999999996" customHeight="1">
      <c r="A460" s="49"/>
      <c r="B460" s="49"/>
      <c r="C460" s="1"/>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14"/>
      <c r="AG460" s="14"/>
      <c r="AH460" s="1"/>
    </row>
    <row r="461" spans="1:34" ht="15">
      <c r="A461" s="3854" t="s">
        <v>125</v>
      </c>
      <c r="B461" s="3855"/>
      <c r="C461" s="3855"/>
      <c r="D461" s="3855"/>
      <c r="E461" s="3855"/>
      <c r="F461" s="3855"/>
      <c r="G461" s="3855"/>
      <c r="H461" s="3856"/>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c r="AG461" s="14"/>
      <c r="AH461" s="14"/>
    </row>
    <row r="462" spans="1:34" ht="15">
      <c r="A462" s="8" t="s">
        <v>142</v>
      </c>
      <c r="B462" s="8" t="s">
        <v>143</v>
      </c>
      <c r="C462" s="2907">
        <v>1</v>
      </c>
      <c r="D462" s="73">
        <v>2</v>
      </c>
      <c r="E462" s="73">
        <v>3</v>
      </c>
      <c r="F462" s="73">
        <v>4</v>
      </c>
      <c r="G462" s="73">
        <v>5</v>
      </c>
      <c r="H462" s="73">
        <v>6</v>
      </c>
      <c r="I462" s="73">
        <v>7</v>
      </c>
      <c r="J462" s="73">
        <v>8</v>
      </c>
      <c r="K462" s="73">
        <v>9</v>
      </c>
      <c r="L462" s="73">
        <v>10</v>
      </c>
      <c r="M462" s="73">
        <v>11</v>
      </c>
      <c r="N462" s="73">
        <v>12</v>
      </c>
      <c r="O462" s="73">
        <v>13</v>
      </c>
      <c r="P462" s="73">
        <v>14</v>
      </c>
      <c r="Q462" s="73">
        <v>15</v>
      </c>
      <c r="R462" s="73">
        <v>16</v>
      </c>
      <c r="S462" s="73">
        <v>17</v>
      </c>
      <c r="T462" s="73">
        <v>18</v>
      </c>
      <c r="U462" s="73">
        <v>19</v>
      </c>
      <c r="V462" s="73">
        <v>20</v>
      </c>
      <c r="W462" s="73">
        <v>21</v>
      </c>
      <c r="X462" s="73">
        <v>22</v>
      </c>
      <c r="Y462" s="73">
        <v>23</v>
      </c>
      <c r="Z462" s="73">
        <v>24</v>
      </c>
      <c r="AA462" s="73">
        <v>25</v>
      </c>
      <c r="AB462" s="73">
        <v>26</v>
      </c>
      <c r="AC462" s="73">
        <v>27</v>
      </c>
      <c r="AD462" s="73">
        <v>28</v>
      </c>
      <c r="AE462" s="73">
        <v>29</v>
      </c>
      <c r="AF462" s="73">
        <v>30</v>
      </c>
      <c r="AG462" s="73">
        <v>31</v>
      </c>
      <c r="AH462" s="88" t="s">
        <v>144</v>
      </c>
    </row>
    <row r="463" spans="1:34" ht="15">
      <c r="A463" s="73" t="s">
        <v>145</v>
      </c>
      <c r="B463" s="311">
        <f t="shared" ref="B463:B474" si="84">+AH463</f>
        <v>0</v>
      </c>
      <c r="C463" s="360" t="s">
        <v>311</v>
      </c>
      <c r="D463" s="360" t="s">
        <v>311</v>
      </c>
      <c r="E463" s="360" t="s">
        <v>311</v>
      </c>
      <c r="F463" s="360" t="s">
        <v>311</v>
      </c>
      <c r="G463" s="360" t="s">
        <v>311</v>
      </c>
      <c r="H463" s="360" t="s">
        <v>311</v>
      </c>
      <c r="I463" s="360" t="s">
        <v>311</v>
      </c>
      <c r="J463" s="360" t="s">
        <v>311</v>
      </c>
      <c r="K463" s="360" t="s">
        <v>311</v>
      </c>
      <c r="L463" s="360" t="s">
        <v>311</v>
      </c>
      <c r="M463" s="360" t="s">
        <v>311</v>
      </c>
      <c r="N463" s="360" t="s">
        <v>311</v>
      </c>
      <c r="O463" s="360" t="s">
        <v>311</v>
      </c>
      <c r="P463" s="360" t="s">
        <v>311</v>
      </c>
      <c r="Q463" s="360" t="s">
        <v>311</v>
      </c>
      <c r="R463" s="360" t="s">
        <v>311</v>
      </c>
      <c r="S463" s="360" t="s">
        <v>311</v>
      </c>
      <c r="T463" s="360" t="s">
        <v>311</v>
      </c>
      <c r="U463" s="360" t="s">
        <v>311</v>
      </c>
      <c r="V463" s="360" t="s">
        <v>311</v>
      </c>
      <c r="W463" s="360" t="s">
        <v>311</v>
      </c>
      <c r="X463" s="360" t="s">
        <v>311</v>
      </c>
      <c r="Y463" s="360" t="s">
        <v>311</v>
      </c>
      <c r="Z463" s="360" t="s">
        <v>311</v>
      </c>
      <c r="AA463" s="360" t="s">
        <v>311</v>
      </c>
      <c r="AB463" s="360" t="s">
        <v>311</v>
      </c>
      <c r="AC463" s="360" t="s">
        <v>311</v>
      </c>
      <c r="AD463" s="360" t="s">
        <v>311</v>
      </c>
      <c r="AE463" s="360" t="s">
        <v>311</v>
      </c>
      <c r="AF463" s="360" t="s">
        <v>311</v>
      </c>
      <c r="AG463" s="360" t="s">
        <v>311</v>
      </c>
      <c r="AH463" s="107">
        <f>SUM(C463:AG463)</f>
        <v>0</v>
      </c>
    </row>
    <row r="464" spans="1:34" ht="15">
      <c r="A464" s="73" t="s">
        <v>146</v>
      </c>
      <c r="B464" s="311">
        <f t="shared" si="84"/>
        <v>0</v>
      </c>
      <c r="C464" s="360" t="s">
        <v>311</v>
      </c>
      <c r="D464" s="360" t="s">
        <v>311</v>
      </c>
      <c r="E464" s="360" t="s">
        <v>311</v>
      </c>
      <c r="F464" s="360" t="s">
        <v>311</v>
      </c>
      <c r="G464" s="360" t="s">
        <v>311</v>
      </c>
      <c r="H464" s="360" t="s">
        <v>311</v>
      </c>
      <c r="I464" s="360" t="s">
        <v>311</v>
      </c>
      <c r="J464" s="361"/>
      <c r="K464" s="361"/>
      <c r="L464" s="361"/>
      <c r="M464" s="361"/>
      <c r="N464" s="361"/>
      <c r="O464" s="361"/>
      <c r="P464" s="361"/>
      <c r="Q464" s="361"/>
      <c r="R464" s="361"/>
      <c r="S464" s="361"/>
      <c r="T464" s="361"/>
      <c r="U464" s="361"/>
      <c r="V464" s="361"/>
      <c r="W464" s="361"/>
      <c r="X464" s="361"/>
      <c r="Y464" s="361"/>
      <c r="Z464" s="361"/>
      <c r="AA464" s="361"/>
      <c r="AB464" s="361"/>
      <c r="AC464" s="361"/>
      <c r="AD464" s="361"/>
      <c r="AE464" s="361"/>
      <c r="AF464" s="361"/>
      <c r="AG464" s="361"/>
      <c r="AH464" s="107">
        <f t="shared" ref="AH464:AH474" si="85">SUM(C464:AG464)</f>
        <v>0</v>
      </c>
    </row>
    <row r="465" spans="1:34" ht="15">
      <c r="A465" s="73" t="s">
        <v>147</v>
      </c>
      <c r="B465" s="311">
        <f t="shared" si="84"/>
        <v>0</v>
      </c>
      <c r="C465" s="361"/>
      <c r="D465" s="361"/>
      <c r="E465" s="361"/>
      <c r="F465" s="361"/>
      <c r="G465" s="361"/>
      <c r="H465" s="53"/>
      <c r="I465" s="53"/>
      <c r="J465" s="53"/>
      <c r="K465" s="53"/>
      <c r="L465" s="53"/>
      <c r="M465" s="53"/>
      <c r="N465" s="53"/>
      <c r="O465" s="53"/>
      <c r="P465" s="53"/>
      <c r="Q465" s="53"/>
      <c r="R465" s="53"/>
      <c r="S465" s="53"/>
      <c r="T465" s="53"/>
      <c r="U465" s="53"/>
      <c r="V465" s="53"/>
      <c r="W465" s="53"/>
      <c r="X465" s="53"/>
      <c r="Y465" s="53"/>
      <c r="Z465" s="53"/>
      <c r="AA465" s="53"/>
      <c r="AB465" s="53"/>
      <c r="AC465" s="53"/>
      <c r="AD465" s="53"/>
      <c r="AE465" s="53"/>
      <c r="AF465" s="53"/>
      <c r="AG465" s="53"/>
      <c r="AH465" s="107">
        <f t="shared" si="85"/>
        <v>0</v>
      </c>
    </row>
    <row r="466" spans="1:34" ht="15">
      <c r="A466" s="73" t="s">
        <v>148</v>
      </c>
      <c r="B466" s="311">
        <f t="shared" si="84"/>
        <v>0</v>
      </c>
      <c r="C466" s="103"/>
      <c r="D466" s="53"/>
      <c r="E466" s="53"/>
      <c r="F466" s="53"/>
      <c r="G466" s="53"/>
      <c r="H466" s="53"/>
      <c r="I466" s="53"/>
      <c r="J466" s="53"/>
      <c r="K466" s="53"/>
      <c r="L466" s="53"/>
      <c r="M466" s="53"/>
      <c r="N466" s="53"/>
      <c r="O466" s="53"/>
      <c r="P466" s="53"/>
      <c r="Q466" s="53"/>
      <c r="R466" s="53"/>
      <c r="S466" s="53"/>
      <c r="T466" s="53"/>
      <c r="U466" s="53"/>
      <c r="V466" s="53"/>
      <c r="W466" s="53"/>
      <c r="X466" s="53"/>
      <c r="Y466" s="53"/>
      <c r="Z466" s="53"/>
      <c r="AA466" s="53"/>
      <c r="AB466" s="53"/>
      <c r="AC466" s="53"/>
      <c r="AD466" s="53"/>
      <c r="AE466" s="53"/>
      <c r="AF466" s="53"/>
      <c r="AG466" s="53"/>
      <c r="AH466" s="107">
        <f t="shared" si="85"/>
        <v>0</v>
      </c>
    </row>
    <row r="467" spans="1:34" ht="15">
      <c r="A467" s="73" t="s">
        <v>149</v>
      </c>
      <c r="B467" s="311">
        <f t="shared" si="84"/>
        <v>0</v>
      </c>
      <c r="C467" s="103"/>
      <c r="D467" s="53"/>
      <c r="E467" s="53"/>
      <c r="F467" s="53"/>
      <c r="G467" s="53"/>
      <c r="H467" s="53"/>
      <c r="I467" s="53"/>
      <c r="J467" s="53"/>
      <c r="K467" s="53"/>
      <c r="L467" s="53"/>
      <c r="M467" s="53"/>
      <c r="N467" s="53"/>
      <c r="O467" s="53"/>
      <c r="P467" s="53"/>
      <c r="Q467" s="53"/>
      <c r="R467" s="53"/>
      <c r="S467" s="53"/>
      <c r="T467" s="53"/>
      <c r="U467" s="53"/>
      <c r="V467" s="53"/>
      <c r="W467" s="53"/>
      <c r="X467" s="53"/>
      <c r="Y467" s="53"/>
      <c r="Z467" s="53"/>
      <c r="AA467" s="53"/>
      <c r="AB467" s="53"/>
      <c r="AC467" s="53"/>
      <c r="AD467" s="53"/>
      <c r="AE467" s="53"/>
      <c r="AF467" s="53"/>
      <c r="AG467" s="53"/>
      <c r="AH467" s="107">
        <f t="shared" si="85"/>
        <v>0</v>
      </c>
    </row>
    <row r="468" spans="1:34" ht="15">
      <c r="A468" s="73" t="s">
        <v>150</v>
      </c>
      <c r="B468" s="311">
        <f t="shared" si="84"/>
        <v>0</v>
      </c>
      <c r="C468" s="103"/>
      <c r="D468" s="53"/>
      <c r="E468" s="53"/>
      <c r="F468" s="53"/>
      <c r="G468" s="53"/>
      <c r="H468" s="53"/>
      <c r="I468" s="53"/>
      <c r="J468" s="53"/>
      <c r="K468" s="53"/>
      <c r="L468" s="53"/>
      <c r="M468" s="53"/>
      <c r="N468" s="53"/>
      <c r="O468" s="53"/>
      <c r="P468" s="53"/>
      <c r="Q468" s="53"/>
      <c r="R468" s="53"/>
      <c r="S468" s="53"/>
      <c r="T468" s="53"/>
      <c r="U468" s="53"/>
      <c r="V468" s="53"/>
      <c r="W468" s="53"/>
      <c r="X468" s="53"/>
      <c r="Y468" s="53"/>
      <c r="Z468" s="53"/>
      <c r="AA468" s="53"/>
      <c r="AB468" s="53"/>
      <c r="AC468" s="53"/>
      <c r="AD468" s="53"/>
      <c r="AE468" s="53"/>
      <c r="AF468" s="53"/>
      <c r="AG468" s="53"/>
      <c r="AH468" s="107">
        <f t="shared" si="85"/>
        <v>0</v>
      </c>
    </row>
    <row r="469" spans="1:34" ht="15">
      <c r="A469" s="73" t="s">
        <v>151</v>
      </c>
      <c r="B469" s="306">
        <f t="shared" si="84"/>
        <v>0</v>
      </c>
      <c r="C469" s="103"/>
      <c r="D469" s="107"/>
      <c r="E469" s="107"/>
      <c r="F469" s="107"/>
      <c r="G469" s="53"/>
      <c r="H469" s="53"/>
      <c r="I469" s="53"/>
      <c r="J469" s="111"/>
      <c r="K469" s="111"/>
      <c r="L469" s="107"/>
      <c r="M469" s="107"/>
      <c r="N469" s="107"/>
      <c r="O469" s="107"/>
      <c r="P469" s="107"/>
      <c r="Q469" s="107"/>
      <c r="R469" s="107"/>
      <c r="S469" s="107"/>
      <c r="T469" s="107"/>
      <c r="U469" s="107"/>
      <c r="V469" s="107"/>
      <c r="W469" s="107"/>
      <c r="X469" s="107"/>
      <c r="Y469" s="107"/>
      <c r="Z469" s="107"/>
      <c r="AA469" s="107"/>
      <c r="AB469" s="107"/>
      <c r="AC469" s="107"/>
      <c r="AD469" s="107"/>
      <c r="AE469" s="107"/>
      <c r="AF469" s="107"/>
      <c r="AG469" s="107"/>
      <c r="AH469" s="107">
        <f t="shared" si="85"/>
        <v>0</v>
      </c>
    </row>
    <row r="470" spans="1:34" ht="15">
      <c r="A470" s="73" t="s">
        <v>152</v>
      </c>
      <c r="B470" s="306">
        <f t="shared" si="84"/>
        <v>0</v>
      </c>
      <c r="C470" s="103"/>
      <c r="D470" s="53"/>
      <c r="E470" s="53"/>
      <c r="F470" s="53"/>
      <c r="G470" s="53"/>
      <c r="H470" s="53"/>
      <c r="I470" s="53"/>
      <c r="J470" s="111"/>
      <c r="K470" s="111"/>
      <c r="L470" s="107"/>
      <c r="M470" s="107"/>
      <c r="N470" s="107"/>
      <c r="O470" s="107"/>
      <c r="P470" s="107"/>
      <c r="Q470" s="107"/>
      <c r="R470" s="107"/>
      <c r="S470" s="107"/>
      <c r="T470" s="107"/>
      <c r="U470" s="107"/>
      <c r="V470" s="107"/>
      <c r="W470" s="107"/>
      <c r="X470" s="107"/>
      <c r="Y470" s="107"/>
      <c r="Z470" s="107"/>
      <c r="AA470" s="107"/>
      <c r="AB470" s="107"/>
      <c r="AC470" s="107"/>
      <c r="AD470" s="107"/>
      <c r="AE470" s="107"/>
      <c r="AF470" s="107"/>
      <c r="AG470" s="107"/>
      <c r="AH470" s="107">
        <f t="shared" si="85"/>
        <v>0</v>
      </c>
    </row>
    <row r="471" spans="1:34" ht="15">
      <c r="A471" s="73" t="s">
        <v>153</v>
      </c>
      <c r="B471" s="53">
        <f t="shared" si="84"/>
        <v>0</v>
      </c>
      <c r="C471" s="100"/>
      <c r="D471" s="107"/>
      <c r="E471" s="107"/>
      <c r="F471" s="107"/>
      <c r="G471" s="107"/>
      <c r="H471" s="107"/>
      <c r="I471" s="107"/>
      <c r="J471" s="111"/>
      <c r="K471" s="111"/>
      <c r="L471" s="53"/>
      <c r="M471" s="53"/>
      <c r="N471" s="53"/>
      <c r="O471" s="53"/>
      <c r="P471" s="53"/>
      <c r="Q471" s="53"/>
      <c r="R471" s="53"/>
      <c r="S471" s="53"/>
      <c r="T471" s="53"/>
      <c r="U471" s="53"/>
      <c r="V471" s="53"/>
      <c r="W471" s="53"/>
      <c r="X471" s="53"/>
      <c r="Y471" s="53"/>
      <c r="Z471" s="53"/>
      <c r="AA471" s="53"/>
      <c r="AB471" s="53"/>
      <c r="AC471" s="53"/>
      <c r="AD471" s="53"/>
      <c r="AE471" s="53"/>
      <c r="AF471" s="53"/>
      <c r="AG471" s="53"/>
      <c r="AH471" s="107">
        <f t="shared" si="85"/>
        <v>0</v>
      </c>
    </row>
    <row r="472" spans="1:34" ht="15">
      <c r="A472" s="73" t="s">
        <v>154</v>
      </c>
      <c r="B472" s="53">
        <f t="shared" si="84"/>
        <v>0</v>
      </c>
      <c r="C472" s="103"/>
      <c r="D472" s="2503" t="s">
        <v>318</v>
      </c>
      <c r="E472" s="2503" t="s">
        <v>318</v>
      </c>
      <c r="F472" s="2503" t="s">
        <v>318</v>
      </c>
      <c r="G472" s="2503" t="s">
        <v>318</v>
      </c>
      <c r="H472" s="2503" t="s">
        <v>318</v>
      </c>
      <c r="I472" s="2503" t="s">
        <v>318</v>
      </c>
      <c r="J472" s="2503" t="s">
        <v>318</v>
      </c>
      <c r="K472" s="2503" t="s">
        <v>318</v>
      </c>
      <c r="L472" s="2503" t="s">
        <v>318</v>
      </c>
      <c r="M472" s="2503" t="s">
        <v>318</v>
      </c>
      <c r="N472" s="2503" t="s">
        <v>318</v>
      </c>
      <c r="O472" s="2503" t="s">
        <v>318</v>
      </c>
      <c r="P472" s="2503" t="s">
        <v>318</v>
      </c>
      <c r="Q472" s="2503" t="s">
        <v>318</v>
      </c>
      <c r="R472" s="2503" t="s">
        <v>318</v>
      </c>
      <c r="S472" s="2503" t="s">
        <v>318</v>
      </c>
      <c r="T472" s="2503" t="s">
        <v>318</v>
      </c>
      <c r="U472" s="2503" t="s">
        <v>318</v>
      </c>
      <c r="V472" s="2503" t="s">
        <v>318</v>
      </c>
      <c r="W472" s="2503" t="s">
        <v>318</v>
      </c>
      <c r="X472" s="2503" t="s">
        <v>318</v>
      </c>
      <c r="Y472" s="2503" t="s">
        <v>318</v>
      </c>
      <c r="Z472" s="2503" t="s">
        <v>318</v>
      </c>
      <c r="AA472" s="2503" t="s">
        <v>318</v>
      </c>
      <c r="AB472" s="2503" t="s">
        <v>318</v>
      </c>
      <c r="AC472" s="2503" t="s">
        <v>318</v>
      </c>
      <c r="AD472" s="2503" t="s">
        <v>318</v>
      </c>
      <c r="AE472" s="2503" t="s">
        <v>318</v>
      </c>
      <c r="AF472" s="2503" t="s">
        <v>318</v>
      </c>
      <c r="AG472" s="2503" t="s">
        <v>318</v>
      </c>
      <c r="AH472" s="107">
        <f t="shared" si="85"/>
        <v>0</v>
      </c>
    </row>
    <row r="473" spans="1:34" ht="15">
      <c r="A473" s="73" t="s">
        <v>155</v>
      </c>
      <c r="B473" s="53">
        <f t="shared" si="84"/>
        <v>0</v>
      </c>
      <c r="C473" s="188" t="s">
        <v>318</v>
      </c>
      <c r="D473" s="188" t="s">
        <v>318</v>
      </c>
      <c r="E473" s="188" t="s">
        <v>318</v>
      </c>
      <c r="F473" s="188" t="s">
        <v>318</v>
      </c>
      <c r="G473" s="188" t="s">
        <v>318</v>
      </c>
      <c r="H473" s="188" t="s">
        <v>318</v>
      </c>
      <c r="I473" s="188" t="s">
        <v>318</v>
      </c>
      <c r="J473" s="188" t="s">
        <v>318</v>
      </c>
      <c r="K473" s="188" t="s">
        <v>318</v>
      </c>
      <c r="L473" s="188" t="s">
        <v>318</v>
      </c>
      <c r="M473" s="188" t="s">
        <v>318</v>
      </c>
      <c r="N473" s="188" t="s">
        <v>318</v>
      </c>
      <c r="O473" s="188" t="s">
        <v>318</v>
      </c>
      <c r="P473" s="188" t="s">
        <v>318</v>
      </c>
      <c r="Q473" s="188" t="s">
        <v>318</v>
      </c>
      <c r="R473" s="53"/>
      <c r="S473" s="53"/>
      <c r="T473" s="53"/>
      <c r="U473" s="53"/>
      <c r="V473" s="53"/>
      <c r="W473" s="53"/>
      <c r="X473" s="53"/>
      <c r="Y473" s="14"/>
      <c r="Z473" s="53"/>
      <c r="AA473" s="53"/>
      <c r="AB473" s="53"/>
      <c r="AC473" s="53"/>
      <c r="AD473" s="53"/>
      <c r="AE473" s="107"/>
      <c r="AF473" s="53"/>
      <c r="AG473" s="107"/>
      <c r="AH473" s="107">
        <f t="shared" si="85"/>
        <v>0</v>
      </c>
    </row>
    <row r="474" spans="1:34" ht="15">
      <c r="A474" s="73" t="s">
        <v>156</v>
      </c>
      <c r="B474" s="53">
        <f t="shared" si="84"/>
        <v>0</v>
      </c>
      <c r="C474" s="103"/>
      <c r="D474" s="53"/>
      <c r="E474" s="53"/>
      <c r="F474" s="53"/>
      <c r="G474" s="53"/>
      <c r="H474" s="53"/>
      <c r="I474" s="53"/>
      <c r="J474" s="53"/>
      <c r="K474" s="53"/>
      <c r="L474" s="53"/>
      <c r="M474" s="53"/>
      <c r="N474" s="53"/>
      <c r="O474" s="53"/>
      <c r="P474" s="53"/>
      <c r="Q474" s="53"/>
      <c r="R474" s="53"/>
      <c r="S474" s="53"/>
      <c r="T474" s="53"/>
      <c r="U474" s="53"/>
      <c r="V474" s="53"/>
      <c r="W474" s="53"/>
      <c r="X474" s="53"/>
      <c r="Y474" s="53"/>
      <c r="Z474" s="53"/>
      <c r="AA474" s="53"/>
      <c r="AB474" s="53"/>
      <c r="AC474" s="53"/>
      <c r="AD474" s="53"/>
      <c r="AE474" s="107"/>
      <c r="AF474" s="53"/>
      <c r="AG474" s="107"/>
      <c r="AH474" s="107">
        <f t="shared" si="85"/>
        <v>0</v>
      </c>
    </row>
    <row r="475" spans="1:34" ht="15">
      <c r="A475" s="199" t="s">
        <v>144</v>
      </c>
      <c r="B475" s="200">
        <f>SUM(B463:B474)</f>
        <v>0</v>
      </c>
      <c r="C475" s="100">
        <f>SUM(C463:C473)</f>
        <v>0</v>
      </c>
      <c r="D475" s="107">
        <f>SUM(D463:D473)</f>
        <v>0</v>
      </c>
      <c r="E475" s="107">
        <v>0</v>
      </c>
      <c r="F475" s="107">
        <f t="shared" ref="F475:AC475" si="86">SUM(F463:F473)</f>
        <v>0</v>
      </c>
      <c r="G475" s="107">
        <f t="shared" si="86"/>
        <v>0</v>
      </c>
      <c r="H475" s="107">
        <f t="shared" si="86"/>
        <v>0</v>
      </c>
      <c r="I475" s="107">
        <f t="shared" si="86"/>
        <v>0</v>
      </c>
      <c r="J475" s="107">
        <f t="shared" si="86"/>
        <v>0</v>
      </c>
      <c r="K475" s="107">
        <f t="shared" si="86"/>
        <v>0</v>
      </c>
      <c r="L475" s="107">
        <f t="shared" si="86"/>
        <v>0</v>
      </c>
      <c r="M475" s="107">
        <f t="shared" si="86"/>
        <v>0</v>
      </c>
      <c r="N475" s="107">
        <f t="shared" si="86"/>
        <v>0</v>
      </c>
      <c r="O475" s="107">
        <f t="shared" si="86"/>
        <v>0</v>
      </c>
      <c r="P475" s="107">
        <f t="shared" si="86"/>
        <v>0</v>
      </c>
      <c r="Q475" s="107">
        <f t="shared" si="86"/>
        <v>0</v>
      </c>
      <c r="R475" s="107">
        <f t="shared" si="86"/>
        <v>0</v>
      </c>
      <c r="S475" s="107">
        <f t="shared" si="86"/>
        <v>0</v>
      </c>
      <c r="T475" s="107">
        <f t="shared" si="86"/>
        <v>0</v>
      </c>
      <c r="U475" s="107">
        <f t="shared" si="86"/>
        <v>0</v>
      </c>
      <c r="V475" s="107">
        <f t="shared" si="86"/>
        <v>0</v>
      </c>
      <c r="W475" s="107">
        <f t="shared" si="86"/>
        <v>0</v>
      </c>
      <c r="X475" s="107">
        <f t="shared" si="86"/>
        <v>0</v>
      </c>
      <c r="Y475" s="107">
        <f t="shared" si="86"/>
        <v>0</v>
      </c>
      <c r="Z475" s="107">
        <f t="shared" si="86"/>
        <v>0</v>
      </c>
      <c r="AA475" s="107">
        <f t="shared" si="86"/>
        <v>0</v>
      </c>
      <c r="AB475" s="107">
        <f t="shared" si="86"/>
        <v>0</v>
      </c>
      <c r="AC475" s="107">
        <f t="shared" si="86"/>
        <v>0</v>
      </c>
      <c r="AD475" s="107">
        <v>0</v>
      </c>
      <c r="AE475" s="107">
        <f>SUM(AE463:AE473)</f>
        <v>0</v>
      </c>
      <c r="AF475" s="107">
        <f>SUM(AF463:AF473)</f>
        <v>0</v>
      </c>
      <c r="AG475" s="107">
        <f>SUM(AG463:AG473)</f>
        <v>0</v>
      </c>
      <c r="AH475" s="100">
        <f>SUM(AH463:AH473)</f>
        <v>0</v>
      </c>
    </row>
    <row r="476" spans="1:34" ht="5.0999999999999996" customHeight="1">
      <c r="A476" s="49"/>
      <c r="B476" s="49"/>
      <c r="C476" s="1"/>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c r="AF476" s="14"/>
      <c r="AG476" s="14"/>
      <c r="AH476" s="1"/>
    </row>
    <row r="477" spans="1:34" ht="15">
      <c r="A477" s="3854" t="s">
        <v>274</v>
      </c>
      <c r="B477" s="3855"/>
      <c r="C477" s="3872"/>
      <c r="D477" s="3855"/>
      <c r="E477" s="3855"/>
      <c r="F477" s="3855"/>
      <c r="G477" s="3855"/>
      <c r="H477" s="3856"/>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c r="AG477" s="14"/>
      <c r="AH477" s="14"/>
    </row>
    <row r="478" spans="1:34" ht="15">
      <c r="A478" s="8" t="s">
        <v>142</v>
      </c>
      <c r="B478" s="2042" t="s">
        <v>143</v>
      </c>
      <c r="C478" s="2907">
        <v>1</v>
      </c>
      <c r="D478" s="2043">
        <v>2</v>
      </c>
      <c r="E478" s="73">
        <v>3</v>
      </c>
      <c r="F478" s="73">
        <v>4</v>
      </c>
      <c r="G478" s="73">
        <v>5</v>
      </c>
      <c r="H478" s="73">
        <v>6</v>
      </c>
      <c r="I478" s="73">
        <v>7</v>
      </c>
      <c r="J478" s="73">
        <v>8</v>
      </c>
      <c r="K478" s="73">
        <v>9</v>
      </c>
      <c r="L478" s="73">
        <v>10</v>
      </c>
      <c r="M478" s="73">
        <v>11</v>
      </c>
      <c r="N478" s="73">
        <v>12</v>
      </c>
      <c r="O478" s="73">
        <v>13</v>
      </c>
      <c r="P478" s="73">
        <v>14</v>
      </c>
      <c r="Q478" s="73">
        <v>15</v>
      </c>
      <c r="R478" s="73">
        <v>16</v>
      </c>
      <c r="S478" s="73">
        <v>17</v>
      </c>
      <c r="T478" s="73">
        <v>18</v>
      </c>
      <c r="U478" s="73">
        <v>19</v>
      </c>
      <c r="V478" s="73">
        <v>20</v>
      </c>
      <c r="W478" s="73">
        <v>21</v>
      </c>
      <c r="X478" s="73">
        <v>22</v>
      </c>
      <c r="Y478" s="73">
        <v>23</v>
      </c>
      <c r="Z478" s="73">
        <v>24</v>
      </c>
      <c r="AA478" s="73">
        <v>25</v>
      </c>
      <c r="AB478" s="73">
        <v>26</v>
      </c>
      <c r="AC478" s="73">
        <v>27</v>
      </c>
      <c r="AD478" s="73">
        <v>28</v>
      </c>
      <c r="AE478" s="73">
        <v>29</v>
      </c>
      <c r="AF478" s="73">
        <v>30</v>
      </c>
      <c r="AG478" s="73">
        <v>31</v>
      </c>
      <c r="AH478" s="88" t="s">
        <v>144</v>
      </c>
    </row>
    <row r="479" spans="1:34" ht="15">
      <c r="A479" s="73" t="s">
        <v>145</v>
      </c>
      <c r="B479" s="311">
        <f t="shared" ref="B479:B490" si="87">+AH479</f>
        <v>0</v>
      </c>
      <c r="C479" s="2044" t="s">
        <v>311</v>
      </c>
      <c r="D479" s="360" t="s">
        <v>311</v>
      </c>
      <c r="E479" s="360" t="s">
        <v>311</v>
      </c>
      <c r="F479" s="360" t="s">
        <v>311</v>
      </c>
      <c r="G479" s="360" t="s">
        <v>311</v>
      </c>
      <c r="H479" s="360" t="s">
        <v>311</v>
      </c>
      <c r="I479" s="360" t="s">
        <v>311</v>
      </c>
      <c r="J479" s="360" t="s">
        <v>311</v>
      </c>
      <c r="K479" s="360" t="s">
        <v>311</v>
      </c>
      <c r="L479" s="360" t="s">
        <v>311</v>
      </c>
      <c r="M479" s="360" t="s">
        <v>311</v>
      </c>
      <c r="N479" s="360" t="s">
        <v>311</v>
      </c>
      <c r="O479" s="360" t="s">
        <v>311</v>
      </c>
      <c r="P479" s="360" t="s">
        <v>311</v>
      </c>
      <c r="Q479" s="360" t="s">
        <v>311</v>
      </c>
      <c r="R479" s="360" t="s">
        <v>311</v>
      </c>
      <c r="S479" s="360" t="s">
        <v>311</v>
      </c>
      <c r="T479" s="360" t="s">
        <v>311</v>
      </c>
      <c r="U479" s="360" t="s">
        <v>311</v>
      </c>
      <c r="V479" s="360" t="s">
        <v>311</v>
      </c>
      <c r="W479" s="360" t="s">
        <v>311</v>
      </c>
      <c r="X479" s="360" t="s">
        <v>311</v>
      </c>
      <c r="Y479" s="360" t="s">
        <v>311</v>
      </c>
      <c r="Z479" s="360" t="s">
        <v>311</v>
      </c>
      <c r="AA479" s="360" t="s">
        <v>311</v>
      </c>
      <c r="AB479" s="360" t="s">
        <v>311</v>
      </c>
      <c r="AC479" s="360" t="s">
        <v>311</v>
      </c>
      <c r="AD479" s="360" t="s">
        <v>311</v>
      </c>
      <c r="AE479" s="360" t="s">
        <v>311</v>
      </c>
      <c r="AF479" s="360" t="s">
        <v>311</v>
      </c>
      <c r="AG479" s="360" t="s">
        <v>311</v>
      </c>
      <c r="AH479" s="107">
        <f>SUM(C479:AG479)</f>
        <v>0</v>
      </c>
    </row>
    <row r="480" spans="1:34" ht="15">
      <c r="A480" s="73" t="s">
        <v>146</v>
      </c>
      <c r="B480" s="311">
        <f t="shared" si="87"/>
        <v>0</v>
      </c>
      <c r="C480" s="360" t="s">
        <v>311</v>
      </c>
      <c r="D480" s="360" t="s">
        <v>311</v>
      </c>
      <c r="E480" s="360" t="s">
        <v>311</v>
      </c>
      <c r="F480" s="360" t="s">
        <v>311</v>
      </c>
      <c r="G480" s="360" t="s">
        <v>311</v>
      </c>
      <c r="H480" s="360" t="s">
        <v>311</v>
      </c>
      <c r="I480" s="360" t="s">
        <v>311</v>
      </c>
      <c r="J480" s="361"/>
      <c r="K480" s="361"/>
      <c r="L480" s="361"/>
      <c r="M480" s="361"/>
      <c r="N480" s="361"/>
      <c r="O480" s="361"/>
      <c r="P480" s="361"/>
      <c r="Q480" s="361"/>
      <c r="R480" s="361"/>
      <c r="S480" s="361"/>
      <c r="T480" s="361"/>
      <c r="U480" s="361"/>
      <c r="V480" s="361"/>
      <c r="W480" s="361"/>
      <c r="X480" s="361"/>
      <c r="Y480" s="361"/>
      <c r="Z480" s="361"/>
      <c r="AA480" s="361"/>
      <c r="AB480" s="361"/>
      <c r="AC480" s="361"/>
      <c r="AD480" s="361"/>
      <c r="AE480" s="361"/>
      <c r="AF480" s="361"/>
      <c r="AG480" s="361"/>
      <c r="AH480" s="107">
        <f t="shared" ref="AH480:AH490" si="88">SUM(C480:AG480)</f>
        <v>0</v>
      </c>
    </row>
    <row r="481" spans="1:34" ht="15">
      <c r="A481" s="73" t="s">
        <v>147</v>
      </c>
      <c r="B481" s="311">
        <f t="shared" si="87"/>
        <v>0</v>
      </c>
      <c r="C481" s="361"/>
      <c r="D481" s="361"/>
      <c r="E481" s="361"/>
      <c r="F481" s="361"/>
      <c r="G481" s="361"/>
      <c r="H481" s="53"/>
      <c r="I481" s="53"/>
      <c r="J481" s="53"/>
      <c r="K481" s="53"/>
      <c r="L481" s="53"/>
      <c r="M481" s="53"/>
      <c r="N481" s="53"/>
      <c r="O481" s="53"/>
      <c r="P481" s="53"/>
      <c r="Q481" s="53"/>
      <c r="R481" s="53"/>
      <c r="S481" s="53"/>
      <c r="T481" s="53"/>
      <c r="U481" s="53"/>
      <c r="V481" s="53"/>
      <c r="W481" s="53"/>
      <c r="X481" s="53"/>
      <c r="Y481" s="53"/>
      <c r="Z481" s="53"/>
      <c r="AA481" s="53"/>
      <c r="AB481" s="53"/>
      <c r="AC481" s="53"/>
      <c r="AD481" s="53"/>
      <c r="AE481" s="53"/>
      <c r="AF481" s="53"/>
      <c r="AG481" s="53"/>
      <c r="AH481" s="107">
        <f t="shared" si="88"/>
        <v>0</v>
      </c>
    </row>
    <row r="482" spans="1:34" ht="15">
      <c r="A482" s="73" t="s">
        <v>148</v>
      </c>
      <c r="B482" s="311">
        <f t="shared" si="87"/>
        <v>0</v>
      </c>
      <c r="C482" s="103"/>
      <c r="D482" s="53"/>
      <c r="E482" s="53"/>
      <c r="F482" s="53"/>
      <c r="G482" s="53"/>
      <c r="H482" s="53"/>
      <c r="I482" s="53"/>
      <c r="J482" s="53"/>
      <c r="K482" s="53"/>
      <c r="L482" s="53"/>
      <c r="M482" s="53"/>
      <c r="N482" s="53"/>
      <c r="O482" s="53"/>
      <c r="P482" s="53"/>
      <c r="Q482" s="53"/>
      <c r="R482" s="53"/>
      <c r="S482" s="53"/>
      <c r="T482" s="53"/>
      <c r="U482" s="53"/>
      <c r="V482" s="53"/>
      <c r="W482" s="53"/>
      <c r="X482" s="53"/>
      <c r="Y482" s="53"/>
      <c r="Z482" s="53"/>
      <c r="AA482" s="53"/>
      <c r="AB482" s="53"/>
      <c r="AC482" s="53"/>
      <c r="AD482" s="53"/>
      <c r="AE482" s="53"/>
      <c r="AF482" s="53"/>
      <c r="AG482" s="53"/>
      <c r="AH482" s="107">
        <f t="shared" si="88"/>
        <v>0</v>
      </c>
    </row>
    <row r="483" spans="1:34" ht="15">
      <c r="A483" s="73" t="s">
        <v>149</v>
      </c>
      <c r="B483" s="311">
        <f t="shared" si="87"/>
        <v>0</v>
      </c>
      <c r="C483" s="103"/>
      <c r="D483" s="53"/>
      <c r="E483" s="53"/>
      <c r="F483" s="53"/>
      <c r="G483" s="53"/>
      <c r="H483" s="53"/>
      <c r="I483" s="53"/>
      <c r="J483" s="53"/>
      <c r="K483" s="53"/>
      <c r="L483" s="53"/>
      <c r="M483" s="53"/>
      <c r="N483" s="53"/>
      <c r="O483" s="53"/>
      <c r="P483" s="53"/>
      <c r="Q483" s="53"/>
      <c r="R483" s="53"/>
      <c r="S483" s="53"/>
      <c r="T483" s="53"/>
      <c r="U483" s="53"/>
      <c r="V483" s="53"/>
      <c r="W483" s="53"/>
      <c r="X483" s="53"/>
      <c r="Y483" s="53"/>
      <c r="Z483" s="53"/>
      <c r="AA483" s="53"/>
      <c r="AB483" s="53"/>
      <c r="AC483" s="53"/>
      <c r="AD483" s="53"/>
      <c r="AE483" s="53"/>
      <c r="AF483" s="53"/>
      <c r="AG483" s="53"/>
      <c r="AH483" s="107">
        <f t="shared" si="88"/>
        <v>0</v>
      </c>
    </row>
    <row r="484" spans="1:34" ht="15">
      <c r="A484" s="73" t="s">
        <v>150</v>
      </c>
      <c r="B484" s="311">
        <f t="shared" si="87"/>
        <v>0</v>
      </c>
      <c r="C484" s="103"/>
      <c r="D484" s="53"/>
      <c r="E484" s="53"/>
      <c r="F484" s="53"/>
      <c r="G484" s="53"/>
      <c r="H484" s="53"/>
      <c r="I484" s="53"/>
      <c r="J484" s="53"/>
      <c r="K484" s="53"/>
      <c r="L484" s="53"/>
      <c r="M484" s="53"/>
      <c r="N484" s="53"/>
      <c r="O484" s="53"/>
      <c r="P484" s="53"/>
      <c r="Q484" s="53"/>
      <c r="R484" s="53"/>
      <c r="S484" s="53"/>
      <c r="T484" s="53"/>
      <c r="U484" s="53"/>
      <c r="V484" s="53"/>
      <c r="W484" s="53"/>
      <c r="X484" s="53"/>
      <c r="Y484" s="53"/>
      <c r="Z484" s="53"/>
      <c r="AA484" s="53"/>
      <c r="AB484" s="53"/>
      <c r="AC484" s="53"/>
      <c r="AD484" s="53"/>
      <c r="AE484" s="53"/>
      <c r="AF484" s="53"/>
      <c r="AG484" s="53"/>
      <c r="AH484" s="107">
        <f t="shared" si="88"/>
        <v>0</v>
      </c>
    </row>
    <row r="485" spans="1:34" ht="15">
      <c r="A485" s="73" t="s">
        <v>151</v>
      </c>
      <c r="B485" s="306">
        <f t="shared" si="87"/>
        <v>0</v>
      </c>
      <c r="C485" s="103"/>
      <c r="D485" s="107"/>
      <c r="E485" s="107"/>
      <c r="F485" s="107"/>
      <c r="G485" s="53"/>
      <c r="H485" s="53"/>
      <c r="I485" s="53"/>
      <c r="J485" s="111"/>
      <c r="K485" s="111"/>
      <c r="L485" s="107"/>
      <c r="M485" s="107"/>
      <c r="N485" s="107"/>
      <c r="O485" s="107"/>
      <c r="P485" s="107"/>
      <c r="Q485" s="107"/>
      <c r="R485" s="107"/>
      <c r="S485" s="107"/>
      <c r="T485" s="107"/>
      <c r="U485" s="107"/>
      <c r="V485" s="107"/>
      <c r="W485" s="107"/>
      <c r="X485" s="107"/>
      <c r="Y485" s="107"/>
      <c r="Z485" s="107"/>
      <c r="AA485" s="107"/>
      <c r="AB485" s="107"/>
      <c r="AC485" s="107"/>
      <c r="AD485" s="107"/>
      <c r="AE485" s="107"/>
      <c r="AF485" s="107"/>
      <c r="AG485" s="107"/>
      <c r="AH485" s="107">
        <f t="shared" si="88"/>
        <v>0</v>
      </c>
    </row>
    <row r="486" spans="1:34" ht="15">
      <c r="A486" s="73" t="s">
        <v>152</v>
      </c>
      <c r="B486" s="306">
        <f t="shared" si="87"/>
        <v>0</v>
      </c>
      <c r="C486" s="103"/>
      <c r="D486" s="53"/>
      <c r="E486" s="53"/>
      <c r="F486" s="53"/>
      <c r="G486" s="53"/>
      <c r="H486" s="53"/>
      <c r="I486" s="53"/>
      <c r="J486" s="111"/>
      <c r="K486" s="111"/>
      <c r="L486" s="107"/>
      <c r="M486" s="107"/>
      <c r="N486" s="107"/>
      <c r="O486" s="107"/>
      <c r="P486" s="107"/>
      <c r="Q486" s="107"/>
      <c r="R486" s="107"/>
      <c r="S486" s="107"/>
      <c r="T486" s="107"/>
      <c r="U486" s="107"/>
      <c r="V486" s="107"/>
      <c r="W486" s="107"/>
      <c r="X486" s="107"/>
      <c r="Y486" s="107"/>
      <c r="Z486" s="107"/>
      <c r="AA486" s="107"/>
      <c r="AB486" s="107"/>
      <c r="AC486" s="107"/>
      <c r="AD486" s="107"/>
      <c r="AE486" s="107"/>
      <c r="AF486" s="107"/>
      <c r="AG486" s="107"/>
      <c r="AH486" s="107">
        <f t="shared" si="88"/>
        <v>0</v>
      </c>
    </row>
    <row r="487" spans="1:34" ht="15">
      <c r="A487" s="73" t="s">
        <v>153</v>
      </c>
      <c r="B487" s="306">
        <f t="shared" si="87"/>
        <v>0</v>
      </c>
      <c r="C487" s="100"/>
      <c r="D487" s="107"/>
      <c r="E487" s="107"/>
      <c r="F487" s="107"/>
      <c r="G487" s="107"/>
      <c r="H487" s="107"/>
      <c r="I487" s="107"/>
      <c r="J487" s="111"/>
      <c r="K487" s="111"/>
      <c r="L487" s="53"/>
      <c r="M487" s="53"/>
      <c r="N487" s="53"/>
      <c r="O487" s="53"/>
      <c r="P487" s="53"/>
      <c r="Q487" s="53"/>
      <c r="R487" s="53"/>
      <c r="S487" s="53"/>
      <c r="T487" s="53"/>
      <c r="U487" s="53"/>
      <c r="V487" s="53"/>
      <c r="W487" s="53"/>
      <c r="X487" s="53"/>
      <c r="Y487" s="53"/>
      <c r="Z487" s="53"/>
      <c r="AA487" s="53"/>
      <c r="AB487" s="53"/>
      <c r="AC487" s="53"/>
      <c r="AD487" s="53"/>
      <c r="AE487" s="53"/>
      <c r="AF487" s="53"/>
      <c r="AG487" s="53"/>
      <c r="AH487" s="107">
        <f t="shared" si="88"/>
        <v>0</v>
      </c>
    </row>
    <row r="488" spans="1:34" ht="15">
      <c r="A488" s="73" t="s">
        <v>154</v>
      </c>
      <c r="B488" s="53">
        <f t="shared" si="87"/>
        <v>0</v>
      </c>
      <c r="C488" s="103"/>
      <c r="D488" s="2503" t="s">
        <v>318</v>
      </c>
      <c r="E488" s="2503" t="s">
        <v>318</v>
      </c>
      <c r="F488" s="2503" t="s">
        <v>318</v>
      </c>
      <c r="G488" s="2503" t="s">
        <v>318</v>
      </c>
      <c r="H488" s="2503" t="s">
        <v>318</v>
      </c>
      <c r="I488" s="2503" t="s">
        <v>318</v>
      </c>
      <c r="J488" s="2503" t="s">
        <v>318</v>
      </c>
      <c r="K488" s="2503" t="s">
        <v>318</v>
      </c>
      <c r="L488" s="2503" t="s">
        <v>318</v>
      </c>
      <c r="M488" s="2503" t="s">
        <v>318</v>
      </c>
      <c r="N488" s="2503" t="s">
        <v>318</v>
      </c>
      <c r="O488" s="2503" t="s">
        <v>318</v>
      </c>
      <c r="P488" s="2503" t="s">
        <v>318</v>
      </c>
      <c r="Q488" s="2503" t="s">
        <v>318</v>
      </c>
      <c r="R488" s="2503" t="s">
        <v>318</v>
      </c>
      <c r="S488" s="2503" t="s">
        <v>318</v>
      </c>
      <c r="T488" s="2503" t="s">
        <v>318</v>
      </c>
      <c r="U488" s="2503" t="s">
        <v>318</v>
      </c>
      <c r="V488" s="2503" t="s">
        <v>318</v>
      </c>
      <c r="W488" s="2503" t="s">
        <v>318</v>
      </c>
      <c r="X488" s="2503" t="s">
        <v>318</v>
      </c>
      <c r="Y488" s="2503" t="s">
        <v>318</v>
      </c>
      <c r="Z488" s="2503" t="s">
        <v>318</v>
      </c>
      <c r="AA488" s="2503" t="s">
        <v>318</v>
      </c>
      <c r="AB488" s="2503" t="s">
        <v>318</v>
      </c>
      <c r="AC488" s="2503" t="s">
        <v>318</v>
      </c>
      <c r="AD488" s="2503" t="s">
        <v>318</v>
      </c>
      <c r="AE488" s="2503" t="s">
        <v>318</v>
      </c>
      <c r="AF488" s="2503" t="s">
        <v>318</v>
      </c>
      <c r="AG488" s="2503" t="s">
        <v>318</v>
      </c>
      <c r="AH488" s="107">
        <f t="shared" si="88"/>
        <v>0</v>
      </c>
    </row>
    <row r="489" spans="1:34" ht="15">
      <c r="A489" s="73" t="s">
        <v>155</v>
      </c>
      <c r="B489" s="53">
        <f t="shared" si="87"/>
        <v>0</v>
      </c>
      <c r="C489" s="188" t="s">
        <v>318</v>
      </c>
      <c r="D489" s="188" t="s">
        <v>318</v>
      </c>
      <c r="E489" s="188" t="s">
        <v>318</v>
      </c>
      <c r="F489" s="188" t="s">
        <v>318</v>
      </c>
      <c r="G489" s="188" t="s">
        <v>318</v>
      </c>
      <c r="H489" s="188" t="s">
        <v>318</v>
      </c>
      <c r="I489" s="188" t="s">
        <v>318</v>
      </c>
      <c r="J489" s="188" t="s">
        <v>318</v>
      </c>
      <c r="K489" s="188" t="s">
        <v>318</v>
      </c>
      <c r="L489" s="188" t="s">
        <v>318</v>
      </c>
      <c r="M489" s="188" t="s">
        <v>318</v>
      </c>
      <c r="N489" s="188" t="s">
        <v>318</v>
      </c>
      <c r="O489" s="188" t="s">
        <v>318</v>
      </c>
      <c r="P489" s="188" t="s">
        <v>318</v>
      </c>
      <c r="Q489" s="188" t="s">
        <v>318</v>
      </c>
      <c r="R489" s="53"/>
      <c r="S489" s="53"/>
      <c r="T489" s="53"/>
      <c r="U489" s="53"/>
      <c r="V489" s="53"/>
      <c r="W489" s="53"/>
      <c r="X489" s="53"/>
      <c r="Y489" s="14"/>
      <c r="Z489" s="53"/>
      <c r="AA489" s="53"/>
      <c r="AB489" s="53"/>
      <c r="AC489" s="53"/>
      <c r="AD489" s="53"/>
      <c r="AE489" s="107"/>
      <c r="AF489" s="53"/>
      <c r="AG489" s="107"/>
      <c r="AH489" s="107">
        <f t="shared" si="88"/>
        <v>0</v>
      </c>
    </row>
    <row r="490" spans="1:34" ht="15">
      <c r="A490" s="73" t="s">
        <v>156</v>
      </c>
      <c r="B490" s="53">
        <f t="shared" si="87"/>
        <v>0</v>
      </c>
      <c r="C490" s="103"/>
      <c r="D490" s="53"/>
      <c r="E490" s="53"/>
      <c r="F490" s="53"/>
      <c r="G490" s="53"/>
      <c r="H490" s="53"/>
      <c r="I490" s="53"/>
      <c r="J490" s="53"/>
      <c r="K490" s="53"/>
      <c r="L490" s="53"/>
      <c r="M490" s="53"/>
      <c r="N490" s="53"/>
      <c r="O490" s="53"/>
      <c r="P490" s="53"/>
      <c r="Q490" s="53"/>
      <c r="R490" s="53"/>
      <c r="S490" s="53"/>
      <c r="T490" s="53"/>
      <c r="U490" s="53"/>
      <c r="V490" s="53"/>
      <c r="W490" s="53"/>
      <c r="X490" s="53"/>
      <c r="Y490" s="53"/>
      <c r="Z490" s="53"/>
      <c r="AA490" s="53"/>
      <c r="AB490" s="53"/>
      <c r="AC490" s="53"/>
      <c r="AD490" s="53"/>
      <c r="AE490" s="107"/>
      <c r="AF490" s="53"/>
      <c r="AG490" s="107"/>
      <c r="AH490" s="107">
        <f t="shared" si="88"/>
        <v>0</v>
      </c>
    </row>
    <row r="491" spans="1:34" ht="15">
      <c r="A491" s="199" t="s">
        <v>144</v>
      </c>
      <c r="B491" s="200">
        <f>SUM(B479:B490)</f>
        <v>0</v>
      </c>
      <c r="C491" s="100">
        <f>SUM(C479:C489)</f>
        <v>0</v>
      </c>
      <c r="D491" s="107">
        <f>SUM(D479:D489)</f>
        <v>0</v>
      </c>
      <c r="E491" s="107">
        <v>0</v>
      </c>
      <c r="F491" s="107">
        <f t="shared" ref="F491:AC491" si="89">SUM(F479:F489)</f>
        <v>0</v>
      </c>
      <c r="G491" s="107">
        <f t="shared" si="89"/>
        <v>0</v>
      </c>
      <c r="H491" s="107">
        <f t="shared" si="89"/>
        <v>0</v>
      </c>
      <c r="I491" s="107">
        <f t="shared" si="89"/>
        <v>0</v>
      </c>
      <c r="J491" s="107">
        <f t="shared" si="89"/>
        <v>0</v>
      </c>
      <c r="K491" s="107">
        <f t="shared" si="89"/>
        <v>0</v>
      </c>
      <c r="L491" s="107">
        <f t="shared" si="89"/>
        <v>0</v>
      </c>
      <c r="M491" s="107">
        <f t="shared" si="89"/>
        <v>0</v>
      </c>
      <c r="N491" s="107">
        <f t="shared" si="89"/>
        <v>0</v>
      </c>
      <c r="O491" s="107">
        <f t="shared" si="89"/>
        <v>0</v>
      </c>
      <c r="P491" s="107">
        <f t="shared" si="89"/>
        <v>0</v>
      </c>
      <c r="Q491" s="107">
        <f t="shared" si="89"/>
        <v>0</v>
      </c>
      <c r="R491" s="107">
        <f t="shared" si="89"/>
        <v>0</v>
      </c>
      <c r="S491" s="107">
        <f t="shared" si="89"/>
        <v>0</v>
      </c>
      <c r="T491" s="107">
        <f t="shared" si="89"/>
        <v>0</v>
      </c>
      <c r="U491" s="107">
        <f t="shared" si="89"/>
        <v>0</v>
      </c>
      <c r="V491" s="107">
        <f t="shared" si="89"/>
        <v>0</v>
      </c>
      <c r="W491" s="107">
        <f t="shared" si="89"/>
        <v>0</v>
      </c>
      <c r="X491" s="107">
        <f t="shared" si="89"/>
        <v>0</v>
      </c>
      <c r="Y491" s="107">
        <f t="shared" si="89"/>
        <v>0</v>
      </c>
      <c r="Z491" s="107">
        <f t="shared" si="89"/>
        <v>0</v>
      </c>
      <c r="AA491" s="107">
        <f t="shared" si="89"/>
        <v>0</v>
      </c>
      <c r="AB491" s="107">
        <f t="shared" si="89"/>
        <v>0</v>
      </c>
      <c r="AC491" s="107">
        <f t="shared" si="89"/>
        <v>0</v>
      </c>
      <c r="AD491" s="107">
        <v>0</v>
      </c>
      <c r="AE491" s="107">
        <f>SUM(AE479:AE489)</f>
        <v>0</v>
      </c>
      <c r="AF491" s="107">
        <f>SUM(AF479:AF489)</f>
        <v>0</v>
      </c>
      <c r="AG491" s="107">
        <f>SUM(AG479:AG489)</f>
        <v>0</v>
      </c>
      <c r="AH491" s="100">
        <f>SUM(AH479:AH489)</f>
        <v>0</v>
      </c>
    </row>
    <row r="492" spans="1:34" ht="5.0999999999999996" customHeight="1">
      <c r="A492" s="49"/>
      <c r="B492" s="49"/>
      <c r="C492" s="1"/>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c r="AG492" s="14"/>
      <c r="AH492" s="1"/>
    </row>
    <row r="493" spans="1:34" ht="15">
      <c r="A493" s="3854" t="s">
        <v>119</v>
      </c>
      <c r="B493" s="3855"/>
      <c r="C493" s="3855"/>
      <c r="D493" s="3855"/>
      <c r="E493" s="3855"/>
      <c r="F493" s="3855"/>
      <c r="G493" s="3855"/>
      <c r="H493" s="3856"/>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c r="AG493" s="14"/>
      <c r="AH493" s="14"/>
    </row>
    <row r="494" spans="1:34" ht="15">
      <c r="A494" s="8" t="s">
        <v>142</v>
      </c>
      <c r="B494" s="8" t="s">
        <v>143</v>
      </c>
      <c r="C494" s="2907">
        <v>1</v>
      </c>
      <c r="D494" s="73">
        <v>2</v>
      </c>
      <c r="E494" s="73">
        <v>3</v>
      </c>
      <c r="F494" s="73">
        <v>4</v>
      </c>
      <c r="G494" s="73">
        <v>5</v>
      </c>
      <c r="H494" s="73">
        <v>6</v>
      </c>
      <c r="I494" s="73">
        <v>7</v>
      </c>
      <c r="J494" s="73">
        <v>8</v>
      </c>
      <c r="K494" s="73">
        <v>9</v>
      </c>
      <c r="L494" s="73">
        <v>10</v>
      </c>
      <c r="M494" s="73">
        <v>11</v>
      </c>
      <c r="N494" s="73">
        <v>12</v>
      </c>
      <c r="O494" s="73">
        <v>13</v>
      </c>
      <c r="P494" s="73">
        <v>14</v>
      </c>
      <c r="Q494" s="73">
        <v>15</v>
      </c>
      <c r="R494" s="73">
        <v>16</v>
      </c>
      <c r="S494" s="73">
        <v>17</v>
      </c>
      <c r="T494" s="73">
        <v>18</v>
      </c>
      <c r="U494" s="73">
        <v>19</v>
      </c>
      <c r="V494" s="73">
        <v>20</v>
      </c>
      <c r="W494" s="73">
        <v>21</v>
      </c>
      <c r="X494" s="73">
        <v>22</v>
      </c>
      <c r="Y494" s="73">
        <v>23</v>
      </c>
      <c r="Z494" s="73">
        <v>24</v>
      </c>
      <c r="AA494" s="73">
        <v>25</v>
      </c>
      <c r="AB494" s="73">
        <v>26</v>
      </c>
      <c r="AC494" s="73">
        <v>27</v>
      </c>
      <c r="AD494" s="73">
        <v>28</v>
      </c>
      <c r="AE494" s="73">
        <v>29</v>
      </c>
      <c r="AF494" s="73">
        <v>30</v>
      </c>
      <c r="AG494" s="73">
        <v>31</v>
      </c>
      <c r="AH494" s="88" t="s">
        <v>144</v>
      </c>
    </row>
    <row r="495" spans="1:34" ht="15">
      <c r="A495" s="73" t="s">
        <v>145</v>
      </c>
      <c r="B495" s="311">
        <f t="shared" ref="B495:B506" si="90">+AH495</f>
        <v>3.8</v>
      </c>
      <c r="C495" s="360" t="s">
        <v>311</v>
      </c>
      <c r="D495" s="360" t="s">
        <v>311</v>
      </c>
      <c r="E495" s="360" t="s">
        <v>311</v>
      </c>
      <c r="F495" s="360" t="s">
        <v>311</v>
      </c>
      <c r="G495" s="360" t="s">
        <v>311</v>
      </c>
      <c r="H495" s="360">
        <v>1.85</v>
      </c>
      <c r="I495" s="360" t="s">
        <v>311</v>
      </c>
      <c r="J495" s="360" t="s">
        <v>311</v>
      </c>
      <c r="K495" s="360" t="s">
        <v>311</v>
      </c>
      <c r="L495" s="360" t="s">
        <v>311</v>
      </c>
      <c r="M495" s="360" t="s">
        <v>311</v>
      </c>
      <c r="N495" s="360" t="s">
        <v>311</v>
      </c>
      <c r="O495" s="360" t="s">
        <v>311</v>
      </c>
      <c r="P495" s="360" t="s">
        <v>311</v>
      </c>
      <c r="Q495" s="360" t="s">
        <v>311</v>
      </c>
      <c r="R495" s="360" t="s">
        <v>311</v>
      </c>
      <c r="S495" s="360" t="s">
        <v>311</v>
      </c>
      <c r="T495" s="360" t="s">
        <v>311</v>
      </c>
      <c r="U495" s="360" t="s">
        <v>311</v>
      </c>
      <c r="V495" s="360" t="s">
        <v>311</v>
      </c>
      <c r="W495" s="360" t="s">
        <v>311</v>
      </c>
      <c r="X495" s="360" t="s">
        <v>311</v>
      </c>
      <c r="Y495" s="360" t="s">
        <v>311</v>
      </c>
      <c r="Z495" s="360" t="s">
        <v>311</v>
      </c>
      <c r="AA495" s="360" t="s">
        <v>311</v>
      </c>
      <c r="AB495" s="188">
        <v>1.95</v>
      </c>
      <c r="AC495" s="360" t="s">
        <v>311</v>
      </c>
      <c r="AD495" s="360" t="s">
        <v>311</v>
      </c>
      <c r="AE495" s="360" t="s">
        <v>311</v>
      </c>
      <c r="AF495" s="360" t="s">
        <v>311</v>
      </c>
      <c r="AG495" s="360" t="s">
        <v>311</v>
      </c>
      <c r="AH495" s="107">
        <f>SUM(C495:AG495)</f>
        <v>3.8</v>
      </c>
    </row>
    <row r="496" spans="1:34" ht="15">
      <c r="A496" s="73" t="s">
        <v>146</v>
      </c>
      <c r="B496" s="311">
        <f t="shared" si="90"/>
        <v>1.8560000000000001</v>
      </c>
      <c r="C496" s="360" t="s">
        <v>311</v>
      </c>
      <c r="D496" s="360" t="s">
        <v>311</v>
      </c>
      <c r="E496" s="360" t="s">
        <v>311</v>
      </c>
      <c r="F496" s="360" t="s">
        <v>311</v>
      </c>
      <c r="G496" s="360" t="s">
        <v>311</v>
      </c>
      <c r="H496" s="360" t="s">
        <v>311</v>
      </c>
      <c r="I496" s="360" t="s">
        <v>311</v>
      </c>
      <c r="J496" s="361"/>
      <c r="K496" s="361"/>
      <c r="L496" s="361"/>
      <c r="M496" s="361"/>
      <c r="N496" s="361"/>
      <c r="O496" s="361"/>
      <c r="P496" s="361"/>
      <c r="Q496" s="361"/>
      <c r="R496" s="361"/>
      <c r="S496" s="361"/>
      <c r="T496" s="361"/>
      <c r="U496" s="361"/>
      <c r="V496" s="361"/>
      <c r="W496" s="361"/>
      <c r="X496" s="361"/>
      <c r="Y496" s="361"/>
      <c r="Z496" s="361">
        <v>1.8560000000000001</v>
      </c>
      <c r="AA496" s="361"/>
      <c r="AB496" s="361"/>
      <c r="AC496" s="361"/>
      <c r="AD496" s="361"/>
      <c r="AE496" s="361"/>
      <c r="AF496" s="361"/>
      <c r="AG496" s="361"/>
      <c r="AH496" s="107">
        <f t="shared" ref="AH496:AH506" si="91">SUM(C496:AG496)</f>
        <v>1.8560000000000001</v>
      </c>
    </row>
    <row r="497" spans="1:34" ht="15">
      <c r="A497" s="73" t="s">
        <v>147</v>
      </c>
      <c r="B497" s="311">
        <f t="shared" si="90"/>
        <v>0</v>
      </c>
      <c r="C497" s="361"/>
      <c r="D497" s="361"/>
      <c r="E497" s="361"/>
      <c r="F497" s="361"/>
      <c r="G497" s="361"/>
      <c r="H497" s="53"/>
      <c r="I497" s="53"/>
      <c r="J497" s="53"/>
      <c r="K497" s="53"/>
      <c r="L497" s="53"/>
      <c r="M497" s="53"/>
      <c r="N497" s="53"/>
      <c r="O497" s="53"/>
      <c r="P497" s="53"/>
      <c r="Q497" s="53"/>
      <c r="R497" s="53"/>
      <c r="S497" s="53"/>
      <c r="T497" s="53"/>
      <c r="U497" s="53"/>
      <c r="V497" s="53"/>
      <c r="W497" s="53"/>
      <c r="X497" s="53"/>
      <c r="Y497" s="53"/>
      <c r="Z497" s="53"/>
      <c r="AA497" s="53"/>
      <c r="AB497" s="53"/>
      <c r="AC497" s="53"/>
      <c r="AD497" s="53"/>
      <c r="AE497" s="53"/>
      <c r="AF497" s="53"/>
      <c r="AG497" s="53"/>
      <c r="AH497" s="107">
        <f t="shared" si="91"/>
        <v>0</v>
      </c>
    </row>
    <row r="498" spans="1:34" ht="15">
      <c r="A498" s="73" t="s">
        <v>148</v>
      </c>
      <c r="B498" s="311">
        <f t="shared" si="90"/>
        <v>0</v>
      </c>
      <c r="C498" s="103"/>
      <c r="D498" s="53"/>
      <c r="E498" s="53"/>
      <c r="F498" s="53"/>
      <c r="G498" s="53"/>
      <c r="H498" s="53"/>
      <c r="I498" s="53"/>
      <c r="J498" s="53"/>
      <c r="K498" s="53"/>
      <c r="L498" s="53"/>
      <c r="M498" s="53"/>
      <c r="N498" s="53"/>
      <c r="O498" s="53"/>
      <c r="P498" s="53"/>
      <c r="Q498" s="53"/>
      <c r="R498" s="53"/>
      <c r="S498" s="53"/>
      <c r="T498" s="53"/>
      <c r="U498" s="53"/>
      <c r="V498" s="53"/>
      <c r="W498" s="53"/>
      <c r="X498" s="53"/>
      <c r="Y498" s="53"/>
      <c r="Z498" s="53"/>
      <c r="AA498" s="53"/>
      <c r="AB498" s="53"/>
      <c r="AC498" s="53"/>
      <c r="AD498" s="53"/>
      <c r="AE498" s="53"/>
      <c r="AF498" s="53"/>
      <c r="AG498" s="53"/>
      <c r="AH498" s="107">
        <f t="shared" si="91"/>
        <v>0</v>
      </c>
    </row>
    <row r="499" spans="1:34" ht="15">
      <c r="A499" s="73" t="s">
        <v>149</v>
      </c>
      <c r="B499" s="311">
        <f t="shared" si="90"/>
        <v>0</v>
      </c>
      <c r="C499" s="103"/>
      <c r="D499" s="53"/>
      <c r="E499" s="53"/>
      <c r="F499" s="53"/>
      <c r="G499" s="53"/>
      <c r="H499" s="53"/>
      <c r="I499" s="53"/>
      <c r="J499" s="53"/>
      <c r="K499" s="53"/>
      <c r="L499" s="53"/>
      <c r="M499" s="53"/>
      <c r="N499" s="53"/>
      <c r="O499" s="53"/>
      <c r="P499" s="53"/>
      <c r="Q499" s="53"/>
      <c r="R499" s="53"/>
      <c r="S499" s="53"/>
      <c r="T499" s="53"/>
      <c r="U499" s="53"/>
      <c r="V499" s="53"/>
      <c r="W499" s="53"/>
      <c r="X499" s="53"/>
      <c r="Y499" s="53"/>
      <c r="Z499" s="53"/>
      <c r="AA499" s="53"/>
      <c r="AB499" s="53"/>
      <c r="AC499" s="53"/>
      <c r="AD499" s="53"/>
      <c r="AE499" s="53"/>
      <c r="AF499" s="53"/>
      <c r="AG499" s="53"/>
      <c r="AH499" s="107">
        <f t="shared" si="91"/>
        <v>0</v>
      </c>
    </row>
    <row r="500" spans="1:34" ht="15">
      <c r="A500" s="73" t="s">
        <v>150</v>
      </c>
      <c r="B500" s="311">
        <f t="shared" si="90"/>
        <v>13.413999999999998</v>
      </c>
      <c r="C500" s="103"/>
      <c r="D500" s="53"/>
      <c r="E500" s="53"/>
      <c r="F500" s="53"/>
      <c r="G500" s="53"/>
      <c r="H500" s="53"/>
      <c r="I500" s="53"/>
      <c r="J500" s="53"/>
      <c r="K500" s="53"/>
      <c r="L500" s="53"/>
      <c r="M500" s="53"/>
      <c r="N500" s="53"/>
      <c r="O500" s="53"/>
      <c r="P500" s="53"/>
      <c r="Q500" s="53"/>
      <c r="R500" s="53"/>
      <c r="S500" s="53"/>
      <c r="T500" s="53"/>
      <c r="U500" s="53"/>
      <c r="V500" s="53"/>
      <c r="W500" s="53">
        <v>4.5759999999999996</v>
      </c>
      <c r="X500" s="53">
        <v>8.8379999999999992</v>
      </c>
      <c r="Y500" s="53"/>
      <c r="Z500" s="53"/>
      <c r="AA500" s="53"/>
      <c r="AB500" s="53"/>
      <c r="AC500" s="53"/>
      <c r="AD500" s="53"/>
      <c r="AE500" s="53"/>
      <c r="AF500" s="53"/>
      <c r="AG500" s="53"/>
      <c r="AH500" s="107">
        <f t="shared" si="91"/>
        <v>13.413999999999998</v>
      </c>
    </row>
    <row r="501" spans="1:34" ht="15">
      <c r="A501" s="73" t="s">
        <v>151</v>
      </c>
      <c r="B501" s="306">
        <f t="shared" si="90"/>
        <v>0</v>
      </c>
      <c r="C501" s="103"/>
      <c r="D501" s="107"/>
      <c r="E501" s="107"/>
      <c r="F501" s="107"/>
      <c r="G501" s="53"/>
      <c r="H501" s="53"/>
      <c r="I501" s="53"/>
      <c r="J501" s="111"/>
      <c r="K501" s="111"/>
      <c r="L501" s="107"/>
      <c r="M501" s="107"/>
      <c r="N501" s="107"/>
      <c r="O501" s="107"/>
      <c r="P501" s="107"/>
      <c r="Q501" s="107"/>
      <c r="R501" s="107"/>
      <c r="S501" s="107"/>
      <c r="T501" s="107"/>
      <c r="U501" s="107"/>
      <c r="V501" s="107"/>
      <c r="W501" s="107"/>
      <c r="X501" s="107"/>
      <c r="Y501" s="107"/>
      <c r="Z501" s="107"/>
      <c r="AA501" s="107"/>
      <c r="AB501" s="107"/>
      <c r="AC501" s="107"/>
      <c r="AD501" s="107"/>
      <c r="AE501" s="107"/>
      <c r="AF501" s="107"/>
      <c r="AG501" s="107"/>
      <c r="AH501" s="107">
        <f t="shared" si="91"/>
        <v>0</v>
      </c>
    </row>
    <row r="502" spans="1:34" ht="15">
      <c r="A502" s="73" t="s">
        <v>152</v>
      </c>
      <c r="B502" s="306">
        <f t="shared" si="90"/>
        <v>0</v>
      </c>
      <c r="C502" s="103"/>
      <c r="D502" s="53"/>
      <c r="E502" s="53"/>
      <c r="F502" s="53"/>
      <c r="G502" s="53"/>
      <c r="H502" s="53"/>
      <c r="I502" s="53"/>
      <c r="J502" s="111"/>
      <c r="K502" s="111"/>
      <c r="L502" s="107"/>
      <c r="M502" s="107"/>
      <c r="N502" s="107"/>
      <c r="O502" s="107"/>
      <c r="P502" s="107"/>
      <c r="Q502" s="107"/>
      <c r="R502" s="107"/>
      <c r="S502" s="107"/>
      <c r="T502" s="107"/>
      <c r="U502" s="107"/>
      <c r="V502" s="107"/>
      <c r="W502" s="107"/>
      <c r="X502" s="107"/>
      <c r="Y502" s="107"/>
      <c r="Z502" s="107"/>
      <c r="AA502" s="107"/>
      <c r="AB502" s="107"/>
      <c r="AC502" s="107"/>
      <c r="AD502" s="107"/>
      <c r="AE502" s="107"/>
      <c r="AF502" s="107"/>
      <c r="AG502" s="107"/>
      <c r="AH502" s="107">
        <f t="shared" si="91"/>
        <v>0</v>
      </c>
    </row>
    <row r="503" spans="1:34" ht="15">
      <c r="A503" s="73" t="s">
        <v>153</v>
      </c>
      <c r="B503" s="306">
        <f t="shared" si="90"/>
        <v>0</v>
      </c>
      <c r="C503" s="100"/>
      <c r="D503" s="107"/>
      <c r="E503" s="107"/>
      <c r="F503" s="107"/>
      <c r="G503" s="107"/>
      <c r="H503" s="107"/>
      <c r="I503" s="107"/>
      <c r="J503" s="111"/>
      <c r="K503" s="111"/>
      <c r="L503" s="53"/>
      <c r="M503" s="53"/>
      <c r="N503" s="53"/>
      <c r="O503" s="53"/>
      <c r="P503" s="53"/>
      <c r="Q503" s="53"/>
      <c r="R503" s="53"/>
      <c r="S503" s="53"/>
      <c r="T503" s="53"/>
      <c r="U503" s="53"/>
      <c r="V503" s="53"/>
      <c r="W503" s="53"/>
      <c r="X503" s="53"/>
      <c r="Y503" s="53"/>
      <c r="Z503" s="53"/>
      <c r="AA503" s="53"/>
      <c r="AB503" s="53"/>
      <c r="AC503" s="53"/>
      <c r="AD503" s="53"/>
      <c r="AE503" s="53"/>
      <c r="AF503" s="53"/>
      <c r="AG503" s="53"/>
      <c r="AH503" s="107">
        <f t="shared" si="91"/>
        <v>0</v>
      </c>
    </row>
    <row r="504" spans="1:34" ht="15">
      <c r="A504" s="73" t="s">
        <v>154</v>
      </c>
      <c r="B504" s="306">
        <f t="shared" si="90"/>
        <v>0</v>
      </c>
      <c r="C504" s="103"/>
      <c r="D504" s="2503" t="s">
        <v>318</v>
      </c>
      <c r="E504" s="2503" t="s">
        <v>318</v>
      </c>
      <c r="F504" s="2503" t="s">
        <v>318</v>
      </c>
      <c r="G504" s="2503" t="s">
        <v>318</v>
      </c>
      <c r="H504" s="2503" t="s">
        <v>318</v>
      </c>
      <c r="I504" s="2503" t="s">
        <v>318</v>
      </c>
      <c r="J504" s="2503" t="s">
        <v>318</v>
      </c>
      <c r="K504" s="2503" t="s">
        <v>318</v>
      </c>
      <c r="L504" s="2503" t="s">
        <v>318</v>
      </c>
      <c r="M504" s="2503" t="s">
        <v>318</v>
      </c>
      <c r="N504" s="2503" t="s">
        <v>318</v>
      </c>
      <c r="O504" s="2503" t="s">
        <v>318</v>
      </c>
      <c r="P504" s="2503" t="s">
        <v>318</v>
      </c>
      <c r="Q504" s="2503" t="s">
        <v>318</v>
      </c>
      <c r="R504" s="2503" t="s">
        <v>318</v>
      </c>
      <c r="S504" s="2503" t="s">
        <v>318</v>
      </c>
      <c r="T504" s="2503" t="s">
        <v>318</v>
      </c>
      <c r="U504" s="2503" t="s">
        <v>318</v>
      </c>
      <c r="V504" s="2503" t="s">
        <v>318</v>
      </c>
      <c r="W504" s="2503" t="s">
        <v>318</v>
      </c>
      <c r="X504" s="2503" t="s">
        <v>318</v>
      </c>
      <c r="Y504" s="2503" t="s">
        <v>318</v>
      </c>
      <c r="Z504" s="2503" t="s">
        <v>318</v>
      </c>
      <c r="AA504" s="2503" t="s">
        <v>318</v>
      </c>
      <c r="AB504" s="2503" t="s">
        <v>318</v>
      </c>
      <c r="AC504" s="2503" t="s">
        <v>318</v>
      </c>
      <c r="AD504" s="2503" t="s">
        <v>318</v>
      </c>
      <c r="AE504" s="2503" t="s">
        <v>318</v>
      </c>
      <c r="AF504" s="2503" t="s">
        <v>318</v>
      </c>
      <c r="AG504" s="2503" t="s">
        <v>318</v>
      </c>
      <c r="AH504" s="107">
        <f t="shared" si="91"/>
        <v>0</v>
      </c>
    </row>
    <row r="505" spans="1:34" ht="15">
      <c r="A505" s="73" t="s">
        <v>155</v>
      </c>
      <c r="B505" s="306">
        <f t="shared" si="90"/>
        <v>0</v>
      </c>
      <c r="C505" s="188" t="s">
        <v>318</v>
      </c>
      <c r="D505" s="188" t="s">
        <v>318</v>
      </c>
      <c r="E505" s="188" t="s">
        <v>318</v>
      </c>
      <c r="F505" s="188" t="s">
        <v>318</v>
      </c>
      <c r="G505" s="188" t="s">
        <v>318</v>
      </c>
      <c r="H505" s="188" t="s">
        <v>318</v>
      </c>
      <c r="I505" s="188" t="s">
        <v>318</v>
      </c>
      <c r="J505" s="188" t="s">
        <v>318</v>
      </c>
      <c r="K505" s="188" t="s">
        <v>318</v>
      </c>
      <c r="L505" s="188" t="s">
        <v>318</v>
      </c>
      <c r="M505" s="188" t="s">
        <v>318</v>
      </c>
      <c r="N505" s="188" t="s">
        <v>318</v>
      </c>
      <c r="O505" s="188" t="s">
        <v>318</v>
      </c>
      <c r="P505" s="188" t="s">
        <v>318</v>
      </c>
      <c r="Q505" s="188" t="s">
        <v>318</v>
      </c>
      <c r="R505" s="53"/>
      <c r="S505" s="53"/>
      <c r="T505" s="53"/>
      <c r="U505" s="53"/>
      <c r="V505" s="53"/>
      <c r="W505" s="53"/>
      <c r="X505" s="53"/>
      <c r="Y505" s="14"/>
      <c r="Z505" s="53"/>
      <c r="AA505" s="53"/>
      <c r="AB505" s="53"/>
      <c r="AC505" s="53"/>
      <c r="AD505" s="53"/>
      <c r="AE505" s="107"/>
      <c r="AF505" s="53"/>
      <c r="AG505" s="107"/>
      <c r="AH505" s="107">
        <f t="shared" si="91"/>
        <v>0</v>
      </c>
    </row>
    <row r="506" spans="1:34" ht="15">
      <c r="A506" s="73" t="s">
        <v>156</v>
      </c>
      <c r="B506" s="53">
        <f t="shared" si="90"/>
        <v>0</v>
      </c>
      <c r="C506" s="103"/>
      <c r="D506" s="53"/>
      <c r="E506" s="53"/>
      <c r="F506" s="53"/>
      <c r="G506" s="53"/>
      <c r="H506" s="53"/>
      <c r="I506" s="53"/>
      <c r="J506" s="53"/>
      <c r="K506" s="53"/>
      <c r="L506" s="53"/>
      <c r="M506" s="53"/>
      <c r="N506" s="53"/>
      <c r="O506" s="53"/>
      <c r="P506" s="53"/>
      <c r="Q506" s="53"/>
      <c r="R506" s="53"/>
      <c r="S506" s="53"/>
      <c r="T506" s="53"/>
      <c r="U506" s="53"/>
      <c r="V506" s="53"/>
      <c r="W506" s="53"/>
      <c r="X506" s="53"/>
      <c r="Y506" s="53"/>
      <c r="Z506" s="53"/>
      <c r="AA506" s="53"/>
      <c r="AB506" s="53"/>
      <c r="AC506" s="53"/>
      <c r="AD506" s="53"/>
      <c r="AE506" s="107"/>
      <c r="AF506" s="53"/>
      <c r="AG506" s="107"/>
      <c r="AH506" s="107">
        <f t="shared" si="91"/>
        <v>0</v>
      </c>
    </row>
    <row r="507" spans="1:34" ht="15">
      <c r="A507" s="199" t="s">
        <v>144</v>
      </c>
      <c r="B507" s="232">
        <f>SUM(B495:B506)</f>
        <v>19.069999999999997</v>
      </c>
      <c r="C507" s="100">
        <f>SUM(C495:C505)</f>
        <v>0</v>
      </c>
      <c r="D507" s="107">
        <f>SUM(D495:D505)</f>
        <v>0</v>
      </c>
      <c r="E507" s="107">
        <v>0</v>
      </c>
      <c r="F507" s="107">
        <f t="shared" ref="F507:AC507" si="92">SUM(F495:F505)</f>
        <v>0</v>
      </c>
      <c r="G507" s="107">
        <f t="shared" si="92"/>
        <v>0</v>
      </c>
      <c r="H507" s="107">
        <f t="shared" si="92"/>
        <v>1.85</v>
      </c>
      <c r="I507" s="107">
        <f t="shared" si="92"/>
        <v>0</v>
      </c>
      <c r="J507" s="107">
        <f t="shared" si="92"/>
        <v>0</v>
      </c>
      <c r="K507" s="107">
        <f t="shared" si="92"/>
        <v>0</v>
      </c>
      <c r="L507" s="107">
        <f t="shared" si="92"/>
        <v>0</v>
      </c>
      <c r="M507" s="107">
        <f t="shared" si="92"/>
        <v>0</v>
      </c>
      <c r="N507" s="107">
        <f t="shared" si="92"/>
        <v>0</v>
      </c>
      <c r="O507" s="107">
        <f t="shared" si="92"/>
        <v>0</v>
      </c>
      <c r="P507" s="107">
        <f t="shared" si="92"/>
        <v>0</v>
      </c>
      <c r="Q507" s="107">
        <f t="shared" si="92"/>
        <v>0</v>
      </c>
      <c r="R507" s="107">
        <f t="shared" si="92"/>
        <v>0</v>
      </c>
      <c r="S507" s="107">
        <f t="shared" si="92"/>
        <v>0</v>
      </c>
      <c r="T507" s="107">
        <f t="shared" si="92"/>
        <v>0</v>
      </c>
      <c r="U507" s="107">
        <f t="shared" si="92"/>
        <v>0</v>
      </c>
      <c r="V507" s="107">
        <f t="shared" si="92"/>
        <v>0</v>
      </c>
      <c r="W507" s="107">
        <f t="shared" si="92"/>
        <v>4.5759999999999996</v>
      </c>
      <c r="X507" s="107">
        <f t="shared" si="92"/>
        <v>8.8379999999999992</v>
      </c>
      <c r="Y507" s="107">
        <f t="shared" si="92"/>
        <v>0</v>
      </c>
      <c r="Z507" s="107">
        <f t="shared" si="92"/>
        <v>1.8560000000000001</v>
      </c>
      <c r="AA507" s="107">
        <f t="shared" si="92"/>
        <v>0</v>
      </c>
      <c r="AB507" s="107">
        <f t="shared" si="92"/>
        <v>1.95</v>
      </c>
      <c r="AC507" s="107">
        <f t="shared" si="92"/>
        <v>0</v>
      </c>
      <c r="AD507" s="107">
        <v>0</v>
      </c>
      <c r="AE507" s="107">
        <f>SUM(AE495:AE505)</f>
        <v>0</v>
      </c>
      <c r="AF507" s="107">
        <f>SUM(AF495:AF505)</f>
        <v>0</v>
      </c>
      <c r="AG507" s="107">
        <f>SUM(AG495:AG505)</f>
        <v>0</v>
      </c>
      <c r="AH507" s="100">
        <f>SUM(AH495:AH505)</f>
        <v>19.069999999999997</v>
      </c>
    </row>
    <row r="508" spans="1:34" ht="5.0999999999999996" customHeight="1">
      <c r="A508" s="49"/>
      <c r="B508" s="49"/>
      <c r="C508" s="1"/>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c r="AG508" s="14"/>
      <c r="AH508" s="1"/>
    </row>
    <row r="509" spans="1:34" ht="15">
      <c r="A509" s="3854" t="s">
        <v>276</v>
      </c>
      <c r="B509" s="3855"/>
      <c r="C509" s="3855"/>
      <c r="D509" s="3855"/>
      <c r="E509" s="3855"/>
      <c r="F509" s="3855"/>
      <c r="G509" s="3855"/>
      <c r="H509" s="3856"/>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c r="AG509" s="14"/>
      <c r="AH509" s="14"/>
    </row>
    <row r="510" spans="1:34" ht="15">
      <c r="A510" s="8" t="s">
        <v>142</v>
      </c>
      <c r="B510" s="8" t="s">
        <v>143</v>
      </c>
      <c r="C510" s="2907">
        <v>1</v>
      </c>
      <c r="D510" s="73">
        <v>2</v>
      </c>
      <c r="E510" s="73">
        <v>3</v>
      </c>
      <c r="F510" s="73">
        <v>4</v>
      </c>
      <c r="G510" s="73">
        <v>5</v>
      </c>
      <c r="H510" s="73">
        <v>6</v>
      </c>
      <c r="I510" s="73">
        <v>7</v>
      </c>
      <c r="J510" s="73">
        <v>8</v>
      </c>
      <c r="K510" s="73">
        <v>9</v>
      </c>
      <c r="L510" s="73">
        <v>10</v>
      </c>
      <c r="M510" s="73">
        <v>11</v>
      </c>
      <c r="N510" s="73">
        <v>12</v>
      </c>
      <c r="O510" s="73">
        <v>13</v>
      </c>
      <c r="P510" s="73">
        <v>14</v>
      </c>
      <c r="Q510" s="73">
        <v>15</v>
      </c>
      <c r="R510" s="73">
        <v>16</v>
      </c>
      <c r="S510" s="73">
        <v>17</v>
      </c>
      <c r="T510" s="73">
        <v>18</v>
      </c>
      <c r="U510" s="73">
        <v>19</v>
      </c>
      <c r="V510" s="73">
        <v>20</v>
      </c>
      <c r="W510" s="73">
        <v>21</v>
      </c>
      <c r="X510" s="73">
        <v>22</v>
      </c>
      <c r="Y510" s="73">
        <v>23</v>
      </c>
      <c r="Z510" s="73">
        <v>24</v>
      </c>
      <c r="AA510" s="73">
        <v>25</v>
      </c>
      <c r="AB510" s="73">
        <v>26</v>
      </c>
      <c r="AC510" s="73">
        <v>27</v>
      </c>
      <c r="AD510" s="73">
        <v>28</v>
      </c>
      <c r="AE510" s="73">
        <v>29</v>
      </c>
      <c r="AF510" s="73">
        <v>30</v>
      </c>
      <c r="AG510" s="73">
        <v>31</v>
      </c>
      <c r="AH510" s="88" t="s">
        <v>144</v>
      </c>
    </row>
    <row r="511" spans="1:34" ht="15">
      <c r="A511" s="73" t="s">
        <v>145</v>
      </c>
      <c r="B511" s="311">
        <f t="shared" ref="B511:B522" si="93">+AH511</f>
        <v>0</v>
      </c>
      <c r="C511" s="360" t="s">
        <v>311</v>
      </c>
      <c r="D511" s="360" t="s">
        <v>311</v>
      </c>
      <c r="E511" s="360" t="s">
        <v>311</v>
      </c>
      <c r="F511" s="360" t="s">
        <v>311</v>
      </c>
      <c r="G511" s="360" t="s">
        <v>311</v>
      </c>
      <c r="H511" s="360" t="s">
        <v>311</v>
      </c>
      <c r="I511" s="360" t="s">
        <v>311</v>
      </c>
      <c r="J511" s="360" t="s">
        <v>311</v>
      </c>
      <c r="K511" s="360" t="s">
        <v>311</v>
      </c>
      <c r="L511" s="360" t="s">
        <v>311</v>
      </c>
      <c r="M511" s="360" t="s">
        <v>311</v>
      </c>
      <c r="N511" s="360" t="s">
        <v>311</v>
      </c>
      <c r="O511" s="360" t="s">
        <v>311</v>
      </c>
      <c r="P511" s="360" t="s">
        <v>311</v>
      </c>
      <c r="Q511" s="360" t="s">
        <v>311</v>
      </c>
      <c r="R511" s="360" t="s">
        <v>311</v>
      </c>
      <c r="S511" s="360" t="s">
        <v>311</v>
      </c>
      <c r="T511" s="360" t="s">
        <v>311</v>
      </c>
      <c r="U511" s="360" t="s">
        <v>311</v>
      </c>
      <c r="V511" s="360" t="s">
        <v>311</v>
      </c>
      <c r="W511" s="360" t="s">
        <v>311</v>
      </c>
      <c r="X511" s="360" t="s">
        <v>311</v>
      </c>
      <c r="Y511" s="360" t="s">
        <v>311</v>
      </c>
      <c r="Z511" s="360" t="s">
        <v>311</v>
      </c>
      <c r="AA511" s="360" t="s">
        <v>311</v>
      </c>
      <c r="AB511" s="360" t="s">
        <v>311</v>
      </c>
      <c r="AC511" s="360" t="s">
        <v>311</v>
      </c>
      <c r="AD511" s="360" t="s">
        <v>311</v>
      </c>
      <c r="AE511" s="360" t="s">
        <v>311</v>
      </c>
      <c r="AF511" s="360" t="s">
        <v>311</v>
      </c>
      <c r="AG511" s="360" t="s">
        <v>311</v>
      </c>
      <c r="AH511" s="107">
        <f>SUM(C511:AG511)</f>
        <v>0</v>
      </c>
    </row>
    <row r="512" spans="1:34" ht="15">
      <c r="A512" s="73" t="s">
        <v>146</v>
      </c>
      <c r="B512" s="311">
        <f t="shared" si="93"/>
        <v>0</v>
      </c>
      <c r="C512" s="360" t="s">
        <v>311</v>
      </c>
      <c r="D512" s="360" t="s">
        <v>311</v>
      </c>
      <c r="E512" s="360" t="s">
        <v>311</v>
      </c>
      <c r="F512" s="360" t="s">
        <v>311</v>
      </c>
      <c r="G512" s="360" t="s">
        <v>311</v>
      </c>
      <c r="H512" s="360" t="s">
        <v>311</v>
      </c>
      <c r="I512" s="360" t="s">
        <v>311</v>
      </c>
      <c r="J512" s="361"/>
      <c r="K512" s="361"/>
      <c r="L512" s="361"/>
      <c r="M512" s="361"/>
      <c r="N512" s="361"/>
      <c r="O512" s="361"/>
      <c r="P512" s="361"/>
      <c r="Q512" s="361"/>
      <c r="R512" s="361"/>
      <c r="S512" s="361"/>
      <c r="T512" s="361"/>
      <c r="U512" s="361"/>
      <c r="V512" s="361"/>
      <c r="W512" s="361"/>
      <c r="X512" s="361"/>
      <c r="Y512" s="361"/>
      <c r="Z512" s="361"/>
      <c r="AA512" s="361"/>
      <c r="AB512" s="361"/>
      <c r="AC512" s="361"/>
      <c r="AD512" s="361"/>
      <c r="AE512" s="361"/>
      <c r="AF512" s="361"/>
      <c r="AG512" s="361"/>
      <c r="AH512" s="107">
        <f t="shared" ref="AH512:AH522" si="94">SUM(C512:AG512)</f>
        <v>0</v>
      </c>
    </row>
    <row r="513" spans="1:34" ht="15">
      <c r="A513" s="73" t="s">
        <v>147</v>
      </c>
      <c r="B513" s="311">
        <f t="shared" si="93"/>
        <v>0</v>
      </c>
      <c r="C513" s="361"/>
      <c r="D513" s="361"/>
      <c r="E513" s="361"/>
      <c r="F513" s="361"/>
      <c r="G513" s="361"/>
      <c r="H513" s="53"/>
      <c r="I513" s="53"/>
      <c r="J513" s="53"/>
      <c r="K513" s="53"/>
      <c r="L513" s="53"/>
      <c r="M513" s="53"/>
      <c r="N513" s="53"/>
      <c r="O513" s="53"/>
      <c r="P513" s="53"/>
      <c r="Q513" s="53"/>
      <c r="R513" s="53"/>
      <c r="S513" s="53"/>
      <c r="T513" s="53"/>
      <c r="U513" s="53"/>
      <c r="V513" s="53"/>
      <c r="W513" s="53"/>
      <c r="X513" s="53"/>
      <c r="Y513" s="53"/>
      <c r="Z513" s="53"/>
      <c r="AA513" s="53"/>
      <c r="AB513" s="53"/>
      <c r="AC513" s="53"/>
      <c r="AD513" s="53"/>
      <c r="AE513" s="53"/>
      <c r="AF513" s="53"/>
      <c r="AG513" s="53"/>
      <c r="AH513" s="107">
        <f t="shared" si="94"/>
        <v>0</v>
      </c>
    </row>
    <row r="514" spans="1:34" ht="15">
      <c r="A514" s="73" t="s">
        <v>148</v>
      </c>
      <c r="B514" s="311">
        <f t="shared" si="93"/>
        <v>0</v>
      </c>
      <c r="C514" s="103"/>
      <c r="D514" s="53"/>
      <c r="E514" s="53"/>
      <c r="F514" s="53"/>
      <c r="G514" s="53"/>
      <c r="H514" s="53"/>
      <c r="I514" s="53"/>
      <c r="J514" s="53"/>
      <c r="K514" s="53"/>
      <c r="L514" s="53"/>
      <c r="M514" s="53"/>
      <c r="N514" s="53"/>
      <c r="O514" s="53"/>
      <c r="P514" s="53"/>
      <c r="Q514" s="53"/>
      <c r="R514" s="53"/>
      <c r="S514" s="53"/>
      <c r="T514" s="53"/>
      <c r="U514" s="53"/>
      <c r="V514" s="53"/>
      <c r="W514" s="53"/>
      <c r="X514" s="53"/>
      <c r="Y514" s="53"/>
      <c r="Z514" s="53"/>
      <c r="AA514" s="53"/>
      <c r="AB514" s="53"/>
      <c r="AC514" s="53"/>
      <c r="AD514" s="53"/>
      <c r="AE514" s="53"/>
      <c r="AF514" s="53"/>
      <c r="AG514" s="53"/>
      <c r="AH514" s="107">
        <f t="shared" si="94"/>
        <v>0</v>
      </c>
    </row>
    <row r="515" spans="1:34" ht="15">
      <c r="A515" s="73" t="s">
        <v>149</v>
      </c>
      <c r="B515" s="311">
        <f t="shared" si="93"/>
        <v>0</v>
      </c>
      <c r="C515" s="103"/>
      <c r="D515" s="53"/>
      <c r="E515" s="53"/>
      <c r="F515" s="53"/>
      <c r="G515" s="53"/>
      <c r="H515" s="53"/>
      <c r="I515" s="53"/>
      <c r="J515" s="53"/>
      <c r="K515" s="53"/>
      <c r="L515" s="53"/>
      <c r="M515" s="53"/>
      <c r="N515" s="53"/>
      <c r="O515" s="53"/>
      <c r="P515" s="53"/>
      <c r="Q515" s="53"/>
      <c r="R515" s="53"/>
      <c r="S515" s="53"/>
      <c r="T515" s="53"/>
      <c r="U515" s="53"/>
      <c r="V515" s="53"/>
      <c r="W515" s="53"/>
      <c r="X515" s="53"/>
      <c r="Y515" s="53"/>
      <c r="Z515" s="53"/>
      <c r="AA515" s="53"/>
      <c r="AB515" s="53"/>
      <c r="AC515" s="53"/>
      <c r="AD515" s="53"/>
      <c r="AE515" s="53"/>
      <c r="AF515" s="53"/>
      <c r="AG515" s="53"/>
      <c r="AH515" s="107">
        <f t="shared" si="94"/>
        <v>0</v>
      </c>
    </row>
    <row r="516" spans="1:34" ht="15">
      <c r="A516" s="73" t="s">
        <v>150</v>
      </c>
      <c r="B516" s="311">
        <f t="shared" si="93"/>
        <v>0</v>
      </c>
      <c r="C516" s="103"/>
      <c r="D516" s="53"/>
      <c r="E516" s="53"/>
      <c r="F516" s="53"/>
      <c r="G516" s="53"/>
      <c r="H516" s="53"/>
      <c r="I516" s="53"/>
      <c r="J516" s="53"/>
      <c r="K516" s="53"/>
      <c r="L516" s="53"/>
      <c r="M516" s="53"/>
      <c r="N516" s="53"/>
      <c r="O516" s="53"/>
      <c r="P516" s="53"/>
      <c r="Q516" s="53"/>
      <c r="R516" s="53"/>
      <c r="S516" s="53"/>
      <c r="T516" s="53"/>
      <c r="U516" s="53"/>
      <c r="V516" s="53"/>
      <c r="W516" s="53"/>
      <c r="X516" s="53"/>
      <c r="Y516" s="53"/>
      <c r="Z516" s="53"/>
      <c r="AA516" s="53"/>
      <c r="AB516" s="53"/>
      <c r="AC516" s="53"/>
      <c r="AD516" s="53"/>
      <c r="AE516" s="53"/>
      <c r="AF516" s="53"/>
      <c r="AG516" s="53"/>
      <c r="AH516" s="107">
        <f t="shared" si="94"/>
        <v>0</v>
      </c>
    </row>
    <row r="517" spans="1:34" ht="15">
      <c r="A517" s="73" t="s">
        <v>151</v>
      </c>
      <c r="B517" s="306">
        <f t="shared" si="93"/>
        <v>0</v>
      </c>
      <c r="C517" s="103"/>
      <c r="D517" s="107"/>
      <c r="E517" s="107"/>
      <c r="F517" s="107"/>
      <c r="G517" s="53"/>
      <c r="H517" s="53"/>
      <c r="I517" s="53"/>
      <c r="J517" s="111"/>
      <c r="K517" s="111"/>
      <c r="L517" s="107"/>
      <c r="M517" s="107"/>
      <c r="N517" s="107"/>
      <c r="O517" s="107"/>
      <c r="P517" s="107"/>
      <c r="Q517" s="107"/>
      <c r="R517" s="107"/>
      <c r="S517" s="107"/>
      <c r="T517" s="107"/>
      <c r="U517" s="107"/>
      <c r="V517" s="107"/>
      <c r="W517" s="107"/>
      <c r="X517" s="107"/>
      <c r="Y517" s="107"/>
      <c r="Z517" s="107"/>
      <c r="AA517" s="107"/>
      <c r="AB517" s="107"/>
      <c r="AC517" s="107"/>
      <c r="AD517" s="107"/>
      <c r="AE517" s="107"/>
      <c r="AF517" s="107"/>
      <c r="AG517" s="107"/>
      <c r="AH517" s="107">
        <f t="shared" si="94"/>
        <v>0</v>
      </c>
    </row>
    <row r="518" spans="1:34" ht="15">
      <c r="A518" s="73" t="s">
        <v>152</v>
      </c>
      <c r="B518" s="306">
        <f t="shared" si="93"/>
        <v>0</v>
      </c>
      <c r="C518" s="103"/>
      <c r="D518" s="53"/>
      <c r="E518" s="53"/>
      <c r="F518" s="53"/>
      <c r="G518" s="53"/>
      <c r="H518" s="53"/>
      <c r="I518" s="53"/>
      <c r="J518" s="111"/>
      <c r="K518" s="111"/>
      <c r="L518" s="107"/>
      <c r="M518" s="107"/>
      <c r="N518" s="107"/>
      <c r="O518" s="107"/>
      <c r="P518" s="107"/>
      <c r="Q518" s="107"/>
      <c r="R518" s="107"/>
      <c r="S518" s="107"/>
      <c r="T518" s="107"/>
      <c r="U518" s="107"/>
      <c r="V518" s="107"/>
      <c r="W518" s="107"/>
      <c r="X518" s="107"/>
      <c r="Y518" s="107"/>
      <c r="Z518" s="107"/>
      <c r="AA518" s="107"/>
      <c r="AB518" s="107"/>
      <c r="AC518" s="107"/>
      <c r="AD518" s="107"/>
      <c r="AE518" s="107"/>
      <c r="AF518" s="107"/>
      <c r="AG518" s="107"/>
      <c r="AH518" s="107">
        <f t="shared" si="94"/>
        <v>0</v>
      </c>
    </row>
    <row r="519" spans="1:34" ht="15">
      <c r="A519" s="73" t="s">
        <v>153</v>
      </c>
      <c r="B519" s="306">
        <f t="shared" si="93"/>
        <v>0</v>
      </c>
      <c r="C519" s="100"/>
      <c r="D519" s="107"/>
      <c r="E519" s="107"/>
      <c r="F519" s="107"/>
      <c r="G519" s="107"/>
      <c r="H519" s="107"/>
      <c r="I519" s="107"/>
      <c r="J519" s="111"/>
      <c r="K519" s="111"/>
      <c r="L519" s="53"/>
      <c r="M519" s="53"/>
      <c r="N519" s="53"/>
      <c r="O519" s="53"/>
      <c r="P519" s="53"/>
      <c r="Q519" s="53"/>
      <c r="R519" s="53"/>
      <c r="S519" s="53"/>
      <c r="T519" s="53"/>
      <c r="U519" s="53"/>
      <c r="V519" s="53"/>
      <c r="W519" s="53"/>
      <c r="X519" s="53"/>
      <c r="Y519" s="53"/>
      <c r="Z519" s="53"/>
      <c r="AA519" s="53"/>
      <c r="AB519" s="53"/>
      <c r="AC519" s="53"/>
      <c r="AD519" s="53"/>
      <c r="AE519" s="53"/>
      <c r="AF519" s="53"/>
      <c r="AG519" s="53"/>
      <c r="AH519" s="107">
        <f t="shared" si="94"/>
        <v>0</v>
      </c>
    </row>
    <row r="520" spans="1:34" ht="15">
      <c r="A520" s="73" t="s">
        <v>154</v>
      </c>
      <c r="B520" s="306">
        <f t="shared" si="93"/>
        <v>0</v>
      </c>
      <c r="C520" s="103"/>
      <c r="D520" s="2503" t="s">
        <v>318</v>
      </c>
      <c r="E520" s="2503" t="s">
        <v>318</v>
      </c>
      <c r="F520" s="2503" t="s">
        <v>318</v>
      </c>
      <c r="G520" s="2503" t="s">
        <v>318</v>
      </c>
      <c r="H520" s="2503" t="s">
        <v>318</v>
      </c>
      <c r="I520" s="2503" t="s">
        <v>318</v>
      </c>
      <c r="J520" s="2503" t="s">
        <v>318</v>
      </c>
      <c r="K520" s="2503" t="s">
        <v>318</v>
      </c>
      <c r="L520" s="2503" t="s">
        <v>318</v>
      </c>
      <c r="M520" s="2503" t="s">
        <v>318</v>
      </c>
      <c r="N520" s="2503" t="s">
        <v>318</v>
      </c>
      <c r="O520" s="2503" t="s">
        <v>318</v>
      </c>
      <c r="P520" s="2503" t="s">
        <v>318</v>
      </c>
      <c r="Q520" s="2503" t="s">
        <v>318</v>
      </c>
      <c r="R520" s="2503" t="s">
        <v>318</v>
      </c>
      <c r="S520" s="2503" t="s">
        <v>318</v>
      </c>
      <c r="T520" s="2503" t="s">
        <v>318</v>
      </c>
      <c r="U520" s="2503" t="s">
        <v>318</v>
      </c>
      <c r="V520" s="2503" t="s">
        <v>318</v>
      </c>
      <c r="W520" s="2503" t="s">
        <v>318</v>
      </c>
      <c r="X520" s="2503" t="s">
        <v>318</v>
      </c>
      <c r="Y520" s="2503" t="s">
        <v>318</v>
      </c>
      <c r="Z520" s="2503" t="s">
        <v>318</v>
      </c>
      <c r="AA520" s="2503" t="s">
        <v>318</v>
      </c>
      <c r="AB520" s="2503" t="s">
        <v>318</v>
      </c>
      <c r="AC520" s="2503" t="s">
        <v>318</v>
      </c>
      <c r="AD520" s="2503" t="s">
        <v>318</v>
      </c>
      <c r="AE520" s="2503" t="s">
        <v>318</v>
      </c>
      <c r="AF520" s="2503" t="s">
        <v>318</v>
      </c>
      <c r="AG520" s="2503" t="s">
        <v>318</v>
      </c>
      <c r="AH520" s="107">
        <f t="shared" si="94"/>
        <v>0</v>
      </c>
    </row>
    <row r="521" spans="1:34" ht="15">
      <c r="A521" s="73" t="s">
        <v>155</v>
      </c>
      <c r="B521" s="306">
        <f t="shared" si="93"/>
        <v>0</v>
      </c>
      <c r="C521" s="188" t="s">
        <v>318</v>
      </c>
      <c r="D521" s="188" t="s">
        <v>318</v>
      </c>
      <c r="E521" s="188" t="s">
        <v>318</v>
      </c>
      <c r="F521" s="188" t="s">
        <v>318</v>
      </c>
      <c r="G521" s="188" t="s">
        <v>318</v>
      </c>
      <c r="H521" s="188" t="s">
        <v>318</v>
      </c>
      <c r="I521" s="188" t="s">
        <v>318</v>
      </c>
      <c r="J521" s="188" t="s">
        <v>318</v>
      </c>
      <c r="K521" s="188" t="s">
        <v>318</v>
      </c>
      <c r="L521" s="188" t="s">
        <v>318</v>
      </c>
      <c r="M521" s="188" t="s">
        <v>318</v>
      </c>
      <c r="N521" s="188" t="s">
        <v>318</v>
      </c>
      <c r="O521" s="188" t="s">
        <v>318</v>
      </c>
      <c r="P521" s="188" t="s">
        <v>318</v>
      </c>
      <c r="Q521" s="188" t="s">
        <v>318</v>
      </c>
      <c r="R521" s="53"/>
      <c r="S521" s="53"/>
      <c r="T521" s="53"/>
      <c r="U521" s="53"/>
      <c r="V521" s="53"/>
      <c r="W521" s="53"/>
      <c r="X521" s="53"/>
      <c r="Y521" s="14"/>
      <c r="Z521" s="53"/>
      <c r="AA521" s="53"/>
      <c r="AB521" s="53"/>
      <c r="AC521" s="53"/>
      <c r="AD521" s="53"/>
      <c r="AE521" s="107"/>
      <c r="AF521" s="53"/>
      <c r="AG521" s="107"/>
      <c r="AH521" s="107">
        <f t="shared" si="94"/>
        <v>0</v>
      </c>
    </row>
    <row r="522" spans="1:34" ht="15">
      <c r="A522" s="73" t="s">
        <v>156</v>
      </c>
      <c r="B522" s="53">
        <f t="shared" si="93"/>
        <v>0</v>
      </c>
      <c r="C522" s="103"/>
      <c r="D522" s="53"/>
      <c r="E522" s="53"/>
      <c r="F522" s="53"/>
      <c r="G522" s="53"/>
      <c r="H522" s="53"/>
      <c r="I522" s="53"/>
      <c r="J522" s="53"/>
      <c r="K522" s="53"/>
      <c r="L522" s="53"/>
      <c r="M522" s="53"/>
      <c r="N522" s="53"/>
      <c r="O522" s="53"/>
      <c r="P522" s="53"/>
      <c r="Q522" s="53"/>
      <c r="R522" s="53"/>
      <c r="S522" s="53"/>
      <c r="T522" s="53"/>
      <c r="U522" s="53"/>
      <c r="V522" s="53"/>
      <c r="W522" s="53"/>
      <c r="X522" s="53"/>
      <c r="Y522" s="53"/>
      <c r="Z522" s="53"/>
      <c r="AA522" s="53"/>
      <c r="AB522" s="53"/>
      <c r="AC522" s="53"/>
      <c r="AD522" s="53"/>
      <c r="AE522" s="107"/>
      <c r="AF522" s="53"/>
      <c r="AG522" s="107"/>
      <c r="AH522" s="107">
        <f t="shared" si="94"/>
        <v>0</v>
      </c>
    </row>
    <row r="523" spans="1:34" ht="15">
      <c r="A523" s="199" t="s">
        <v>144</v>
      </c>
      <c r="B523" s="200">
        <f>SUM(B511:B522)</f>
        <v>0</v>
      </c>
      <c r="C523" s="100">
        <f>SUM(C511:C521)</f>
        <v>0</v>
      </c>
      <c r="D523" s="107">
        <f>SUM(D511:D521)</f>
        <v>0</v>
      </c>
      <c r="E523" s="107">
        <v>0</v>
      </c>
      <c r="F523" s="107">
        <f t="shared" ref="F523:AC523" si="95">SUM(F511:F521)</f>
        <v>0</v>
      </c>
      <c r="G523" s="107">
        <f t="shared" si="95"/>
        <v>0</v>
      </c>
      <c r="H523" s="107">
        <f t="shared" si="95"/>
        <v>0</v>
      </c>
      <c r="I523" s="107">
        <f t="shared" si="95"/>
        <v>0</v>
      </c>
      <c r="J523" s="107">
        <f t="shared" si="95"/>
        <v>0</v>
      </c>
      <c r="K523" s="107">
        <f t="shared" si="95"/>
        <v>0</v>
      </c>
      <c r="L523" s="107">
        <f t="shared" si="95"/>
        <v>0</v>
      </c>
      <c r="M523" s="107">
        <f t="shared" si="95"/>
        <v>0</v>
      </c>
      <c r="N523" s="107">
        <f t="shared" si="95"/>
        <v>0</v>
      </c>
      <c r="O523" s="107">
        <f t="shared" si="95"/>
        <v>0</v>
      </c>
      <c r="P523" s="107">
        <f t="shared" si="95"/>
        <v>0</v>
      </c>
      <c r="Q523" s="107">
        <f t="shared" si="95"/>
        <v>0</v>
      </c>
      <c r="R523" s="107">
        <f t="shared" si="95"/>
        <v>0</v>
      </c>
      <c r="S523" s="107">
        <f t="shared" si="95"/>
        <v>0</v>
      </c>
      <c r="T523" s="107">
        <f t="shared" si="95"/>
        <v>0</v>
      </c>
      <c r="U523" s="107">
        <f t="shared" si="95"/>
        <v>0</v>
      </c>
      <c r="V523" s="107">
        <f t="shared" si="95"/>
        <v>0</v>
      </c>
      <c r="W523" s="107">
        <f t="shared" si="95"/>
        <v>0</v>
      </c>
      <c r="X523" s="107">
        <f t="shared" si="95"/>
        <v>0</v>
      </c>
      <c r="Y523" s="107">
        <f t="shared" si="95"/>
        <v>0</v>
      </c>
      <c r="Z523" s="107">
        <f t="shared" si="95"/>
        <v>0</v>
      </c>
      <c r="AA523" s="107">
        <f t="shared" si="95"/>
        <v>0</v>
      </c>
      <c r="AB523" s="107">
        <f t="shared" si="95"/>
        <v>0</v>
      </c>
      <c r="AC523" s="107">
        <f t="shared" si="95"/>
        <v>0</v>
      </c>
      <c r="AD523" s="107">
        <v>0</v>
      </c>
      <c r="AE523" s="107">
        <f>SUM(AE511:AE521)</f>
        <v>0</v>
      </c>
      <c r="AF523" s="107">
        <f>SUM(AF511:AF521)</f>
        <v>0</v>
      </c>
      <c r="AG523" s="107">
        <f>SUM(AG511:AG521)</f>
        <v>0</v>
      </c>
      <c r="AH523" s="100">
        <f>SUM(AH511:AH521)</f>
        <v>0</v>
      </c>
    </row>
    <row r="524" spans="1:34" ht="5.0999999999999996" customHeight="1">
      <c r="A524" s="49"/>
      <c r="B524" s="49"/>
      <c r="C524" s="1"/>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c r="AF524" s="14"/>
      <c r="AG524" s="14"/>
      <c r="AH524" s="1"/>
    </row>
    <row r="525" spans="1:34" ht="15">
      <c r="A525" s="3854" t="s">
        <v>277</v>
      </c>
      <c r="B525" s="3855"/>
      <c r="C525" s="3855"/>
      <c r="D525" s="3855"/>
      <c r="E525" s="3855"/>
      <c r="F525" s="3855"/>
      <c r="G525" s="3855"/>
      <c r="H525" s="3856"/>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c r="AF525" s="14"/>
      <c r="AG525" s="14"/>
      <c r="AH525" s="14"/>
    </row>
    <row r="526" spans="1:34" ht="15">
      <c r="A526" s="8" t="s">
        <v>142</v>
      </c>
      <c r="B526" s="8" t="s">
        <v>143</v>
      </c>
      <c r="C526" s="2907">
        <v>1</v>
      </c>
      <c r="D526" s="73">
        <v>2</v>
      </c>
      <c r="E526" s="73">
        <v>3</v>
      </c>
      <c r="F526" s="73">
        <v>4</v>
      </c>
      <c r="G526" s="73">
        <v>5</v>
      </c>
      <c r="H526" s="73">
        <v>6</v>
      </c>
      <c r="I526" s="73">
        <v>7</v>
      </c>
      <c r="J526" s="73">
        <v>8</v>
      </c>
      <c r="K526" s="73">
        <v>9</v>
      </c>
      <c r="L526" s="73">
        <v>10</v>
      </c>
      <c r="M526" s="73">
        <v>11</v>
      </c>
      <c r="N526" s="73">
        <v>12</v>
      </c>
      <c r="O526" s="73">
        <v>13</v>
      </c>
      <c r="P526" s="73">
        <v>14</v>
      </c>
      <c r="Q526" s="73">
        <v>15</v>
      </c>
      <c r="R526" s="73">
        <v>16</v>
      </c>
      <c r="S526" s="73">
        <v>17</v>
      </c>
      <c r="T526" s="73">
        <v>18</v>
      </c>
      <c r="U526" s="73">
        <v>19</v>
      </c>
      <c r="V526" s="73">
        <v>20</v>
      </c>
      <c r="W526" s="73">
        <v>21</v>
      </c>
      <c r="X526" s="73">
        <v>22</v>
      </c>
      <c r="Y526" s="73">
        <v>23</v>
      </c>
      <c r="Z526" s="73">
        <v>24</v>
      </c>
      <c r="AA526" s="73">
        <v>25</v>
      </c>
      <c r="AB526" s="73">
        <v>26</v>
      </c>
      <c r="AC526" s="73">
        <v>27</v>
      </c>
      <c r="AD526" s="73">
        <v>28</v>
      </c>
      <c r="AE526" s="73">
        <v>29</v>
      </c>
      <c r="AF526" s="73">
        <v>30</v>
      </c>
      <c r="AG526" s="73">
        <v>31</v>
      </c>
      <c r="AH526" s="88" t="s">
        <v>144</v>
      </c>
    </row>
    <row r="527" spans="1:34" ht="15">
      <c r="A527" s="73" t="s">
        <v>145</v>
      </c>
      <c r="B527" s="311">
        <f t="shared" ref="B527:B538" si="96">+AH527</f>
        <v>0</v>
      </c>
      <c r="C527" s="360" t="s">
        <v>311</v>
      </c>
      <c r="D527" s="360" t="s">
        <v>311</v>
      </c>
      <c r="E527" s="360" t="s">
        <v>311</v>
      </c>
      <c r="F527" s="360" t="s">
        <v>311</v>
      </c>
      <c r="G527" s="360" t="s">
        <v>311</v>
      </c>
      <c r="H527" s="360" t="s">
        <v>311</v>
      </c>
      <c r="I527" s="360" t="s">
        <v>311</v>
      </c>
      <c r="J527" s="360" t="s">
        <v>311</v>
      </c>
      <c r="K527" s="360" t="s">
        <v>311</v>
      </c>
      <c r="L527" s="360" t="s">
        <v>311</v>
      </c>
      <c r="M527" s="360" t="s">
        <v>311</v>
      </c>
      <c r="N527" s="360" t="s">
        <v>311</v>
      </c>
      <c r="O527" s="360" t="s">
        <v>311</v>
      </c>
      <c r="P527" s="360" t="s">
        <v>311</v>
      </c>
      <c r="Q527" s="360" t="s">
        <v>311</v>
      </c>
      <c r="R527" s="360" t="s">
        <v>311</v>
      </c>
      <c r="S527" s="360" t="s">
        <v>311</v>
      </c>
      <c r="T527" s="360" t="s">
        <v>311</v>
      </c>
      <c r="U527" s="360" t="s">
        <v>311</v>
      </c>
      <c r="V527" s="360" t="s">
        <v>311</v>
      </c>
      <c r="W527" s="360" t="s">
        <v>311</v>
      </c>
      <c r="X527" s="360" t="s">
        <v>311</v>
      </c>
      <c r="Y527" s="360" t="s">
        <v>311</v>
      </c>
      <c r="Z527" s="360" t="s">
        <v>311</v>
      </c>
      <c r="AA527" s="360" t="s">
        <v>311</v>
      </c>
      <c r="AB527" s="360" t="s">
        <v>311</v>
      </c>
      <c r="AC527" s="360" t="s">
        <v>311</v>
      </c>
      <c r="AD527" s="360" t="s">
        <v>311</v>
      </c>
      <c r="AE527" s="360" t="s">
        <v>311</v>
      </c>
      <c r="AF527" s="360" t="s">
        <v>311</v>
      </c>
      <c r="AG527" s="360" t="s">
        <v>311</v>
      </c>
      <c r="AH527" s="107">
        <f>SUM(C527:AG527)</f>
        <v>0</v>
      </c>
    </row>
    <row r="528" spans="1:34" ht="15">
      <c r="A528" s="73" t="s">
        <v>146</v>
      </c>
      <c r="B528" s="311">
        <f t="shared" si="96"/>
        <v>0</v>
      </c>
      <c r="C528" s="360" t="s">
        <v>311</v>
      </c>
      <c r="D528" s="360" t="s">
        <v>311</v>
      </c>
      <c r="E528" s="360" t="s">
        <v>311</v>
      </c>
      <c r="F528" s="360" t="s">
        <v>311</v>
      </c>
      <c r="G528" s="360" t="s">
        <v>311</v>
      </c>
      <c r="H528" s="360" t="s">
        <v>311</v>
      </c>
      <c r="I528" s="360" t="s">
        <v>311</v>
      </c>
      <c r="J528" s="361"/>
      <c r="K528" s="361"/>
      <c r="L528" s="361"/>
      <c r="M528" s="361"/>
      <c r="N528" s="361"/>
      <c r="O528" s="361"/>
      <c r="P528" s="361"/>
      <c r="Q528" s="361"/>
      <c r="R528" s="361"/>
      <c r="S528" s="361"/>
      <c r="T528" s="361"/>
      <c r="U528" s="361"/>
      <c r="V528" s="361"/>
      <c r="W528" s="361"/>
      <c r="X528" s="361"/>
      <c r="Y528" s="361"/>
      <c r="Z528" s="361"/>
      <c r="AA528" s="361"/>
      <c r="AB528" s="361"/>
      <c r="AC528" s="361"/>
      <c r="AD528" s="361"/>
      <c r="AE528" s="361"/>
      <c r="AF528" s="361"/>
      <c r="AG528" s="361"/>
      <c r="AH528" s="107">
        <f t="shared" ref="AH528:AH538" si="97">SUM(C528:AG528)</f>
        <v>0</v>
      </c>
    </row>
    <row r="529" spans="1:34" ht="15">
      <c r="A529" s="73" t="s">
        <v>147</v>
      </c>
      <c r="B529" s="311">
        <f t="shared" si="96"/>
        <v>0</v>
      </c>
      <c r="C529" s="361"/>
      <c r="D529" s="361"/>
      <c r="E529" s="361"/>
      <c r="F529" s="361"/>
      <c r="G529" s="361"/>
      <c r="H529" s="53"/>
      <c r="I529" s="53"/>
      <c r="J529" s="53"/>
      <c r="K529" s="53"/>
      <c r="L529" s="53"/>
      <c r="M529" s="53"/>
      <c r="N529" s="53"/>
      <c r="O529" s="53"/>
      <c r="P529" s="53"/>
      <c r="Q529" s="53"/>
      <c r="R529" s="53"/>
      <c r="S529" s="53"/>
      <c r="T529" s="53"/>
      <c r="U529" s="53"/>
      <c r="V529" s="53"/>
      <c r="W529" s="53"/>
      <c r="X529" s="53"/>
      <c r="Y529" s="53"/>
      <c r="Z529" s="53"/>
      <c r="AA529" s="53"/>
      <c r="AB529" s="53"/>
      <c r="AC529" s="53"/>
      <c r="AD529" s="53"/>
      <c r="AE529" s="53"/>
      <c r="AF529" s="53"/>
      <c r="AG529" s="53"/>
      <c r="AH529" s="107">
        <f t="shared" si="97"/>
        <v>0</v>
      </c>
    </row>
    <row r="530" spans="1:34" ht="15">
      <c r="A530" s="73" t="s">
        <v>148</v>
      </c>
      <c r="B530" s="311">
        <f t="shared" si="96"/>
        <v>0</v>
      </c>
      <c r="C530" s="103"/>
      <c r="D530" s="53"/>
      <c r="E530" s="53"/>
      <c r="F530" s="53"/>
      <c r="G530" s="53"/>
      <c r="H530" s="53"/>
      <c r="I530" s="53"/>
      <c r="J530" s="53"/>
      <c r="K530" s="53"/>
      <c r="L530" s="53"/>
      <c r="M530" s="53"/>
      <c r="N530" s="53"/>
      <c r="O530" s="53"/>
      <c r="P530" s="53"/>
      <c r="Q530" s="53"/>
      <c r="R530" s="53"/>
      <c r="S530" s="53"/>
      <c r="T530" s="53"/>
      <c r="U530" s="53"/>
      <c r="V530" s="53"/>
      <c r="W530" s="53"/>
      <c r="X530" s="53"/>
      <c r="Y530" s="53"/>
      <c r="Z530" s="53"/>
      <c r="AA530" s="53"/>
      <c r="AB530" s="53"/>
      <c r="AC530" s="53"/>
      <c r="AD530" s="53"/>
      <c r="AE530" s="53"/>
      <c r="AF530" s="53"/>
      <c r="AG530" s="53"/>
      <c r="AH530" s="107">
        <f t="shared" si="97"/>
        <v>0</v>
      </c>
    </row>
    <row r="531" spans="1:34" ht="15">
      <c r="A531" s="73" t="s">
        <v>149</v>
      </c>
      <c r="B531" s="311">
        <f t="shared" si="96"/>
        <v>1.22</v>
      </c>
      <c r="C531" s="103"/>
      <c r="D531" s="53"/>
      <c r="E531" s="53"/>
      <c r="F531" s="53"/>
      <c r="G531" s="53"/>
      <c r="H531" s="53"/>
      <c r="I531" s="53"/>
      <c r="J531" s="53"/>
      <c r="K531" s="53"/>
      <c r="L531" s="53"/>
      <c r="M531" s="53"/>
      <c r="N531" s="53"/>
      <c r="O531" s="53"/>
      <c r="P531" s="53"/>
      <c r="Q531" s="53"/>
      <c r="R531" s="53"/>
      <c r="S531" s="53"/>
      <c r="T531" s="53"/>
      <c r="U531" s="53"/>
      <c r="V531" s="53"/>
      <c r="W531" s="53"/>
      <c r="X531" s="53"/>
      <c r="Y531" s="53"/>
      <c r="Z531" s="53"/>
      <c r="AA531" s="53"/>
      <c r="AB531" s="53">
        <v>1.22</v>
      </c>
      <c r="AC531" s="53"/>
      <c r="AD531" s="53"/>
      <c r="AE531" s="53"/>
      <c r="AF531" s="53"/>
      <c r="AG531" s="53"/>
      <c r="AH531" s="107">
        <f t="shared" si="97"/>
        <v>1.22</v>
      </c>
    </row>
    <row r="532" spans="1:34" ht="15">
      <c r="A532" s="73" t="s">
        <v>150</v>
      </c>
      <c r="B532" s="311">
        <f t="shared" si="96"/>
        <v>0</v>
      </c>
      <c r="C532" s="103"/>
      <c r="D532" s="53"/>
      <c r="E532" s="53"/>
      <c r="F532" s="53"/>
      <c r="G532" s="53"/>
      <c r="H532" s="53"/>
      <c r="I532" s="53"/>
      <c r="J532" s="53"/>
      <c r="K532" s="53"/>
      <c r="L532" s="53"/>
      <c r="M532" s="53"/>
      <c r="N532" s="53"/>
      <c r="O532" s="53"/>
      <c r="P532" s="53"/>
      <c r="Q532" s="53"/>
      <c r="R532" s="53"/>
      <c r="S532" s="53"/>
      <c r="T532" s="53"/>
      <c r="U532" s="53"/>
      <c r="V532" s="53"/>
      <c r="W532" s="53"/>
      <c r="X532" s="53"/>
      <c r="Y532" s="53"/>
      <c r="Z532" s="53"/>
      <c r="AA532" s="53"/>
      <c r="AB532" s="53"/>
      <c r="AC532" s="53"/>
      <c r="AD532" s="53"/>
      <c r="AE532" s="53"/>
      <c r="AF532" s="53"/>
      <c r="AG532" s="53"/>
      <c r="AH532" s="107">
        <f t="shared" si="97"/>
        <v>0</v>
      </c>
    </row>
    <row r="533" spans="1:34" ht="15">
      <c r="A533" s="73" t="s">
        <v>151</v>
      </c>
      <c r="B533" s="306">
        <f t="shared" si="96"/>
        <v>0</v>
      </c>
      <c r="C533" s="103"/>
      <c r="D533" s="107"/>
      <c r="E533" s="107"/>
      <c r="F533" s="107"/>
      <c r="G533" s="53"/>
      <c r="H533" s="53"/>
      <c r="I533" s="53"/>
      <c r="J533" s="111"/>
      <c r="K533" s="111"/>
      <c r="L533" s="107"/>
      <c r="M533" s="107"/>
      <c r="N533" s="107"/>
      <c r="O533" s="107"/>
      <c r="P533" s="107"/>
      <c r="Q533" s="107"/>
      <c r="R533" s="107"/>
      <c r="S533" s="107"/>
      <c r="T533" s="107"/>
      <c r="U533" s="107"/>
      <c r="V533" s="107"/>
      <c r="W533" s="107"/>
      <c r="X533" s="107"/>
      <c r="Y533" s="107"/>
      <c r="Z533" s="107"/>
      <c r="AA533" s="107"/>
      <c r="AB533" s="107"/>
      <c r="AC533" s="107"/>
      <c r="AD533" s="107"/>
      <c r="AE533" s="107"/>
      <c r="AF533" s="107"/>
      <c r="AG533" s="107"/>
      <c r="AH533" s="107">
        <f t="shared" si="97"/>
        <v>0</v>
      </c>
    </row>
    <row r="534" spans="1:34" ht="15">
      <c r="A534" s="73" t="s">
        <v>152</v>
      </c>
      <c r="B534" s="306">
        <f t="shared" si="96"/>
        <v>0</v>
      </c>
      <c r="C534" s="103"/>
      <c r="D534" s="53"/>
      <c r="E534" s="53"/>
      <c r="F534" s="53"/>
      <c r="G534" s="53"/>
      <c r="H534" s="53"/>
      <c r="I534" s="53"/>
      <c r="J534" s="111"/>
      <c r="K534" s="111"/>
      <c r="L534" s="107"/>
      <c r="M534" s="107"/>
      <c r="N534" s="107"/>
      <c r="O534" s="107"/>
      <c r="P534" s="107"/>
      <c r="Q534" s="107"/>
      <c r="R534" s="107"/>
      <c r="S534" s="107"/>
      <c r="T534" s="107"/>
      <c r="U534" s="107"/>
      <c r="V534" s="107"/>
      <c r="W534" s="107"/>
      <c r="X534" s="107"/>
      <c r="Y534" s="107"/>
      <c r="Z534" s="107"/>
      <c r="AA534" s="107"/>
      <c r="AB534" s="107"/>
      <c r="AC534" s="107"/>
      <c r="AD534" s="107"/>
      <c r="AE534" s="107"/>
      <c r="AF534" s="107"/>
      <c r="AG534" s="107"/>
      <c r="AH534" s="107">
        <f t="shared" si="97"/>
        <v>0</v>
      </c>
    </row>
    <row r="535" spans="1:34" ht="15">
      <c r="A535" s="73" t="s">
        <v>153</v>
      </c>
      <c r="B535" s="306">
        <f t="shared" si="96"/>
        <v>0</v>
      </c>
      <c r="C535" s="100"/>
      <c r="D535" s="107"/>
      <c r="E535" s="107"/>
      <c r="F535" s="107"/>
      <c r="G535" s="107"/>
      <c r="H535" s="107"/>
      <c r="I535" s="107"/>
      <c r="J535" s="111"/>
      <c r="K535" s="111"/>
      <c r="L535" s="53"/>
      <c r="M535" s="53"/>
      <c r="N535" s="53"/>
      <c r="O535" s="53"/>
      <c r="P535" s="53"/>
      <c r="Q535" s="53"/>
      <c r="R535" s="53"/>
      <c r="S535" s="53"/>
      <c r="T535" s="53"/>
      <c r="U535" s="53"/>
      <c r="V535" s="53"/>
      <c r="W535" s="53"/>
      <c r="X535" s="53"/>
      <c r="Y535" s="53"/>
      <c r="Z535" s="53"/>
      <c r="AA535" s="53"/>
      <c r="AB535" s="53"/>
      <c r="AC535" s="53"/>
      <c r="AD535" s="53"/>
      <c r="AE535" s="53"/>
      <c r="AF535" s="53"/>
      <c r="AG535" s="53"/>
      <c r="AH535" s="107">
        <f t="shared" si="97"/>
        <v>0</v>
      </c>
    </row>
    <row r="536" spans="1:34" ht="15">
      <c r="A536" s="73" t="s">
        <v>154</v>
      </c>
      <c r="B536" s="306">
        <f t="shared" si="96"/>
        <v>0</v>
      </c>
      <c r="C536" s="103"/>
      <c r="D536" s="2503" t="s">
        <v>318</v>
      </c>
      <c r="E536" s="2503" t="s">
        <v>318</v>
      </c>
      <c r="F536" s="2503" t="s">
        <v>318</v>
      </c>
      <c r="G536" s="2503" t="s">
        <v>318</v>
      </c>
      <c r="H536" s="2503" t="s">
        <v>318</v>
      </c>
      <c r="I536" s="2503" t="s">
        <v>318</v>
      </c>
      <c r="J536" s="2503" t="s">
        <v>318</v>
      </c>
      <c r="K536" s="2503" t="s">
        <v>318</v>
      </c>
      <c r="L536" s="2503" t="s">
        <v>318</v>
      </c>
      <c r="M536" s="2503" t="s">
        <v>318</v>
      </c>
      <c r="N536" s="2503" t="s">
        <v>318</v>
      </c>
      <c r="O536" s="2503" t="s">
        <v>318</v>
      </c>
      <c r="P536" s="2503" t="s">
        <v>318</v>
      </c>
      <c r="Q536" s="2503" t="s">
        <v>318</v>
      </c>
      <c r="R536" s="2503" t="s">
        <v>318</v>
      </c>
      <c r="S536" s="2503" t="s">
        <v>318</v>
      </c>
      <c r="T536" s="2503" t="s">
        <v>318</v>
      </c>
      <c r="U536" s="2503" t="s">
        <v>318</v>
      </c>
      <c r="V536" s="2503" t="s">
        <v>318</v>
      </c>
      <c r="W536" s="2503" t="s">
        <v>318</v>
      </c>
      <c r="X536" s="2503" t="s">
        <v>318</v>
      </c>
      <c r="Y536" s="2503" t="s">
        <v>318</v>
      </c>
      <c r="Z536" s="2503" t="s">
        <v>318</v>
      </c>
      <c r="AA536" s="2503" t="s">
        <v>318</v>
      </c>
      <c r="AB536" s="2503" t="s">
        <v>318</v>
      </c>
      <c r="AC536" s="2503" t="s">
        <v>318</v>
      </c>
      <c r="AD536" s="2503" t="s">
        <v>318</v>
      </c>
      <c r="AE536" s="2503" t="s">
        <v>318</v>
      </c>
      <c r="AF536" s="2503" t="s">
        <v>318</v>
      </c>
      <c r="AG536" s="2503" t="s">
        <v>318</v>
      </c>
      <c r="AH536" s="107">
        <f t="shared" si="97"/>
        <v>0</v>
      </c>
    </row>
    <row r="537" spans="1:34" ht="15">
      <c r="A537" s="73" t="s">
        <v>155</v>
      </c>
      <c r="B537" s="306">
        <f t="shared" si="96"/>
        <v>0</v>
      </c>
      <c r="C537" s="188" t="s">
        <v>318</v>
      </c>
      <c r="D537" s="188" t="s">
        <v>318</v>
      </c>
      <c r="E537" s="188" t="s">
        <v>318</v>
      </c>
      <c r="F537" s="188" t="s">
        <v>318</v>
      </c>
      <c r="G537" s="188" t="s">
        <v>318</v>
      </c>
      <c r="H537" s="188" t="s">
        <v>318</v>
      </c>
      <c r="I537" s="188" t="s">
        <v>318</v>
      </c>
      <c r="J537" s="188" t="s">
        <v>318</v>
      </c>
      <c r="K537" s="188" t="s">
        <v>318</v>
      </c>
      <c r="L537" s="188" t="s">
        <v>318</v>
      </c>
      <c r="M537" s="188" t="s">
        <v>318</v>
      </c>
      <c r="N537" s="188" t="s">
        <v>318</v>
      </c>
      <c r="O537" s="188" t="s">
        <v>318</v>
      </c>
      <c r="P537" s="188" t="s">
        <v>318</v>
      </c>
      <c r="Q537" s="188" t="s">
        <v>318</v>
      </c>
      <c r="R537" s="53"/>
      <c r="S537" s="53"/>
      <c r="T537" s="53"/>
      <c r="U537" s="53"/>
      <c r="V537" s="53"/>
      <c r="W537" s="53"/>
      <c r="X537" s="53"/>
      <c r="Y537" s="14"/>
      <c r="Z537" s="53"/>
      <c r="AA537" s="53"/>
      <c r="AB537" s="53"/>
      <c r="AC537" s="53"/>
      <c r="AD537" s="53"/>
      <c r="AE537" s="107"/>
      <c r="AF537" s="53"/>
      <c r="AG537" s="107"/>
      <c r="AH537" s="107">
        <f t="shared" si="97"/>
        <v>0</v>
      </c>
    </row>
    <row r="538" spans="1:34" ht="15">
      <c r="A538" s="73" t="s">
        <v>156</v>
      </c>
      <c r="B538" s="53">
        <f t="shared" si="96"/>
        <v>0</v>
      </c>
      <c r="C538" s="103"/>
      <c r="D538" s="53"/>
      <c r="E538" s="53"/>
      <c r="F538" s="53"/>
      <c r="G538" s="53"/>
      <c r="H538" s="53"/>
      <c r="I538" s="53"/>
      <c r="J538" s="53"/>
      <c r="K538" s="53"/>
      <c r="L538" s="53"/>
      <c r="M538" s="53"/>
      <c r="N538" s="53"/>
      <c r="O538" s="53"/>
      <c r="P538" s="53"/>
      <c r="Q538" s="53"/>
      <c r="R538" s="53"/>
      <c r="S538" s="53"/>
      <c r="T538" s="53"/>
      <c r="U538" s="53"/>
      <c r="V538" s="53"/>
      <c r="W538" s="53"/>
      <c r="X538" s="53"/>
      <c r="Y538" s="53"/>
      <c r="Z538" s="53"/>
      <c r="AA538" s="53"/>
      <c r="AB538" s="53"/>
      <c r="AC538" s="53"/>
      <c r="AD538" s="53"/>
      <c r="AE538" s="107"/>
      <c r="AF538" s="53"/>
      <c r="AG538" s="107"/>
      <c r="AH538" s="107">
        <f t="shared" si="97"/>
        <v>0</v>
      </c>
    </row>
    <row r="539" spans="1:34" ht="15">
      <c r="A539" s="199" t="s">
        <v>144</v>
      </c>
      <c r="B539" s="200">
        <f>SUM(B527:B538)</f>
        <v>1.22</v>
      </c>
      <c r="C539" s="100">
        <f>SUM(C527:C537)</f>
        <v>0</v>
      </c>
      <c r="D539" s="107">
        <f>SUM(D527:D537)</f>
        <v>0</v>
      </c>
      <c r="E539" s="107">
        <v>0</v>
      </c>
      <c r="F539" s="107">
        <f t="shared" ref="F539:AC539" si="98">SUM(F527:F537)</f>
        <v>0</v>
      </c>
      <c r="G539" s="107">
        <f t="shared" si="98"/>
        <v>0</v>
      </c>
      <c r="H539" s="107">
        <f t="shared" si="98"/>
        <v>0</v>
      </c>
      <c r="I539" s="107">
        <f t="shared" si="98"/>
        <v>0</v>
      </c>
      <c r="J539" s="107">
        <f t="shared" si="98"/>
        <v>0</v>
      </c>
      <c r="K539" s="107">
        <f t="shared" si="98"/>
        <v>0</v>
      </c>
      <c r="L539" s="107">
        <f t="shared" si="98"/>
        <v>0</v>
      </c>
      <c r="M539" s="107">
        <f t="shared" si="98"/>
        <v>0</v>
      </c>
      <c r="N539" s="107">
        <f t="shared" si="98"/>
        <v>0</v>
      </c>
      <c r="O539" s="107">
        <f t="shared" si="98"/>
        <v>0</v>
      </c>
      <c r="P539" s="107">
        <f t="shared" si="98"/>
        <v>0</v>
      </c>
      <c r="Q539" s="107">
        <f t="shared" si="98"/>
        <v>0</v>
      </c>
      <c r="R539" s="107">
        <f t="shared" si="98"/>
        <v>0</v>
      </c>
      <c r="S539" s="107">
        <f t="shared" si="98"/>
        <v>0</v>
      </c>
      <c r="T539" s="107">
        <f t="shared" si="98"/>
        <v>0</v>
      </c>
      <c r="U539" s="107">
        <f t="shared" si="98"/>
        <v>0</v>
      </c>
      <c r="V539" s="107">
        <f t="shared" si="98"/>
        <v>0</v>
      </c>
      <c r="W539" s="107">
        <f t="shared" si="98"/>
        <v>0</v>
      </c>
      <c r="X539" s="107">
        <f t="shared" si="98"/>
        <v>0</v>
      </c>
      <c r="Y539" s="107">
        <f t="shared" si="98"/>
        <v>0</v>
      </c>
      <c r="Z539" s="107">
        <f t="shared" si="98"/>
        <v>0</v>
      </c>
      <c r="AA539" s="107">
        <f t="shared" si="98"/>
        <v>0</v>
      </c>
      <c r="AB539" s="107">
        <f t="shared" si="98"/>
        <v>1.22</v>
      </c>
      <c r="AC539" s="107">
        <f t="shared" si="98"/>
        <v>0</v>
      </c>
      <c r="AD539" s="107">
        <v>0</v>
      </c>
      <c r="AE539" s="107">
        <f>SUM(AE527:AE537)</f>
        <v>0</v>
      </c>
      <c r="AF539" s="107">
        <f>SUM(AF527:AF537)</f>
        <v>0</v>
      </c>
      <c r="AG539" s="107">
        <f>SUM(AG527:AG537)</f>
        <v>0</v>
      </c>
      <c r="AH539" s="100">
        <f>SUM(AH527:AH537)</f>
        <v>1.22</v>
      </c>
    </row>
    <row r="541" spans="1:34" ht="15">
      <c r="A541" s="3854" t="s">
        <v>406</v>
      </c>
      <c r="B541" s="3855"/>
      <c r="C541" s="3855"/>
      <c r="D541" s="3855"/>
      <c r="E541" s="3855"/>
      <c r="F541" s="3855"/>
      <c r="G541" s="3855"/>
      <c r="H541" s="3856"/>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c r="AF541" s="14"/>
      <c r="AG541" s="14"/>
      <c r="AH541" s="14"/>
    </row>
    <row r="542" spans="1:34" ht="15">
      <c r="A542" s="8" t="s">
        <v>142</v>
      </c>
      <c r="B542" s="8" t="s">
        <v>143</v>
      </c>
      <c r="C542" s="2907">
        <v>1</v>
      </c>
      <c r="D542" s="73">
        <v>2</v>
      </c>
      <c r="E542" s="73">
        <v>3</v>
      </c>
      <c r="F542" s="73">
        <v>4</v>
      </c>
      <c r="G542" s="73">
        <v>5</v>
      </c>
      <c r="H542" s="73">
        <v>6</v>
      </c>
      <c r="I542" s="73">
        <v>7</v>
      </c>
      <c r="J542" s="73">
        <v>8</v>
      </c>
      <c r="K542" s="73">
        <v>9</v>
      </c>
      <c r="L542" s="73">
        <v>10</v>
      </c>
      <c r="M542" s="73">
        <v>11</v>
      </c>
      <c r="N542" s="73">
        <v>12</v>
      </c>
      <c r="O542" s="73">
        <v>13</v>
      </c>
      <c r="P542" s="73">
        <v>14</v>
      </c>
      <c r="Q542" s="73">
        <v>15</v>
      </c>
      <c r="R542" s="73">
        <v>16</v>
      </c>
      <c r="S542" s="73">
        <v>17</v>
      </c>
      <c r="T542" s="73">
        <v>18</v>
      </c>
      <c r="U542" s="73">
        <v>19</v>
      </c>
      <c r="V542" s="73">
        <v>20</v>
      </c>
      <c r="W542" s="73">
        <v>21</v>
      </c>
      <c r="X542" s="73">
        <v>22</v>
      </c>
      <c r="Y542" s="73">
        <v>23</v>
      </c>
      <c r="Z542" s="73">
        <v>24</v>
      </c>
      <c r="AA542" s="73">
        <v>25</v>
      </c>
      <c r="AB542" s="73">
        <v>26</v>
      </c>
      <c r="AC542" s="73">
        <v>27</v>
      </c>
      <c r="AD542" s="73">
        <v>28</v>
      </c>
      <c r="AE542" s="73">
        <v>29</v>
      </c>
      <c r="AF542" s="73">
        <v>30</v>
      </c>
      <c r="AG542" s="73">
        <v>31</v>
      </c>
      <c r="AH542" s="88" t="s">
        <v>144</v>
      </c>
    </row>
    <row r="543" spans="1:34" ht="15">
      <c r="A543" s="73" t="s">
        <v>145</v>
      </c>
      <c r="B543" s="311">
        <f t="shared" ref="B543:B554" si="99">+AH543</f>
        <v>0</v>
      </c>
      <c r="C543" s="360" t="s">
        <v>311</v>
      </c>
      <c r="D543" s="360" t="s">
        <v>311</v>
      </c>
      <c r="E543" s="360" t="s">
        <v>311</v>
      </c>
      <c r="F543" s="360" t="s">
        <v>311</v>
      </c>
      <c r="G543" s="360" t="s">
        <v>311</v>
      </c>
      <c r="H543" s="360" t="s">
        <v>311</v>
      </c>
      <c r="I543" s="360" t="s">
        <v>311</v>
      </c>
      <c r="J543" s="360" t="s">
        <v>311</v>
      </c>
      <c r="K543" s="360" t="s">
        <v>311</v>
      </c>
      <c r="L543" s="360" t="s">
        <v>311</v>
      </c>
      <c r="M543" s="360" t="s">
        <v>311</v>
      </c>
      <c r="N543" s="360" t="s">
        <v>311</v>
      </c>
      <c r="O543" s="360" t="s">
        <v>311</v>
      </c>
      <c r="P543" s="360" t="s">
        <v>311</v>
      </c>
      <c r="Q543" s="360" t="s">
        <v>311</v>
      </c>
      <c r="R543" s="360" t="s">
        <v>311</v>
      </c>
      <c r="S543" s="360" t="s">
        <v>311</v>
      </c>
      <c r="T543" s="360" t="s">
        <v>311</v>
      </c>
      <c r="U543" s="360" t="s">
        <v>311</v>
      </c>
      <c r="V543" s="360" t="s">
        <v>311</v>
      </c>
      <c r="W543" s="360" t="s">
        <v>311</v>
      </c>
      <c r="X543" s="360" t="s">
        <v>311</v>
      </c>
      <c r="Y543" s="360" t="s">
        <v>311</v>
      </c>
      <c r="Z543" s="360" t="s">
        <v>311</v>
      </c>
      <c r="AA543" s="360" t="s">
        <v>311</v>
      </c>
      <c r="AB543" s="360" t="s">
        <v>311</v>
      </c>
      <c r="AC543" s="360" t="s">
        <v>311</v>
      </c>
      <c r="AD543" s="360" t="s">
        <v>311</v>
      </c>
      <c r="AE543" s="360" t="s">
        <v>311</v>
      </c>
      <c r="AF543" s="360" t="s">
        <v>311</v>
      </c>
      <c r="AG543" s="360" t="s">
        <v>311</v>
      </c>
      <c r="AH543" s="107">
        <f>SUM(C543:AG543)</f>
        <v>0</v>
      </c>
    </row>
    <row r="544" spans="1:34" ht="15">
      <c r="A544" s="73" t="s">
        <v>146</v>
      </c>
      <c r="B544" s="311">
        <f t="shared" si="99"/>
        <v>0</v>
      </c>
      <c r="C544" s="360" t="s">
        <v>311</v>
      </c>
      <c r="D544" s="360" t="s">
        <v>311</v>
      </c>
      <c r="E544" s="360" t="s">
        <v>311</v>
      </c>
      <c r="F544" s="360" t="s">
        <v>311</v>
      </c>
      <c r="G544" s="360" t="s">
        <v>311</v>
      </c>
      <c r="H544" s="360" t="s">
        <v>311</v>
      </c>
      <c r="I544" s="360" t="s">
        <v>311</v>
      </c>
      <c r="J544" s="361"/>
      <c r="K544" s="361"/>
      <c r="L544" s="361"/>
      <c r="M544" s="361"/>
      <c r="N544" s="361"/>
      <c r="O544" s="361"/>
      <c r="P544" s="361"/>
      <c r="Q544" s="361"/>
      <c r="R544" s="361"/>
      <c r="S544" s="361"/>
      <c r="T544" s="361"/>
      <c r="U544" s="361"/>
      <c r="V544" s="361"/>
      <c r="W544" s="361"/>
      <c r="X544" s="361"/>
      <c r="Y544" s="361"/>
      <c r="Z544" s="361"/>
      <c r="AA544" s="361"/>
      <c r="AB544" s="361"/>
      <c r="AC544" s="361"/>
      <c r="AD544" s="361"/>
      <c r="AE544" s="361"/>
      <c r="AF544" s="361"/>
      <c r="AG544" s="361"/>
      <c r="AH544" s="107">
        <f t="shared" ref="AH544:AH554" si="100">SUM(C544:AG544)</f>
        <v>0</v>
      </c>
    </row>
    <row r="545" spans="1:34" ht="15">
      <c r="A545" s="73" t="s">
        <v>147</v>
      </c>
      <c r="B545" s="311">
        <f t="shared" si="99"/>
        <v>0</v>
      </c>
      <c r="C545" s="100"/>
      <c r="D545" s="107"/>
      <c r="E545" s="107"/>
      <c r="F545" s="107"/>
      <c r="G545" s="107"/>
      <c r="H545" s="107"/>
      <c r="I545" s="107"/>
      <c r="J545" s="107"/>
      <c r="K545" s="107"/>
      <c r="L545" s="107"/>
      <c r="M545" s="107"/>
      <c r="N545" s="107"/>
      <c r="O545" s="107"/>
      <c r="P545" s="107"/>
      <c r="Q545" s="107"/>
      <c r="R545" s="107"/>
      <c r="S545" s="107"/>
      <c r="T545" s="107"/>
      <c r="U545" s="107"/>
      <c r="V545" s="107"/>
      <c r="W545" s="107"/>
      <c r="X545" s="107"/>
      <c r="Y545" s="107"/>
      <c r="Z545" s="107"/>
      <c r="AA545" s="107"/>
      <c r="AB545" s="107"/>
      <c r="AC545" s="107"/>
      <c r="AD545" s="107"/>
      <c r="AE545" s="107"/>
      <c r="AF545" s="107"/>
      <c r="AG545" s="107"/>
      <c r="AH545" s="107">
        <f t="shared" si="100"/>
        <v>0</v>
      </c>
    </row>
    <row r="546" spans="1:34" ht="15">
      <c r="A546" s="73" t="s">
        <v>148</v>
      </c>
      <c r="B546" s="311">
        <f t="shared" si="99"/>
        <v>0.91</v>
      </c>
      <c r="C546" s="103"/>
      <c r="D546" s="107">
        <v>0.91</v>
      </c>
      <c r="E546" s="107"/>
      <c r="F546" s="107"/>
      <c r="G546" s="53"/>
      <c r="H546" s="53"/>
      <c r="I546" s="53"/>
      <c r="J546" s="107"/>
      <c r="K546" s="107"/>
      <c r="L546" s="107"/>
      <c r="M546" s="107"/>
      <c r="N546" s="107"/>
      <c r="O546" s="107"/>
      <c r="P546" s="107"/>
      <c r="Q546" s="107"/>
      <c r="R546" s="107"/>
      <c r="S546" s="107"/>
      <c r="T546" s="107"/>
      <c r="U546" s="107"/>
      <c r="V546" s="107"/>
      <c r="W546" s="107"/>
      <c r="X546" s="107"/>
      <c r="Y546" s="107"/>
      <c r="Z546" s="107"/>
      <c r="AA546" s="107"/>
      <c r="AB546" s="107"/>
      <c r="AC546" s="107"/>
      <c r="AD546" s="107"/>
      <c r="AE546" s="107"/>
      <c r="AF546" s="107"/>
      <c r="AG546" s="107"/>
      <c r="AH546" s="107">
        <f t="shared" si="100"/>
        <v>0.91</v>
      </c>
    </row>
    <row r="547" spans="1:34" ht="15">
      <c r="A547" s="73" t="s">
        <v>149</v>
      </c>
      <c r="B547" s="311">
        <f t="shared" si="99"/>
        <v>1.546</v>
      </c>
      <c r="C547" s="103"/>
      <c r="D547" s="53"/>
      <c r="E547" s="53"/>
      <c r="F547" s="53"/>
      <c r="G547" s="53"/>
      <c r="H547" s="53"/>
      <c r="I547" s="53"/>
      <c r="J547" s="107"/>
      <c r="K547" s="107"/>
      <c r="L547" s="107"/>
      <c r="M547" s="107"/>
      <c r="N547" s="107"/>
      <c r="O547" s="107"/>
      <c r="P547" s="107"/>
      <c r="Q547" s="107"/>
      <c r="R547" s="107"/>
      <c r="S547" s="107"/>
      <c r="T547" s="107"/>
      <c r="U547" s="107"/>
      <c r="V547" s="107"/>
      <c r="W547" s="107"/>
      <c r="X547" s="107"/>
      <c r="Y547" s="107">
        <v>0.111</v>
      </c>
      <c r="Z547" s="107"/>
      <c r="AA547" s="107">
        <v>1.4350000000000001</v>
      </c>
      <c r="AB547" s="107"/>
      <c r="AC547" s="107"/>
      <c r="AD547" s="107"/>
      <c r="AE547" s="107"/>
      <c r="AF547" s="107"/>
      <c r="AG547" s="107"/>
      <c r="AH547" s="107">
        <f t="shared" si="100"/>
        <v>1.546</v>
      </c>
    </row>
    <row r="548" spans="1:34" ht="15">
      <c r="A548" s="73" t="s">
        <v>150</v>
      </c>
      <c r="B548" s="311">
        <f t="shared" si="99"/>
        <v>0</v>
      </c>
      <c r="C548" s="100"/>
      <c r="D548" s="107"/>
      <c r="E548" s="107"/>
      <c r="F548" s="107"/>
      <c r="G548" s="107"/>
      <c r="H548" s="107"/>
      <c r="I548" s="107"/>
      <c r="J548" s="107"/>
      <c r="K548" s="107"/>
      <c r="L548" s="107"/>
      <c r="M548" s="107"/>
      <c r="N548" s="107"/>
      <c r="O548" s="107"/>
      <c r="P548" s="107"/>
      <c r="Q548" s="107"/>
      <c r="R548" s="107"/>
      <c r="S548" s="107"/>
      <c r="T548" s="107"/>
      <c r="U548" s="107"/>
      <c r="V548" s="107"/>
      <c r="W548" s="107"/>
      <c r="X548" s="107"/>
      <c r="Y548" s="107"/>
      <c r="Z548" s="107"/>
      <c r="AA548" s="107"/>
      <c r="AB548" s="107"/>
      <c r="AC548" s="107"/>
      <c r="AD548" s="107"/>
      <c r="AE548" s="107"/>
      <c r="AF548" s="107"/>
      <c r="AG548" s="107"/>
      <c r="AH548" s="107">
        <f t="shared" si="100"/>
        <v>0</v>
      </c>
    </row>
    <row r="549" spans="1:34" ht="15">
      <c r="A549" s="73" t="s">
        <v>151</v>
      </c>
      <c r="B549" s="306">
        <f t="shared" si="99"/>
        <v>0</v>
      </c>
      <c r="C549" s="103"/>
      <c r="D549" s="107"/>
      <c r="E549" s="107"/>
      <c r="F549" s="107"/>
      <c r="G549" s="53"/>
      <c r="H549" s="53"/>
      <c r="I549" s="53"/>
      <c r="J549" s="111"/>
      <c r="K549" s="111"/>
      <c r="L549" s="107"/>
      <c r="M549" s="107"/>
      <c r="N549" s="107"/>
      <c r="O549" s="107"/>
      <c r="P549" s="107"/>
      <c r="Q549" s="107"/>
      <c r="R549" s="107"/>
      <c r="S549" s="107"/>
      <c r="T549" s="107"/>
      <c r="U549" s="107"/>
      <c r="V549" s="107"/>
      <c r="W549" s="107"/>
      <c r="X549" s="107"/>
      <c r="Y549" s="107"/>
      <c r="Z549" s="107"/>
      <c r="AA549" s="107"/>
      <c r="AB549" s="107"/>
      <c r="AC549" s="107"/>
      <c r="AD549" s="107"/>
      <c r="AE549" s="107"/>
      <c r="AF549" s="107"/>
      <c r="AG549" s="107"/>
      <c r="AH549" s="107">
        <f t="shared" si="100"/>
        <v>0</v>
      </c>
    </row>
    <row r="550" spans="1:34" ht="15">
      <c r="A550" s="73" t="s">
        <v>152</v>
      </c>
      <c r="B550" s="306">
        <f t="shared" si="99"/>
        <v>0</v>
      </c>
      <c r="C550" s="103"/>
      <c r="D550" s="53"/>
      <c r="E550" s="53"/>
      <c r="F550" s="53"/>
      <c r="G550" s="53"/>
      <c r="H550" s="53"/>
      <c r="I550" s="53"/>
      <c r="J550" s="111"/>
      <c r="K550" s="111"/>
      <c r="L550" s="107"/>
      <c r="M550" s="107"/>
      <c r="N550" s="107"/>
      <c r="O550" s="107"/>
      <c r="P550" s="107"/>
      <c r="Q550" s="107"/>
      <c r="R550" s="107"/>
      <c r="S550" s="107"/>
      <c r="T550" s="107"/>
      <c r="U550" s="107"/>
      <c r="V550" s="107"/>
      <c r="W550" s="107"/>
      <c r="X550" s="107"/>
      <c r="Y550" s="107"/>
      <c r="Z550" s="107"/>
      <c r="AA550" s="107"/>
      <c r="AB550" s="107"/>
      <c r="AC550" s="107"/>
      <c r="AD550" s="107"/>
      <c r="AE550" s="107"/>
      <c r="AF550" s="107"/>
      <c r="AG550" s="107"/>
      <c r="AH550" s="107">
        <f t="shared" si="100"/>
        <v>0</v>
      </c>
    </row>
    <row r="551" spans="1:34" ht="15">
      <c r="A551" s="73" t="s">
        <v>153</v>
      </c>
      <c r="B551" s="306">
        <f t="shared" si="99"/>
        <v>0</v>
      </c>
      <c r="C551" s="100"/>
      <c r="D551" s="107"/>
      <c r="E551" s="107"/>
      <c r="F551" s="107"/>
      <c r="G551" s="107"/>
      <c r="H551" s="107"/>
      <c r="I551" s="107"/>
      <c r="J551" s="111"/>
      <c r="K551" s="111"/>
      <c r="L551" s="53"/>
      <c r="M551" s="53"/>
      <c r="N551" s="53"/>
      <c r="O551" s="53"/>
      <c r="P551" s="53"/>
      <c r="Q551" s="53"/>
      <c r="R551" s="53"/>
      <c r="S551" s="53"/>
      <c r="T551" s="53"/>
      <c r="U551" s="53"/>
      <c r="V551" s="53"/>
      <c r="W551" s="53"/>
      <c r="X551" s="53"/>
      <c r="Y551" s="53"/>
      <c r="Z551" s="53"/>
      <c r="AA551" s="53"/>
      <c r="AB551" s="53"/>
      <c r="AC551" s="53"/>
      <c r="AD551" s="53"/>
      <c r="AE551" s="53"/>
      <c r="AF551" s="53"/>
      <c r="AG551" s="53"/>
      <c r="AH551" s="107">
        <f t="shared" si="100"/>
        <v>0</v>
      </c>
    </row>
    <row r="552" spans="1:34" ht="15">
      <c r="A552" s="73" t="s">
        <v>154</v>
      </c>
      <c r="B552" s="306">
        <f t="shared" si="99"/>
        <v>0</v>
      </c>
      <c r="C552" s="103"/>
      <c r="D552" s="2503" t="s">
        <v>318</v>
      </c>
      <c r="E552" s="2503" t="s">
        <v>318</v>
      </c>
      <c r="F552" s="2503" t="s">
        <v>318</v>
      </c>
      <c r="G552" s="2503" t="s">
        <v>318</v>
      </c>
      <c r="H552" s="2503" t="s">
        <v>318</v>
      </c>
      <c r="I552" s="2503" t="s">
        <v>318</v>
      </c>
      <c r="J552" s="2503" t="s">
        <v>318</v>
      </c>
      <c r="K552" s="2503" t="s">
        <v>318</v>
      </c>
      <c r="L552" s="2503" t="s">
        <v>318</v>
      </c>
      <c r="M552" s="2503" t="s">
        <v>318</v>
      </c>
      <c r="N552" s="2503" t="s">
        <v>318</v>
      </c>
      <c r="O552" s="2503" t="s">
        <v>318</v>
      </c>
      <c r="P552" s="2503" t="s">
        <v>318</v>
      </c>
      <c r="Q552" s="2503" t="s">
        <v>318</v>
      </c>
      <c r="R552" s="2503" t="s">
        <v>318</v>
      </c>
      <c r="S552" s="2503" t="s">
        <v>318</v>
      </c>
      <c r="T552" s="2503" t="s">
        <v>318</v>
      </c>
      <c r="U552" s="2503" t="s">
        <v>318</v>
      </c>
      <c r="V552" s="2503" t="s">
        <v>318</v>
      </c>
      <c r="W552" s="2503" t="s">
        <v>318</v>
      </c>
      <c r="X552" s="2503" t="s">
        <v>318</v>
      </c>
      <c r="Y552" s="2503" t="s">
        <v>318</v>
      </c>
      <c r="Z552" s="2503" t="s">
        <v>318</v>
      </c>
      <c r="AA552" s="2503" t="s">
        <v>318</v>
      </c>
      <c r="AB552" s="2503" t="s">
        <v>318</v>
      </c>
      <c r="AC552" s="2503" t="s">
        <v>318</v>
      </c>
      <c r="AD552" s="2503" t="s">
        <v>318</v>
      </c>
      <c r="AE552" s="2503" t="s">
        <v>318</v>
      </c>
      <c r="AF552" s="2503" t="s">
        <v>318</v>
      </c>
      <c r="AG552" s="2503" t="s">
        <v>318</v>
      </c>
      <c r="AH552" s="107">
        <f t="shared" si="100"/>
        <v>0</v>
      </c>
    </row>
    <row r="553" spans="1:34" ht="15">
      <c r="A553" s="73" t="s">
        <v>155</v>
      </c>
      <c r="B553" s="53">
        <f t="shared" si="99"/>
        <v>0</v>
      </c>
      <c r="C553" s="188" t="s">
        <v>318</v>
      </c>
      <c r="D553" s="188" t="s">
        <v>318</v>
      </c>
      <c r="E553" s="188" t="s">
        <v>318</v>
      </c>
      <c r="F553" s="188" t="s">
        <v>318</v>
      </c>
      <c r="G553" s="188" t="s">
        <v>318</v>
      </c>
      <c r="H553" s="188" t="s">
        <v>318</v>
      </c>
      <c r="I553" s="188" t="s">
        <v>318</v>
      </c>
      <c r="J553" s="188" t="s">
        <v>318</v>
      </c>
      <c r="K553" s="188" t="s">
        <v>318</v>
      </c>
      <c r="L553" s="188" t="s">
        <v>318</v>
      </c>
      <c r="M553" s="188" t="s">
        <v>318</v>
      </c>
      <c r="N553" s="188" t="s">
        <v>318</v>
      </c>
      <c r="O553" s="188" t="s">
        <v>318</v>
      </c>
      <c r="P553" s="188" t="s">
        <v>318</v>
      </c>
      <c r="Q553" s="188" t="s">
        <v>318</v>
      </c>
      <c r="R553" s="53"/>
      <c r="S553" s="53"/>
      <c r="T553" s="53"/>
      <c r="U553" s="53"/>
      <c r="V553" s="53"/>
      <c r="W553" s="53"/>
      <c r="X553" s="53"/>
      <c r="Y553" s="14"/>
      <c r="Z553" s="53"/>
      <c r="AA553" s="53"/>
      <c r="AB553" s="53"/>
      <c r="AC553" s="53"/>
      <c r="AD553" s="53"/>
      <c r="AE553" s="107"/>
      <c r="AF553" s="53"/>
      <c r="AG553" s="107"/>
      <c r="AH553" s="107">
        <f t="shared" si="100"/>
        <v>0</v>
      </c>
    </row>
    <row r="554" spans="1:34" ht="15">
      <c r="A554" s="73" t="s">
        <v>156</v>
      </c>
      <c r="B554" s="53">
        <f t="shared" si="99"/>
        <v>0</v>
      </c>
      <c r="C554" s="103"/>
      <c r="D554" s="53"/>
      <c r="E554" s="53"/>
      <c r="F554" s="53"/>
      <c r="G554" s="53"/>
      <c r="H554" s="53"/>
      <c r="I554" s="53"/>
      <c r="J554" s="53"/>
      <c r="K554" s="53"/>
      <c r="L554" s="53"/>
      <c r="M554" s="53"/>
      <c r="N554" s="53"/>
      <c r="O554" s="53"/>
      <c r="P554" s="53"/>
      <c r="Q554" s="53"/>
      <c r="R554" s="53"/>
      <c r="S554" s="53"/>
      <c r="T554" s="53"/>
      <c r="U554" s="53"/>
      <c r="V554" s="53"/>
      <c r="W554" s="53"/>
      <c r="X554" s="53"/>
      <c r="Y554" s="53"/>
      <c r="Z554" s="53"/>
      <c r="AA554" s="53"/>
      <c r="AB554" s="53"/>
      <c r="AC554" s="53"/>
      <c r="AD554" s="53"/>
      <c r="AE554" s="107"/>
      <c r="AF554" s="53"/>
      <c r="AG554" s="107"/>
      <c r="AH554" s="107">
        <f t="shared" si="100"/>
        <v>0</v>
      </c>
    </row>
    <row r="555" spans="1:34" ht="15">
      <c r="A555" s="199" t="s">
        <v>144</v>
      </c>
      <c r="B555" s="200">
        <f>SUM(B543:B554)</f>
        <v>2.456</v>
      </c>
      <c r="C555" s="100">
        <f>SUM(C543:C553)</f>
        <v>0</v>
      </c>
      <c r="D555" s="107">
        <f>SUM(D543:D553)</f>
        <v>0.91</v>
      </c>
      <c r="E555" s="107">
        <v>0</v>
      </c>
      <c r="F555" s="107">
        <f t="shared" ref="F555:AC555" si="101">SUM(F543:F553)</f>
        <v>0</v>
      </c>
      <c r="G555" s="107">
        <f t="shared" si="101"/>
        <v>0</v>
      </c>
      <c r="H555" s="107">
        <f t="shared" si="101"/>
        <v>0</v>
      </c>
      <c r="I555" s="107">
        <f t="shared" si="101"/>
        <v>0</v>
      </c>
      <c r="J555" s="107">
        <f t="shared" si="101"/>
        <v>0</v>
      </c>
      <c r="K555" s="107">
        <f t="shared" si="101"/>
        <v>0</v>
      </c>
      <c r="L555" s="107">
        <f t="shared" si="101"/>
        <v>0</v>
      </c>
      <c r="M555" s="107">
        <f t="shared" si="101"/>
        <v>0</v>
      </c>
      <c r="N555" s="107">
        <f t="shared" si="101"/>
        <v>0</v>
      </c>
      <c r="O555" s="107">
        <f t="shared" si="101"/>
        <v>0</v>
      </c>
      <c r="P555" s="107">
        <f t="shared" si="101"/>
        <v>0</v>
      </c>
      <c r="Q555" s="107">
        <f t="shared" si="101"/>
        <v>0</v>
      </c>
      <c r="R555" s="107">
        <f t="shared" si="101"/>
        <v>0</v>
      </c>
      <c r="S555" s="107">
        <f t="shared" si="101"/>
        <v>0</v>
      </c>
      <c r="T555" s="107">
        <f t="shared" si="101"/>
        <v>0</v>
      </c>
      <c r="U555" s="107">
        <f t="shared" si="101"/>
        <v>0</v>
      </c>
      <c r="V555" s="107">
        <f t="shared" si="101"/>
        <v>0</v>
      </c>
      <c r="W555" s="107">
        <f t="shared" si="101"/>
        <v>0</v>
      </c>
      <c r="X555" s="107">
        <f t="shared" si="101"/>
        <v>0</v>
      </c>
      <c r="Y555" s="107">
        <f t="shared" si="101"/>
        <v>0.111</v>
      </c>
      <c r="Z555" s="107">
        <f t="shared" si="101"/>
        <v>0</v>
      </c>
      <c r="AA555" s="107">
        <f t="shared" si="101"/>
        <v>1.4350000000000001</v>
      </c>
      <c r="AB555" s="107">
        <f t="shared" si="101"/>
        <v>0</v>
      </c>
      <c r="AC555" s="107">
        <f t="shared" si="101"/>
        <v>0</v>
      </c>
      <c r="AD555" s="107">
        <v>0</v>
      </c>
      <c r="AE555" s="107">
        <f>SUM(AE543:AE553)</f>
        <v>0</v>
      </c>
      <c r="AF555" s="107">
        <f>SUM(AF543:AF553)</f>
        <v>0</v>
      </c>
      <c r="AG555" s="107">
        <f>SUM(AG543:AG553)</f>
        <v>0</v>
      </c>
      <c r="AH555" s="100">
        <f>SUM(AH543:AH553)</f>
        <v>2.456</v>
      </c>
    </row>
  </sheetData>
  <mergeCells count="39">
    <mergeCell ref="A187:H187"/>
    <mergeCell ref="A203:H203"/>
    <mergeCell ref="A2:T2"/>
    <mergeCell ref="A121:R121"/>
    <mergeCell ref="A72:H72"/>
    <mergeCell ref="A56:H56"/>
    <mergeCell ref="A54:R54"/>
    <mergeCell ref="A6:H6"/>
    <mergeCell ref="A22:H22"/>
    <mergeCell ref="A38:H38"/>
    <mergeCell ref="A4:R4"/>
    <mergeCell ref="A171:H171"/>
    <mergeCell ref="A541:H541"/>
    <mergeCell ref="A395:R395"/>
    <mergeCell ref="A397:H397"/>
    <mergeCell ref="A283:H283"/>
    <mergeCell ref="A299:H299"/>
    <mergeCell ref="A267:H267"/>
    <mergeCell ref="A525:H525"/>
    <mergeCell ref="A509:H509"/>
    <mergeCell ref="A493:H493"/>
    <mergeCell ref="A477:H477"/>
    <mergeCell ref="A461:H461"/>
    <mergeCell ref="A251:H251"/>
    <mergeCell ref="A105:C105"/>
    <mergeCell ref="A88:R88"/>
    <mergeCell ref="A445:H445"/>
    <mergeCell ref="A429:H429"/>
    <mergeCell ref="A413:H413"/>
    <mergeCell ref="A379:H379"/>
    <mergeCell ref="A315:H315"/>
    <mergeCell ref="A331:H331"/>
    <mergeCell ref="A347:H347"/>
    <mergeCell ref="A363:H363"/>
    <mergeCell ref="A235:H235"/>
    <mergeCell ref="A123:H123"/>
    <mergeCell ref="A219:H219"/>
    <mergeCell ref="A155:H155"/>
    <mergeCell ref="A139:H139"/>
  </mergeCells>
  <phoneticPr fontId="0" type="noConversion"/>
  <pageMargins left="0.75" right="0.75" top="1" bottom="1" header="0" footer="0"/>
  <pageSetup paperSize="9" orientation="portrait" r:id="rId1"/>
  <headerFooter alignWithMargins="0"/>
  <legacyDrawing r:id="rId2"/>
  <oleObjects>
    <oleObject progId="MSPhotoEd.3" shapeId="11265" r:id="rId3"/>
  </oleObjects>
</worksheet>
</file>

<file path=xl/worksheets/sheet7.xml><?xml version="1.0" encoding="utf-8"?>
<worksheet xmlns="http://schemas.openxmlformats.org/spreadsheetml/2006/main" xmlns:r="http://schemas.openxmlformats.org/officeDocument/2006/relationships">
  <dimension ref="A2:IT84"/>
  <sheetViews>
    <sheetView zoomScaleSheetLayoutView="75" workbookViewId="0">
      <selection activeCell="G60" sqref="G60"/>
    </sheetView>
  </sheetViews>
  <sheetFormatPr baseColWidth="10" defaultColWidth="11.44140625" defaultRowHeight="10.199999999999999"/>
  <cols>
    <col min="1" max="1" width="11.44140625" style="510"/>
    <col min="2" max="2" width="11.44140625" style="1468"/>
    <col min="3" max="3" width="10.5546875" style="1422" customWidth="1"/>
    <col min="4" max="4" width="10.109375" style="1422" customWidth="1"/>
    <col min="5" max="5" width="7" style="1422" customWidth="1"/>
    <col min="6" max="6" width="8.5546875" style="1422" customWidth="1"/>
    <col min="7" max="7" width="8" style="1422" customWidth="1"/>
    <col min="8" max="8" width="8.44140625" style="1422" customWidth="1"/>
    <col min="9" max="9" width="8" style="1422" customWidth="1"/>
    <col min="10" max="10" width="6.5546875" style="1422" customWidth="1"/>
    <col min="11" max="11" width="7.44140625" style="1422" customWidth="1"/>
    <col min="12" max="12" width="8.44140625" style="1422" customWidth="1"/>
    <col min="13" max="13" width="8.33203125" style="1422" customWidth="1"/>
    <col min="14" max="14" width="8.88671875" style="1422" customWidth="1"/>
    <col min="15" max="15" width="9.109375" style="1422" customWidth="1"/>
    <col min="16" max="16" width="7.6640625" style="1422" customWidth="1"/>
    <col min="17" max="17" width="8.44140625" style="1422" customWidth="1"/>
    <col min="18" max="18" width="8" style="1422" customWidth="1"/>
    <col min="19" max="19" width="8.6640625" style="1422" customWidth="1"/>
    <col min="20" max="20" width="7.5546875" style="1422" customWidth="1"/>
    <col min="21" max="21" width="9.44140625" style="1422" customWidth="1"/>
    <col min="22" max="22" width="8.5546875" style="1422" customWidth="1"/>
    <col min="23" max="23" width="8.33203125" style="1422" customWidth="1"/>
    <col min="24" max="24" width="7.44140625" style="1422" customWidth="1"/>
    <col min="25" max="25" width="7.109375" style="1422" customWidth="1"/>
    <col min="26" max="26" width="7.44140625" style="1422" customWidth="1"/>
    <col min="27" max="27" width="9.33203125" style="1422" bestFit="1" customWidth="1"/>
    <col min="28" max="28" width="8.44140625" style="1422" customWidth="1"/>
    <col min="29" max="29" width="9" style="1422" customWidth="1"/>
    <col min="30" max="30" width="8.109375" style="1422" customWidth="1"/>
    <col min="31" max="31" width="7.6640625" style="1422" customWidth="1"/>
    <col min="32" max="32" width="10.44140625" style="1422" bestFit="1" customWidth="1"/>
    <col min="33" max="33" width="7.109375" style="1422" customWidth="1"/>
    <col min="34" max="34" width="9.109375" style="1422" bestFit="1" customWidth="1"/>
    <col min="35" max="35" width="17.5546875" style="1422" customWidth="1"/>
    <col min="36" max="235" width="11.44140625" style="1422"/>
    <col min="236" max="254" width="11.44140625" style="994"/>
    <col min="255" max="16384" width="11.44140625" style="510"/>
  </cols>
  <sheetData>
    <row r="2" spans="1:254" ht="12">
      <c r="A2" s="3864" t="s">
        <v>403</v>
      </c>
      <c r="B2" s="3865"/>
      <c r="C2" s="3865"/>
      <c r="D2" s="3865"/>
      <c r="E2" s="3865"/>
      <c r="F2" s="3865"/>
      <c r="G2" s="3865"/>
      <c r="H2" s="3865"/>
      <c r="I2" s="3865"/>
      <c r="J2" s="3865"/>
      <c r="K2" s="3865"/>
      <c r="L2" s="3865"/>
      <c r="M2" s="3865"/>
      <c r="N2" s="3865"/>
      <c r="O2" s="3865"/>
      <c r="P2" s="3865"/>
      <c r="Q2" s="3865"/>
      <c r="R2" s="3865"/>
      <c r="S2" s="3865"/>
      <c r="T2" s="3866"/>
      <c r="U2" s="607"/>
      <c r="V2" s="607"/>
      <c r="W2" s="607"/>
      <c r="X2" s="607"/>
      <c r="Y2" s="607"/>
      <c r="Z2" s="607"/>
      <c r="AA2" s="607"/>
      <c r="AB2" s="607"/>
      <c r="AC2" s="607"/>
      <c r="AD2" s="607"/>
      <c r="AE2" s="607"/>
      <c r="AF2" s="607"/>
      <c r="AG2" s="607"/>
      <c r="AH2" s="1421"/>
    </row>
    <row r="3" spans="1:254" s="1427" customFormat="1" ht="12">
      <c r="A3" s="1423"/>
      <c r="B3" s="1424"/>
      <c r="C3" s="1424"/>
      <c r="D3" s="1424"/>
      <c r="E3" s="1424"/>
      <c r="F3" s="1424"/>
      <c r="G3" s="1424"/>
      <c r="H3" s="1424"/>
      <c r="I3" s="1424"/>
      <c r="J3" s="1424"/>
      <c r="K3" s="1424"/>
      <c r="L3" s="1424"/>
      <c r="M3" s="1424"/>
      <c r="N3" s="1424"/>
      <c r="O3" s="1424"/>
      <c r="P3" s="1424"/>
      <c r="Q3" s="1424"/>
      <c r="R3" s="1424"/>
      <c r="S3" s="1424"/>
      <c r="T3" s="1424"/>
      <c r="U3" s="607"/>
      <c r="V3" s="607"/>
      <c r="W3" s="607"/>
      <c r="X3" s="607"/>
      <c r="Y3" s="607"/>
      <c r="Z3" s="607"/>
      <c r="AA3" s="607"/>
      <c r="AB3" s="607"/>
      <c r="AC3" s="607"/>
      <c r="AD3" s="607"/>
      <c r="AE3" s="607"/>
      <c r="AF3" s="607"/>
      <c r="AG3" s="607"/>
      <c r="AH3" s="607"/>
      <c r="AI3" s="1425"/>
      <c r="AJ3" s="1425"/>
      <c r="AK3" s="1425"/>
      <c r="AL3" s="1425"/>
      <c r="AM3" s="1425"/>
      <c r="AN3" s="1425"/>
      <c r="AO3" s="1425"/>
      <c r="AP3" s="1425"/>
      <c r="AQ3" s="1425"/>
      <c r="AR3" s="1425"/>
      <c r="AS3" s="1425"/>
      <c r="AT3" s="1425"/>
      <c r="AU3" s="1425"/>
      <c r="AV3" s="1425"/>
      <c r="AW3" s="1425"/>
      <c r="AX3" s="1425"/>
      <c r="AY3" s="1425"/>
      <c r="AZ3" s="1425"/>
      <c r="BA3" s="1425"/>
      <c r="BB3" s="1425"/>
      <c r="BC3" s="1425"/>
      <c r="BD3" s="1425"/>
      <c r="BE3" s="1425"/>
      <c r="BF3" s="1425"/>
      <c r="BG3" s="1425"/>
      <c r="BH3" s="1425"/>
      <c r="BI3" s="1425"/>
      <c r="BJ3" s="1425"/>
      <c r="BK3" s="1425"/>
      <c r="BL3" s="1425"/>
      <c r="BM3" s="1425"/>
      <c r="BN3" s="1425"/>
      <c r="BO3" s="1425"/>
      <c r="BP3" s="1425"/>
      <c r="BQ3" s="1425"/>
      <c r="BR3" s="1425"/>
      <c r="BS3" s="1425"/>
      <c r="BT3" s="1425"/>
      <c r="BU3" s="1425"/>
      <c r="BV3" s="1425"/>
      <c r="BW3" s="1425"/>
      <c r="BX3" s="1425"/>
      <c r="BY3" s="1425"/>
      <c r="BZ3" s="1425"/>
      <c r="CA3" s="1425"/>
      <c r="CB3" s="1425"/>
      <c r="CC3" s="1425"/>
      <c r="CD3" s="1425"/>
      <c r="CE3" s="1425"/>
      <c r="CF3" s="1425"/>
      <c r="CG3" s="1425"/>
      <c r="CH3" s="1425"/>
      <c r="CI3" s="1425"/>
      <c r="CJ3" s="1425"/>
      <c r="CK3" s="1425"/>
      <c r="CL3" s="1425"/>
      <c r="CM3" s="1425"/>
      <c r="CN3" s="1425"/>
      <c r="CO3" s="1425"/>
      <c r="CP3" s="1425"/>
      <c r="CQ3" s="1425"/>
      <c r="CR3" s="1425"/>
      <c r="CS3" s="1425"/>
      <c r="CT3" s="1425"/>
      <c r="CU3" s="1425"/>
      <c r="CV3" s="1425"/>
      <c r="CW3" s="1425"/>
      <c r="CX3" s="1425"/>
      <c r="CY3" s="1425"/>
      <c r="CZ3" s="1425"/>
      <c r="DA3" s="1425"/>
      <c r="DB3" s="1425"/>
      <c r="DC3" s="1425"/>
      <c r="DD3" s="1425"/>
      <c r="DE3" s="1425"/>
      <c r="DF3" s="1425"/>
      <c r="DG3" s="1425"/>
      <c r="DH3" s="1425"/>
      <c r="DI3" s="1425"/>
      <c r="DJ3" s="1425"/>
      <c r="DK3" s="1425"/>
      <c r="DL3" s="1425"/>
      <c r="DM3" s="1425"/>
      <c r="DN3" s="1425"/>
      <c r="DO3" s="1425"/>
      <c r="DP3" s="1425"/>
      <c r="DQ3" s="1425"/>
      <c r="DR3" s="1425"/>
      <c r="DS3" s="1425"/>
      <c r="DT3" s="1425"/>
      <c r="DU3" s="1425"/>
      <c r="DV3" s="1425"/>
      <c r="DW3" s="1425"/>
      <c r="DX3" s="1425"/>
      <c r="DY3" s="1425"/>
      <c r="DZ3" s="1425"/>
      <c r="EA3" s="1425"/>
      <c r="EB3" s="1425"/>
      <c r="EC3" s="1425"/>
      <c r="ED3" s="1425"/>
      <c r="EE3" s="1425"/>
      <c r="EF3" s="1425"/>
      <c r="EG3" s="1425"/>
      <c r="EH3" s="1425"/>
      <c r="EI3" s="1425"/>
      <c r="EJ3" s="1425"/>
      <c r="EK3" s="1425"/>
      <c r="EL3" s="1425"/>
      <c r="EM3" s="1425"/>
      <c r="EN3" s="1425"/>
      <c r="EO3" s="1425"/>
      <c r="EP3" s="1425"/>
      <c r="EQ3" s="1425"/>
      <c r="ER3" s="1425"/>
      <c r="ES3" s="1425"/>
      <c r="ET3" s="1425"/>
      <c r="EU3" s="1425"/>
      <c r="EV3" s="1425"/>
      <c r="EW3" s="1425"/>
      <c r="EX3" s="1425"/>
      <c r="EY3" s="1425"/>
      <c r="EZ3" s="1425"/>
      <c r="FA3" s="1425"/>
      <c r="FB3" s="1425"/>
      <c r="FC3" s="1425"/>
      <c r="FD3" s="1425"/>
      <c r="FE3" s="1425"/>
      <c r="FF3" s="1425"/>
      <c r="FG3" s="1425"/>
      <c r="FH3" s="1425"/>
      <c r="FI3" s="1425"/>
      <c r="FJ3" s="1425"/>
      <c r="FK3" s="1425"/>
      <c r="FL3" s="1425"/>
      <c r="FM3" s="1425"/>
      <c r="FN3" s="1425"/>
      <c r="FO3" s="1425"/>
      <c r="FP3" s="1425"/>
      <c r="FQ3" s="1425"/>
      <c r="FR3" s="1425"/>
      <c r="FS3" s="1425"/>
      <c r="FT3" s="1425"/>
      <c r="FU3" s="1425"/>
      <c r="FV3" s="1425"/>
      <c r="FW3" s="1425"/>
      <c r="FX3" s="1425"/>
      <c r="FY3" s="1425"/>
      <c r="FZ3" s="1425"/>
      <c r="GA3" s="1425"/>
      <c r="GB3" s="1425"/>
      <c r="GC3" s="1425"/>
      <c r="GD3" s="1425"/>
      <c r="GE3" s="1425"/>
      <c r="GF3" s="1425"/>
      <c r="GG3" s="1425"/>
      <c r="GH3" s="1425"/>
      <c r="GI3" s="1425"/>
      <c r="GJ3" s="1425"/>
      <c r="GK3" s="1425"/>
      <c r="GL3" s="1425"/>
      <c r="GM3" s="1425"/>
      <c r="GN3" s="1425"/>
      <c r="GO3" s="1425"/>
      <c r="GP3" s="1425"/>
      <c r="GQ3" s="1425"/>
      <c r="GR3" s="1425"/>
      <c r="GS3" s="1425"/>
      <c r="GT3" s="1425"/>
      <c r="GU3" s="1425"/>
      <c r="GV3" s="1425"/>
      <c r="GW3" s="1425"/>
      <c r="GX3" s="1425"/>
      <c r="GY3" s="1425"/>
      <c r="GZ3" s="1425"/>
      <c r="HA3" s="1425"/>
      <c r="HB3" s="1425"/>
      <c r="HC3" s="1425"/>
      <c r="HD3" s="1425"/>
      <c r="HE3" s="1425"/>
      <c r="HF3" s="1425"/>
      <c r="HG3" s="1425"/>
      <c r="HH3" s="1425"/>
      <c r="HI3" s="1425"/>
      <c r="HJ3" s="1425"/>
      <c r="HK3" s="1425"/>
      <c r="HL3" s="1425"/>
      <c r="HM3" s="1425"/>
      <c r="HN3" s="1425"/>
      <c r="HO3" s="1425"/>
      <c r="HP3" s="1425"/>
      <c r="HQ3" s="1425"/>
      <c r="HR3" s="1425"/>
      <c r="HS3" s="1425"/>
      <c r="HT3" s="1425"/>
      <c r="HU3" s="1425"/>
      <c r="HV3" s="1425"/>
      <c r="HW3" s="1425"/>
      <c r="HX3" s="1425"/>
      <c r="HY3" s="1425"/>
      <c r="HZ3" s="1425"/>
      <c r="IA3" s="1425"/>
      <c r="IB3" s="1426"/>
      <c r="IC3" s="1426"/>
      <c r="ID3" s="1426"/>
      <c r="IE3" s="1426"/>
      <c r="IF3" s="1426"/>
      <c r="IG3" s="1426"/>
      <c r="IH3" s="1426"/>
      <c r="II3" s="1426"/>
      <c r="IJ3" s="1426"/>
      <c r="IK3" s="1426"/>
      <c r="IL3" s="1426"/>
      <c r="IM3" s="1426"/>
      <c r="IN3" s="1426"/>
      <c r="IO3" s="1426"/>
      <c r="IP3" s="1426"/>
      <c r="IQ3" s="1426"/>
      <c r="IR3" s="1426"/>
      <c r="IS3" s="1426"/>
      <c r="IT3" s="1426"/>
    </row>
    <row r="4" spans="1:254" ht="12">
      <c r="A4" s="571"/>
      <c r="B4" s="1428"/>
      <c r="C4" s="1421"/>
      <c r="D4" s="607"/>
      <c r="E4" s="607"/>
      <c r="F4" s="607"/>
      <c r="G4" s="607"/>
      <c r="H4" s="607"/>
      <c r="I4" s="607"/>
      <c r="J4" s="607"/>
      <c r="K4" s="607"/>
      <c r="L4" s="607"/>
      <c r="M4" s="607"/>
      <c r="N4" s="607"/>
      <c r="O4" s="607"/>
      <c r="P4" s="607"/>
      <c r="Q4" s="607"/>
      <c r="R4" s="607"/>
      <c r="S4" s="607"/>
      <c r="T4" s="607"/>
      <c r="U4" s="607"/>
      <c r="V4" s="607"/>
      <c r="W4" s="607"/>
      <c r="X4" s="607"/>
      <c r="Y4" s="607"/>
      <c r="Z4" s="607"/>
      <c r="AA4" s="607"/>
      <c r="AB4" s="607"/>
      <c r="AC4" s="607"/>
      <c r="AD4" s="607"/>
      <c r="AE4" s="607"/>
      <c r="AF4" s="607"/>
      <c r="AG4" s="607"/>
      <c r="AH4" s="1421"/>
    </row>
    <row r="5" spans="1:254" ht="12">
      <c r="A5" s="3864" t="s">
        <v>141</v>
      </c>
      <c r="B5" s="3865"/>
      <c r="C5" s="3866"/>
      <c r="D5" s="607"/>
      <c r="E5" s="607"/>
      <c r="F5" s="607"/>
      <c r="G5" s="607"/>
      <c r="H5" s="607"/>
      <c r="I5" s="607"/>
      <c r="J5" s="607"/>
      <c r="K5" s="607"/>
      <c r="L5" s="607"/>
      <c r="M5" s="607"/>
      <c r="N5" s="607"/>
      <c r="O5" s="607"/>
      <c r="P5" s="607"/>
      <c r="Q5" s="607"/>
      <c r="R5" s="607"/>
      <c r="S5" s="607"/>
      <c r="T5" s="607"/>
      <c r="U5" s="607"/>
      <c r="V5" s="607"/>
      <c r="W5" s="607"/>
      <c r="X5" s="607"/>
      <c r="Y5" s="607"/>
      <c r="Z5" s="607"/>
      <c r="AA5" s="607"/>
      <c r="AB5" s="607"/>
      <c r="AC5" s="607"/>
      <c r="AD5" s="607"/>
      <c r="AE5" s="607"/>
      <c r="AF5" s="607"/>
      <c r="AG5" s="607"/>
      <c r="AH5" s="1421"/>
    </row>
    <row r="6" spans="1:254" ht="12">
      <c r="A6" s="572" t="s">
        <v>142</v>
      </c>
      <c r="B6" s="583" t="s">
        <v>143</v>
      </c>
      <c r="C6" s="1429">
        <v>1</v>
      </c>
      <c r="D6" s="1430">
        <v>2</v>
      </c>
      <c r="E6" s="1430">
        <v>3</v>
      </c>
      <c r="F6" s="1430">
        <v>4</v>
      </c>
      <c r="G6" s="1430">
        <v>5</v>
      </c>
      <c r="H6" s="1430">
        <v>6</v>
      </c>
      <c r="I6" s="1430">
        <v>7</v>
      </c>
      <c r="J6" s="1430">
        <v>8</v>
      </c>
      <c r="K6" s="1430">
        <v>9</v>
      </c>
      <c r="L6" s="1430">
        <v>10</v>
      </c>
      <c r="M6" s="1430">
        <v>11</v>
      </c>
      <c r="N6" s="1430">
        <v>12</v>
      </c>
      <c r="O6" s="1430">
        <v>13</v>
      </c>
      <c r="P6" s="1430">
        <v>14</v>
      </c>
      <c r="Q6" s="1430">
        <v>15</v>
      </c>
      <c r="R6" s="1430">
        <v>16</v>
      </c>
      <c r="S6" s="1430">
        <v>17</v>
      </c>
      <c r="T6" s="1430">
        <v>18</v>
      </c>
      <c r="U6" s="1430">
        <v>19</v>
      </c>
      <c r="V6" s="1430">
        <v>20</v>
      </c>
      <c r="W6" s="1430">
        <v>21</v>
      </c>
      <c r="X6" s="1430">
        <v>22</v>
      </c>
      <c r="Y6" s="1430">
        <v>23</v>
      </c>
      <c r="Z6" s="1430">
        <v>24</v>
      </c>
      <c r="AA6" s="1430">
        <v>25</v>
      </c>
      <c r="AB6" s="1430">
        <v>26</v>
      </c>
      <c r="AC6" s="1430">
        <v>27</v>
      </c>
      <c r="AD6" s="1430">
        <v>28</v>
      </c>
      <c r="AE6" s="1430">
        <v>29</v>
      </c>
      <c r="AF6" s="1430">
        <v>30</v>
      </c>
      <c r="AG6" s="1430">
        <v>31</v>
      </c>
      <c r="AH6" s="583" t="s">
        <v>144</v>
      </c>
    </row>
    <row r="7" spans="1:254" ht="12">
      <c r="A7" s="573" t="s">
        <v>145</v>
      </c>
      <c r="B7" s="584">
        <f>+AH7</f>
        <v>1544.6950000000002</v>
      </c>
      <c r="C7" s="1431"/>
      <c r="D7" s="1431"/>
      <c r="E7" s="1431"/>
      <c r="F7" s="1431"/>
      <c r="G7" s="1431"/>
      <c r="H7" s="1431"/>
      <c r="I7" s="1431"/>
      <c r="J7" s="1431"/>
      <c r="K7" s="1431"/>
      <c r="L7" s="1431"/>
      <c r="M7" s="1431"/>
      <c r="N7" s="1431"/>
      <c r="O7" s="1431"/>
      <c r="P7" s="1431"/>
      <c r="Q7" s="1431"/>
      <c r="R7" s="1431"/>
      <c r="S7" s="1431"/>
      <c r="T7" s="1431"/>
      <c r="U7" s="1431"/>
      <c r="V7" s="1431"/>
      <c r="W7" s="1431"/>
      <c r="X7" s="1431"/>
      <c r="Y7" s="1431"/>
      <c r="Z7" s="1431"/>
      <c r="AA7" s="1431"/>
      <c r="AB7" s="1431"/>
      <c r="AC7" s="1431"/>
      <c r="AD7" s="1431"/>
      <c r="AE7" s="1431"/>
      <c r="AF7" s="1431">
        <v>1073.9100000000001</v>
      </c>
      <c r="AG7" s="1431">
        <v>470.78500000000003</v>
      </c>
      <c r="AH7" s="583">
        <f>SUM(C7:AG7)</f>
        <v>1544.6950000000002</v>
      </c>
    </row>
    <row r="8" spans="1:254" ht="12">
      <c r="A8" s="573" t="s">
        <v>146</v>
      </c>
      <c r="B8" s="584">
        <f t="shared" ref="B8:B18" si="0">+AH8</f>
        <v>11241.526</v>
      </c>
      <c r="C8" s="1431">
        <v>516.4</v>
      </c>
      <c r="D8" s="1431">
        <v>893.625</v>
      </c>
      <c r="E8" s="1431">
        <v>631.69500000000005</v>
      </c>
      <c r="F8" s="1431">
        <v>264.52499999999998</v>
      </c>
      <c r="G8" s="1431"/>
      <c r="H8" s="1431">
        <v>823.49300000000005</v>
      </c>
      <c r="I8" s="1431">
        <v>450.09500000000003</v>
      </c>
      <c r="J8" s="1431">
        <v>585.83000000000004</v>
      </c>
      <c r="K8" s="1431">
        <v>375.05500000000001</v>
      </c>
      <c r="L8" s="1431">
        <v>304.375</v>
      </c>
      <c r="M8" s="1431">
        <v>72.239999999999995</v>
      </c>
      <c r="N8" s="1431"/>
      <c r="O8" s="1431">
        <v>80.05</v>
      </c>
      <c r="P8" s="1431">
        <v>541.02499999999998</v>
      </c>
      <c r="Q8" s="1431">
        <v>231.58500000000001</v>
      </c>
      <c r="R8" s="1431">
        <v>102.97</v>
      </c>
      <c r="S8" s="1431">
        <v>839.87800000000004</v>
      </c>
      <c r="T8" s="1431">
        <v>7.41</v>
      </c>
      <c r="U8" s="1431"/>
      <c r="V8" s="1431">
        <v>325.65499999999997</v>
      </c>
      <c r="W8" s="1431">
        <v>419.78500000000003</v>
      </c>
      <c r="X8" s="1431">
        <v>384.67500000000001</v>
      </c>
      <c r="Y8" s="1431">
        <v>362.01400000000007</v>
      </c>
      <c r="Z8" s="1431">
        <v>304.51299999999998</v>
      </c>
      <c r="AA8" s="1431">
        <v>512.77699999999993</v>
      </c>
      <c r="AB8" s="1431"/>
      <c r="AC8" s="1431">
        <v>456.49600000000004</v>
      </c>
      <c r="AD8" s="1431">
        <v>930.226</v>
      </c>
      <c r="AE8" s="1431">
        <v>825.13400000000001</v>
      </c>
      <c r="AF8" s="1431"/>
      <c r="AG8" s="1431"/>
      <c r="AH8" s="583">
        <f t="shared" ref="AH8:AH18" si="1">SUM(C8:AG8)</f>
        <v>11241.526</v>
      </c>
    </row>
    <row r="9" spans="1:254" ht="12">
      <c r="A9" s="573" t="s">
        <v>147</v>
      </c>
      <c r="B9" s="584">
        <f t="shared" si="0"/>
        <v>19300.05</v>
      </c>
      <c r="C9" s="1431">
        <v>785.221</v>
      </c>
      <c r="D9" s="1431">
        <v>870.06400000000008</v>
      </c>
      <c r="E9" s="1431">
        <v>870.505</v>
      </c>
      <c r="F9" s="1431"/>
      <c r="G9" s="1431">
        <v>1327.4449999999999</v>
      </c>
      <c r="H9" s="1431">
        <v>989.35500000000002</v>
      </c>
      <c r="I9" s="1431">
        <v>410</v>
      </c>
      <c r="J9" s="1431">
        <v>775.91199999999981</v>
      </c>
      <c r="K9" s="1431">
        <v>36.817</v>
      </c>
      <c r="L9" s="1431">
        <v>917.3</v>
      </c>
      <c r="M9" s="1431"/>
      <c r="N9" s="1431">
        <v>1549.5129999999999</v>
      </c>
      <c r="O9" s="1431">
        <v>202.89500000000001</v>
      </c>
      <c r="P9" s="1431">
        <v>727.93</v>
      </c>
      <c r="Q9" s="1431">
        <v>661.99699999999996</v>
      </c>
      <c r="R9" s="1431">
        <v>863.34</v>
      </c>
      <c r="S9" s="1431"/>
      <c r="T9" s="1431"/>
      <c r="U9" s="1431">
        <v>1344.19</v>
      </c>
      <c r="V9" s="1431">
        <v>1145.9709999999998</v>
      </c>
      <c r="W9" s="1431">
        <v>1433.6949999999999</v>
      </c>
      <c r="X9" s="1431">
        <v>1797.0450000000001</v>
      </c>
      <c r="Y9" s="1431">
        <v>135.07</v>
      </c>
      <c r="Z9" s="1431">
        <v>170.505</v>
      </c>
      <c r="AA9" s="1431"/>
      <c r="AB9" s="1431">
        <v>1139.07</v>
      </c>
      <c r="AC9" s="1431">
        <v>385.51499999999999</v>
      </c>
      <c r="AD9" s="1431">
        <v>513.44500000000005</v>
      </c>
      <c r="AE9" s="1431"/>
      <c r="AF9" s="1431">
        <v>4.07</v>
      </c>
      <c r="AG9" s="1431">
        <v>243.18</v>
      </c>
      <c r="AH9" s="583">
        <f t="shared" si="1"/>
        <v>19300.05</v>
      </c>
    </row>
    <row r="10" spans="1:254" ht="12">
      <c r="A10" s="573" t="s">
        <v>148</v>
      </c>
      <c r="B10" s="584">
        <f t="shared" si="0"/>
        <v>14562.885999999997</v>
      </c>
      <c r="C10" s="1431"/>
      <c r="D10" s="1431">
        <v>18.34</v>
      </c>
      <c r="E10" s="1431">
        <v>323.25</v>
      </c>
      <c r="F10" s="1431">
        <v>461.55</v>
      </c>
      <c r="G10" s="1431">
        <v>1239.49</v>
      </c>
      <c r="H10" s="1431"/>
      <c r="I10" s="1431"/>
      <c r="J10" s="1431"/>
      <c r="K10" s="1431">
        <v>1452.0150000000001</v>
      </c>
      <c r="L10" s="1431">
        <v>1060.53</v>
      </c>
      <c r="M10" s="1431">
        <v>1517.385</v>
      </c>
      <c r="N10" s="1431">
        <v>1334.03</v>
      </c>
      <c r="O10" s="1431">
        <v>1398.0509999999999</v>
      </c>
      <c r="P10" s="1431">
        <v>838.55499999999995</v>
      </c>
      <c r="Q10" s="1431"/>
      <c r="R10" s="1431">
        <v>18.03</v>
      </c>
      <c r="S10" s="1431">
        <v>1297.69</v>
      </c>
      <c r="T10" s="1431">
        <v>28.645</v>
      </c>
      <c r="U10" s="1431">
        <v>377.51499999999999</v>
      </c>
      <c r="V10" s="1431">
        <v>558.09500000000003</v>
      </c>
      <c r="W10" s="1431"/>
      <c r="X10" s="1431"/>
      <c r="Y10" s="1431">
        <v>251</v>
      </c>
      <c r="Z10" s="1431">
        <v>875.88</v>
      </c>
      <c r="AA10" s="1431">
        <v>659.85500000000002</v>
      </c>
      <c r="AB10" s="1431">
        <v>280.70999999999998</v>
      </c>
      <c r="AC10" s="1431">
        <v>316.42500000000001</v>
      </c>
      <c r="AD10" s="1431">
        <v>255.845</v>
      </c>
      <c r="AE10" s="1431"/>
      <c r="AF10" s="1431"/>
      <c r="AG10" s="1431"/>
      <c r="AH10" s="583">
        <f t="shared" si="1"/>
        <v>14562.885999999997</v>
      </c>
    </row>
    <row r="11" spans="1:254" ht="12">
      <c r="A11" s="573" t="s">
        <v>149</v>
      </c>
      <c r="B11" s="584">
        <f t="shared" si="0"/>
        <v>14968.244999999997</v>
      </c>
      <c r="C11" s="1431"/>
      <c r="D11" s="1431">
        <v>1369.18</v>
      </c>
      <c r="E11" s="1431">
        <v>510.60500000000002</v>
      </c>
      <c r="F11" s="1431"/>
      <c r="G11" s="1431"/>
      <c r="H11" s="1431"/>
      <c r="I11" s="1431">
        <v>1506.08</v>
      </c>
      <c r="J11" s="1431">
        <v>1298.33</v>
      </c>
      <c r="K11" s="1431">
        <v>796.16499999999996</v>
      </c>
      <c r="L11" s="1431">
        <v>1125.4000000000001</v>
      </c>
      <c r="M11" s="1431">
        <v>1853.24</v>
      </c>
      <c r="N11" s="1431">
        <v>1059.1849999999999</v>
      </c>
      <c r="O11" s="1431"/>
      <c r="P11" s="1431">
        <v>1512.9549999999999</v>
      </c>
      <c r="Q11" s="1431">
        <v>1504.645</v>
      </c>
      <c r="R11" s="1431">
        <v>898.26499999999999</v>
      </c>
      <c r="S11" s="1431">
        <v>97.48</v>
      </c>
      <c r="T11" s="1431">
        <v>84.31</v>
      </c>
      <c r="U11" s="1431"/>
      <c r="V11" s="1431"/>
      <c r="W11" s="1431"/>
      <c r="X11" s="1431">
        <v>103.41</v>
      </c>
      <c r="Y11" s="1431">
        <v>828.85500000000002</v>
      </c>
      <c r="Z11" s="1431">
        <v>399.5</v>
      </c>
      <c r="AA11" s="1431"/>
      <c r="AB11" s="1431"/>
      <c r="AC11" s="1431"/>
      <c r="AD11" s="1431">
        <v>20.64</v>
      </c>
      <c r="AE11" s="1431"/>
      <c r="AF11" s="1431"/>
      <c r="AG11" s="1431"/>
      <c r="AH11" s="583">
        <f t="shared" si="1"/>
        <v>14968.244999999997</v>
      </c>
    </row>
    <row r="12" spans="1:254" ht="12">
      <c r="A12" s="573" t="s">
        <v>150</v>
      </c>
      <c r="B12" s="584">
        <f t="shared" si="0"/>
        <v>0</v>
      </c>
      <c r="C12" s="853"/>
      <c r="D12" s="853"/>
      <c r="E12" s="853"/>
      <c r="F12" s="853"/>
      <c r="G12" s="853"/>
      <c r="H12" s="853"/>
      <c r="I12" s="853"/>
      <c r="J12" s="853"/>
      <c r="K12" s="853"/>
      <c r="L12" s="853"/>
      <c r="M12" s="853"/>
      <c r="N12" s="853"/>
      <c r="O12" s="853"/>
      <c r="P12" s="853"/>
      <c r="Q12" s="853"/>
      <c r="R12" s="853"/>
      <c r="S12" s="853"/>
      <c r="T12" s="853"/>
      <c r="U12" s="853"/>
      <c r="V12" s="853"/>
      <c r="W12" s="853"/>
      <c r="X12" s="853"/>
      <c r="Y12" s="853"/>
      <c r="Z12" s="853"/>
      <c r="AA12" s="853"/>
      <c r="AB12" s="853"/>
      <c r="AC12" s="853"/>
      <c r="AD12" s="853"/>
      <c r="AE12" s="853"/>
      <c r="AF12" s="853"/>
      <c r="AG12" s="853"/>
      <c r="AH12" s="583">
        <f t="shared" si="1"/>
        <v>0</v>
      </c>
    </row>
    <row r="13" spans="1:254" ht="12">
      <c r="A13" s="573" t="s">
        <v>151</v>
      </c>
      <c r="B13" s="584">
        <f t="shared" si="0"/>
        <v>9433.0580000000009</v>
      </c>
      <c r="C13" s="735"/>
      <c r="D13" s="735"/>
      <c r="E13" s="735">
        <v>19.940000000000001</v>
      </c>
      <c r="F13" s="735">
        <v>199.48399999999998</v>
      </c>
      <c r="G13" s="735"/>
      <c r="H13" s="735"/>
      <c r="I13" s="735"/>
      <c r="J13" s="735"/>
      <c r="K13" s="735">
        <v>1430.97</v>
      </c>
      <c r="L13" s="735">
        <v>1003.52</v>
      </c>
      <c r="M13" s="735">
        <v>1256.1229999999998</v>
      </c>
      <c r="N13" s="735">
        <v>925.62099999999998</v>
      </c>
      <c r="O13" s="735">
        <v>787.00799999999992</v>
      </c>
      <c r="P13" s="735">
        <v>351.53300000000002</v>
      </c>
      <c r="Q13" s="735"/>
      <c r="R13" s="735"/>
      <c r="S13" s="735"/>
      <c r="T13" s="735">
        <v>260.77499999999998</v>
      </c>
      <c r="U13" s="735">
        <v>658.15499999999997</v>
      </c>
      <c r="V13" s="735">
        <v>4.46</v>
      </c>
      <c r="W13" s="735"/>
      <c r="X13" s="735"/>
      <c r="Y13" s="735">
        <v>773.005</v>
      </c>
      <c r="Z13" s="735">
        <v>259.89100000000002</v>
      </c>
      <c r="AA13" s="735">
        <v>378.5</v>
      </c>
      <c r="AB13" s="735">
        <v>83.25</v>
      </c>
      <c r="AC13" s="735">
        <v>21.11</v>
      </c>
      <c r="AD13" s="735">
        <v>417.77</v>
      </c>
      <c r="AE13" s="735"/>
      <c r="AF13" s="735">
        <v>572.50299999999993</v>
      </c>
      <c r="AG13" s="735">
        <v>29.44</v>
      </c>
      <c r="AH13" s="583">
        <f t="shared" si="1"/>
        <v>9433.0580000000009</v>
      </c>
    </row>
    <row r="14" spans="1:254" ht="12">
      <c r="A14" s="573" t="s">
        <v>152</v>
      </c>
      <c r="B14" s="584">
        <f t="shared" si="0"/>
        <v>330.26099999999997</v>
      </c>
      <c r="C14" s="735">
        <v>176.94599999999994</v>
      </c>
      <c r="D14" s="735">
        <v>93.733999999999995</v>
      </c>
      <c r="E14" s="735"/>
      <c r="F14" s="735">
        <v>54.56</v>
      </c>
      <c r="G14" s="735"/>
      <c r="H14" s="735"/>
      <c r="I14" s="735"/>
      <c r="J14" s="735"/>
      <c r="K14" s="735"/>
      <c r="L14" s="735"/>
      <c r="M14" s="735"/>
      <c r="N14" s="735"/>
      <c r="O14" s="735"/>
      <c r="P14" s="735"/>
      <c r="Q14" s="735"/>
      <c r="R14" s="735"/>
      <c r="S14" s="735"/>
      <c r="T14" s="735"/>
      <c r="U14" s="735"/>
      <c r="V14" s="735"/>
      <c r="W14" s="735"/>
      <c r="X14" s="735"/>
      <c r="Y14" s="735"/>
      <c r="Z14" s="735"/>
      <c r="AA14" s="2000"/>
      <c r="AB14" s="2000"/>
      <c r="AC14" s="2000"/>
      <c r="AD14" s="2000"/>
      <c r="AE14" s="2000">
        <v>5.0209999999999999</v>
      </c>
      <c r="AF14" s="2000"/>
      <c r="AG14" s="2000"/>
      <c r="AH14" s="583">
        <f t="shared" si="1"/>
        <v>330.26099999999997</v>
      </c>
      <c r="AI14" s="3230" t="s">
        <v>1257</v>
      </c>
      <c r="AJ14" s="3231"/>
      <c r="AK14" s="3231"/>
      <c r="AL14" s="3231"/>
      <c r="AM14" s="3231"/>
      <c r="AN14" s="3231"/>
      <c r="AO14" s="3231"/>
      <c r="AP14" s="3231"/>
      <c r="AQ14" s="3231"/>
      <c r="AR14" s="3231"/>
      <c r="AS14" s="3231"/>
      <c r="AT14" s="3231"/>
      <c r="AU14" s="3231"/>
      <c r="AV14" s="3231"/>
      <c r="AW14" s="3231"/>
      <c r="AX14" s="3231"/>
    </row>
    <row r="15" spans="1:254" ht="13.8">
      <c r="A15" s="573" t="s">
        <v>153</v>
      </c>
      <c r="B15" s="584">
        <f t="shared" si="0"/>
        <v>3.8119999999999998</v>
      </c>
      <c r="C15" s="2000" t="s">
        <v>318</v>
      </c>
      <c r="D15" s="2000" t="s">
        <v>318</v>
      </c>
      <c r="E15" s="2000" t="s">
        <v>318</v>
      </c>
      <c r="F15" s="2000" t="s">
        <v>318</v>
      </c>
      <c r="G15" s="2000" t="s">
        <v>318</v>
      </c>
      <c r="H15" s="2000" t="s">
        <v>318</v>
      </c>
      <c r="I15" s="2000" t="s">
        <v>318</v>
      </c>
      <c r="J15" s="2000" t="s">
        <v>318</v>
      </c>
      <c r="K15" s="2000" t="s">
        <v>318</v>
      </c>
      <c r="L15" s="735">
        <v>3.8119999999999998</v>
      </c>
      <c r="M15" s="2000" t="s">
        <v>318</v>
      </c>
      <c r="N15" s="2000" t="s">
        <v>318</v>
      </c>
      <c r="O15" s="2000" t="s">
        <v>318</v>
      </c>
      <c r="P15" s="2000" t="s">
        <v>318</v>
      </c>
      <c r="Q15" s="3225" t="s">
        <v>318</v>
      </c>
      <c r="R15" s="3225" t="s">
        <v>318</v>
      </c>
      <c r="S15" s="3225" t="s">
        <v>318</v>
      </c>
      <c r="T15" s="2000" t="s">
        <v>318</v>
      </c>
      <c r="U15" s="2000" t="s">
        <v>318</v>
      </c>
      <c r="V15" s="2000" t="s">
        <v>318</v>
      </c>
      <c r="W15" s="2000" t="s">
        <v>318</v>
      </c>
      <c r="X15" s="2000" t="s">
        <v>318</v>
      </c>
      <c r="Y15" s="2000" t="s">
        <v>318</v>
      </c>
      <c r="Z15" s="735">
        <v>0</v>
      </c>
      <c r="AA15" s="735">
        <v>0</v>
      </c>
      <c r="AB15" s="735">
        <v>0</v>
      </c>
      <c r="AC15" s="735">
        <v>0</v>
      </c>
      <c r="AD15" s="735">
        <v>0</v>
      </c>
      <c r="AE15" s="735">
        <v>0</v>
      </c>
      <c r="AF15" s="735">
        <v>0</v>
      </c>
      <c r="AG15" s="735">
        <v>0</v>
      </c>
      <c r="AH15" s="583">
        <f t="shared" si="1"/>
        <v>3.8119999999999998</v>
      </c>
      <c r="AI15" s="3230" t="s">
        <v>1258</v>
      </c>
      <c r="AJ15" s="3231"/>
      <c r="AK15" s="3231"/>
      <c r="AL15" s="3231"/>
      <c r="AM15" s="3231"/>
      <c r="AN15" s="3231"/>
      <c r="AO15" s="3231"/>
      <c r="AP15" s="3231"/>
      <c r="AQ15" s="3231"/>
      <c r="AR15" s="3231"/>
      <c r="AS15" s="3231"/>
      <c r="AT15" s="3231"/>
      <c r="AU15" s="3231"/>
      <c r="AV15" s="3231"/>
      <c r="AW15" s="3231"/>
      <c r="AX15" s="3231"/>
    </row>
    <row r="16" spans="1:254" ht="12">
      <c r="A16" s="573" t="s">
        <v>154</v>
      </c>
      <c r="B16" s="584">
        <f t="shared" si="0"/>
        <v>0</v>
      </c>
      <c r="C16" s="735"/>
      <c r="D16" s="735"/>
      <c r="E16" s="735"/>
      <c r="F16" s="735"/>
      <c r="G16" s="735"/>
      <c r="H16" s="735"/>
      <c r="I16" s="735"/>
      <c r="J16" s="735"/>
      <c r="K16" s="735"/>
      <c r="L16" s="735"/>
      <c r="M16" s="735"/>
      <c r="N16" s="735"/>
      <c r="O16" s="735"/>
      <c r="P16" s="735"/>
      <c r="Q16" s="735"/>
      <c r="R16" s="735"/>
      <c r="S16" s="735"/>
      <c r="T16" s="735"/>
      <c r="U16" s="735"/>
      <c r="V16" s="735"/>
      <c r="W16" s="735"/>
      <c r="X16" s="735"/>
      <c r="Y16" s="735"/>
      <c r="Z16" s="735"/>
      <c r="AA16" s="735"/>
      <c r="AB16" s="735"/>
      <c r="AC16" s="735"/>
      <c r="AD16" s="735"/>
      <c r="AE16" s="735"/>
      <c r="AF16" s="735"/>
      <c r="AG16" s="735"/>
      <c r="AH16" s="583">
        <f t="shared" si="1"/>
        <v>0</v>
      </c>
      <c r="AI16" s="3230" t="s">
        <v>1259</v>
      </c>
      <c r="AJ16" s="3231"/>
      <c r="AK16" s="3231"/>
      <c r="AL16" s="3231"/>
      <c r="AM16" s="3231"/>
      <c r="AN16" s="3231"/>
      <c r="AO16" s="3231"/>
      <c r="AP16" s="3231"/>
      <c r="AQ16" s="3231"/>
      <c r="AR16" s="3231"/>
      <c r="AS16" s="3231"/>
      <c r="AT16" s="3231"/>
      <c r="AU16" s="3231"/>
      <c r="AV16" s="3231"/>
      <c r="AW16" s="3231"/>
      <c r="AX16" s="3231"/>
    </row>
    <row r="17" spans="1:50" ht="12">
      <c r="A17" s="573" t="s">
        <v>155</v>
      </c>
      <c r="B17" s="584">
        <f t="shared" si="0"/>
        <v>1540.1019999999999</v>
      </c>
      <c r="C17" s="735"/>
      <c r="D17" s="735"/>
      <c r="E17" s="735"/>
      <c r="F17" s="735"/>
      <c r="G17" s="735"/>
      <c r="H17" s="735"/>
      <c r="I17" s="735"/>
      <c r="J17" s="735"/>
      <c r="K17" s="3191"/>
      <c r="L17" s="3191"/>
      <c r="M17" s="3191">
        <v>3.8319999999999999</v>
      </c>
      <c r="N17" s="735">
        <v>0</v>
      </c>
      <c r="O17" s="735">
        <v>0</v>
      </c>
      <c r="P17" s="735"/>
      <c r="Q17" s="735"/>
      <c r="R17" s="735"/>
      <c r="S17" s="735"/>
      <c r="T17" s="735"/>
      <c r="U17" s="735"/>
      <c r="V17" s="735"/>
      <c r="W17" s="735"/>
      <c r="X17" s="735"/>
      <c r="Y17" s="735"/>
      <c r="Z17" s="735"/>
      <c r="AA17" s="3229">
        <v>116.94</v>
      </c>
      <c r="AB17" s="735"/>
      <c r="AC17" s="3228">
        <v>564.17999999999995</v>
      </c>
      <c r="AD17" s="3228">
        <v>855.15</v>
      </c>
      <c r="AE17" s="735"/>
      <c r="AF17" s="735"/>
      <c r="AG17" s="735"/>
      <c r="AH17" s="583">
        <f t="shared" si="1"/>
        <v>1540.1019999999999</v>
      </c>
      <c r="AI17" s="3230" t="s">
        <v>1260</v>
      </c>
      <c r="AJ17" s="3231"/>
      <c r="AK17" s="3231"/>
      <c r="AL17" s="3231"/>
      <c r="AM17" s="3231"/>
      <c r="AN17" s="3231"/>
      <c r="AO17" s="3231"/>
      <c r="AP17" s="3231"/>
      <c r="AQ17" s="3231"/>
      <c r="AR17" s="3231"/>
      <c r="AS17" s="3231"/>
      <c r="AT17" s="3231"/>
      <c r="AU17" s="3231"/>
      <c r="AV17" s="3231"/>
      <c r="AW17" s="3231"/>
      <c r="AX17" s="3231"/>
    </row>
    <row r="18" spans="1:50" ht="12">
      <c r="A18" s="573" t="s">
        <v>156</v>
      </c>
      <c r="B18" s="584">
        <f t="shared" si="0"/>
        <v>914.79899999999986</v>
      </c>
      <c r="C18" s="735">
        <v>0</v>
      </c>
      <c r="D18" s="735">
        <v>0</v>
      </c>
      <c r="E18" s="735">
        <v>0</v>
      </c>
      <c r="F18" s="735">
        <v>0</v>
      </c>
      <c r="G18" s="735">
        <v>1</v>
      </c>
      <c r="H18" s="3228">
        <v>341.43400000000003</v>
      </c>
      <c r="I18" s="3228">
        <v>168.97</v>
      </c>
      <c r="J18" s="735">
        <v>0</v>
      </c>
      <c r="K18" s="735">
        <v>0</v>
      </c>
      <c r="L18" s="3229">
        <v>398.21499999999997</v>
      </c>
      <c r="M18" s="735">
        <v>0</v>
      </c>
      <c r="N18" s="735">
        <v>0</v>
      </c>
      <c r="O18" s="3190">
        <v>0</v>
      </c>
      <c r="P18" s="735">
        <v>0</v>
      </c>
      <c r="Q18" s="735">
        <v>0</v>
      </c>
      <c r="R18" s="735">
        <v>0</v>
      </c>
      <c r="S18" s="735">
        <v>0</v>
      </c>
      <c r="T18" s="735">
        <v>1.53</v>
      </c>
      <c r="U18" s="735">
        <v>0</v>
      </c>
      <c r="V18" s="735">
        <v>0</v>
      </c>
      <c r="W18" s="735">
        <v>0</v>
      </c>
      <c r="X18" s="735">
        <v>0</v>
      </c>
      <c r="Y18" s="735">
        <v>0</v>
      </c>
      <c r="Z18" s="735">
        <v>0</v>
      </c>
      <c r="AA18" s="735">
        <v>0</v>
      </c>
      <c r="AB18" s="735"/>
      <c r="AC18" s="735"/>
      <c r="AD18" s="735">
        <v>1.65</v>
      </c>
      <c r="AE18" s="735"/>
      <c r="AF18" s="735"/>
      <c r="AG18" s="735">
        <v>2</v>
      </c>
      <c r="AH18" s="583">
        <f t="shared" si="1"/>
        <v>914.79899999999986</v>
      </c>
      <c r="AI18" s="3230" t="s">
        <v>1261</v>
      </c>
      <c r="AJ18" s="3231"/>
      <c r="AK18" s="3231"/>
      <c r="AL18" s="3231"/>
      <c r="AM18" s="3231"/>
      <c r="AN18" s="3231"/>
      <c r="AO18" s="3231"/>
      <c r="AP18" s="3231"/>
      <c r="AQ18" s="3231"/>
      <c r="AR18" s="3231"/>
      <c r="AS18" s="3231"/>
      <c r="AT18" s="3231"/>
      <c r="AU18" s="3231"/>
      <c r="AV18" s="3231"/>
      <c r="AW18" s="3231"/>
      <c r="AX18" s="3231"/>
    </row>
    <row r="19" spans="1:50" ht="12">
      <c r="A19" s="1432" t="s">
        <v>144</v>
      </c>
      <c r="B19" s="1433">
        <f>SUM(B7:B18)</f>
        <v>73839.433999999994</v>
      </c>
      <c r="C19" s="583">
        <v>0</v>
      </c>
      <c r="D19" s="583">
        <v>0</v>
      </c>
      <c r="E19" s="583">
        <v>0</v>
      </c>
      <c r="F19" s="583">
        <v>0</v>
      </c>
      <c r="G19" s="583">
        <v>0</v>
      </c>
      <c r="H19" s="583">
        <v>0</v>
      </c>
      <c r="I19" s="583">
        <v>0</v>
      </c>
      <c r="J19" s="583">
        <v>0</v>
      </c>
      <c r="K19" s="583">
        <v>0</v>
      </c>
      <c r="L19" s="583">
        <v>0</v>
      </c>
      <c r="M19" s="583">
        <v>0</v>
      </c>
      <c r="N19" s="583">
        <v>0</v>
      </c>
      <c r="O19" s="583">
        <v>0</v>
      </c>
      <c r="P19" s="583">
        <v>0</v>
      </c>
      <c r="Q19" s="583">
        <v>0</v>
      </c>
      <c r="R19" s="583">
        <v>0</v>
      </c>
      <c r="S19" s="583">
        <v>0</v>
      </c>
      <c r="T19" s="583">
        <v>0</v>
      </c>
      <c r="U19" s="583">
        <v>0</v>
      </c>
      <c r="V19" s="583">
        <v>0</v>
      </c>
      <c r="W19" s="583">
        <v>0</v>
      </c>
      <c r="X19" s="583">
        <v>0</v>
      </c>
      <c r="Y19" s="583">
        <v>0</v>
      </c>
      <c r="Z19" s="583">
        <v>0</v>
      </c>
      <c r="AA19" s="583">
        <v>0</v>
      </c>
      <c r="AB19" s="583">
        <v>0</v>
      </c>
      <c r="AC19" s="583">
        <v>0</v>
      </c>
      <c r="AD19" s="583">
        <v>0</v>
      </c>
      <c r="AE19" s="583">
        <v>0</v>
      </c>
      <c r="AF19" s="583">
        <v>0</v>
      </c>
      <c r="AG19" s="583">
        <v>0</v>
      </c>
      <c r="AH19" s="583">
        <f>SUM(AH7:AH18)</f>
        <v>73839.433999999994</v>
      </c>
      <c r="AI19" s="3230" t="s">
        <v>1262</v>
      </c>
      <c r="AJ19" s="3231"/>
      <c r="AK19" s="3231"/>
      <c r="AL19" s="3231"/>
      <c r="AM19" s="3231"/>
      <c r="AN19" s="3231"/>
      <c r="AO19" s="3231"/>
      <c r="AP19" s="3231"/>
      <c r="AQ19" s="3231"/>
      <c r="AR19" s="3231"/>
      <c r="AS19" s="3231"/>
      <c r="AT19" s="3231"/>
      <c r="AU19" s="3231"/>
      <c r="AV19" s="3231"/>
      <c r="AW19" s="3231"/>
      <c r="AX19" s="3231"/>
    </row>
    <row r="20" spans="1:50" ht="12">
      <c r="A20" s="571"/>
      <c r="B20" s="1428"/>
      <c r="C20" s="1421"/>
      <c r="D20" s="607"/>
      <c r="E20" s="607"/>
      <c r="F20" s="607"/>
      <c r="G20" s="607"/>
      <c r="H20" s="607"/>
      <c r="I20" s="607"/>
      <c r="J20" s="607"/>
      <c r="K20" s="607"/>
      <c r="L20" s="607"/>
      <c r="M20" s="607"/>
      <c r="N20" s="607"/>
      <c r="O20" s="607"/>
      <c r="P20" s="607"/>
      <c r="Q20" s="607"/>
      <c r="R20" s="607"/>
      <c r="S20" s="607"/>
      <c r="T20" s="607"/>
      <c r="U20" s="607"/>
      <c r="V20" s="607"/>
      <c r="W20" s="607"/>
      <c r="X20" s="607"/>
      <c r="Y20" s="607"/>
      <c r="Z20" s="607"/>
      <c r="AA20" s="607"/>
      <c r="AB20" s="607"/>
      <c r="AC20" s="607"/>
      <c r="AD20" s="607"/>
      <c r="AE20" s="607"/>
      <c r="AF20" s="607"/>
      <c r="AG20" s="607"/>
      <c r="AH20" s="1421"/>
      <c r="AI20" s="3232"/>
      <c r="AJ20" s="3232"/>
      <c r="AK20" s="3232"/>
      <c r="AL20" s="3232"/>
      <c r="AM20" s="3232"/>
      <c r="AN20" s="3232"/>
      <c r="AO20" s="3232"/>
      <c r="AP20" s="3232"/>
      <c r="AQ20" s="3232"/>
      <c r="AR20" s="3232"/>
      <c r="AS20" s="3232"/>
      <c r="AT20" s="3232"/>
      <c r="AU20" s="3232"/>
      <c r="AV20" s="3232"/>
      <c r="AW20" s="3232"/>
      <c r="AX20" s="3232"/>
    </row>
    <row r="21" spans="1:50" ht="12">
      <c r="A21" s="3864" t="s">
        <v>157</v>
      </c>
      <c r="B21" s="3865"/>
      <c r="C21" s="3866"/>
      <c r="D21" s="607"/>
      <c r="E21" s="607"/>
      <c r="F21" s="607"/>
      <c r="G21" s="607"/>
      <c r="H21" s="607"/>
      <c r="I21" s="3645" t="s">
        <v>1224</v>
      </c>
      <c r="J21" s="607"/>
      <c r="K21" s="607"/>
      <c r="L21" s="607"/>
      <c r="M21" s="607"/>
      <c r="N21" s="607"/>
      <c r="O21" s="607"/>
      <c r="P21" s="607"/>
      <c r="Q21" s="607"/>
      <c r="R21" s="607"/>
      <c r="S21" s="607"/>
      <c r="T21" s="607"/>
      <c r="U21" s="607"/>
      <c r="V21" s="607"/>
      <c r="W21" s="607"/>
      <c r="X21" s="607"/>
      <c r="Y21" s="607"/>
      <c r="Z21" s="607"/>
      <c r="AA21" s="607"/>
      <c r="AB21" s="607"/>
      <c r="AC21" s="607"/>
      <c r="AD21" s="607"/>
      <c r="AE21" s="607"/>
      <c r="AF21" s="607"/>
      <c r="AG21" s="607"/>
      <c r="AH21" s="1421"/>
    </row>
    <row r="22" spans="1:50" ht="12">
      <c r="A22" s="572" t="s">
        <v>142</v>
      </c>
      <c r="B22" s="584" t="s">
        <v>143</v>
      </c>
      <c r="C22" s="1429">
        <v>1</v>
      </c>
      <c r="D22" s="1430">
        <v>2</v>
      </c>
      <c r="E22" s="1430">
        <v>3</v>
      </c>
      <c r="F22" s="1430">
        <v>4</v>
      </c>
      <c r="G22" s="1430">
        <v>5</v>
      </c>
      <c r="H22" s="1430">
        <v>6</v>
      </c>
      <c r="I22" s="1430">
        <v>7</v>
      </c>
      <c r="J22" s="1430">
        <v>8</v>
      </c>
      <c r="K22" s="1430">
        <v>9</v>
      </c>
      <c r="L22" s="1430">
        <v>10</v>
      </c>
      <c r="M22" s="1430">
        <v>11</v>
      </c>
      <c r="N22" s="1430">
        <v>12</v>
      </c>
      <c r="O22" s="1430">
        <v>13</v>
      </c>
      <c r="P22" s="1430">
        <v>14</v>
      </c>
      <c r="Q22" s="1430">
        <v>15</v>
      </c>
      <c r="R22" s="1430">
        <v>16</v>
      </c>
      <c r="S22" s="1430">
        <v>17</v>
      </c>
      <c r="T22" s="1430">
        <v>18</v>
      </c>
      <c r="U22" s="1430">
        <v>19</v>
      </c>
      <c r="V22" s="1430">
        <v>20</v>
      </c>
      <c r="W22" s="1430">
        <v>21</v>
      </c>
      <c r="X22" s="1430">
        <v>22</v>
      </c>
      <c r="Y22" s="1430">
        <v>23</v>
      </c>
      <c r="Z22" s="1430">
        <v>24</v>
      </c>
      <c r="AA22" s="1430">
        <v>25</v>
      </c>
      <c r="AB22" s="1430">
        <v>26</v>
      </c>
      <c r="AC22" s="1430">
        <v>27</v>
      </c>
      <c r="AD22" s="1430">
        <v>28</v>
      </c>
      <c r="AE22" s="1430">
        <v>29</v>
      </c>
      <c r="AF22" s="1430">
        <v>30</v>
      </c>
      <c r="AG22" s="1430">
        <v>31</v>
      </c>
      <c r="AH22" s="583" t="s">
        <v>144</v>
      </c>
    </row>
    <row r="23" spans="1:50" ht="12">
      <c r="A23" s="573" t="s">
        <v>145</v>
      </c>
      <c r="B23" s="584">
        <f>+AH23</f>
        <v>0.5</v>
      </c>
      <c r="C23" s="634" t="s">
        <v>318</v>
      </c>
      <c r="D23" s="634" t="s">
        <v>318</v>
      </c>
      <c r="E23" s="634" t="s">
        <v>318</v>
      </c>
      <c r="F23" s="634" t="s">
        <v>318</v>
      </c>
      <c r="G23" s="634" t="s">
        <v>318</v>
      </c>
      <c r="H23" s="634" t="s">
        <v>318</v>
      </c>
      <c r="I23" s="634" t="s">
        <v>318</v>
      </c>
      <c r="J23" s="634" t="s">
        <v>318</v>
      </c>
      <c r="K23" s="634" t="s">
        <v>318</v>
      </c>
      <c r="L23" s="634" t="s">
        <v>318</v>
      </c>
      <c r="M23" s="634" t="s">
        <v>318</v>
      </c>
      <c r="N23" s="634" t="s">
        <v>318</v>
      </c>
      <c r="O23" s="634" t="s">
        <v>318</v>
      </c>
      <c r="P23" s="634" t="s">
        <v>318</v>
      </c>
      <c r="Q23" s="634" t="s">
        <v>318</v>
      </c>
      <c r="R23" s="634" t="s">
        <v>318</v>
      </c>
      <c r="S23" s="634" t="s">
        <v>318</v>
      </c>
      <c r="T23" s="634" t="s">
        <v>318</v>
      </c>
      <c r="U23" s="634" t="s">
        <v>318</v>
      </c>
      <c r="V23" s="1434">
        <v>0.5</v>
      </c>
      <c r="W23" s="634" t="s">
        <v>318</v>
      </c>
      <c r="X23" s="634" t="s">
        <v>318</v>
      </c>
      <c r="Y23" s="634" t="s">
        <v>318</v>
      </c>
      <c r="Z23" s="634" t="s">
        <v>318</v>
      </c>
      <c r="AA23" s="634" t="s">
        <v>318</v>
      </c>
      <c r="AB23" s="634" t="s">
        <v>318</v>
      </c>
      <c r="AC23" s="634" t="s">
        <v>318</v>
      </c>
      <c r="AD23" s="634" t="s">
        <v>318</v>
      </c>
      <c r="AE23" s="634" t="s">
        <v>318</v>
      </c>
      <c r="AF23" s="584"/>
      <c r="AG23" s="584"/>
      <c r="AH23" s="583">
        <f>+V23</f>
        <v>0.5</v>
      </c>
    </row>
    <row r="24" spans="1:50" ht="12">
      <c r="A24" s="573" t="s">
        <v>146</v>
      </c>
      <c r="B24" s="584">
        <f>SUM(AH24)</f>
        <v>1449.0149999999996</v>
      </c>
      <c r="C24" s="1435"/>
      <c r="D24" s="1436"/>
      <c r="E24" s="1437"/>
      <c r="F24" s="1123"/>
      <c r="G24" s="1438"/>
      <c r="H24" s="1439"/>
      <c r="I24" s="1123"/>
      <c r="J24" s="1436"/>
      <c r="K24" s="1436"/>
      <c r="L24" s="1436"/>
      <c r="M24" s="1436"/>
      <c r="N24" s="1440"/>
      <c r="O24" s="1436"/>
      <c r="P24" s="1441"/>
      <c r="Q24" s="1441"/>
      <c r="R24" s="1123"/>
      <c r="S24" s="1123"/>
      <c r="T24" s="1123">
        <v>336.29</v>
      </c>
      <c r="U24" s="1123">
        <v>101.72999999999999</v>
      </c>
      <c r="V24" s="1123">
        <v>150.5</v>
      </c>
      <c r="W24" s="1123">
        <v>50.784999999999997</v>
      </c>
      <c r="X24" s="1123">
        <v>22.47</v>
      </c>
      <c r="Y24" s="1123">
        <v>134.55500000000001</v>
      </c>
      <c r="Z24" s="1123">
        <v>306.14</v>
      </c>
      <c r="AA24" s="1123">
        <v>107.495</v>
      </c>
      <c r="AB24" s="1123">
        <v>239.05</v>
      </c>
      <c r="AC24" s="1123"/>
      <c r="AD24" s="1123"/>
      <c r="AE24" s="1129"/>
      <c r="AF24" s="1129"/>
      <c r="AG24" s="1129"/>
      <c r="AH24" s="583">
        <f>SUM(C24:AG24)</f>
        <v>1449.0149999999996</v>
      </c>
    </row>
    <row r="25" spans="1:50" ht="12">
      <c r="A25" s="573" t="s">
        <v>147</v>
      </c>
      <c r="B25" s="584">
        <f t="shared" ref="B25:B34" si="2">SUM(AH25)</f>
        <v>3734.8999999999996</v>
      </c>
      <c r="C25" s="1442"/>
      <c r="D25" s="1443">
        <v>217.33</v>
      </c>
      <c r="E25" s="1443">
        <v>162.42500000000001</v>
      </c>
      <c r="F25" s="1443"/>
      <c r="G25" s="1444">
        <v>127.31</v>
      </c>
      <c r="H25" s="1443">
        <v>227.81</v>
      </c>
      <c r="I25" s="1443">
        <v>250.24</v>
      </c>
      <c r="J25" s="1441">
        <v>8.3650000000000002</v>
      </c>
      <c r="K25" s="1441">
        <v>256.995</v>
      </c>
      <c r="L25" s="1441">
        <v>225.02500000000001</v>
      </c>
      <c r="M25" s="1441"/>
      <c r="N25" s="1435"/>
      <c r="O25" s="1435"/>
      <c r="P25" s="1445">
        <v>330.03500000000003</v>
      </c>
      <c r="Q25" s="1445">
        <v>344.08500000000004</v>
      </c>
      <c r="R25" s="1393">
        <v>111.895</v>
      </c>
      <c r="S25" s="1445">
        <v>121.36499999999999</v>
      </c>
      <c r="T25" s="1445">
        <v>375.935</v>
      </c>
      <c r="U25" s="1445">
        <v>329.15000000000003</v>
      </c>
      <c r="V25" s="1443">
        <v>179.68</v>
      </c>
      <c r="W25" s="1445">
        <v>297.71000000000004</v>
      </c>
      <c r="X25" s="1445">
        <v>15.635</v>
      </c>
      <c r="Y25" s="1445">
        <v>15.635</v>
      </c>
      <c r="Z25" s="1445"/>
      <c r="AA25" s="1445"/>
      <c r="AB25" s="1443">
        <v>29.39</v>
      </c>
      <c r="AC25" s="1443">
        <v>11.12</v>
      </c>
      <c r="AD25" s="1436"/>
      <c r="AE25" s="1443">
        <v>97.765000000000001</v>
      </c>
      <c r="AF25" s="1446"/>
      <c r="AG25" s="1446"/>
      <c r="AH25" s="583">
        <f t="shared" ref="AH25:AH29" si="3">SUM(C25:AG25)</f>
        <v>3734.8999999999996</v>
      </c>
    </row>
    <row r="26" spans="1:50" ht="12">
      <c r="A26" s="573" t="s">
        <v>148</v>
      </c>
      <c r="B26" s="584">
        <f t="shared" si="2"/>
        <v>2182.9900000000002</v>
      </c>
      <c r="C26" s="1440"/>
      <c r="D26" s="510"/>
      <c r="E26" s="1447"/>
      <c r="F26" s="1439"/>
      <c r="G26" s="1443"/>
      <c r="H26" s="1447"/>
      <c r="I26" s="1447"/>
      <c r="J26" s="1443"/>
      <c r="K26" s="1443"/>
      <c r="L26" s="1436"/>
      <c r="M26" s="1446"/>
      <c r="N26" s="1447">
        <v>95.64500000000001</v>
      </c>
      <c r="O26" s="1447">
        <v>8.7899999999999991</v>
      </c>
      <c r="P26" s="1447">
        <v>256.36500000000001</v>
      </c>
      <c r="Q26" s="1447">
        <v>381.75</v>
      </c>
      <c r="R26" s="1443">
        <v>291.995</v>
      </c>
      <c r="S26" s="1443"/>
      <c r="T26" s="1443">
        <v>2.13</v>
      </c>
      <c r="U26" s="1435"/>
      <c r="V26" s="1443">
        <v>325.17500000000001</v>
      </c>
      <c r="W26" s="1443">
        <v>425.41</v>
      </c>
      <c r="X26" s="1443">
        <v>116.47499999999999</v>
      </c>
      <c r="Y26" s="1443">
        <v>77.510000000000005</v>
      </c>
      <c r="Z26" s="1443"/>
      <c r="AA26" s="1436"/>
      <c r="AB26" s="1443">
        <v>80.204999999999998</v>
      </c>
      <c r="AC26" s="1447"/>
      <c r="AD26" s="1447">
        <v>121.54</v>
      </c>
      <c r="AE26" s="1443"/>
      <c r="AF26" s="1446"/>
      <c r="AG26" s="1446"/>
      <c r="AH26" s="583">
        <f t="shared" si="3"/>
        <v>2182.9900000000002</v>
      </c>
    </row>
    <row r="27" spans="1:50" ht="12">
      <c r="A27" s="573" t="s">
        <v>149</v>
      </c>
      <c r="B27" s="584">
        <f t="shared" si="2"/>
        <v>1558.1299999999999</v>
      </c>
      <c r="C27" s="1435"/>
      <c r="D27" s="1446"/>
      <c r="E27" s="1447">
        <v>207.27</v>
      </c>
      <c r="F27" s="1443">
        <v>107.145</v>
      </c>
      <c r="G27" s="1447">
        <v>93.995000000000005</v>
      </c>
      <c r="H27" s="1447"/>
      <c r="I27" s="1443"/>
      <c r="J27" s="1447"/>
      <c r="K27" s="1447">
        <v>110.44999999999999</v>
      </c>
      <c r="L27" s="1447">
        <v>27.055000000000003</v>
      </c>
      <c r="M27" s="1443"/>
      <c r="N27" s="1443"/>
      <c r="O27" s="1447"/>
      <c r="P27" s="1436"/>
      <c r="Q27" s="1446"/>
      <c r="R27" s="1443">
        <v>203.43</v>
      </c>
      <c r="S27" s="1443"/>
      <c r="T27" s="1447">
        <v>457.45499999999998</v>
      </c>
      <c r="U27" s="1436"/>
      <c r="V27" s="1436"/>
      <c r="W27" s="1436"/>
      <c r="X27" s="1436"/>
      <c r="Y27" s="1436"/>
      <c r="Z27" s="1447">
        <v>120.155</v>
      </c>
      <c r="AA27" s="1447">
        <v>85.06</v>
      </c>
      <c r="AB27" s="1447">
        <v>38.75</v>
      </c>
      <c r="AC27" s="1447">
        <v>107.065</v>
      </c>
      <c r="AD27" s="1443"/>
      <c r="AE27" s="1447">
        <v>0.3</v>
      </c>
      <c r="AF27" s="1443"/>
      <c r="AG27" s="1435"/>
      <c r="AH27" s="583">
        <f t="shared" si="3"/>
        <v>1558.1299999999999</v>
      </c>
    </row>
    <row r="28" spans="1:50" ht="12">
      <c r="A28" s="573" t="s">
        <v>150</v>
      </c>
      <c r="B28" s="584">
        <f t="shared" si="2"/>
        <v>2269.6950000000002</v>
      </c>
      <c r="C28" s="1436"/>
      <c r="D28" s="1443">
        <v>1</v>
      </c>
      <c r="E28" s="1447"/>
      <c r="F28" s="1443"/>
      <c r="G28" s="1447">
        <v>182.82</v>
      </c>
      <c r="H28" s="1447">
        <v>81.44</v>
      </c>
      <c r="I28" s="1447">
        <v>104.18</v>
      </c>
      <c r="J28" s="1435"/>
      <c r="K28" s="1436"/>
      <c r="L28" s="1436"/>
      <c r="M28" s="1447"/>
      <c r="N28" s="1447">
        <v>106.64</v>
      </c>
      <c r="O28" s="1447">
        <v>168.45499999999998</v>
      </c>
      <c r="P28" s="1447">
        <v>118.815</v>
      </c>
      <c r="Q28" s="1447">
        <v>142.685</v>
      </c>
      <c r="R28" s="1447">
        <v>83.710000000000008</v>
      </c>
      <c r="S28" s="1447"/>
      <c r="T28" s="1447">
        <v>22.324999999999999</v>
      </c>
      <c r="U28" s="1447">
        <v>251.215</v>
      </c>
      <c r="V28" s="1447">
        <v>95.2</v>
      </c>
      <c r="W28" s="1447">
        <v>171.21</v>
      </c>
      <c r="X28" s="1447">
        <v>143.22500000000002</v>
      </c>
      <c r="Y28" s="1447">
        <v>191.30500000000001</v>
      </c>
      <c r="Z28" s="1447">
        <v>250.20500000000004</v>
      </c>
      <c r="AA28" s="1447">
        <v>27.9</v>
      </c>
      <c r="AB28" s="1447"/>
      <c r="AC28" s="1447">
        <v>91.52000000000001</v>
      </c>
      <c r="AD28" s="1447">
        <v>35.844999999999999</v>
      </c>
      <c r="AE28" s="1447"/>
      <c r="AF28" s="1447"/>
      <c r="AG28" s="1435"/>
      <c r="AH28" s="583">
        <f t="shared" si="3"/>
        <v>2269.6950000000002</v>
      </c>
    </row>
    <row r="29" spans="1:50" ht="12">
      <c r="A29" s="573" t="s">
        <v>151</v>
      </c>
      <c r="B29" s="584">
        <f t="shared" si="2"/>
        <v>1522.288</v>
      </c>
      <c r="C29" s="1954"/>
      <c r="D29" s="1446"/>
      <c r="E29" s="1446"/>
      <c r="F29" s="1949"/>
      <c r="G29" s="1447">
        <v>104.68500000000002</v>
      </c>
      <c r="H29" s="1447">
        <v>69.289999999999992</v>
      </c>
      <c r="I29" s="1446"/>
      <c r="J29" s="1446"/>
      <c r="K29" s="1446">
        <v>2.3E-2</v>
      </c>
      <c r="L29" s="1446"/>
      <c r="M29" s="1446"/>
      <c r="N29" s="1953"/>
      <c r="O29" s="1447">
        <v>56.704999999999998</v>
      </c>
      <c r="P29" s="1435"/>
      <c r="Q29" s="1435"/>
      <c r="R29" s="1435"/>
      <c r="S29" s="1447">
        <v>214.7</v>
      </c>
      <c r="T29" s="1447">
        <v>342.21499999999997</v>
      </c>
      <c r="U29" s="1447">
        <v>203.38499999999999</v>
      </c>
      <c r="V29" s="1447">
        <v>116.94000000000001</v>
      </c>
      <c r="W29" s="1447"/>
      <c r="X29" s="1447">
        <v>161.94999999999999</v>
      </c>
      <c r="Y29" s="1447"/>
      <c r="Z29" s="1447">
        <v>197.465</v>
      </c>
      <c r="AA29" s="1447"/>
      <c r="AB29" s="1447"/>
      <c r="AC29" s="1447"/>
      <c r="AD29" s="1447"/>
      <c r="AE29" s="1447">
        <v>54.93</v>
      </c>
      <c r="AF29" s="1447"/>
      <c r="AG29" s="1447"/>
      <c r="AH29" s="583">
        <f t="shared" si="3"/>
        <v>1522.288</v>
      </c>
    </row>
    <row r="30" spans="1:50" ht="12">
      <c r="A30" s="573" t="s">
        <v>152</v>
      </c>
      <c r="B30" s="584">
        <f t="shared" si="2"/>
        <v>849.07999999999993</v>
      </c>
      <c r="C30" s="1435"/>
      <c r="D30" s="1950"/>
      <c r="E30" s="1435"/>
      <c r="F30" s="1951"/>
      <c r="G30" s="1435"/>
      <c r="H30" s="1435"/>
      <c r="I30" s="1435"/>
      <c r="J30" s="1436">
        <v>0.04</v>
      </c>
      <c r="K30" s="1435"/>
      <c r="L30" s="1435"/>
      <c r="M30" s="1435"/>
      <c r="N30" s="1952"/>
      <c r="O30" s="1435"/>
      <c r="P30" s="1435"/>
      <c r="Q30" s="1435"/>
      <c r="R30" s="1435"/>
      <c r="S30" s="1447">
        <v>157.125</v>
      </c>
      <c r="T30" s="1447">
        <v>182.155</v>
      </c>
      <c r="U30" s="1447">
        <v>101.07499999999999</v>
      </c>
      <c r="V30" s="1447">
        <v>140.465</v>
      </c>
      <c r="W30" s="1446">
        <v>107.92</v>
      </c>
      <c r="X30" s="1446">
        <v>160</v>
      </c>
      <c r="Y30" s="1446"/>
      <c r="Z30" s="1446"/>
      <c r="AA30" s="2000"/>
      <c r="AB30" s="2000"/>
      <c r="AC30" s="2000"/>
      <c r="AD30" s="2000"/>
      <c r="AE30" s="2000">
        <v>0.3</v>
      </c>
      <c r="AF30" s="2000"/>
      <c r="AG30" s="2000"/>
      <c r="AH30" s="583">
        <f t="shared" ref="AH30:AH34" si="4">SUM(C30:AG30)</f>
        <v>849.07999999999993</v>
      </c>
    </row>
    <row r="31" spans="1:50" ht="12">
      <c r="A31" s="573" t="s">
        <v>153</v>
      </c>
      <c r="B31" s="584">
        <f t="shared" si="2"/>
        <v>0.3</v>
      </c>
      <c r="C31" s="1999" t="s">
        <v>318</v>
      </c>
      <c r="D31" s="1999" t="s">
        <v>318</v>
      </c>
      <c r="E31" s="1999" t="s">
        <v>318</v>
      </c>
      <c r="F31" s="1999" t="s">
        <v>318</v>
      </c>
      <c r="G31" s="1999" t="s">
        <v>318</v>
      </c>
      <c r="H31" s="1999" t="s">
        <v>318</v>
      </c>
      <c r="I31" s="1999" t="s">
        <v>318</v>
      </c>
      <c r="J31" s="1999" t="s">
        <v>318</v>
      </c>
      <c r="K31" s="1999" t="s">
        <v>318</v>
      </c>
      <c r="L31" s="1999" t="s">
        <v>318</v>
      </c>
      <c r="M31" s="1999" t="s">
        <v>318</v>
      </c>
      <c r="N31" s="1999" t="s">
        <v>318</v>
      </c>
      <c r="O31" s="1999" t="s">
        <v>318</v>
      </c>
      <c r="P31" s="1999" t="s">
        <v>318</v>
      </c>
      <c r="Q31" s="1999" t="s">
        <v>318</v>
      </c>
      <c r="R31" s="1999" t="s">
        <v>318</v>
      </c>
      <c r="S31" s="1999" t="s">
        <v>318</v>
      </c>
      <c r="T31" s="1999" t="s">
        <v>318</v>
      </c>
      <c r="U31" s="1999" t="s">
        <v>318</v>
      </c>
      <c r="V31" s="1999" t="s">
        <v>318</v>
      </c>
      <c r="W31" s="1999" t="s">
        <v>318</v>
      </c>
      <c r="X31" s="1999" t="s">
        <v>318</v>
      </c>
      <c r="Y31" s="1999" t="s">
        <v>318</v>
      </c>
      <c r="Z31" s="584"/>
      <c r="AA31" s="584"/>
      <c r="AB31" s="584"/>
      <c r="AC31" s="584"/>
      <c r="AD31" s="584">
        <v>0.3</v>
      </c>
      <c r="AE31" s="584"/>
      <c r="AF31" s="584"/>
      <c r="AG31" s="584"/>
      <c r="AH31" s="583">
        <f t="shared" si="4"/>
        <v>0.3</v>
      </c>
    </row>
    <row r="32" spans="1:50" ht="12">
      <c r="A32" s="573" t="s">
        <v>154</v>
      </c>
      <c r="B32" s="584">
        <f t="shared" si="2"/>
        <v>744.63599999999997</v>
      </c>
      <c r="C32" s="584"/>
      <c r="D32" s="584">
        <v>199.155</v>
      </c>
      <c r="E32" s="584"/>
      <c r="F32" s="584"/>
      <c r="G32" s="584"/>
      <c r="H32" s="584"/>
      <c r="I32" s="584"/>
      <c r="J32" s="584">
        <v>0.15</v>
      </c>
      <c r="K32" s="584"/>
      <c r="L32" s="584">
        <v>0.2</v>
      </c>
      <c r="M32" s="584"/>
      <c r="N32" s="584"/>
      <c r="O32" s="584"/>
      <c r="P32" s="584"/>
      <c r="Q32" s="584"/>
      <c r="R32" s="583"/>
      <c r="S32" s="583"/>
      <c r="T32" s="583">
        <v>0.11</v>
      </c>
      <c r="U32" s="583"/>
      <c r="V32" s="583"/>
      <c r="W32" s="583"/>
      <c r="X32" s="583"/>
      <c r="Y32" s="583">
        <v>183.33500000000001</v>
      </c>
      <c r="Z32" s="583"/>
      <c r="AA32" s="583">
        <v>143.51999999999998</v>
      </c>
      <c r="AB32" s="583"/>
      <c r="AC32" s="583">
        <v>108.9</v>
      </c>
      <c r="AD32" s="583"/>
      <c r="AE32" s="583">
        <v>57.88</v>
      </c>
      <c r="AF32" s="583">
        <v>28.39</v>
      </c>
      <c r="AG32" s="583">
        <v>22.996000000000002</v>
      </c>
      <c r="AH32" s="583">
        <f t="shared" si="4"/>
        <v>744.63599999999997</v>
      </c>
    </row>
    <row r="33" spans="1:34" ht="12">
      <c r="A33" s="573" t="s">
        <v>155</v>
      </c>
      <c r="B33" s="584">
        <f t="shared" si="2"/>
        <v>2144.7300000000005</v>
      </c>
      <c r="C33" s="584"/>
      <c r="D33" s="583"/>
      <c r="E33" s="583"/>
      <c r="F33" s="583"/>
      <c r="G33" s="583"/>
      <c r="H33" s="583"/>
      <c r="I33" s="583">
        <v>221.34000000000003</v>
      </c>
      <c r="J33" s="583">
        <v>111.455</v>
      </c>
      <c r="K33" s="583">
        <v>188.16499999999999</v>
      </c>
      <c r="L33" s="583">
        <v>11.865</v>
      </c>
      <c r="M33" s="583"/>
      <c r="N33" s="583">
        <v>189.57000000000002</v>
      </c>
      <c r="O33" s="583">
        <v>240.57000000000002</v>
      </c>
      <c r="P33" s="583">
        <v>110.53</v>
      </c>
      <c r="Q33" s="583">
        <v>241.28500000000003</v>
      </c>
      <c r="R33" s="584">
        <v>177.88499999999999</v>
      </c>
      <c r="S33" s="584">
        <v>139.15</v>
      </c>
      <c r="T33" s="584"/>
      <c r="U33" s="584">
        <v>238.68</v>
      </c>
      <c r="V33" s="584">
        <v>106.38500000000001</v>
      </c>
      <c r="W33" s="584">
        <v>62.085000000000001</v>
      </c>
      <c r="X33" s="584">
        <v>70.245000000000005</v>
      </c>
      <c r="Y33" s="584">
        <v>34.299999999999997</v>
      </c>
      <c r="Z33" s="584">
        <v>1.2</v>
      </c>
      <c r="AA33" s="584"/>
      <c r="AB33" s="584">
        <v>0.02</v>
      </c>
      <c r="AC33" s="584"/>
      <c r="AD33" s="584"/>
      <c r="AE33" s="584"/>
      <c r="AF33" s="584"/>
      <c r="AG33" s="584"/>
      <c r="AH33" s="583">
        <f t="shared" si="4"/>
        <v>2144.7300000000005</v>
      </c>
    </row>
    <row r="34" spans="1:34" ht="12">
      <c r="A34" s="573" t="s">
        <v>156</v>
      </c>
      <c r="B34" s="584">
        <f t="shared" si="2"/>
        <v>3557.2150000000001</v>
      </c>
      <c r="C34" s="584"/>
      <c r="D34" s="584"/>
      <c r="E34" s="584"/>
      <c r="F34" s="584">
        <v>275.46499999999997</v>
      </c>
      <c r="G34" s="584">
        <v>137.68</v>
      </c>
      <c r="H34" s="584">
        <v>400.56</v>
      </c>
      <c r="I34" s="584"/>
      <c r="J34" s="584"/>
      <c r="K34" s="584"/>
      <c r="L34" s="584">
        <v>286.78999999999996</v>
      </c>
      <c r="M34" s="584">
        <v>227.89</v>
      </c>
      <c r="N34" s="584">
        <v>360.84500000000003</v>
      </c>
      <c r="O34" s="584">
        <v>148.33500000000001</v>
      </c>
      <c r="P34" s="584">
        <v>245.17000000000002</v>
      </c>
      <c r="Q34" s="584">
        <v>268.375</v>
      </c>
      <c r="R34" s="584">
        <v>196.8</v>
      </c>
      <c r="S34" s="584"/>
      <c r="T34" s="584">
        <v>35.880000000000003</v>
      </c>
      <c r="U34" s="584">
        <v>160.465</v>
      </c>
      <c r="V34" s="584">
        <v>290.375</v>
      </c>
      <c r="W34" s="584"/>
      <c r="X34" s="584">
        <v>0.5</v>
      </c>
      <c r="Y34" s="584">
        <v>0.3</v>
      </c>
      <c r="Z34" s="584"/>
      <c r="AA34" s="584"/>
      <c r="AB34" s="584">
        <v>182.53500000000003</v>
      </c>
      <c r="AC34" s="584">
        <v>178.32</v>
      </c>
      <c r="AD34" s="584">
        <v>160.92999999999998</v>
      </c>
      <c r="AE34" s="584"/>
      <c r="AF34" s="584"/>
      <c r="AG34" s="584"/>
      <c r="AH34" s="583">
        <f t="shared" si="4"/>
        <v>3557.2150000000001</v>
      </c>
    </row>
    <row r="35" spans="1:34" ht="12">
      <c r="A35" s="1432" t="s">
        <v>144</v>
      </c>
      <c r="B35" s="584">
        <f>SUM(B23:B34)</f>
        <v>20013.478999999999</v>
      </c>
      <c r="C35" s="583"/>
      <c r="D35" s="583"/>
      <c r="E35" s="583"/>
      <c r="F35" s="583"/>
      <c r="G35" s="583"/>
      <c r="H35" s="583"/>
      <c r="I35" s="583"/>
      <c r="J35" s="583"/>
      <c r="K35" s="583"/>
      <c r="L35" s="583"/>
      <c r="M35" s="583"/>
      <c r="N35" s="583"/>
      <c r="O35" s="583"/>
      <c r="P35" s="583"/>
      <c r="Q35" s="583"/>
      <c r="R35" s="583"/>
      <c r="S35" s="583"/>
      <c r="T35" s="583"/>
      <c r="U35" s="583"/>
      <c r="V35" s="583"/>
      <c r="W35" s="583"/>
      <c r="X35" s="583"/>
      <c r="Y35" s="583"/>
      <c r="Z35" s="583"/>
      <c r="AA35" s="583"/>
      <c r="AB35" s="583"/>
      <c r="AC35" s="583"/>
      <c r="AD35" s="583"/>
      <c r="AE35" s="583"/>
      <c r="AF35" s="583"/>
      <c r="AG35" s="583"/>
      <c r="AH35" s="583">
        <f>SUM(AH23:AH34)</f>
        <v>20013.478999999999</v>
      </c>
    </row>
    <row r="36" spans="1:34" ht="12">
      <c r="A36" s="1448"/>
      <c r="B36" s="1449"/>
      <c r="C36" s="1421"/>
      <c r="D36" s="607"/>
      <c r="E36" s="607"/>
      <c r="F36" s="607"/>
      <c r="G36" s="607"/>
      <c r="H36" s="607"/>
      <c r="I36" s="607"/>
      <c r="J36" s="607"/>
      <c r="K36" s="607"/>
      <c r="L36" s="607"/>
      <c r="M36" s="607"/>
      <c r="N36" s="607"/>
      <c r="O36" s="607"/>
      <c r="P36" s="607"/>
      <c r="Q36" s="607"/>
      <c r="R36" s="607"/>
      <c r="S36" s="607"/>
      <c r="T36" s="607"/>
      <c r="U36" s="607"/>
      <c r="V36" s="607"/>
      <c r="W36" s="607"/>
      <c r="X36" s="607"/>
      <c r="Y36" s="607"/>
      <c r="Z36" s="607"/>
      <c r="AA36" s="607"/>
      <c r="AB36" s="607"/>
      <c r="AC36" s="607"/>
      <c r="AD36" s="607"/>
      <c r="AE36" s="607"/>
      <c r="AF36" s="607"/>
      <c r="AG36" s="607"/>
      <c r="AH36" s="1421"/>
    </row>
    <row r="37" spans="1:34" ht="12">
      <c r="A37" s="3864" t="s">
        <v>158</v>
      </c>
      <c r="B37" s="3865"/>
      <c r="C37" s="3866"/>
      <c r="D37" s="607"/>
      <c r="E37" s="607"/>
      <c r="F37" s="607"/>
      <c r="G37" s="607"/>
      <c r="H37" s="607"/>
      <c r="I37" s="607"/>
      <c r="J37" s="607"/>
      <c r="K37" s="607"/>
      <c r="L37" s="607"/>
      <c r="M37" s="607"/>
      <c r="N37" s="607"/>
      <c r="O37" s="607"/>
      <c r="P37" s="607"/>
      <c r="Q37" s="607"/>
      <c r="R37" s="607"/>
      <c r="S37" s="607"/>
      <c r="T37" s="607"/>
      <c r="U37" s="607"/>
      <c r="V37" s="607"/>
      <c r="W37" s="607"/>
      <c r="X37" s="607"/>
      <c r="Y37" s="607"/>
      <c r="Z37" s="607"/>
      <c r="AA37" s="607"/>
      <c r="AB37" s="607"/>
      <c r="AC37" s="607"/>
      <c r="AD37" s="607"/>
      <c r="AE37" s="607"/>
      <c r="AF37" s="607"/>
      <c r="AG37" s="607"/>
      <c r="AH37" s="1421"/>
    </row>
    <row r="38" spans="1:34" ht="12">
      <c r="A38" s="572" t="s">
        <v>142</v>
      </c>
      <c r="B38" s="584" t="s">
        <v>143</v>
      </c>
      <c r="C38" s="1930">
        <v>1</v>
      </c>
      <c r="D38" s="1430">
        <v>2</v>
      </c>
      <c r="E38" s="1430">
        <v>3</v>
      </c>
      <c r="F38" s="1430">
        <v>4</v>
      </c>
      <c r="G38" s="1430">
        <v>5</v>
      </c>
      <c r="H38" s="1430">
        <v>6</v>
      </c>
      <c r="I38" s="1430">
        <v>7</v>
      </c>
      <c r="J38" s="1430">
        <v>8</v>
      </c>
      <c r="K38" s="1430">
        <v>9</v>
      </c>
      <c r="L38" s="1430">
        <v>10</v>
      </c>
      <c r="M38" s="1430">
        <v>11</v>
      </c>
      <c r="N38" s="1430">
        <v>12</v>
      </c>
      <c r="O38" s="1430">
        <v>13</v>
      </c>
      <c r="P38" s="1430">
        <v>14</v>
      </c>
      <c r="Q38" s="1430">
        <v>15</v>
      </c>
      <c r="R38" s="1430">
        <v>16</v>
      </c>
      <c r="S38" s="1430">
        <v>17</v>
      </c>
      <c r="T38" s="1430">
        <v>18</v>
      </c>
      <c r="U38" s="1430">
        <v>19</v>
      </c>
      <c r="V38" s="1430">
        <v>20</v>
      </c>
      <c r="W38" s="1430">
        <v>21</v>
      </c>
      <c r="X38" s="1430">
        <v>22</v>
      </c>
      <c r="Y38" s="1430">
        <v>23</v>
      </c>
      <c r="Z38" s="1430">
        <v>24</v>
      </c>
      <c r="AA38" s="1430">
        <v>25</v>
      </c>
      <c r="AB38" s="1430">
        <v>26</v>
      </c>
      <c r="AC38" s="1430">
        <v>27</v>
      </c>
      <c r="AD38" s="1430">
        <v>28</v>
      </c>
      <c r="AE38" s="1430">
        <v>29</v>
      </c>
      <c r="AF38" s="1430">
        <v>30</v>
      </c>
      <c r="AG38" s="1430">
        <v>31</v>
      </c>
      <c r="AH38" s="583" t="s">
        <v>144</v>
      </c>
    </row>
    <row r="39" spans="1:34" ht="12">
      <c r="A39" s="573" t="s">
        <v>145</v>
      </c>
      <c r="B39" s="584">
        <f t="shared" ref="B39:B50" si="5">+AH39</f>
        <v>252</v>
      </c>
      <c r="C39" s="583"/>
      <c r="D39" s="584"/>
      <c r="E39" s="584"/>
      <c r="F39" s="584"/>
      <c r="G39" s="584">
        <v>120</v>
      </c>
      <c r="H39" s="584">
        <v>55</v>
      </c>
      <c r="I39" s="584">
        <v>6</v>
      </c>
      <c r="J39" s="584">
        <v>0</v>
      </c>
      <c r="K39" s="584">
        <v>0</v>
      </c>
      <c r="L39" s="584">
        <v>0</v>
      </c>
      <c r="M39" s="584">
        <v>14</v>
      </c>
      <c r="N39" s="1451">
        <v>0</v>
      </c>
      <c r="O39" s="1451">
        <v>0</v>
      </c>
      <c r="P39" s="1451">
        <v>3</v>
      </c>
      <c r="Q39" s="1451">
        <v>26</v>
      </c>
      <c r="R39" s="1451">
        <v>15</v>
      </c>
      <c r="S39" s="1452">
        <v>0</v>
      </c>
      <c r="T39" s="584">
        <v>0</v>
      </c>
      <c r="U39" s="584">
        <v>0</v>
      </c>
      <c r="V39" s="584">
        <v>0</v>
      </c>
      <c r="W39" s="584">
        <v>0</v>
      </c>
      <c r="X39" s="1453">
        <v>0</v>
      </c>
      <c r="Y39" s="584">
        <v>0</v>
      </c>
      <c r="Z39" s="584">
        <v>0</v>
      </c>
      <c r="AA39" s="584">
        <v>0</v>
      </c>
      <c r="AB39" s="584">
        <v>0</v>
      </c>
      <c r="AC39" s="584">
        <v>0</v>
      </c>
      <c r="AD39" s="584">
        <v>0</v>
      </c>
      <c r="AE39" s="584">
        <v>0</v>
      </c>
      <c r="AF39" s="584">
        <v>0</v>
      </c>
      <c r="AG39" s="584">
        <v>13</v>
      </c>
      <c r="AH39" s="583">
        <f>SUM(C39:AG39)</f>
        <v>252</v>
      </c>
    </row>
    <row r="40" spans="1:34" ht="12">
      <c r="A40" s="573" t="s">
        <v>146</v>
      </c>
      <c r="B40" s="584">
        <f t="shared" si="5"/>
        <v>1331</v>
      </c>
      <c r="C40" s="1451">
        <v>0</v>
      </c>
      <c r="D40" s="1451">
        <v>0</v>
      </c>
      <c r="E40" s="1451">
        <v>0</v>
      </c>
      <c r="F40" s="1451">
        <v>0</v>
      </c>
      <c r="G40" s="1451">
        <v>0</v>
      </c>
      <c r="H40" s="1451">
        <v>0</v>
      </c>
      <c r="I40" s="1451">
        <v>0</v>
      </c>
      <c r="J40" s="1451">
        <v>0</v>
      </c>
      <c r="K40" s="1451">
        <v>0</v>
      </c>
      <c r="L40" s="1451">
        <v>18</v>
      </c>
      <c r="M40" s="1451"/>
      <c r="N40" s="1451"/>
      <c r="O40" s="1451">
        <v>2</v>
      </c>
      <c r="P40" s="1451">
        <v>35</v>
      </c>
      <c r="Q40" s="1451">
        <v>155</v>
      </c>
      <c r="R40" s="1451">
        <v>137</v>
      </c>
      <c r="S40" s="1451">
        <v>15</v>
      </c>
      <c r="T40" s="1451">
        <v>79</v>
      </c>
      <c r="U40" s="1451">
        <v>10</v>
      </c>
      <c r="V40" s="1451">
        <v>148</v>
      </c>
      <c r="W40" s="1451">
        <v>512</v>
      </c>
      <c r="X40" s="1451">
        <v>62</v>
      </c>
      <c r="Y40" s="1451">
        <v>51</v>
      </c>
      <c r="Z40" s="1451">
        <v>2</v>
      </c>
      <c r="AA40" s="1451">
        <v>22</v>
      </c>
      <c r="AB40" s="1451"/>
      <c r="AC40" s="1451"/>
      <c r="AD40" s="1451">
        <v>75</v>
      </c>
      <c r="AE40" s="1451">
        <v>8</v>
      </c>
      <c r="AF40" s="1451"/>
      <c r="AG40" s="1451"/>
      <c r="AH40" s="1454">
        <f t="shared" ref="AH40:AH50" si="6">SUM(C40:AG40)</f>
        <v>1331</v>
      </c>
    </row>
    <row r="41" spans="1:34" ht="12">
      <c r="A41" s="573" t="s">
        <v>147</v>
      </c>
      <c r="B41" s="584">
        <f t="shared" si="5"/>
        <v>300</v>
      </c>
      <c r="C41" s="1451"/>
      <c r="D41" s="1451">
        <v>1</v>
      </c>
      <c r="E41" s="1451">
        <v>3</v>
      </c>
      <c r="F41" s="1451"/>
      <c r="G41" s="1451"/>
      <c r="H41" s="1451"/>
      <c r="I41" s="1451">
        <v>16</v>
      </c>
      <c r="J41" s="1451">
        <v>4</v>
      </c>
      <c r="K41" s="1451"/>
      <c r="L41" s="1451"/>
      <c r="M41" s="1451"/>
      <c r="N41" s="1451">
        <v>2</v>
      </c>
      <c r="O41" s="1451"/>
      <c r="P41" s="1451">
        <v>16</v>
      </c>
      <c r="Q41" s="1451"/>
      <c r="R41" s="1451">
        <v>23</v>
      </c>
      <c r="S41" s="1451">
        <v>13</v>
      </c>
      <c r="T41" s="1451"/>
      <c r="U41" s="1451"/>
      <c r="V41" s="1451"/>
      <c r="W41" s="1451"/>
      <c r="X41" s="1451">
        <v>22</v>
      </c>
      <c r="Y41" s="1451">
        <v>14</v>
      </c>
      <c r="Z41" s="1451"/>
      <c r="AA41" s="1451"/>
      <c r="AB41" s="1451"/>
      <c r="AC41" s="1451"/>
      <c r="AD41" s="1451"/>
      <c r="AE41" s="1451">
        <v>94</v>
      </c>
      <c r="AF41" s="1451">
        <v>27</v>
      </c>
      <c r="AG41" s="1451">
        <v>65</v>
      </c>
      <c r="AH41" s="1454">
        <f t="shared" si="6"/>
        <v>300</v>
      </c>
    </row>
    <row r="42" spans="1:34" ht="12">
      <c r="A42" s="573" t="s">
        <v>148</v>
      </c>
      <c r="B42" s="584">
        <f t="shared" si="5"/>
        <v>4981</v>
      </c>
      <c r="C42" s="1451">
        <v>34</v>
      </c>
      <c r="D42" s="1451">
        <v>38</v>
      </c>
      <c r="E42" s="1451">
        <v>128</v>
      </c>
      <c r="F42" s="1451">
        <v>436</v>
      </c>
      <c r="G42" s="1451">
        <v>189</v>
      </c>
      <c r="H42" s="1451"/>
      <c r="I42" s="1451"/>
      <c r="J42" s="1451"/>
      <c r="K42" s="1451">
        <v>132</v>
      </c>
      <c r="L42" s="1451">
        <v>466</v>
      </c>
      <c r="M42" s="1451">
        <v>142</v>
      </c>
      <c r="N42" s="1451">
        <v>89</v>
      </c>
      <c r="O42" s="1451">
        <v>23</v>
      </c>
      <c r="P42" s="1451">
        <v>6</v>
      </c>
      <c r="Q42" s="1451"/>
      <c r="R42" s="1451">
        <v>61</v>
      </c>
      <c r="S42" s="1451">
        <v>20</v>
      </c>
      <c r="T42" s="1451">
        <v>438</v>
      </c>
      <c r="U42" s="1451">
        <v>51</v>
      </c>
      <c r="V42" s="1451">
        <v>519</v>
      </c>
      <c r="W42" s="1451">
        <v>242</v>
      </c>
      <c r="X42" s="1451">
        <v>619</v>
      </c>
      <c r="Y42" s="1451">
        <v>469</v>
      </c>
      <c r="Z42" s="1451">
        <v>216</v>
      </c>
      <c r="AA42" s="1451">
        <v>257</v>
      </c>
      <c r="AB42" s="1451">
        <v>238</v>
      </c>
      <c r="AC42" s="1451">
        <v>31</v>
      </c>
      <c r="AD42" s="1451">
        <v>137</v>
      </c>
      <c r="AE42" s="1451"/>
      <c r="AF42" s="1451"/>
      <c r="AG42" s="1451"/>
      <c r="AH42" s="1454">
        <f t="shared" si="6"/>
        <v>4981</v>
      </c>
    </row>
    <row r="43" spans="1:34" ht="12">
      <c r="A43" s="573" t="s">
        <v>149</v>
      </c>
      <c r="B43" s="584">
        <f t="shared" si="5"/>
        <v>6233</v>
      </c>
      <c r="C43" s="1451"/>
      <c r="D43" s="1451"/>
      <c r="E43" s="1451">
        <v>419</v>
      </c>
      <c r="F43" s="1451">
        <v>188</v>
      </c>
      <c r="G43" s="1451">
        <v>360</v>
      </c>
      <c r="H43" s="1451">
        <v>145</v>
      </c>
      <c r="I43" s="1451">
        <v>686</v>
      </c>
      <c r="J43" s="1451">
        <v>1450</v>
      </c>
      <c r="K43" s="1451">
        <v>324</v>
      </c>
      <c r="L43" s="1451">
        <v>79</v>
      </c>
      <c r="M43" s="1451">
        <v>58</v>
      </c>
      <c r="N43" s="1451">
        <v>5</v>
      </c>
      <c r="O43" s="1451">
        <v>0</v>
      </c>
      <c r="P43" s="1451">
        <v>308</v>
      </c>
      <c r="Q43" s="1451">
        <v>177</v>
      </c>
      <c r="R43" s="1451">
        <v>231</v>
      </c>
      <c r="S43" s="1451">
        <v>132</v>
      </c>
      <c r="T43" s="1451">
        <v>24</v>
      </c>
      <c r="U43" s="1451"/>
      <c r="V43" s="1451"/>
      <c r="W43" s="1451"/>
      <c r="X43" s="1451"/>
      <c r="Y43" s="1451"/>
      <c r="Z43" s="1451">
        <v>467</v>
      </c>
      <c r="AA43" s="1451">
        <v>316</v>
      </c>
      <c r="AB43" s="1451">
        <v>216</v>
      </c>
      <c r="AC43" s="1451">
        <v>345</v>
      </c>
      <c r="AD43" s="1451">
        <v>138</v>
      </c>
      <c r="AE43" s="1451"/>
      <c r="AF43" s="1451"/>
      <c r="AG43" s="1451">
        <v>165</v>
      </c>
      <c r="AH43" s="1454">
        <f t="shared" si="6"/>
        <v>6233</v>
      </c>
    </row>
    <row r="44" spans="1:34" ht="12">
      <c r="A44" s="573" t="s">
        <v>150</v>
      </c>
      <c r="B44" s="584">
        <f t="shared" si="5"/>
        <v>1558</v>
      </c>
      <c r="C44" s="1455">
        <v>96</v>
      </c>
      <c r="D44" s="901">
        <v>167</v>
      </c>
      <c r="E44" s="901">
        <v>2</v>
      </c>
      <c r="F44" s="901">
        <v>8</v>
      </c>
      <c r="G44" s="901"/>
      <c r="H44" s="901"/>
      <c r="I44" s="901">
        <v>126</v>
      </c>
      <c r="J44" s="901">
        <v>236</v>
      </c>
      <c r="K44" s="901">
        <v>126</v>
      </c>
      <c r="L44" s="901">
        <v>232</v>
      </c>
      <c r="M44" s="901">
        <v>435</v>
      </c>
      <c r="N44" s="901">
        <v>48</v>
      </c>
      <c r="O44" s="901">
        <v>25</v>
      </c>
      <c r="P44" s="901">
        <v>0</v>
      </c>
      <c r="Q44" s="901">
        <v>0</v>
      </c>
      <c r="R44" s="901">
        <v>0</v>
      </c>
      <c r="S44" s="901">
        <v>0</v>
      </c>
      <c r="T44" s="901">
        <v>0</v>
      </c>
      <c r="U44" s="901">
        <v>0</v>
      </c>
      <c r="V44" s="901">
        <v>0</v>
      </c>
      <c r="W44" s="901">
        <v>0</v>
      </c>
      <c r="X44" s="901">
        <v>0</v>
      </c>
      <c r="Y44" s="901">
        <v>0</v>
      </c>
      <c r="Z44" s="901">
        <v>0</v>
      </c>
      <c r="AA44" s="901">
        <v>0</v>
      </c>
      <c r="AB44" s="901"/>
      <c r="AC44" s="901">
        <v>57</v>
      </c>
      <c r="AD44" s="901"/>
      <c r="AE44" s="901"/>
      <c r="AF44" s="901"/>
      <c r="AG44" s="901"/>
      <c r="AH44" s="1454">
        <f t="shared" si="6"/>
        <v>1558</v>
      </c>
    </row>
    <row r="45" spans="1:34" ht="12">
      <c r="A45" s="573" t="s">
        <v>151</v>
      </c>
      <c r="B45" s="584">
        <f t="shared" si="5"/>
        <v>0.21</v>
      </c>
      <c r="C45" s="583"/>
      <c r="D45" s="583"/>
      <c r="E45" s="583"/>
      <c r="F45" s="583"/>
      <c r="G45" s="583"/>
      <c r="H45" s="584"/>
      <c r="I45" s="584"/>
      <c r="J45" s="584"/>
      <c r="K45" s="584"/>
      <c r="L45" s="584"/>
      <c r="M45" s="584"/>
      <c r="N45" s="584"/>
      <c r="O45" s="584"/>
      <c r="P45" s="584"/>
      <c r="Q45" s="584"/>
      <c r="R45" s="584"/>
      <c r="S45" s="584"/>
      <c r="T45" s="584"/>
      <c r="U45" s="584"/>
      <c r="V45" s="584"/>
      <c r="W45" s="584"/>
      <c r="X45" s="584"/>
      <c r="Y45" s="584"/>
      <c r="Z45" s="584"/>
      <c r="AA45" s="584"/>
      <c r="AB45" s="584"/>
      <c r="AC45" s="584">
        <v>0.21</v>
      </c>
      <c r="AD45" s="584"/>
      <c r="AE45" s="584"/>
      <c r="AF45" s="584"/>
      <c r="AG45" s="584"/>
      <c r="AH45" s="583">
        <f t="shared" si="6"/>
        <v>0.21</v>
      </c>
    </row>
    <row r="46" spans="1:34" ht="12">
      <c r="A46" s="573" t="s">
        <v>152</v>
      </c>
      <c r="B46" s="584">
        <f t="shared" si="5"/>
        <v>0</v>
      </c>
      <c r="C46" s="583"/>
      <c r="D46" s="584"/>
      <c r="E46" s="584"/>
      <c r="F46" s="584"/>
      <c r="G46" s="584"/>
      <c r="H46" s="584"/>
      <c r="I46" s="584"/>
      <c r="J46" s="584"/>
      <c r="K46" s="584"/>
      <c r="L46" s="584"/>
      <c r="M46" s="584"/>
      <c r="N46" s="584"/>
      <c r="O46" s="584"/>
      <c r="P46" s="584"/>
      <c r="Q46" s="584"/>
      <c r="R46" s="584"/>
      <c r="S46" s="584"/>
      <c r="T46" s="584"/>
      <c r="U46" s="584"/>
      <c r="V46" s="584"/>
      <c r="W46" s="584"/>
      <c r="X46" s="584"/>
      <c r="Y46" s="584"/>
      <c r="Z46" s="584"/>
      <c r="AA46" s="1999" t="s">
        <v>318</v>
      </c>
      <c r="AB46" s="1999" t="s">
        <v>318</v>
      </c>
      <c r="AC46" s="1999" t="s">
        <v>318</v>
      </c>
      <c r="AD46" s="1999" t="s">
        <v>318</v>
      </c>
      <c r="AE46" s="1999" t="s">
        <v>318</v>
      </c>
      <c r="AF46" s="1999" t="s">
        <v>318</v>
      </c>
      <c r="AG46" s="1999" t="s">
        <v>318</v>
      </c>
      <c r="AH46" s="583">
        <f t="shared" si="6"/>
        <v>0</v>
      </c>
    </row>
    <row r="47" spans="1:34" ht="12">
      <c r="A47" s="573" t="s">
        <v>153</v>
      </c>
      <c r="B47" s="584">
        <f t="shared" si="5"/>
        <v>0</v>
      </c>
      <c r="C47" s="1999" t="s">
        <v>318</v>
      </c>
      <c r="D47" s="1999" t="s">
        <v>318</v>
      </c>
      <c r="E47" s="1999" t="s">
        <v>318</v>
      </c>
      <c r="F47" s="1999" t="s">
        <v>318</v>
      </c>
      <c r="G47" s="1999" t="s">
        <v>318</v>
      </c>
      <c r="H47" s="1999" t="s">
        <v>318</v>
      </c>
      <c r="I47" s="1999" t="s">
        <v>318</v>
      </c>
      <c r="J47" s="1999" t="s">
        <v>318</v>
      </c>
      <c r="K47" s="1999" t="s">
        <v>318</v>
      </c>
      <c r="L47" s="1999" t="s">
        <v>318</v>
      </c>
      <c r="M47" s="1999" t="s">
        <v>318</v>
      </c>
      <c r="N47" s="1999" t="s">
        <v>318</v>
      </c>
      <c r="O47" s="1999" t="s">
        <v>318</v>
      </c>
      <c r="P47" s="1999" t="s">
        <v>318</v>
      </c>
      <c r="Q47" s="1999" t="s">
        <v>318</v>
      </c>
      <c r="R47" s="1999" t="s">
        <v>318</v>
      </c>
      <c r="S47" s="1999" t="s">
        <v>318</v>
      </c>
      <c r="T47" s="1999" t="s">
        <v>318</v>
      </c>
      <c r="U47" s="1999" t="s">
        <v>318</v>
      </c>
      <c r="V47" s="1999" t="s">
        <v>318</v>
      </c>
      <c r="W47" s="1999" t="s">
        <v>318</v>
      </c>
      <c r="X47" s="1999" t="s">
        <v>318</v>
      </c>
      <c r="Y47" s="1999" t="s">
        <v>318</v>
      </c>
      <c r="Z47" s="584"/>
      <c r="AA47" s="584"/>
      <c r="AB47" s="584"/>
      <c r="AC47" s="584"/>
      <c r="AD47" s="584"/>
      <c r="AE47" s="584"/>
      <c r="AF47" s="584"/>
      <c r="AG47" s="584"/>
      <c r="AH47" s="583">
        <f t="shared" si="6"/>
        <v>0</v>
      </c>
    </row>
    <row r="48" spans="1:34" ht="12">
      <c r="A48" s="573" t="s">
        <v>154</v>
      </c>
      <c r="B48" s="584">
        <f t="shared" si="5"/>
        <v>1695</v>
      </c>
      <c r="C48" s="583"/>
      <c r="D48" s="584"/>
      <c r="E48" s="584"/>
      <c r="F48" s="584"/>
      <c r="G48" s="584"/>
      <c r="H48" s="584"/>
      <c r="I48" s="584"/>
      <c r="J48" s="584"/>
      <c r="K48" s="584"/>
      <c r="L48" s="584"/>
      <c r="M48" s="584"/>
      <c r="N48" s="584"/>
      <c r="O48" s="584"/>
      <c r="P48" s="584"/>
      <c r="Q48" s="584">
        <v>10</v>
      </c>
      <c r="R48" s="584"/>
      <c r="S48" s="584">
        <v>83</v>
      </c>
      <c r="T48" s="584">
        <v>222</v>
      </c>
      <c r="U48" s="584">
        <v>323</v>
      </c>
      <c r="V48" s="584">
        <v>75</v>
      </c>
      <c r="W48" s="584">
        <v>192</v>
      </c>
      <c r="X48" s="584">
        <v>15</v>
      </c>
      <c r="Y48" s="584">
        <v>188</v>
      </c>
      <c r="Z48" s="584">
        <v>129</v>
      </c>
      <c r="AA48" s="584">
        <v>117</v>
      </c>
      <c r="AB48" s="584"/>
      <c r="AC48" s="584"/>
      <c r="AD48" s="584"/>
      <c r="AE48" s="584"/>
      <c r="AF48" s="584">
        <v>224</v>
      </c>
      <c r="AG48" s="584">
        <v>117</v>
      </c>
      <c r="AH48" s="583">
        <f t="shared" si="6"/>
        <v>1695</v>
      </c>
    </row>
    <row r="49" spans="1:34" ht="12">
      <c r="A49" s="573" t="s">
        <v>155</v>
      </c>
      <c r="B49" s="584">
        <f t="shared" si="5"/>
        <v>2662</v>
      </c>
      <c r="C49" s="583"/>
      <c r="D49" s="584"/>
      <c r="E49" s="584">
        <v>12</v>
      </c>
      <c r="F49" s="584">
        <v>17</v>
      </c>
      <c r="G49" s="584"/>
      <c r="H49" s="584">
        <v>404</v>
      </c>
      <c r="I49" s="584">
        <v>623</v>
      </c>
      <c r="J49" s="584">
        <v>228</v>
      </c>
      <c r="K49" s="584">
        <v>31</v>
      </c>
      <c r="L49" s="584"/>
      <c r="M49" s="584"/>
      <c r="N49" s="584"/>
      <c r="O49" s="584">
        <v>82</v>
      </c>
      <c r="P49" s="584">
        <v>8</v>
      </c>
      <c r="Q49" s="584">
        <v>281</v>
      </c>
      <c r="R49" s="584">
        <v>58</v>
      </c>
      <c r="S49" s="584">
        <v>287</v>
      </c>
      <c r="T49" s="584"/>
      <c r="U49" s="584">
        <v>416</v>
      </c>
      <c r="V49" s="584">
        <v>132</v>
      </c>
      <c r="W49" s="584">
        <v>83</v>
      </c>
      <c r="X49" s="584"/>
      <c r="Y49" s="584"/>
      <c r="Z49" s="584"/>
      <c r="AA49" s="584"/>
      <c r="AB49" s="584"/>
      <c r="AC49" s="584"/>
      <c r="AD49" s="584"/>
      <c r="AE49" s="584"/>
      <c r="AF49" s="584"/>
      <c r="AG49" s="584"/>
      <c r="AH49" s="583">
        <f t="shared" si="6"/>
        <v>2662</v>
      </c>
    </row>
    <row r="50" spans="1:34" ht="12">
      <c r="A50" s="573" t="s">
        <v>156</v>
      </c>
      <c r="B50" s="584">
        <f t="shared" si="5"/>
        <v>0</v>
      </c>
      <c r="C50" s="583"/>
      <c r="D50" s="584"/>
      <c r="E50" s="584"/>
      <c r="F50" s="584"/>
      <c r="G50" s="584"/>
      <c r="H50" s="584"/>
      <c r="I50" s="584"/>
      <c r="J50" s="584"/>
      <c r="K50" s="584"/>
      <c r="L50" s="584"/>
      <c r="M50" s="584"/>
      <c r="N50" s="584"/>
      <c r="O50" s="584"/>
      <c r="P50" s="584"/>
      <c r="Q50" s="584"/>
      <c r="R50" s="584"/>
      <c r="S50" s="584"/>
      <c r="T50" s="584"/>
      <c r="U50" s="584"/>
      <c r="V50" s="584"/>
      <c r="W50" s="584"/>
      <c r="X50" s="584"/>
      <c r="Y50" s="584"/>
      <c r="Z50" s="584"/>
      <c r="AA50" s="584"/>
      <c r="AB50" s="584"/>
      <c r="AC50" s="584"/>
      <c r="AD50" s="584"/>
      <c r="AE50" s="584"/>
      <c r="AF50" s="584"/>
      <c r="AG50" s="584"/>
      <c r="AH50" s="583">
        <f t="shared" si="6"/>
        <v>0</v>
      </c>
    </row>
    <row r="51" spans="1:34" ht="12">
      <c r="A51" s="1432" t="s">
        <v>144</v>
      </c>
      <c r="B51" s="1433">
        <f>SUM(B39:B50)</f>
        <v>19012.21</v>
      </c>
      <c r="C51" s="583"/>
      <c r="D51" s="583"/>
      <c r="E51" s="583"/>
      <c r="F51" s="583"/>
      <c r="G51" s="583"/>
      <c r="H51" s="583"/>
      <c r="I51" s="583"/>
      <c r="J51" s="583"/>
      <c r="K51" s="583"/>
      <c r="L51" s="583"/>
      <c r="M51" s="583"/>
      <c r="N51" s="583"/>
      <c r="O51" s="583"/>
      <c r="P51" s="583"/>
      <c r="Q51" s="583"/>
      <c r="R51" s="583"/>
      <c r="S51" s="583"/>
      <c r="T51" s="583"/>
      <c r="U51" s="583"/>
      <c r="V51" s="583"/>
      <c r="W51" s="583"/>
      <c r="X51" s="583"/>
      <c r="Y51" s="583"/>
      <c r="Z51" s="583"/>
      <c r="AA51" s="583"/>
      <c r="AB51" s="583"/>
      <c r="AC51" s="583"/>
      <c r="AD51" s="583"/>
      <c r="AE51" s="583"/>
      <c r="AF51" s="583"/>
      <c r="AG51" s="583"/>
      <c r="AH51" s="583"/>
    </row>
    <row r="52" spans="1:34" ht="12">
      <c r="A52" s="571"/>
      <c r="B52" s="1428"/>
      <c r="C52" s="1421"/>
      <c r="D52" s="607"/>
      <c r="E52" s="607"/>
      <c r="F52" s="1848"/>
      <c r="G52" s="607"/>
      <c r="H52" s="607"/>
      <c r="I52" s="607"/>
      <c r="J52" s="607"/>
      <c r="K52" s="607"/>
      <c r="L52" s="607"/>
      <c r="M52" s="607"/>
      <c r="N52" s="607"/>
      <c r="O52" s="607"/>
      <c r="P52" s="607"/>
      <c r="Q52" s="607"/>
      <c r="R52" s="607"/>
      <c r="S52" s="607"/>
      <c r="T52" s="607"/>
      <c r="U52" s="607"/>
      <c r="V52" s="607"/>
      <c r="W52" s="607"/>
      <c r="X52" s="607"/>
      <c r="Y52" s="607"/>
      <c r="Z52" s="607"/>
      <c r="AA52" s="607"/>
      <c r="AB52" s="607"/>
      <c r="AC52" s="607"/>
      <c r="AD52" s="607"/>
      <c r="AE52" s="607"/>
      <c r="AF52" s="607"/>
      <c r="AG52" s="607"/>
      <c r="AH52" s="1421"/>
    </row>
    <row r="53" spans="1:34" ht="12">
      <c r="A53" s="3864" t="s">
        <v>137</v>
      </c>
      <c r="B53" s="3865"/>
      <c r="C53" s="3866"/>
      <c r="D53" s="607"/>
      <c r="E53" s="607"/>
      <c r="F53" s="607"/>
      <c r="G53" s="607"/>
      <c r="H53" s="607"/>
      <c r="I53" s="607"/>
      <c r="J53" s="607"/>
      <c r="K53" s="607"/>
      <c r="L53" s="607"/>
      <c r="M53" s="607"/>
      <c r="N53" s="607"/>
      <c r="O53" s="607"/>
      <c r="P53" s="607"/>
      <c r="Q53" s="607"/>
      <c r="R53" s="607"/>
      <c r="S53" s="607"/>
      <c r="T53" s="607"/>
      <c r="U53" s="607"/>
      <c r="V53" s="607"/>
      <c r="W53" s="607"/>
      <c r="X53" s="607"/>
      <c r="Y53" s="607"/>
      <c r="Z53" s="607"/>
      <c r="AA53" s="607"/>
      <c r="AB53" s="607"/>
      <c r="AC53" s="607"/>
      <c r="AD53" s="607"/>
      <c r="AE53" s="607"/>
      <c r="AF53" s="607"/>
      <c r="AG53" s="607"/>
      <c r="AH53" s="1421"/>
    </row>
    <row r="54" spans="1:34" ht="12">
      <c r="A54" s="572" t="s">
        <v>142</v>
      </c>
      <c r="B54" s="584" t="s">
        <v>143</v>
      </c>
      <c r="C54" s="1429">
        <v>1</v>
      </c>
      <c r="D54" s="1430">
        <v>2</v>
      </c>
      <c r="E54" s="1430">
        <v>3</v>
      </c>
      <c r="F54" s="1430">
        <v>4</v>
      </c>
      <c r="G54" s="1430">
        <v>5</v>
      </c>
      <c r="H54" s="1430">
        <v>6</v>
      </c>
      <c r="I54" s="1430">
        <v>7</v>
      </c>
      <c r="J54" s="1430">
        <v>8</v>
      </c>
      <c r="K54" s="1430">
        <v>9</v>
      </c>
      <c r="L54" s="1430">
        <v>10</v>
      </c>
      <c r="M54" s="1430">
        <v>11</v>
      </c>
      <c r="N54" s="1430">
        <v>12</v>
      </c>
      <c r="O54" s="1430">
        <v>13</v>
      </c>
      <c r="P54" s="1430">
        <v>14</v>
      </c>
      <c r="Q54" s="1430">
        <v>15</v>
      </c>
      <c r="R54" s="1430">
        <v>16</v>
      </c>
      <c r="S54" s="1430">
        <v>17</v>
      </c>
      <c r="T54" s="1430">
        <v>18</v>
      </c>
      <c r="U54" s="1430">
        <v>19</v>
      </c>
      <c r="V54" s="1430">
        <v>20</v>
      </c>
      <c r="W54" s="1430">
        <v>21</v>
      </c>
      <c r="X54" s="1430">
        <v>22</v>
      </c>
      <c r="Y54" s="1430">
        <v>23</v>
      </c>
      <c r="Z54" s="1430">
        <v>24</v>
      </c>
      <c r="AA54" s="1430">
        <v>25</v>
      </c>
      <c r="AB54" s="1430">
        <v>26</v>
      </c>
      <c r="AC54" s="1430">
        <v>27</v>
      </c>
      <c r="AD54" s="1430">
        <v>28</v>
      </c>
      <c r="AE54" s="1430">
        <v>29</v>
      </c>
      <c r="AF54" s="1430">
        <v>30</v>
      </c>
      <c r="AG54" s="1430">
        <v>31</v>
      </c>
      <c r="AH54" s="583" t="s">
        <v>144</v>
      </c>
    </row>
    <row r="55" spans="1:34" ht="12">
      <c r="A55" s="573" t="s">
        <v>145</v>
      </c>
      <c r="B55" s="584">
        <f t="shared" ref="B55:B66" si="7">+AH55</f>
        <v>0</v>
      </c>
      <c r="C55" s="1456" t="s">
        <v>311</v>
      </c>
      <c r="D55" s="1456" t="s">
        <v>311</v>
      </c>
      <c r="E55" s="1456" t="s">
        <v>311</v>
      </c>
      <c r="F55" s="1456" t="s">
        <v>311</v>
      </c>
      <c r="G55" s="1456" t="s">
        <v>311</v>
      </c>
      <c r="H55" s="1456" t="s">
        <v>311</v>
      </c>
      <c r="I55" s="1456" t="s">
        <v>311</v>
      </c>
      <c r="J55" s="1456" t="s">
        <v>311</v>
      </c>
      <c r="K55" s="1456" t="s">
        <v>311</v>
      </c>
      <c r="L55" s="1456" t="s">
        <v>311</v>
      </c>
      <c r="M55" s="1456" t="s">
        <v>311</v>
      </c>
      <c r="N55" s="1456" t="s">
        <v>311</v>
      </c>
      <c r="O55" s="1456" t="s">
        <v>311</v>
      </c>
      <c r="P55" s="1456" t="s">
        <v>311</v>
      </c>
      <c r="Q55" s="1456" t="s">
        <v>311</v>
      </c>
      <c r="R55" s="1456" t="s">
        <v>311</v>
      </c>
      <c r="S55" s="1456" t="s">
        <v>311</v>
      </c>
      <c r="T55" s="1456" t="s">
        <v>311</v>
      </c>
      <c r="U55" s="1456" t="s">
        <v>311</v>
      </c>
      <c r="V55" s="1456" t="s">
        <v>311</v>
      </c>
      <c r="W55" s="1456" t="s">
        <v>311</v>
      </c>
      <c r="X55" s="1456" t="s">
        <v>311</v>
      </c>
      <c r="Y55" s="1456" t="s">
        <v>311</v>
      </c>
      <c r="Z55" s="1456" t="s">
        <v>311</v>
      </c>
      <c r="AA55" s="1456" t="s">
        <v>311</v>
      </c>
      <c r="AB55" s="1456" t="s">
        <v>311</v>
      </c>
      <c r="AC55" s="1456" t="s">
        <v>311</v>
      </c>
      <c r="AD55" s="1456" t="s">
        <v>311</v>
      </c>
      <c r="AE55" s="1456" t="s">
        <v>311</v>
      </c>
      <c r="AF55" s="1456" t="s">
        <v>311</v>
      </c>
      <c r="AG55" s="1456" t="s">
        <v>311</v>
      </c>
      <c r="AH55" s="583">
        <f>SUM(C55:AG55)</f>
        <v>0</v>
      </c>
    </row>
    <row r="56" spans="1:34" ht="12">
      <c r="A56" s="573" t="s">
        <v>146</v>
      </c>
      <c r="B56" s="584">
        <f t="shared" si="7"/>
        <v>0</v>
      </c>
      <c r="C56" s="1456" t="s">
        <v>311</v>
      </c>
      <c r="D56" s="1456" t="s">
        <v>311</v>
      </c>
      <c r="E56" s="1456" t="s">
        <v>311</v>
      </c>
      <c r="F56" s="1456" t="s">
        <v>311</v>
      </c>
      <c r="G56" s="1456" t="s">
        <v>311</v>
      </c>
      <c r="H56" s="1456" t="s">
        <v>311</v>
      </c>
      <c r="I56" s="1456" t="s">
        <v>311</v>
      </c>
      <c r="J56" s="1456" t="s">
        <v>311</v>
      </c>
      <c r="K56" s="1456" t="s">
        <v>311</v>
      </c>
      <c r="L56" s="1456" t="s">
        <v>311</v>
      </c>
      <c r="M56" s="1456" t="s">
        <v>311</v>
      </c>
      <c r="N56" s="1456" t="s">
        <v>311</v>
      </c>
      <c r="O56" s="1456" t="s">
        <v>311</v>
      </c>
      <c r="P56" s="1456" t="s">
        <v>311</v>
      </c>
      <c r="Q56" s="1456" t="s">
        <v>311</v>
      </c>
      <c r="R56" s="1456" t="s">
        <v>311</v>
      </c>
      <c r="S56" s="1456" t="s">
        <v>311</v>
      </c>
      <c r="T56" s="1456" t="s">
        <v>311</v>
      </c>
      <c r="U56" s="1456" t="s">
        <v>311</v>
      </c>
      <c r="V56" s="1456" t="s">
        <v>311</v>
      </c>
      <c r="W56" s="1456" t="s">
        <v>311</v>
      </c>
      <c r="X56" s="1456" t="s">
        <v>311</v>
      </c>
      <c r="Y56" s="1456" t="s">
        <v>311</v>
      </c>
      <c r="Z56" s="1456" t="s">
        <v>311</v>
      </c>
      <c r="AA56" s="1456" t="s">
        <v>311</v>
      </c>
      <c r="AB56" s="1456" t="s">
        <v>311</v>
      </c>
      <c r="AC56" s="1456" t="s">
        <v>311</v>
      </c>
      <c r="AD56" s="1456" t="s">
        <v>311</v>
      </c>
      <c r="AE56" s="1456" t="s">
        <v>311</v>
      </c>
      <c r="AF56" s="1456" t="s">
        <v>311</v>
      </c>
      <c r="AG56" s="1456" t="s">
        <v>311</v>
      </c>
      <c r="AH56" s="583">
        <f t="shared" ref="AH56:AH66" si="8">SUM(C56:AG56)</f>
        <v>0</v>
      </c>
    </row>
    <row r="57" spans="1:34" ht="12">
      <c r="A57" s="573" t="s">
        <v>147</v>
      </c>
      <c r="B57" s="584">
        <f t="shared" si="7"/>
        <v>0</v>
      </c>
      <c r="C57" s="1456" t="s">
        <v>311</v>
      </c>
      <c r="D57" s="1456" t="s">
        <v>311</v>
      </c>
      <c r="E57" s="1456" t="s">
        <v>311</v>
      </c>
      <c r="F57" s="1456" t="s">
        <v>311</v>
      </c>
      <c r="G57" s="1456" t="s">
        <v>311</v>
      </c>
      <c r="H57" s="480"/>
      <c r="I57" s="480"/>
      <c r="J57" s="480"/>
      <c r="K57" s="480"/>
      <c r="L57" s="480"/>
      <c r="M57" s="480"/>
      <c r="N57" s="480"/>
      <c r="O57" s="480"/>
      <c r="P57" s="480"/>
      <c r="Q57" s="480"/>
      <c r="R57" s="480"/>
      <c r="S57" s="480"/>
      <c r="T57" s="480"/>
      <c r="U57" s="480"/>
      <c r="V57" s="480"/>
      <c r="W57" s="480"/>
      <c r="X57" s="480"/>
      <c r="Y57" s="480"/>
      <c r="Z57" s="480"/>
      <c r="AA57" s="480"/>
      <c r="AB57" s="480"/>
      <c r="AC57" s="1456" t="s">
        <v>311</v>
      </c>
      <c r="AD57" s="1456" t="s">
        <v>311</v>
      </c>
      <c r="AE57" s="1456" t="s">
        <v>311</v>
      </c>
      <c r="AF57" s="1456" t="s">
        <v>311</v>
      </c>
      <c r="AG57" s="1456" t="s">
        <v>311</v>
      </c>
      <c r="AH57" s="583">
        <f t="shared" si="8"/>
        <v>0</v>
      </c>
    </row>
    <row r="58" spans="1:34" ht="12">
      <c r="A58" s="573" t="s">
        <v>148</v>
      </c>
      <c r="B58" s="584">
        <f t="shared" si="7"/>
        <v>0</v>
      </c>
      <c r="C58" s="1456" t="s">
        <v>311</v>
      </c>
      <c r="D58" s="1456" t="s">
        <v>311</v>
      </c>
      <c r="E58" s="1456" t="s">
        <v>311</v>
      </c>
      <c r="F58" s="1456" t="s">
        <v>311</v>
      </c>
      <c r="G58" s="1456" t="s">
        <v>311</v>
      </c>
      <c r="H58" s="1456" t="s">
        <v>311</v>
      </c>
      <c r="I58" s="1456" t="s">
        <v>311</v>
      </c>
      <c r="J58" s="1456" t="s">
        <v>311</v>
      </c>
      <c r="K58" s="1456" t="s">
        <v>311</v>
      </c>
      <c r="L58" s="480"/>
      <c r="M58" s="480"/>
      <c r="N58" s="480"/>
      <c r="O58" s="480"/>
      <c r="P58" s="480"/>
      <c r="Q58" s="480"/>
      <c r="R58" s="480"/>
      <c r="S58" s="480"/>
      <c r="T58" s="480"/>
      <c r="U58" s="480"/>
      <c r="V58" s="480"/>
      <c r="W58" s="480"/>
      <c r="X58" s="480"/>
      <c r="Y58" s="480"/>
      <c r="Z58" s="480"/>
      <c r="AA58" s="480"/>
      <c r="AB58" s="480"/>
      <c r="AC58" s="480"/>
      <c r="AD58" s="480"/>
      <c r="AE58" s="480"/>
      <c r="AF58" s="480"/>
      <c r="AG58" s="480"/>
      <c r="AH58" s="583">
        <f t="shared" si="8"/>
        <v>0</v>
      </c>
    </row>
    <row r="59" spans="1:34" ht="12">
      <c r="A59" s="573" t="s">
        <v>149</v>
      </c>
      <c r="B59" s="584">
        <f t="shared" si="7"/>
        <v>0</v>
      </c>
      <c r="C59" s="577"/>
      <c r="D59" s="480"/>
      <c r="E59" s="480"/>
      <c r="F59" s="480"/>
      <c r="G59" s="480"/>
      <c r="H59" s="480"/>
      <c r="I59" s="480"/>
      <c r="J59" s="480"/>
      <c r="K59" s="480"/>
      <c r="L59" s="480"/>
      <c r="M59" s="480"/>
      <c r="N59" s="480"/>
      <c r="O59" s="480"/>
      <c r="P59" s="480"/>
      <c r="Q59" s="480"/>
      <c r="R59" s="480"/>
      <c r="S59" s="480"/>
      <c r="T59" s="480"/>
      <c r="U59" s="480"/>
      <c r="V59" s="480"/>
      <c r="W59" s="480"/>
      <c r="X59" s="480"/>
      <c r="Y59" s="480"/>
      <c r="Z59" s="480"/>
      <c r="AA59" s="480"/>
      <c r="AB59" s="480"/>
      <c r="AC59" s="480"/>
      <c r="AD59" s="480"/>
      <c r="AE59" s="480"/>
      <c r="AF59" s="480"/>
      <c r="AG59" s="480"/>
      <c r="AH59" s="583">
        <f t="shared" si="8"/>
        <v>0</v>
      </c>
    </row>
    <row r="60" spans="1:34" ht="12">
      <c r="A60" s="573" t="s">
        <v>150</v>
      </c>
      <c r="B60" s="584">
        <f t="shared" si="7"/>
        <v>0</v>
      </c>
      <c r="C60" s="577"/>
      <c r="D60" s="480"/>
      <c r="E60" s="480"/>
      <c r="F60" s="480"/>
      <c r="G60" s="480"/>
      <c r="H60" s="630" t="s">
        <v>318</v>
      </c>
      <c r="I60" s="630" t="s">
        <v>318</v>
      </c>
      <c r="J60" s="630" t="s">
        <v>318</v>
      </c>
      <c r="K60" s="630" t="s">
        <v>318</v>
      </c>
      <c r="L60" s="630" t="s">
        <v>318</v>
      </c>
      <c r="M60" s="630" t="s">
        <v>318</v>
      </c>
      <c r="N60" s="630" t="s">
        <v>318</v>
      </c>
      <c r="O60" s="630" t="s">
        <v>318</v>
      </c>
      <c r="P60" s="630" t="s">
        <v>318</v>
      </c>
      <c r="Q60" s="630" t="s">
        <v>318</v>
      </c>
      <c r="R60" s="630" t="s">
        <v>318</v>
      </c>
      <c r="S60" s="630" t="s">
        <v>318</v>
      </c>
      <c r="T60" s="630" t="s">
        <v>318</v>
      </c>
      <c r="U60" s="630" t="s">
        <v>318</v>
      </c>
      <c r="V60" s="630" t="s">
        <v>318</v>
      </c>
      <c r="W60" s="630" t="s">
        <v>318</v>
      </c>
      <c r="X60" s="630" t="s">
        <v>318</v>
      </c>
      <c r="Y60" s="480"/>
      <c r="Z60" s="480"/>
      <c r="AA60" s="480"/>
      <c r="AB60" s="480"/>
      <c r="AC60" s="480"/>
      <c r="AD60" s="480"/>
      <c r="AE60" s="480"/>
      <c r="AF60" s="480"/>
      <c r="AG60" s="480"/>
      <c r="AH60" s="583">
        <f t="shared" si="8"/>
        <v>0</v>
      </c>
    </row>
    <row r="61" spans="1:34" ht="12">
      <c r="A61" s="573" t="s">
        <v>151</v>
      </c>
      <c r="B61" s="584">
        <f t="shared" si="7"/>
        <v>0</v>
      </c>
      <c r="C61" s="577"/>
      <c r="D61" s="1457"/>
      <c r="E61" s="1457"/>
      <c r="F61" s="1457"/>
      <c r="G61" s="480"/>
      <c r="H61" s="480"/>
      <c r="I61" s="480"/>
      <c r="J61" s="1458"/>
      <c r="K61" s="1458"/>
      <c r="L61" s="1457"/>
      <c r="M61" s="1457"/>
      <c r="N61" s="1457"/>
      <c r="O61" s="1457"/>
      <c r="P61" s="1457"/>
      <c r="Q61" s="1457"/>
      <c r="R61" s="1457"/>
      <c r="S61" s="1457"/>
      <c r="T61" s="1457"/>
      <c r="U61" s="1457"/>
      <c r="V61" s="1457"/>
      <c r="W61" s="1457"/>
      <c r="X61" s="1457"/>
      <c r="Y61" s="1457"/>
      <c r="Z61" s="1457"/>
      <c r="AA61" s="1457"/>
      <c r="AB61" s="1457"/>
      <c r="AC61" s="1457"/>
      <c r="AD61" s="1457"/>
      <c r="AE61" s="1457"/>
      <c r="AF61" s="1457"/>
      <c r="AG61" s="1457"/>
      <c r="AH61" s="583">
        <f t="shared" si="8"/>
        <v>0</v>
      </c>
    </row>
    <row r="62" spans="1:34" ht="12">
      <c r="A62" s="573" t="s">
        <v>152</v>
      </c>
      <c r="B62" s="584">
        <f t="shared" si="7"/>
        <v>0</v>
      </c>
      <c r="C62" s="577"/>
      <c r="D62" s="480"/>
      <c r="E62" s="480"/>
      <c r="F62" s="480"/>
      <c r="G62" s="480"/>
      <c r="H62" s="480"/>
      <c r="I62" s="480"/>
      <c r="J62" s="1897" t="s">
        <v>318</v>
      </c>
      <c r="K62" s="1897" t="s">
        <v>318</v>
      </c>
      <c r="L62" s="1897" t="s">
        <v>318</v>
      </c>
      <c r="M62" s="1897" t="s">
        <v>318</v>
      </c>
      <c r="N62" s="1897" t="s">
        <v>318</v>
      </c>
      <c r="O62" s="1897" t="s">
        <v>318</v>
      </c>
      <c r="P62" s="1897" t="s">
        <v>318</v>
      </c>
      <c r="Q62" s="1897" t="s">
        <v>318</v>
      </c>
      <c r="R62" s="1897" t="s">
        <v>318</v>
      </c>
      <c r="S62" s="1897" t="s">
        <v>318</v>
      </c>
      <c r="T62" s="1897" t="s">
        <v>318</v>
      </c>
      <c r="U62" s="1897" t="s">
        <v>318</v>
      </c>
      <c r="V62" s="1897" t="s">
        <v>318</v>
      </c>
      <c r="W62" s="1897" t="s">
        <v>318</v>
      </c>
      <c r="X62" s="1897" t="s">
        <v>318</v>
      </c>
      <c r="Y62" s="1897" t="s">
        <v>318</v>
      </c>
      <c r="Z62" s="1897" t="s">
        <v>318</v>
      </c>
      <c r="AA62" s="1897" t="s">
        <v>318</v>
      </c>
      <c r="AB62" s="1897" t="s">
        <v>318</v>
      </c>
      <c r="AC62" s="1897" t="s">
        <v>318</v>
      </c>
      <c r="AD62" s="1897" t="s">
        <v>318</v>
      </c>
      <c r="AE62" s="1897" t="s">
        <v>318</v>
      </c>
      <c r="AF62" s="1897" t="s">
        <v>318</v>
      </c>
      <c r="AG62" s="1897" t="s">
        <v>318</v>
      </c>
      <c r="AH62" s="583">
        <f t="shared" si="8"/>
        <v>0</v>
      </c>
    </row>
    <row r="63" spans="1:34" ht="12">
      <c r="A63" s="573" t="s">
        <v>153</v>
      </c>
      <c r="B63" s="584">
        <f t="shared" si="7"/>
        <v>0</v>
      </c>
      <c r="C63" s="1897" t="s">
        <v>318</v>
      </c>
      <c r="D63" s="1897" t="s">
        <v>318</v>
      </c>
      <c r="E63" s="1897" t="s">
        <v>318</v>
      </c>
      <c r="F63" s="1897" t="s">
        <v>318</v>
      </c>
      <c r="G63" s="1897" t="s">
        <v>318</v>
      </c>
      <c r="H63" s="1897" t="s">
        <v>318</v>
      </c>
      <c r="I63" s="1897" t="s">
        <v>318</v>
      </c>
      <c r="J63" s="1897" t="s">
        <v>318</v>
      </c>
      <c r="K63" s="1897" t="s">
        <v>318</v>
      </c>
      <c r="L63" s="1897" t="s">
        <v>318</v>
      </c>
      <c r="M63" s="1897" t="s">
        <v>318</v>
      </c>
      <c r="N63" s="1897" t="s">
        <v>318</v>
      </c>
      <c r="O63" s="1897" t="s">
        <v>318</v>
      </c>
      <c r="P63" s="1897" t="s">
        <v>318</v>
      </c>
      <c r="Q63" s="1897" t="s">
        <v>318</v>
      </c>
      <c r="R63" s="1897" t="s">
        <v>318</v>
      </c>
      <c r="S63" s="1897" t="s">
        <v>318</v>
      </c>
      <c r="T63" s="1897" t="s">
        <v>318</v>
      </c>
      <c r="U63" s="1897" t="s">
        <v>318</v>
      </c>
      <c r="V63" s="1897" t="s">
        <v>318</v>
      </c>
      <c r="W63" s="1897" t="s">
        <v>318</v>
      </c>
      <c r="X63" s="1897" t="s">
        <v>318</v>
      </c>
      <c r="Y63" s="1897" t="s">
        <v>318</v>
      </c>
      <c r="Z63" s="1897" t="s">
        <v>318</v>
      </c>
      <c r="AA63" s="1897" t="s">
        <v>318</v>
      </c>
      <c r="AB63" s="1897" t="s">
        <v>318</v>
      </c>
      <c r="AC63" s="1897" t="s">
        <v>318</v>
      </c>
      <c r="AD63" s="1897" t="s">
        <v>318</v>
      </c>
      <c r="AE63" s="1897" t="s">
        <v>318</v>
      </c>
      <c r="AF63" s="1897" t="s">
        <v>318</v>
      </c>
      <c r="AG63" s="1897" t="s">
        <v>318</v>
      </c>
      <c r="AH63" s="583">
        <f t="shared" si="8"/>
        <v>0</v>
      </c>
    </row>
    <row r="64" spans="1:34" ht="12">
      <c r="A64" s="573" t="s">
        <v>154</v>
      </c>
      <c r="B64" s="584">
        <f t="shared" si="7"/>
        <v>0</v>
      </c>
      <c r="C64" s="1897" t="s">
        <v>318</v>
      </c>
      <c r="D64" s="1897" t="s">
        <v>318</v>
      </c>
      <c r="E64" s="1897" t="s">
        <v>318</v>
      </c>
      <c r="F64" s="1897" t="s">
        <v>318</v>
      </c>
      <c r="G64" s="1897" t="s">
        <v>318</v>
      </c>
      <c r="H64" s="1897" t="s">
        <v>318</v>
      </c>
      <c r="I64" s="1897" t="s">
        <v>318</v>
      </c>
      <c r="J64" s="1897" t="s">
        <v>318</v>
      </c>
      <c r="K64" s="1897" t="s">
        <v>318</v>
      </c>
      <c r="L64" s="1897" t="s">
        <v>318</v>
      </c>
      <c r="M64" s="1897" t="s">
        <v>318</v>
      </c>
      <c r="N64" s="1897" t="s">
        <v>318</v>
      </c>
      <c r="O64" s="1897" t="s">
        <v>318</v>
      </c>
      <c r="P64" s="1897" t="s">
        <v>318</v>
      </c>
      <c r="Q64" s="1897" t="s">
        <v>318</v>
      </c>
      <c r="R64" s="1897" t="s">
        <v>318</v>
      </c>
      <c r="S64" s="1897" t="s">
        <v>318</v>
      </c>
      <c r="T64" s="1897" t="s">
        <v>318</v>
      </c>
      <c r="U64" s="1897" t="s">
        <v>318</v>
      </c>
      <c r="V64" s="1897" t="s">
        <v>318</v>
      </c>
      <c r="W64" s="1897" t="s">
        <v>318</v>
      </c>
      <c r="X64" s="480"/>
      <c r="Y64" s="480"/>
      <c r="Z64" s="480"/>
      <c r="AA64" s="480"/>
      <c r="AB64" s="480"/>
      <c r="AC64" s="480"/>
      <c r="AD64" s="480"/>
      <c r="AE64" s="1457"/>
      <c r="AF64" s="480"/>
      <c r="AG64" s="1457"/>
      <c r="AH64" s="583">
        <f t="shared" si="8"/>
        <v>0</v>
      </c>
    </row>
    <row r="65" spans="1:34" ht="12">
      <c r="A65" s="573" t="s">
        <v>155</v>
      </c>
      <c r="B65" s="584">
        <f t="shared" si="7"/>
        <v>0</v>
      </c>
      <c r="C65" s="577"/>
      <c r="D65" s="480"/>
      <c r="E65" s="480"/>
      <c r="F65" s="480"/>
      <c r="G65" s="142"/>
      <c r="H65" s="480"/>
      <c r="I65" s="480"/>
      <c r="J65" s="480"/>
      <c r="K65" s="480"/>
      <c r="L65" s="480"/>
      <c r="M65" s="480"/>
      <c r="N65" s="480"/>
      <c r="O65" s="480"/>
      <c r="P65" s="480"/>
      <c r="Q65" s="480"/>
      <c r="R65" s="480"/>
      <c r="S65" s="480"/>
      <c r="T65" s="480"/>
      <c r="U65" s="480"/>
      <c r="V65" s="480"/>
      <c r="W65" s="480"/>
      <c r="X65" s="480"/>
      <c r="Y65" s="142"/>
      <c r="Z65" s="480"/>
      <c r="AA65" s="480"/>
      <c r="AB65" s="480"/>
      <c r="AC65" s="480"/>
      <c r="AD65" s="480"/>
      <c r="AE65" s="1457"/>
      <c r="AF65" s="480"/>
      <c r="AG65" s="1457"/>
      <c r="AH65" s="583">
        <f>SUM(C65:AG65)</f>
        <v>0</v>
      </c>
    </row>
    <row r="66" spans="1:34" ht="12">
      <c r="A66" s="573" t="s">
        <v>156</v>
      </c>
      <c r="B66" s="584">
        <f t="shared" si="7"/>
        <v>0</v>
      </c>
      <c r="C66" s="577"/>
      <c r="D66" s="480"/>
      <c r="E66" s="480"/>
      <c r="F66" s="480"/>
      <c r="G66" s="480"/>
      <c r="H66" s="480"/>
      <c r="I66" s="480"/>
      <c r="J66" s="480"/>
      <c r="K66" s="480"/>
      <c r="L66" s="480"/>
      <c r="M66" s="480"/>
      <c r="N66" s="480"/>
      <c r="O66" s="480"/>
      <c r="P66" s="3285" t="s">
        <v>311</v>
      </c>
      <c r="Q66" s="3285" t="s">
        <v>311</v>
      </c>
      <c r="R66" s="3285" t="s">
        <v>311</v>
      </c>
      <c r="S66" s="3285" t="s">
        <v>311</v>
      </c>
      <c r="T66" s="3285" t="s">
        <v>311</v>
      </c>
      <c r="U66" s="3285" t="s">
        <v>311</v>
      </c>
      <c r="V66" s="3285" t="s">
        <v>311</v>
      </c>
      <c r="W66" s="3285" t="s">
        <v>311</v>
      </c>
      <c r="X66" s="3285" t="s">
        <v>311</v>
      </c>
      <c r="Y66" s="3285" t="s">
        <v>311</v>
      </c>
      <c r="Z66" s="3285" t="s">
        <v>311</v>
      </c>
      <c r="AA66" s="3285" t="s">
        <v>311</v>
      </c>
      <c r="AB66" s="3285" t="s">
        <v>311</v>
      </c>
      <c r="AC66" s="3285" t="s">
        <v>311</v>
      </c>
      <c r="AD66" s="3285" t="s">
        <v>311</v>
      </c>
      <c r="AE66" s="3285" t="s">
        <v>311</v>
      </c>
      <c r="AF66" s="3285" t="s">
        <v>311</v>
      </c>
      <c r="AG66" s="3285" t="s">
        <v>311</v>
      </c>
      <c r="AH66" s="583">
        <f t="shared" si="8"/>
        <v>0</v>
      </c>
    </row>
    <row r="67" spans="1:34" ht="12">
      <c r="A67" s="1432" t="s">
        <v>144</v>
      </c>
      <c r="B67" s="1433">
        <f t="shared" ref="B67:AH67" si="9">SUM(B55:B66)</f>
        <v>0</v>
      </c>
      <c r="C67" s="583">
        <f t="shared" si="9"/>
        <v>0</v>
      </c>
      <c r="D67" s="583">
        <f t="shared" si="9"/>
        <v>0</v>
      </c>
      <c r="E67" s="583">
        <f t="shared" si="9"/>
        <v>0</v>
      </c>
      <c r="F67" s="583">
        <f t="shared" si="9"/>
        <v>0</v>
      </c>
      <c r="G67" s="583">
        <f t="shared" si="9"/>
        <v>0</v>
      </c>
      <c r="H67" s="583">
        <f t="shared" si="9"/>
        <v>0</v>
      </c>
      <c r="I67" s="583">
        <f t="shared" si="9"/>
        <v>0</v>
      </c>
      <c r="J67" s="583">
        <f t="shared" si="9"/>
        <v>0</v>
      </c>
      <c r="K67" s="583">
        <f t="shared" si="9"/>
        <v>0</v>
      </c>
      <c r="L67" s="583">
        <f t="shared" si="9"/>
        <v>0</v>
      </c>
      <c r="M67" s="583">
        <f t="shared" si="9"/>
        <v>0</v>
      </c>
      <c r="N67" s="583">
        <f t="shared" si="9"/>
        <v>0</v>
      </c>
      <c r="O67" s="583">
        <f t="shared" si="9"/>
        <v>0</v>
      </c>
      <c r="P67" s="583">
        <f t="shared" ref="P67:AG67" si="10">SUM(P55:P66)</f>
        <v>0</v>
      </c>
      <c r="Q67" s="583">
        <f t="shared" si="10"/>
        <v>0</v>
      </c>
      <c r="R67" s="583">
        <f t="shared" si="10"/>
        <v>0</v>
      </c>
      <c r="S67" s="583">
        <f t="shared" si="10"/>
        <v>0</v>
      </c>
      <c r="T67" s="583">
        <f t="shared" si="10"/>
        <v>0</v>
      </c>
      <c r="U67" s="583">
        <f t="shared" si="10"/>
        <v>0</v>
      </c>
      <c r="V67" s="583">
        <f t="shared" si="10"/>
        <v>0</v>
      </c>
      <c r="W67" s="583">
        <f t="shared" si="10"/>
        <v>0</v>
      </c>
      <c r="X67" s="583">
        <f t="shared" si="10"/>
        <v>0</v>
      </c>
      <c r="Y67" s="583">
        <f t="shared" si="10"/>
        <v>0</v>
      </c>
      <c r="Z67" s="583">
        <f t="shared" si="10"/>
        <v>0</v>
      </c>
      <c r="AA67" s="583">
        <f t="shared" si="10"/>
        <v>0</v>
      </c>
      <c r="AB67" s="583">
        <f t="shared" si="10"/>
        <v>0</v>
      </c>
      <c r="AC67" s="583">
        <f t="shared" si="10"/>
        <v>0</v>
      </c>
      <c r="AD67" s="583">
        <f t="shared" si="10"/>
        <v>0</v>
      </c>
      <c r="AE67" s="583">
        <f t="shared" si="10"/>
        <v>0</v>
      </c>
      <c r="AF67" s="583">
        <f t="shared" si="10"/>
        <v>0</v>
      </c>
      <c r="AG67" s="583">
        <f t="shared" si="10"/>
        <v>0</v>
      </c>
      <c r="AH67" s="583">
        <f t="shared" si="9"/>
        <v>0</v>
      </c>
    </row>
    <row r="68" spans="1:34" ht="12">
      <c r="A68" s="1459"/>
      <c r="B68" s="1460"/>
      <c r="C68" s="1461"/>
      <c r="D68" s="1461"/>
      <c r="E68" s="1461"/>
      <c r="F68" s="1461"/>
      <c r="G68" s="1461"/>
      <c r="H68" s="1461"/>
      <c r="I68" s="1461"/>
      <c r="J68" s="1461"/>
      <c r="K68" s="1461"/>
      <c r="L68" s="1461"/>
      <c r="M68" s="1461"/>
      <c r="N68" s="1461"/>
      <c r="O68" s="1461"/>
      <c r="P68" s="1461"/>
      <c r="Q68" s="1461"/>
      <c r="R68" s="1461"/>
      <c r="S68" s="1461"/>
      <c r="T68" s="1461"/>
      <c r="U68" s="1461"/>
      <c r="V68" s="1461"/>
      <c r="W68" s="1461"/>
      <c r="X68" s="1461"/>
      <c r="Y68" s="1461"/>
      <c r="Z68" s="1461"/>
      <c r="AA68" s="1461"/>
      <c r="AB68" s="1461"/>
      <c r="AC68" s="1461"/>
      <c r="AD68" s="1461"/>
      <c r="AE68" s="1461"/>
      <c r="AF68" s="1461"/>
      <c r="AG68" s="1461"/>
      <c r="AH68" s="1461"/>
    </row>
    <row r="69" spans="1:34" ht="12">
      <c r="A69" s="1459"/>
      <c r="B69" s="1460"/>
      <c r="C69" s="1461"/>
      <c r="D69" s="1461"/>
      <c r="E69" s="1461"/>
      <c r="F69" s="1461"/>
      <c r="G69" s="1461"/>
      <c r="H69" s="1461"/>
      <c r="I69" s="1461"/>
      <c r="J69" s="1461"/>
      <c r="K69" s="1461"/>
      <c r="L69" s="1461"/>
      <c r="M69" s="1461"/>
      <c r="N69" s="1461"/>
      <c r="O69" s="1461"/>
      <c r="P69" s="1461"/>
      <c r="Q69" s="1461"/>
      <c r="R69" s="1461"/>
      <c r="S69" s="1461"/>
      <c r="T69" s="1461"/>
      <c r="U69" s="1461"/>
      <c r="V69" s="1461"/>
      <c r="W69" s="1461"/>
      <c r="X69" s="1461"/>
      <c r="Y69" s="1461"/>
      <c r="Z69" s="1461"/>
      <c r="AA69" s="1461"/>
      <c r="AB69" s="1461"/>
      <c r="AC69" s="1461"/>
      <c r="AD69" s="1461"/>
      <c r="AE69" s="1461"/>
      <c r="AF69" s="1461"/>
      <c r="AG69" s="1461"/>
      <c r="AH69" s="1461"/>
    </row>
    <row r="70" spans="1:34" ht="12">
      <c r="A70" s="3864" t="s">
        <v>159</v>
      </c>
      <c r="B70" s="3865"/>
      <c r="C70" s="3866"/>
      <c r="D70" s="607"/>
      <c r="E70" s="607"/>
      <c r="F70" s="607"/>
      <c r="G70" s="607"/>
      <c r="H70" s="607"/>
      <c r="I70" s="607"/>
      <c r="J70" s="607"/>
      <c r="K70" s="607"/>
      <c r="L70" s="607"/>
      <c r="M70" s="607"/>
      <c r="N70" s="607"/>
      <c r="O70" s="607"/>
      <c r="P70" s="607"/>
      <c r="Q70" s="607"/>
      <c r="R70" s="607"/>
      <c r="S70" s="607"/>
      <c r="T70" s="607"/>
      <c r="U70" s="607"/>
      <c r="V70" s="607"/>
      <c r="W70" s="607"/>
      <c r="X70" s="607"/>
      <c r="Y70" s="607"/>
      <c r="Z70" s="607"/>
      <c r="AA70" s="607"/>
      <c r="AB70" s="607"/>
      <c r="AC70" s="607"/>
      <c r="AD70" s="607"/>
      <c r="AE70" s="607"/>
      <c r="AF70" s="607"/>
      <c r="AG70" s="607"/>
      <c r="AH70" s="1421"/>
    </row>
    <row r="71" spans="1:34" ht="12">
      <c r="A71" s="572" t="s">
        <v>142</v>
      </c>
      <c r="B71" s="584" t="s">
        <v>143</v>
      </c>
      <c r="C71" s="1450">
        <v>1</v>
      </c>
      <c r="D71" s="1430">
        <v>2</v>
      </c>
      <c r="E71" s="1430">
        <v>3</v>
      </c>
      <c r="F71" s="1430">
        <v>4</v>
      </c>
      <c r="G71" s="1430">
        <v>5</v>
      </c>
      <c r="H71" s="1430">
        <v>6</v>
      </c>
      <c r="I71" s="1430">
        <v>7</v>
      </c>
      <c r="J71" s="1430">
        <v>8</v>
      </c>
      <c r="K71" s="1430">
        <v>9</v>
      </c>
      <c r="L71" s="1430">
        <v>10</v>
      </c>
      <c r="M71" s="1430">
        <v>11</v>
      </c>
      <c r="N71" s="1430">
        <v>12</v>
      </c>
      <c r="O71" s="1430">
        <v>13</v>
      </c>
      <c r="P71" s="1430">
        <v>14</v>
      </c>
      <c r="Q71" s="1430">
        <v>15</v>
      </c>
      <c r="R71" s="1430">
        <v>16</v>
      </c>
      <c r="S71" s="1430">
        <v>17</v>
      </c>
      <c r="T71" s="1430">
        <v>18</v>
      </c>
      <c r="U71" s="1430">
        <v>19</v>
      </c>
      <c r="V71" s="1430">
        <v>20</v>
      </c>
      <c r="W71" s="1430">
        <v>21</v>
      </c>
      <c r="X71" s="1430">
        <v>22</v>
      </c>
      <c r="Y71" s="1430">
        <v>23</v>
      </c>
      <c r="Z71" s="1430">
        <v>24</v>
      </c>
      <c r="AA71" s="1430">
        <v>25</v>
      </c>
      <c r="AB71" s="1430">
        <v>26</v>
      </c>
      <c r="AC71" s="1430">
        <v>27</v>
      </c>
      <c r="AD71" s="1430">
        <v>28</v>
      </c>
      <c r="AE71" s="1430">
        <v>29</v>
      </c>
      <c r="AF71" s="1430">
        <v>30</v>
      </c>
      <c r="AG71" s="1430">
        <v>31</v>
      </c>
      <c r="AH71" s="583" t="s">
        <v>144</v>
      </c>
    </row>
    <row r="72" spans="1:34" ht="12">
      <c r="A72" s="573" t="s">
        <v>145</v>
      </c>
      <c r="B72" s="584">
        <f t="shared" ref="B72:B83" si="11">+AH72</f>
        <v>0</v>
      </c>
      <c r="C72" s="1456" t="s">
        <v>311</v>
      </c>
      <c r="D72" s="1456" t="s">
        <v>311</v>
      </c>
      <c r="E72" s="1456" t="s">
        <v>311</v>
      </c>
      <c r="F72" s="1456" t="s">
        <v>311</v>
      </c>
      <c r="G72" s="1456" t="s">
        <v>311</v>
      </c>
      <c r="H72" s="1456" t="s">
        <v>311</v>
      </c>
      <c r="I72" s="1456" t="s">
        <v>311</v>
      </c>
      <c r="J72" s="1456" t="s">
        <v>311</v>
      </c>
      <c r="K72" s="1456" t="s">
        <v>311</v>
      </c>
      <c r="L72" s="1456" t="s">
        <v>311</v>
      </c>
      <c r="M72" s="1456" t="s">
        <v>311</v>
      </c>
      <c r="N72" s="1456" t="s">
        <v>311</v>
      </c>
      <c r="O72" s="1456" t="s">
        <v>311</v>
      </c>
      <c r="P72" s="1456" t="s">
        <v>311</v>
      </c>
      <c r="Q72" s="1456" t="s">
        <v>311</v>
      </c>
      <c r="R72" s="1456" t="s">
        <v>311</v>
      </c>
      <c r="S72" s="1456" t="s">
        <v>311</v>
      </c>
      <c r="T72" s="1456" t="s">
        <v>311</v>
      </c>
      <c r="U72" s="1456" t="s">
        <v>311</v>
      </c>
      <c r="V72" s="1456" t="s">
        <v>311</v>
      </c>
      <c r="W72" s="1456" t="s">
        <v>311</v>
      </c>
      <c r="X72" s="1456" t="s">
        <v>311</v>
      </c>
      <c r="Y72" s="1456" t="s">
        <v>311</v>
      </c>
      <c r="Z72" s="1456" t="s">
        <v>311</v>
      </c>
      <c r="AA72" s="1456" t="s">
        <v>311</v>
      </c>
      <c r="AB72" s="1456" t="s">
        <v>311</v>
      </c>
      <c r="AC72" s="1456" t="s">
        <v>311</v>
      </c>
      <c r="AD72" s="1456" t="s">
        <v>311</v>
      </c>
      <c r="AE72" s="1456" t="s">
        <v>311</v>
      </c>
      <c r="AF72" s="1456" t="s">
        <v>311</v>
      </c>
      <c r="AG72" s="1456" t="s">
        <v>311</v>
      </c>
      <c r="AH72" s="583">
        <f>SUM(C72:AG72)</f>
        <v>0</v>
      </c>
    </row>
    <row r="73" spans="1:34" ht="12">
      <c r="A73" s="573" t="s">
        <v>146</v>
      </c>
      <c r="B73" s="584">
        <f t="shared" si="11"/>
        <v>0</v>
      </c>
      <c r="C73" s="1456" t="s">
        <v>311</v>
      </c>
      <c r="D73" s="1456" t="s">
        <v>311</v>
      </c>
      <c r="E73" s="1456" t="s">
        <v>311</v>
      </c>
      <c r="F73" s="1456" t="s">
        <v>311</v>
      </c>
      <c r="G73" s="1456" t="s">
        <v>311</v>
      </c>
      <c r="H73" s="1456" t="s">
        <v>311</v>
      </c>
      <c r="I73" s="1456" t="s">
        <v>311</v>
      </c>
      <c r="J73" s="1456" t="s">
        <v>311</v>
      </c>
      <c r="K73" s="1456" t="s">
        <v>311</v>
      </c>
      <c r="L73" s="1456" t="s">
        <v>311</v>
      </c>
      <c r="M73" s="1456" t="s">
        <v>311</v>
      </c>
      <c r="N73" s="1456" t="s">
        <v>311</v>
      </c>
      <c r="O73" s="1456" t="s">
        <v>311</v>
      </c>
      <c r="P73" s="1456" t="s">
        <v>311</v>
      </c>
      <c r="Q73" s="1456" t="s">
        <v>311</v>
      </c>
      <c r="R73" s="1456" t="s">
        <v>311</v>
      </c>
      <c r="S73" s="1456" t="s">
        <v>311</v>
      </c>
      <c r="T73" s="1456" t="s">
        <v>311</v>
      </c>
      <c r="U73" s="1456" t="s">
        <v>311</v>
      </c>
      <c r="V73" s="1456" t="s">
        <v>311</v>
      </c>
      <c r="W73" s="1456" t="s">
        <v>311</v>
      </c>
      <c r="X73" s="1456" t="s">
        <v>311</v>
      </c>
      <c r="Y73" s="1456" t="s">
        <v>311</v>
      </c>
      <c r="Z73" s="1456" t="s">
        <v>311</v>
      </c>
      <c r="AA73" s="1456" t="s">
        <v>311</v>
      </c>
      <c r="AB73" s="1456" t="s">
        <v>311</v>
      </c>
      <c r="AC73" s="1456" t="s">
        <v>311</v>
      </c>
      <c r="AD73" s="1456" t="s">
        <v>311</v>
      </c>
      <c r="AE73" s="1456" t="s">
        <v>311</v>
      </c>
      <c r="AF73" s="1456" t="s">
        <v>311</v>
      </c>
      <c r="AG73" s="1456" t="s">
        <v>311</v>
      </c>
      <c r="AH73" s="583">
        <f t="shared" ref="AH73:AH83" si="12">SUM(C73:AG73)</f>
        <v>0</v>
      </c>
    </row>
    <row r="74" spans="1:34" ht="12">
      <c r="A74" s="573" t="s">
        <v>147</v>
      </c>
      <c r="B74" s="584">
        <f t="shared" si="11"/>
        <v>0</v>
      </c>
      <c r="C74" s="1456" t="s">
        <v>311</v>
      </c>
      <c r="D74" s="1456" t="s">
        <v>311</v>
      </c>
      <c r="E74" s="1456" t="s">
        <v>311</v>
      </c>
      <c r="F74" s="1456" t="s">
        <v>311</v>
      </c>
      <c r="G74" s="1456" t="s">
        <v>311</v>
      </c>
      <c r="H74" s="1462"/>
      <c r="I74" s="1463"/>
      <c r="J74" s="1463"/>
      <c r="K74" s="1463"/>
      <c r="L74" s="1463"/>
      <c r="M74" s="1463"/>
      <c r="N74" s="1464"/>
      <c r="O74" s="1464"/>
      <c r="P74" s="1464"/>
      <c r="Q74" s="1464"/>
      <c r="R74" s="1464"/>
      <c r="S74" s="1464"/>
      <c r="T74" s="1464"/>
      <c r="U74" s="1464"/>
      <c r="V74" s="1464"/>
      <c r="W74" s="1464"/>
      <c r="X74" s="1464"/>
      <c r="Y74" s="1464"/>
      <c r="Z74" s="1464"/>
      <c r="AA74" s="1464"/>
      <c r="AB74" s="1464"/>
      <c r="AC74" s="1464"/>
      <c r="AD74" s="1464"/>
      <c r="AE74" s="1464"/>
      <c r="AF74" s="1464"/>
      <c r="AG74" s="1464"/>
      <c r="AH74" s="583">
        <f t="shared" si="12"/>
        <v>0</v>
      </c>
    </row>
    <row r="75" spans="1:34" ht="12">
      <c r="A75" s="573" t="s">
        <v>148</v>
      </c>
      <c r="B75" s="584">
        <f t="shared" si="11"/>
        <v>7.8639999999999999</v>
      </c>
      <c r="C75" s="1456" t="s">
        <v>311</v>
      </c>
      <c r="D75" s="1456" t="s">
        <v>311</v>
      </c>
      <c r="E75" s="1456" t="s">
        <v>311</v>
      </c>
      <c r="F75" s="1456" t="s">
        <v>311</v>
      </c>
      <c r="G75" s="1456" t="s">
        <v>311</v>
      </c>
      <c r="H75" s="1465" t="s">
        <v>311</v>
      </c>
      <c r="I75" s="1465" t="s">
        <v>311</v>
      </c>
      <c r="J75" s="1465" t="s">
        <v>311</v>
      </c>
      <c r="K75" s="1465" t="s">
        <v>311</v>
      </c>
      <c r="L75" s="1466"/>
      <c r="M75" s="1466"/>
      <c r="N75" s="1466"/>
      <c r="O75" s="1466"/>
      <c r="P75" s="1466"/>
      <c r="Q75" s="1466"/>
      <c r="R75" s="1466"/>
      <c r="S75" s="1466"/>
      <c r="T75" s="1466"/>
      <c r="U75" s="1466"/>
      <c r="V75" s="1466"/>
      <c r="W75" s="1466"/>
      <c r="X75" s="1466"/>
      <c r="Y75" s="1466"/>
      <c r="Z75" s="1466"/>
      <c r="AA75" s="1466"/>
      <c r="AB75" s="1466">
        <v>7.8639999999999999</v>
      </c>
      <c r="AC75" s="1466"/>
      <c r="AD75" s="1466"/>
      <c r="AE75" s="1466"/>
      <c r="AF75" s="1466"/>
      <c r="AG75" s="1466"/>
      <c r="AH75" s="1467">
        <f t="shared" si="12"/>
        <v>7.8639999999999999</v>
      </c>
    </row>
    <row r="76" spans="1:34" ht="12">
      <c r="A76" s="573" t="s">
        <v>149</v>
      </c>
      <c r="B76" s="584">
        <f t="shared" si="11"/>
        <v>42.786999999999999</v>
      </c>
      <c r="C76" s="577"/>
      <c r="D76" s="480"/>
      <c r="E76" s="480"/>
      <c r="F76" s="480"/>
      <c r="G76" s="480"/>
      <c r="H76" s="480"/>
      <c r="I76" s="480"/>
      <c r="J76" s="480"/>
      <c r="K76" s="480"/>
      <c r="L76" s="480"/>
      <c r="M76" s="480"/>
      <c r="N76" s="480"/>
      <c r="O76" s="480">
        <v>11.03</v>
      </c>
      <c r="P76" s="480"/>
      <c r="Q76" s="480"/>
      <c r="R76" s="480"/>
      <c r="S76" s="480"/>
      <c r="T76" s="480"/>
      <c r="U76" s="480"/>
      <c r="V76" s="480"/>
      <c r="W76" s="480"/>
      <c r="X76" s="480">
        <v>16.931000000000001</v>
      </c>
      <c r="Y76" s="480">
        <v>6.0369999999999999</v>
      </c>
      <c r="Z76" s="480">
        <v>8.7889999999999997</v>
      </c>
      <c r="AA76" s="480"/>
      <c r="AB76" s="480"/>
      <c r="AC76" s="480"/>
      <c r="AD76" s="480"/>
      <c r="AE76" s="480"/>
      <c r="AF76" s="480"/>
      <c r="AG76" s="480"/>
      <c r="AH76" s="1467">
        <f t="shared" si="12"/>
        <v>42.786999999999999</v>
      </c>
    </row>
    <row r="77" spans="1:34" ht="12">
      <c r="A77" s="573" t="s">
        <v>150</v>
      </c>
      <c r="B77" s="584">
        <f t="shared" si="11"/>
        <v>36.831000000000003</v>
      </c>
      <c r="C77" s="577"/>
      <c r="D77" s="480"/>
      <c r="E77" s="480"/>
      <c r="F77" s="480"/>
      <c r="G77" s="480"/>
      <c r="H77" s="630" t="s">
        <v>318</v>
      </c>
      <c r="I77" s="630" t="s">
        <v>318</v>
      </c>
      <c r="J77" s="630" t="s">
        <v>318</v>
      </c>
      <c r="K77" s="630" t="s">
        <v>318</v>
      </c>
      <c r="L77" s="630" t="s">
        <v>318</v>
      </c>
      <c r="M77" s="630" t="s">
        <v>318</v>
      </c>
      <c r="N77" s="630" t="s">
        <v>318</v>
      </c>
      <c r="O77" s="630" t="s">
        <v>318</v>
      </c>
      <c r="P77" s="630" t="s">
        <v>318</v>
      </c>
      <c r="Q77" s="630" t="s">
        <v>318</v>
      </c>
      <c r="R77" s="630" t="s">
        <v>318</v>
      </c>
      <c r="S77" s="630" t="s">
        <v>318</v>
      </c>
      <c r="T77" s="630" t="s">
        <v>318</v>
      </c>
      <c r="U77" s="630" t="s">
        <v>318</v>
      </c>
      <c r="V77" s="630" t="s">
        <v>318</v>
      </c>
      <c r="W77" s="630" t="s">
        <v>318</v>
      </c>
      <c r="X77" s="630" t="s">
        <v>318</v>
      </c>
      <c r="Y77" s="480"/>
      <c r="Z77" s="480"/>
      <c r="AA77" s="480">
        <v>36.831000000000003</v>
      </c>
      <c r="AB77" s="480"/>
      <c r="AC77" s="480"/>
      <c r="AD77" s="480"/>
      <c r="AE77" s="480"/>
      <c r="AF77" s="480"/>
      <c r="AG77" s="480"/>
      <c r="AH77" s="1467">
        <f t="shared" si="12"/>
        <v>36.831000000000003</v>
      </c>
    </row>
    <row r="78" spans="1:34" ht="12">
      <c r="A78" s="573" t="s">
        <v>151</v>
      </c>
      <c r="B78" s="584">
        <f t="shared" si="11"/>
        <v>2.6429999999999998</v>
      </c>
      <c r="C78" s="577"/>
      <c r="D78" s="1457"/>
      <c r="E78" s="1457"/>
      <c r="F78" s="1457"/>
      <c r="G78" s="480"/>
      <c r="H78" s="480"/>
      <c r="I78" s="480"/>
      <c r="J78" s="1458"/>
      <c r="K78" s="1458"/>
      <c r="L78" s="1457">
        <v>2.6429999999999998</v>
      </c>
      <c r="M78" s="1457"/>
      <c r="N78" s="1457"/>
      <c r="O78" s="1457"/>
      <c r="P78" s="1457"/>
      <c r="Q78" s="1457"/>
      <c r="R78" s="1457"/>
      <c r="S78" s="1457"/>
      <c r="T78" s="1457"/>
      <c r="U78" s="1457"/>
      <c r="V78" s="1457"/>
      <c r="W78" s="1457"/>
      <c r="X78" s="1457"/>
      <c r="Y78" s="1457"/>
      <c r="Z78" s="1457"/>
      <c r="AA78" s="1457"/>
      <c r="AB78" s="1457"/>
      <c r="AC78" s="1457"/>
      <c r="AD78" s="1457"/>
      <c r="AE78" s="1457"/>
      <c r="AF78" s="1457"/>
      <c r="AG78" s="1457"/>
      <c r="AH78" s="1467">
        <f t="shared" si="12"/>
        <v>2.6429999999999998</v>
      </c>
    </row>
    <row r="79" spans="1:34" ht="12">
      <c r="A79" s="573" t="s">
        <v>152</v>
      </c>
      <c r="B79" s="584">
        <f t="shared" si="11"/>
        <v>0</v>
      </c>
      <c r="C79" s="577"/>
      <c r="D79" s="480"/>
      <c r="E79" s="480"/>
      <c r="F79" s="480"/>
      <c r="G79" s="480"/>
      <c r="H79" s="480"/>
      <c r="I79" s="480"/>
      <c r="J79" s="1897" t="s">
        <v>318</v>
      </c>
      <c r="K79" s="1897" t="s">
        <v>318</v>
      </c>
      <c r="L79" s="1897" t="s">
        <v>318</v>
      </c>
      <c r="M79" s="1897" t="s">
        <v>318</v>
      </c>
      <c r="N79" s="1897" t="s">
        <v>318</v>
      </c>
      <c r="O79" s="1897" t="s">
        <v>318</v>
      </c>
      <c r="P79" s="1897" t="s">
        <v>318</v>
      </c>
      <c r="Q79" s="1897" t="s">
        <v>318</v>
      </c>
      <c r="R79" s="1897" t="s">
        <v>318</v>
      </c>
      <c r="S79" s="1897" t="s">
        <v>318</v>
      </c>
      <c r="T79" s="1897" t="s">
        <v>318</v>
      </c>
      <c r="U79" s="1897" t="s">
        <v>318</v>
      </c>
      <c r="V79" s="1897" t="s">
        <v>318</v>
      </c>
      <c r="W79" s="1897" t="s">
        <v>318</v>
      </c>
      <c r="X79" s="1897" t="s">
        <v>318</v>
      </c>
      <c r="Y79" s="1897" t="s">
        <v>318</v>
      </c>
      <c r="Z79" s="1897" t="s">
        <v>318</v>
      </c>
      <c r="AA79" s="1897" t="s">
        <v>318</v>
      </c>
      <c r="AB79" s="1897" t="s">
        <v>318</v>
      </c>
      <c r="AC79" s="1897" t="s">
        <v>318</v>
      </c>
      <c r="AD79" s="1897" t="s">
        <v>318</v>
      </c>
      <c r="AE79" s="1897" t="s">
        <v>318</v>
      </c>
      <c r="AF79" s="1897" t="s">
        <v>318</v>
      </c>
      <c r="AG79" s="1897" t="s">
        <v>318</v>
      </c>
      <c r="AH79" s="583">
        <f t="shared" si="12"/>
        <v>0</v>
      </c>
    </row>
    <row r="80" spans="1:34" ht="12">
      <c r="A80" s="573" t="s">
        <v>153</v>
      </c>
      <c r="B80" s="584">
        <f t="shared" si="11"/>
        <v>0</v>
      </c>
      <c r="C80" s="1897" t="s">
        <v>318</v>
      </c>
      <c r="D80" s="1897" t="s">
        <v>318</v>
      </c>
      <c r="E80" s="1897" t="s">
        <v>318</v>
      </c>
      <c r="F80" s="1897" t="s">
        <v>318</v>
      </c>
      <c r="G80" s="1897" t="s">
        <v>318</v>
      </c>
      <c r="H80" s="1897" t="s">
        <v>318</v>
      </c>
      <c r="I80" s="1897" t="s">
        <v>318</v>
      </c>
      <c r="J80" s="1897" t="s">
        <v>318</v>
      </c>
      <c r="K80" s="1897" t="s">
        <v>318</v>
      </c>
      <c r="L80" s="1897" t="s">
        <v>318</v>
      </c>
      <c r="M80" s="1897" t="s">
        <v>318</v>
      </c>
      <c r="N80" s="1897" t="s">
        <v>318</v>
      </c>
      <c r="O80" s="1897" t="s">
        <v>318</v>
      </c>
      <c r="P80" s="1897" t="s">
        <v>318</v>
      </c>
      <c r="Q80" s="1897" t="s">
        <v>318</v>
      </c>
      <c r="R80" s="1897" t="s">
        <v>318</v>
      </c>
      <c r="S80" s="1897" t="s">
        <v>318</v>
      </c>
      <c r="T80" s="1897" t="s">
        <v>318</v>
      </c>
      <c r="U80" s="1897" t="s">
        <v>318</v>
      </c>
      <c r="V80" s="1897" t="s">
        <v>318</v>
      </c>
      <c r="W80" s="1897" t="s">
        <v>318</v>
      </c>
      <c r="X80" s="1897" t="s">
        <v>318</v>
      </c>
      <c r="Y80" s="1897" t="s">
        <v>318</v>
      </c>
      <c r="Z80" s="1897" t="s">
        <v>318</v>
      </c>
      <c r="AA80" s="1897" t="s">
        <v>318</v>
      </c>
      <c r="AB80" s="1897" t="s">
        <v>318</v>
      </c>
      <c r="AC80" s="1897" t="s">
        <v>318</v>
      </c>
      <c r="AD80" s="1897" t="s">
        <v>318</v>
      </c>
      <c r="AE80" s="1897" t="s">
        <v>318</v>
      </c>
      <c r="AF80" s="1897" t="s">
        <v>318</v>
      </c>
      <c r="AG80" s="1897" t="s">
        <v>318</v>
      </c>
      <c r="AH80" s="583">
        <f t="shared" si="12"/>
        <v>0</v>
      </c>
    </row>
    <row r="81" spans="1:34" ht="12">
      <c r="A81" s="573" t="s">
        <v>154</v>
      </c>
      <c r="B81" s="584">
        <f t="shared" si="11"/>
        <v>0</v>
      </c>
      <c r="C81" s="1897" t="s">
        <v>318</v>
      </c>
      <c r="D81" s="1897" t="s">
        <v>318</v>
      </c>
      <c r="E81" s="1897" t="s">
        <v>318</v>
      </c>
      <c r="F81" s="1897" t="s">
        <v>318</v>
      </c>
      <c r="G81" s="1897" t="s">
        <v>318</v>
      </c>
      <c r="H81" s="1897" t="s">
        <v>318</v>
      </c>
      <c r="I81" s="1897" t="s">
        <v>318</v>
      </c>
      <c r="J81" s="1897" t="s">
        <v>318</v>
      </c>
      <c r="K81" s="1897" t="s">
        <v>318</v>
      </c>
      <c r="L81" s="1897" t="s">
        <v>318</v>
      </c>
      <c r="M81" s="1897" t="s">
        <v>318</v>
      </c>
      <c r="N81" s="1897" t="s">
        <v>318</v>
      </c>
      <c r="O81" s="1897" t="s">
        <v>318</v>
      </c>
      <c r="P81" s="1897" t="s">
        <v>318</v>
      </c>
      <c r="Q81" s="1897" t="s">
        <v>318</v>
      </c>
      <c r="R81" s="1897" t="s">
        <v>318</v>
      </c>
      <c r="S81" s="1897" t="s">
        <v>318</v>
      </c>
      <c r="T81" s="1897" t="s">
        <v>318</v>
      </c>
      <c r="U81" s="1897" t="s">
        <v>318</v>
      </c>
      <c r="V81" s="1897" t="s">
        <v>318</v>
      </c>
      <c r="W81" s="1897" t="s">
        <v>318</v>
      </c>
      <c r="X81" s="480"/>
      <c r="Y81" s="480"/>
      <c r="Z81" s="480"/>
      <c r="AA81" s="480"/>
      <c r="AB81" s="480"/>
      <c r="AC81" s="480"/>
      <c r="AD81" s="480"/>
      <c r="AE81" s="1457"/>
      <c r="AF81" s="480"/>
      <c r="AG81" s="1457"/>
      <c r="AH81" s="583">
        <f t="shared" si="12"/>
        <v>0</v>
      </c>
    </row>
    <row r="82" spans="1:34" ht="12">
      <c r="A82" s="573" t="s">
        <v>155</v>
      </c>
      <c r="B82" s="584">
        <f t="shared" si="11"/>
        <v>0</v>
      </c>
      <c r="C82" s="577"/>
      <c r="D82" s="480"/>
      <c r="E82" s="480"/>
      <c r="F82" s="480"/>
      <c r="G82" s="142"/>
      <c r="H82" s="480"/>
      <c r="I82" s="480"/>
      <c r="J82" s="480"/>
      <c r="K82" s="480"/>
      <c r="L82" s="480"/>
      <c r="M82" s="480"/>
      <c r="N82" s="480"/>
      <c r="O82" s="480"/>
      <c r="P82" s="480"/>
      <c r="Q82" s="480"/>
      <c r="R82" s="480"/>
      <c r="S82" s="480"/>
      <c r="T82" s="480"/>
      <c r="U82" s="480"/>
      <c r="V82" s="480"/>
      <c r="W82" s="480"/>
      <c r="X82" s="480"/>
      <c r="Y82" s="142"/>
      <c r="Z82" s="480"/>
      <c r="AA82" s="480"/>
      <c r="AB82" s="480"/>
      <c r="AC82" s="480"/>
      <c r="AD82" s="480"/>
      <c r="AE82" s="1457"/>
      <c r="AF82" s="480"/>
      <c r="AG82" s="1457"/>
      <c r="AH82" s="583">
        <f t="shared" si="12"/>
        <v>0</v>
      </c>
    </row>
    <row r="83" spans="1:34" ht="12">
      <c r="A83" s="573" t="s">
        <v>156</v>
      </c>
      <c r="B83" s="584">
        <f t="shared" si="11"/>
        <v>0</v>
      </c>
      <c r="C83" s="577"/>
      <c r="D83" s="480"/>
      <c r="E83" s="480"/>
      <c r="F83" s="480"/>
      <c r="G83" s="480"/>
      <c r="H83" s="480"/>
      <c r="I83" s="480"/>
      <c r="J83" s="480"/>
      <c r="K83" s="480"/>
      <c r="L83" s="480"/>
      <c r="M83" s="480"/>
      <c r="N83" s="480"/>
      <c r="O83" s="480"/>
      <c r="P83" s="3285" t="s">
        <v>311</v>
      </c>
      <c r="Q83" s="3285" t="s">
        <v>311</v>
      </c>
      <c r="R83" s="3285" t="s">
        <v>311</v>
      </c>
      <c r="S83" s="3285" t="s">
        <v>311</v>
      </c>
      <c r="T83" s="3285" t="s">
        <v>311</v>
      </c>
      <c r="U83" s="3285" t="s">
        <v>311</v>
      </c>
      <c r="V83" s="3285" t="s">
        <v>311</v>
      </c>
      <c r="W83" s="3285" t="s">
        <v>311</v>
      </c>
      <c r="X83" s="3285" t="s">
        <v>311</v>
      </c>
      <c r="Y83" s="3285" t="s">
        <v>311</v>
      </c>
      <c r="Z83" s="3285" t="s">
        <v>311</v>
      </c>
      <c r="AA83" s="3285" t="s">
        <v>311</v>
      </c>
      <c r="AB83" s="3285" t="s">
        <v>311</v>
      </c>
      <c r="AC83" s="3285" t="s">
        <v>311</v>
      </c>
      <c r="AD83" s="3285" t="s">
        <v>311</v>
      </c>
      <c r="AE83" s="3285" t="s">
        <v>311</v>
      </c>
      <c r="AF83" s="3285" t="s">
        <v>311</v>
      </c>
      <c r="AG83" s="3285" t="s">
        <v>311</v>
      </c>
      <c r="AH83" s="583">
        <f t="shared" si="12"/>
        <v>0</v>
      </c>
    </row>
    <row r="84" spans="1:34" ht="12">
      <c r="A84" s="1432" t="s">
        <v>144</v>
      </c>
      <c r="B84" s="1433">
        <f t="shared" ref="B84:AH84" si="13">SUM(B72:B83)</f>
        <v>90.125</v>
      </c>
      <c r="C84" s="583">
        <f t="shared" si="13"/>
        <v>0</v>
      </c>
      <c r="D84" s="583">
        <f t="shared" si="13"/>
        <v>0</v>
      </c>
      <c r="E84" s="583">
        <f t="shared" si="13"/>
        <v>0</v>
      </c>
      <c r="F84" s="583">
        <f t="shared" si="13"/>
        <v>0</v>
      </c>
      <c r="G84" s="583">
        <f t="shared" si="13"/>
        <v>0</v>
      </c>
      <c r="H84" s="583">
        <f t="shared" si="13"/>
        <v>0</v>
      </c>
      <c r="I84" s="583">
        <f t="shared" si="13"/>
        <v>0</v>
      </c>
      <c r="J84" s="583">
        <f t="shared" si="13"/>
        <v>0</v>
      </c>
      <c r="K84" s="583">
        <f t="shared" si="13"/>
        <v>0</v>
      </c>
      <c r="L84" s="583">
        <f t="shared" si="13"/>
        <v>2.6429999999999998</v>
      </c>
      <c r="M84" s="583">
        <f t="shared" si="13"/>
        <v>0</v>
      </c>
      <c r="N84" s="583">
        <f t="shared" si="13"/>
        <v>0</v>
      </c>
      <c r="O84" s="583">
        <f t="shared" si="13"/>
        <v>11.03</v>
      </c>
      <c r="P84" s="583">
        <f t="shared" si="13"/>
        <v>0</v>
      </c>
      <c r="Q84" s="583">
        <f t="shared" si="13"/>
        <v>0</v>
      </c>
      <c r="R84" s="583">
        <f t="shared" si="13"/>
        <v>0</v>
      </c>
      <c r="S84" s="583">
        <f t="shared" si="13"/>
        <v>0</v>
      </c>
      <c r="T84" s="583">
        <f t="shared" si="13"/>
        <v>0</v>
      </c>
      <c r="U84" s="583">
        <f t="shared" si="13"/>
        <v>0</v>
      </c>
      <c r="V84" s="583">
        <f t="shared" si="13"/>
        <v>0</v>
      </c>
      <c r="W84" s="583">
        <f t="shared" si="13"/>
        <v>0</v>
      </c>
      <c r="X84" s="583">
        <f t="shared" si="13"/>
        <v>16.931000000000001</v>
      </c>
      <c r="Y84" s="583">
        <f t="shared" si="13"/>
        <v>6.0369999999999999</v>
      </c>
      <c r="Z84" s="583">
        <f t="shared" si="13"/>
        <v>8.7889999999999997</v>
      </c>
      <c r="AA84" s="583">
        <f t="shared" si="13"/>
        <v>36.831000000000003</v>
      </c>
      <c r="AB84" s="583">
        <f t="shared" si="13"/>
        <v>7.8639999999999999</v>
      </c>
      <c r="AC84" s="583">
        <f t="shared" si="13"/>
        <v>0</v>
      </c>
      <c r="AD84" s="583">
        <f t="shared" si="13"/>
        <v>0</v>
      </c>
      <c r="AE84" s="583">
        <f t="shared" si="13"/>
        <v>0</v>
      </c>
      <c r="AF84" s="583">
        <f t="shared" si="13"/>
        <v>0</v>
      </c>
      <c r="AG84" s="583">
        <f t="shared" si="13"/>
        <v>0</v>
      </c>
      <c r="AH84" s="583">
        <f t="shared" si="13"/>
        <v>90.125</v>
      </c>
    </row>
  </sheetData>
  <mergeCells count="6">
    <mergeCell ref="A70:C70"/>
    <mergeCell ref="A2:T2"/>
    <mergeCell ref="A5:C5"/>
    <mergeCell ref="A21:C21"/>
    <mergeCell ref="A37:C37"/>
    <mergeCell ref="A53:C53"/>
  </mergeCells>
  <phoneticPr fontId="0" type="noConversion"/>
  <pageMargins left="0.75" right="0.75" top="1" bottom="1" header="0" footer="0"/>
  <pageSetup orientation="portrait" r:id="rId1"/>
  <headerFooter alignWithMargins="0"/>
  <legacyDrawing r:id="rId2"/>
  <oleObjects>
    <oleObject progId="MSPhotoEd.3" shapeId="10241" r:id="rId3"/>
  </oleObjects>
</worksheet>
</file>

<file path=xl/worksheets/sheet8.xml><?xml version="1.0" encoding="utf-8"?>
<worksheet xmlns="http://schemas.openxmlformats.org/spreadsheetml/2006/main" xmlns:r="http://schemas.openxmlformats.org/officeDocument/2006/relationships">
  <dimension ref="A2:AH505"/>
  <sheetViews>
    <sheetView view="pageBreakPreview" zoomScale="73" zoomScaleNormal="80" zoomScaleSheetLayoutView="73" workbookViewId="0">
      <selection activeCell="Z53" sqref="Z53"/>
    </sheetView>
  </sheetViews>
  <sheetFormatPr baseColWidth="10" defaultColWidth="11.44140625" defaultRowHeight="13.2"/>
  <cols>
    <col min="1" max="1" width="11.44140625" style="189"/>
    <col min="2" max="2" width="15.109375" style="193" customWidth="1"/>
    <col min="3" max="33" width="10" style="189" customWidth="1"/>
    <col min="34" max="16384" width="11.44140625" style="189"/>
  </cols>
  <sheetData>
    <row r="2" spans="1:34" ht="15">
      <c r="A2" s="3854" t="s">
        <v>396</v>
      </c>
      <c r="B2" s="3855"/>
      <c r="C2" s="3855"/>
      <c r="D2" s="3855"/>
      <c r="E2" s="3855"/>
      <c r="F2" s="3855"/>
      <c r="G2" s="3855"/>
      <c r="H2" s="3855"/>
      <c r="I2" s="3855"/>
      <c r="J2" s="3855"/>
      <c r="K2" s="3855"/>
      <c r="L2" s="3855"/>
      <c r="M2" s="3855"/>
      <c r="N2" s="3855"/>
      <c r="O2" s="3855"/>
      <c r="P2" s="3855"/>
      <c r="Q2" s="3855"/>
      <c r="R2" s="3855"/>
      <c r="S2" s="3855"/>
      <c r="T2" s="3856"/>
      <c r="U2" s="14"/>
      <c r="V2" s="14"/>
      <c r="W2" s="14"/>
      <c r="X2" s="14"/>
      <c r="Y2" s="14"/>
      <c r="Z2" s="14"/>
      <c r="AA2" s="14"/>
      <c r="AB2" s="14"/>
      <c r="AC2" s="14"/>
      <c r="AD2" s="14"/>
      <c r="AE2" s="14"/>
      <c r="AF2" s="14"/>
      <c r="AG2" s="14"/>
      <c r="AH2" s="1"/>
    </row>
    <row r="3" spans="1:34" s="190" customFormat="1" ht="15">
      <c r="A3" s="104"/>
      <c r="B3" s="174"/>
      <c r="C3" s="104"/>
      <c r="D3" s="104"/>
      <c r="E3" s="104"/>
      <c r="F3" s="104"/>
      <c r="G3" s="104"/>
      <c r="H3" s="104"/>
      <c r="I3" s="104"/>
      <c r="J3" s="104"/>
      <c r="K3" s="104"/>
      <c r="L3" s="104"/>
      <c r="M3" s="104"/>
      <c r="N3" s="104"/>
      <c r="O3" s="104"/>
      <c r="P3" s="104"/>
      <c r="Q3" s="104"/>
      <c r="R3" s="104"/>
      <c r="S3" s="104"/>
      <c r="T3" s="104"/>
      <c r="U3" s="14"/>
      <c r="V3" s="14"/>
      <c r="W3" s="14"/>
      <c r="X3" s="14"/>
      <c r="Y3" s="14"/>
      <c r="Z3" s="14"/>
      <c r="AA3" s="14"/>
      <c r="AB3" s="14"/>
      <c r="AC3" s="14"/>
      <c r="AD3" s="14"/>
      <c r="AE3" s="14"/>
      <c r="AF3" s="14"/>
      <c r="AG3" s="14"/>
      <c r="AH3" s="14"/>
    </row>
    <row r="4" spans="1:34" ht="15">
      <c r="A4" s="3873" t="s">
        <v>226</v>
      </c>
      <c r="B4" s="3874"/>
      <c r="C4" s="3874"/>
      <c r="D4" s="3874"/>
      <c r="E4" s="3874"/>
      <c r="F4" s="3874"/>
      <c r="G4" s="3874"/>
      <c r="H4" s="3874"/>
      <c r="I4" s="3874"/>
      <c r="J4" s="3874"/>
      <c r="K4" s="3874"/>
      <c r="L4" s="3874"/>
      <c r="M4" s="3874"/>
      <c r="N4" s="3874"/>
      <c r="O4" s="3874"/>
      <c r="P4" s="3874"/>
      <c r="Q4" s="3874"/>
      <c r="R4" s="3875"/>
      <c r="S4" s="14"/>
      <c r="T4" s="14"/>
      <c r="U4" s="14"/>
      <c r="V4" s="14"/>
      <c r="W4" s="14"/>
      <c r="X4" s="14"/>
      <c r="Y4" s="14"/>
      <c r="Z4" s="14"/>
      <c r="AA4" s="14"/>
      <c r="AB4" s="14"/>
      <c r="AC4" s="14"/>
      <c r="AD4" s="14"/>
      <c r="AE4" s="14"/>
      <c r="AF4" s="14"/>
      <c r="AG4" s="14"/>
      <c r="AH4" s="1"/>
    </row>
    <row r="5" spans="1:34" ht="5.0999999999999996" customHeight="1">
      <c r="A5" s="104"/>
      <c r="B5" s="176"/>
      <c r="C5" s="16"/>
      <c r="D5" s="106"/>
      <c r="E5" s="106"/>
      <c r="F5" s="106"/>
      <c r="G5" s="106"/>
      <c r="H5" s="106"/>
      <c r="I5" s="106"/>
      <c r="J5" s="106"/>
      <c r="K5" s="106"/>
      <c r="L5" s="106"/>
      <c r="M5" s="106"/>
      <c r="N5" s="106"/>
      <c r="O5" s="106"/>
      <c r="P5" s="106"/>
      <c r="Q5" s="106"/>
      <c r="R5" s="106"/>
      <c r="S5" s="106"/>
      <c r="T5" s="106"/>
      <c r="U5" s="106"/>
      <c r="V5" s="106"/>
      <c r="W5" s="106"/>
      <c r="X5" s="106"/>
      <c r="Y5" s="106"/>
      <c r="Z5" s="106"/>
      <c r="AA5" s="106"/>
      <c r="AB5" s="106"/>
      <c r="AC5" s="106"/>
      <c r="AD5" s="106"/>
      <c r="AE5" s="106"/>
      <c r="AF5" s="106"/>
      <c r="AG5" s="106"/>
      <c r="AH5" s="16"/>
    </row>
    <row r="6" spans="1:34" ht="15">
      <c r="A6" s="3854" t="s">
        <v>160</v>
      </c>
      <c r="B6" s="3855"/>
      <c r="C6" s="3855"/>
      <c r="D6" s="3855"/>
      <c r="E6" s="3855"/>
      <c r="F6" s="3855"/>
      <c r="G6" s="3855"/>
      <c r="H6" s="3856"/>
      <c r="I6" s="96"/>
      <c r="J6" s="547"/>
      <c r="K6" s="96"/>
      <c r="L6" s="96"/>
      <c r="M6" s="96"/>
      <c r="N6" s="96"/>
      <c r="O6" s="96"/>
      <c r="P6" s="96"/>
      <c r="Q6" s="96"/>
      <c r="R6" s="96"/>
      <c r="S6" s="14"/>
      <c r="T6" s="14"/>
      <c r="U6" s="14"/>
      <c r="V6" s="14"/>
      <c r="W6" s="14"/>
      <c r="X6" s="14"/>
      <c r="Y6" s="14"/>
      <c r="Z6" s="14"/>
      <c r="AA6" s="14"/>
      <c r="AB6" s="14"/>
      <c r="AC6" s="14"/>
      <c r="AD6" s="14"/>
      <c r="AE6" s="14"/>
      <c r="AF6" s="14"/>
      <c r="AG6" s="14"/>
      <c r="AH6" s="14"/>
    </row>
    <row r="7" spans="1:34" ht="15">
      <c r="A7" s="8" t="s">
        <v>142</v>
      </c>
      <c r="B7" s="172" t="s">
        <v>143</v>
      </c>
      <c r="C7" s="8">
        <v>1</v>
      </c>
      <c r="D7" s="73">
        <v>2</v>
      </c>
      <c r="E7" s="73">
        <v>3</v>
      </c>
      <c r="F7" s="73">
        <v>4</v>
      </c>
      <c r="G7" s="73">
        <v>5</v>
      </c>
      <c r="H7" s="73">
        <v>6</v>
      </c>
      <c r="I7" s="73">
        <v>7</v>
      </c>
      <c r="J7" s="73">
        <v>8</v>
      </c>
      <c r="K7" s="73">
        <v>9</v>
      </c>
      <c r="L7" s="73">
        <v>10</v>
      </c>
      <c r="M7" s="73">
        <v>11</v>
      </c>
      <c r="N7" s="73">
        <v>12</v>
      </c>
      <c r="O7" s="73">
        <v>13</v>
      </c>
      <c r="P7" s="73">
        <v>14</v>
      </c>
      <c r="Q7" s="73">
        <v>15</v>
      </c>
      <c r="R7" s="73">
        <v>16</v>
      </c>
      <c r="S7" s="73">
        <v>17</v>
      </c>
      <c r="T7" s="73">
        <v>18</v>
      </c>
      <c r="U7" s="73">
        <v>19</v>
      </c>
      <c r="V7" s="73">
        <v>20</v>
      </c>
      <c r="W7" s="73">
        <v>21</v>
      </c>
      <c r="X7" s="73">
        <v>22</v>
      </c>
      <c r="Y7" s="73">
        <v>23</v>
      </c>
      <c r="Z7" s="73">
        <v>24</v>
      </c>
      <c r="AA7" s="73">
        <v>25</v>
      </c>
      <c r="AB7" s="73">
        <v>26</v>
      </c>
      <c r="AC7" s="73">
        <v>27</v>
      </c>
      <c r="AD7" s="73">
        <v>28</v>
      </c>
      <c r="AE7" s="73">
        <v>29</v>
      </c>
      <c r="AF7" s="73">
        <v>30</v>
      </c>
      <c r="AG7" s="73">
        <v>31</v>
      </c>
      <c r="AH7" s="88" t="s">
        <v>144</v>
      </c>
    </row>
    <row r="8" spans="1:34" ht="15">
      <c r="A8" s="363" t="s">
        <v>145</v>
      </c>
      <c r="B8" s="319">
        <f t="shared" ref="B8:B19" si="0">+AH8</f>
        <v>0</v>
      </c>
      <c r="C8" s="188" t="s">
        <v>311</v>
      </c>
      <c r="D8" s="188" t="s">
        <v>311</v>
      </c>
      <c r="E8" s="188" t="s">
        <v>311</v>
      </c>
      <c r="F8" s="188" t="s">
        <v>311</v>
      </c>
      <c r="G8" s="188" t="s">
        <v>311</v>
      </c>
      <c r="H8" s="188" t="s">
        <v>311</v>
      </c>
      <c r="I8" s="188" t="s">
        <v>311</v>
      </c>
      <c r="J8" s="188" t="s">
        <v>311</v>
      </c>
      <c r="K8" s="188" t="s">
        <v>311</v>
      </c>
      <c r="L8" s="188" t="s">
        <v>311</v>
      </c>
      <c r="M8" s="188" t="s">
        <v>311</v>
      </c>
      <c r="N8" s="188" t="s">
        <v>311</v>
      </c>
      <c r="O8" s="188" t="s">
        <v>311</v>
      </c>
      <c r="P8" s="188" t="s">
        <v>311</v>
      </c>
      <c r="Q8" s="188" t="s">
        <v>311</v>
      </c>
      <c r="R8" s="188" t="s">
        <v>311</v>
      </c>
      <c r="S8" s="188" t="s">
        <v>311</v>
      </c>
      <c r="T8" s="188" t="s">
        <v>311</v>
      </c>
      <c r="U8" s="188" t="s">
        <v>311</v>
      </c>
      <c r="V8" s="188" t="s">
        <v>311</v>
      </c>
      <c r="W8" s="188" t="s">
        <v>311</v>
      </c>
      <c r="X8" s="188" t="s">
        <v>311</v>
      </c>
      <c r="Y8" s="188" t="s">
        <v>311</v>
      </c>
      <c r="Z8" s="188" t="s">
        <v>311</v>
      </c>
      <c r="AA8" s="188" t="s">
        <v>311</v>
      </c>
      <c r="AB8" s="188" t="s">
        <v>311</v>
      </c>
      <c r="AC8" s="188" t="s">
        <v>311</v>
      </c>
      <c r="AD8" s="188" t="s">
        <v>311</v>
      </c>
      <c r="AE8" s="188" t="s">
        <v>311</v>
      </c>
      <c r="AF8" s="188" t="s">
        <v>311</v>
      </c>
      <c r="AG8" s="188" t="s">
        <v>311</v>
      </c>
      <c r="AH8" s="107">
        <f>SUM(C8:AG8)</f>
        <v>0</v>
      </c>
    </row>
    <row r="9" spans="1:34" ht="15">
      <c r="A9" s="363" t="s">
        <v>146</v>
      </c>
      <c r="B9" s="319">
        <f t="shared" si="0"/>
        <v>0</v>
      </c>
      <c r="C9" s="188" t="s">
        <v>311</v>
      </c>
      <c r="D9" s="188" t="s">
        <v>311</v>
      </c>
      <c r="E9" s="188" t="s">
        <v>311</v>
      </c>
      <c r="F9" s="188" t="s">
        <v>311</v>
      </c>
      <c r="G9" s="188" t="s">
        <v>311</v>
      </c>
      <c r="H9" s="188" t="s">
        <v>311</v>
      </c>
      <c r="I9" s="188" t="s">
        <v>311</v>
      </c>
      <c r="J9" s="188" t="s">
        <v>311</v>
      </c>
      <c r="K9" s="188" t="s">
        <v>311</v>
      </c>
      <c r="L9" s="188" t="s">
        <v>311</v>
      </c>
      <c r="M9" s="188" t="s">
        <v>311</v>
      </c>
      <c r="N9" s="188" t="s">
        <v>311</v>
      </c>
      <c r="O9" s="188" t="s">
        <v>311</v>
      </c>
      <c r="P9" s="188" t="s">
        <v>311</v>
      </c>
      <c r="Q9" s="188" t="s">
        <v>311</v>
      </c>
      <c r="R9" s="188" t="s">
        <v>311</v>
      </c>
      <c r="S9" s="188" t="s">
        <v>311</v>
      </c>
      <c r="T9" s="188" t="s">
        <v>311</v>
      </c>
      <c r="U9" s="188" t="s">
        <v>311</v>
      </c>
      <c r="V9" s="188" t="s">
        <v>311</v>
      </c>
      <c r="W9" s="188" t="s">
        <v>311</v>
      </c>
      <c r="X9" s="188" t="s">
        <v>311</v>
      </c>
      <c r="Y9" s="188" t="s">
        <v>311</v>
      </c>
      <c r="Z9" s="188" t="s">
        <v>311</v>
      </c>
      <c r="AA9" s="188" t="s">
        <v>311</v>
      </c>
      <c r="AB9" s="188" t="s">
        <v>311</v>
      </c>
      <c r="AC9" s="188" t="s">
        <v>311</v>
      </c>
      <c r="AD9" s="188" t="s">
        <v>311</v>
      </c>
      <c r="AE9" s="188" t="s">
        <v>311</v>
      </c>
      <c r="AF9" s="188" t="s">
        <v>311</v>
      </c>
      <c r="AG9" s="188" t="s">
        <v>311</v>
      </c>
      <c r="AH9" s="107">
        <f t="shared" ref="AH9:AH19" si="1">SUM(C9:AG9)</f>
        <v>0</v>
      </c>
    </row>
    <row r="10" spans="1:34" ht="15">
      <c r="A10" s="363" t="s">
        <v>147</v>
      </c>
      <c r="B10" s="319">
        <f t="shared" si="0"/>
        <v>23.855</v>
      </c>
      <c r="C10" s="188" t="s">
        <v>311</v>
      </c>
      <c r="D10" s="188" t="s">
        <v>311</v>
      </c>
      <c r="E10" s="188" t="s">
        <v>311</v>
      </c>
      <c r="F10" s="188" t="s">
        <v>311</v>
      </c>
      <c r="G10" s="188" t="s">
        <v>311</v>
      </c>
      <c r="H10" s="53"/>
      <c r="I10" s="53" t="s">
        <v>417</v>
      </c>
      <c r="J10" s="53"/>
      <c r="K10" s="53"/>
      <c r="L10" s="852">
        <v>0</v>
      </c>
      <c r="M10" s="852">
        <v>0</v>
      </c>
      <c r="N10" s="852">
        <v>0</v>
      </c>
      <c r="O10" s="852">
        <v>0</v>
      </c>
      <c r="P10" s="852">
        <v>0</v>
      </c>
      <c r="Q10" s="852">
        <v>23.855</v>
      </c>
      <c r="R10" s="852">
        <v>0</v>
      </c>
      <c r="S10" s="852">
        <v>0</v>
      </c>
      <c r="T10" s="852">
        <v>0</v>
      </c>
      <c r="U10" s="852">
        <v>0</v>
      </c>
      <c r="V10" s="852">
        <v>0</v>
      </c>
      <c r="W10" s="852">
        <v>0</v>
      </c>
      <c r="X10" s="852">
        <v>0</v>
      </c>
      <c r="Y10" s="852">
        <v>0</v>
      </c>
      <c r="Z10" s="852">
        <v>0</v>
      </c>
      <c r="AA10" s="852">
        <v>0</v>
      </c>
      <c r="AB10" s="852">
        <v>0</v>
      </c>
      <c r="AC10" s="852">
        <v>0</v>
      </c>
      <c r="AD10" s="852">
        <v>0</v>
      </c>
      <c r="AE10" s="852">
        <v>0</v>
      </c>
      <c r="AF10" s="852">
        <v>0</v>
      </c>
      <c r="AG10" s="852">
        <v>0</v>
      </c>
      <c r="AH10" s="107">
        <f t="shared" si="1"/>
        <v>23.855</v>
      </c>
    </row>
    <row r="11" spans="1:34" ht="15.6" thickBot="1">
      <c r="A11" s="363" t="s">
        <v>148</v>
      </c>
      <c r="B11" s="319">
        <f t="shared" si="0"/>
        <v>2385.5349999999999</v>
      </c>
      <c r="C11" s="188" t="s">
        <v>311</v>
      </c>
      <c r="D11" s="188" t="s">
        <v>311</v>
      </c>
      <c r="E11" s="188" t="s">
        <v>311</v>
      </c>
      <c r="F11" s="188" t="s">
        <v>311</v>
      </c>
      <c r="G11" s="188" t="s">
        <v>311</v>
      </c>
      <c r="H11" s="188" t="s">
        <v>311</v>
      </c>
      <c r="I11" s="188" t="s">
        <v>311</v>
      </c>
      <c r="J11" s="188" t="s">
        <v>311</v>
      </c>
      <c r="K11" s="188" t="s">
        <v>311</v>
      </c>
      <c r="L11" s="829">
        <v>184.625</v>
      </c>
      <c r="M11" s="829">
        <v>39.055</v>
      </c>
      <c r="N11" s="829">
        <v>0</v>
      </c>
      <c r="O11" s="829">
        <v>117.92</v>
      </c>
      <c r="P11" s="829">
        <v>109.12</v>
      </c>
      <c r="Q11" s="829">
        <v>60.555</v>
      </c>
      <c r="R11" s="829">
        <v>168.815</v>
      </c>
      <c r="S11" s="829">
        <v>0</v>
      </c>
      <c r="T11" s="829">
        <v>129.52000000000001</v>
      </c>
      <c r="U11" s="829">
        <v>44.024999999999999</v>
      </c>
      <c r="V11" s="868">
        <v>213.12</v>
      </c>
      <c r="W11" s="868">
        <v>185.565</v>
      </c>
      <c r="X11" s="868">
        <v>110.745</v>
      </c>
      <c r="Y11" s="868">
        <v>192.06</v>
      </c>
      <c r="Z11" s="868">
        <v>141</v>
      </c>
      <c r="AA11" s="927">
        <v>177.1</v>
      </c>
      <c r="AB11" s="868">
        <v>0</v>
      </c>
      <c r="AC11" s="868">
        <v>81.745000000000005</v>
      </c>
      <c r="AD11" s="868">
        <v>179.27</v>
      </c>
      <c r="AE11" s="868">
        <v>86.5</v>
      </c>
      <c r="AF11" s="868">
        <v>164.79499999999999</v>
      </c>
      <c r="AG11" s="829">
        <v>0</v>
      </c>
      <c r="AH11" s="107">
        <f t="shared" si="1"/>
        <v>2385.5349999999999</v>
      </c>
    </row>
    <row r="12" spans="1:34" ht="15">
      <c r="A12" s="375" t="s">
        <v>149</v>
      </c>
      <c r="B12" s="319">
        <f>+AH12</f>
        <v>1896.845</v>
      </c>
      <c r="C12" s="925">
        <v>0</v>
      </c>
      <c r="D12" s="924">
        <v>0</v>
      </c>
      <c r="E12" s="924">
        <v>46.2</v>
      </c>
      <c r="F12" s="939">
        <v>176.77</v>
      </c>
      <c r="G12" s="924">
        <v>158.88</v>
      </c>
      <c r="H12" s="924">
        <v>0</v>
      </c>
      <c r="I12" s="924">
        <v>200.86500000000001</v>
      </c>
      <c r="J12" s="924">
        <v>132.995</v>
      </c>
      <c r="K12" s="939">
        <v>68.77</v>
      </c>
      <c r="L12" s="940">
        <v>212.57499999999999</v>
      </c>
      <c r="M12" s="924">
        <v>0</v>
      </c>
      <c r="N12" s="924">
        <v>147.4</v>
      </c>
      <c r="O12" s="924">
        <v>97.435000000000002</v>
      </c>
      <c r="P12" s="924">
        <v>66.2</v>
      </c>
      <c r="Q12" s="924">
        <v>156.18</v>
      </c>
      <c r="R12" s="924">
        <v>132.80000000000001</v>
      </c>
      <c r="S12" s="924">
        <v>14.82</v>
      </c>
      <c r="T12" s="924">
        <v>45.98</v>
      </c>
      <c r="U12" s="924">
        <v>0</v>
      </c>
      <c r="V12" s="924">
        <v>0</v>
      </c>
      <c r="W12" s="924">
        <v>0</v>
      </c>
      <c r="X12" s="924">
        <v>58.62</v>
      </c>
      <c r="Y12" s="924">
        <v>124.285</v>
      </c>
      <c r="Z12" s="924">
        <v>38.695</v>
      </c>
      <c r="AA12" s="924">
        <v>0</v>
      </c>
      <c r="AB12" s="924">
        <v>0</v>
      </c>
      <c r="AC12" s="924">
        <v>0</v>
      </c>
      <c r="AD12" s="924">
        <v>0</v>
      </c>
      <c r="AE12" s="924">
        <v>17.375</v>
      </c>
      <c r="AF12" s="924">
        <v>0</v>
      </c>
      <c r="AG12" s="924">
        <v>0</v>
      </c>
      <c r="AH12" s="107">
        <f t="shared" si="1"/>
        <v>1896.845</v>
      </c>
    </row>
    <row r="13" spans="1:34" ht="15">
      <c r="A13" s="375" t="s">
        <v>150</v>
      </c>
      <c r="B13" s="319">
        <f t="shared" si="0"/>
        <v>647.66100000000006</v>
      </c>
      <c r="C13" s="103">
        <v>152.98500000000001</v>
      </c>
      <c r="D13" s="53">
        <v>103.58</v>
      </c>
      <c r="E13" s="53">
        <v>0</v>
      </c>
      <c r="F13" s="53">
        <v>0</v>
      </c>
      <c r="G13" s="53">
        <v>0</v>
      </c>
      <c r="H13" s="188" t="s">
        <v>162</v>
      </c>
      <c r="I13" s="188" t="s">
        <v>162</v>
      </c>
      <c r="J13" s="188" t="s">
        <v>162</v>
      </c>
      <c r="K13" s="188" t="s">
        <v>162</v>
      </c>
      <c r="L13" s="188" t="s">
        <v>162</v>
      </c>
      <c r="M13" s="188" t="s">
        <v>162</v>
      </c>
      <c r="N13" s="188" t="s">
        <v>162</v>
      </c>
      <c r="O13" s="188" t="s">
        <v>162</v>
      </c>
      <c r="P13" s="188" t="s">
        <v>162</v>
      </c>
      <c r="Q13" s="188" t="s">
        <v>162</v>
      </c>
      <c r="R13" s="188" t="s">
        <v>162</v>
      </c>
      <c r="S13" s="188" t="s">
        <v>162</v>
      </c>
      <c r="T13" s="188" t="s">
        <v>162</v>
      </c>
      <c r="U13" s="188" t="s">
        <v>162</v>
      </c>
      <c r="V13" s="188" t="s">
        <v>162</v>
      </c>
      <c r="W13" s="188" t="s">
        <v>162</v>
      </c>
      <c r="X13" s="188" t="s">
        <v>162</v>
      </c>
      <c r="Y13" s="53">
        <v>3.7949999999999999</v>
      </c>
      <c r="Z13" s="53">
        <v>46.674999999999997</v>
      </c>
      <c r="AA13" s="53">
        <v>213.77</v>
      </c>
      <c r="AB13" s="53">
        <v>124.81</v>
      </c>
      <c r="AC13" s="53">
        <v>2.0459999999999998</v>
      </c>
      <c r="AD13" s="53">
        <v>0</v>
      </c>
      <c r="AE13" s="53">
        <v>0</v>
      </c>
      <c r="AF13" s="53">
        <v>0</v>
      </c>
      <c r="AG13" s="53">
        <v>0</v>
      </c>
      <c r="AH13" s="107">
        <f t="shared" si="1"/>
        <v>647.66100000000006</v>
      </c>
    </row>
    <row r="14" spans="1:34" ht="15">
      <c r="A14" s="375" t="s">
        <v>151</v>
      </c>
      <c r="B14" s="319">
        <f t="shared" si="0"/>
        <v>427.34000000000003</v>
      </c>
      <c r="C14" s="103">
        <v>0</v>
      </c>
      <c r="D14" s="53">
        <v>0</v>
      </c>
      <c r="E14" s="53">
        <v>0</v>
      </c>
      <c r="F14" s="53">
        <v>0</v>
      </c>
      <c r="G14" s="53">
        <v>89.465000000000003</v>
      </c>
      <c r="H14" s="53">
        <v>41.2</v>
      </c>
      <c r="I14" s="53">
        <v>10.56</v>
      </c>
      <c r="J14" s="103">
        <v>0</v>
      </c>
      <c r="K14" s="103">
        <v>4.2649999999999997</v>
      </c>
      <c r="L14" s="53">
        <v>0</v>
      </c>
      <c r="M14" s="53">
        <v>0</v>
      </c>
      <c r="N14" s="53">
        <v>0</v>
      </c>
      <c r="O14" s="53">
        <v>59.73</v>
      </c>
      <c r="P14" s="53">
        <v>139.995</v>
      </c>
      <c r="Q14" s="53">
        <v>29.495000000000001</v>
      </c>
      <c r="R14" s="53">
        <v>0</v>
      </c>
      <c r="S14" s="53">
        <v>10.69</v>
      </c>
      <c r="T14" s="53">
        <v>39.225000000000001</v>
      </c>
      <c r="U14" s="53">
        <v>2.7149999999999999</v>
      </c>
      <c r="V14" s="53">
        <v>0</v>
      </c>
      <c r="W14" s="53">
        <v>0</v>
      </c>
      <c r="X14" s="53">
        <v>0</v>
      </c>
      <c r="Y14" s="53">
        <v>0</v>
      </c>
      <c r="Z14" s="53">
        <v>0</v>
      </c>
      <c r="AA14" s="53">
        <v>0</v>
      </c>
      <c r="AB14" s="53">
        <v>0</v>
      </c>
      <c r="AC14" s="53">
        <v>0</v>
      </c>
      <c r="AD14" s="53">
        <v>0</v>
      </c>
      <c r="AE14" s="53">
        <v>0</v>
      </c>
      <c r="AF14" s="53">
        <v>0</v>
      </c>
      <c r="AG14" s="53">
        <v>0</v>
      </c>
      <c r="AH14" s="107">
        <f t="shared" si="1"/>
        <v>427.34000000000003</v>
      </c>
    </row>
    <row r="15" spans="1:34" ht="15">
      <c r="A15" s="375" t="s">
        <v>152</v>
      </c>
      <c r="B15" s="319">
        <f t="shared" si="0"/>
        <v>3.9350000000000001</v>
      </c>
      <c r="C15" s="103">
        <v>0</v>
      </c>
      <c r="D15" s="53">
        <v>0</v>
      </c>
      <c r="E15" s="53">
        <v>0</v>
      </c>
      <c r="F15" s="53">
        <v>0</v>
      </c>
      <c r="G15" s="53">
        <v>0</v>
      </c>
      <c r="H15" s="53">
        <v>0</v>
      </c>
      <c r="I15" s="53">
        <v>3.9350000000000001</v>
      </c>
      <c r="J15" s="188" t="s">
        <v>318</v>
      </c>
      <c r="K15" s="188" t="s">
        <v>318</v>
      </c>
      <c r="L15" s="188" t="s">
        <v>318</v>
      </c>
      <c r="M15" s="188" t="s">
        <v>318</v>
      </c>
      <c r="N15" s="188" t="s">
        <v>318</v>
      </c>
      <c r="O15" s="188" t="s">
        <v>318</v>
      </c>
      <c r="P15" s="188" t="s">
        <v>318</v>
      </c>
      <c r="Q15" s="188" t="s">
        <v>318</v>
      </c>
      <c r="R15" s="188" t="s">
        <v>318</v>
      </c>
      <c r="S15" s="188" t="s">
        <v>318</v>
      </c>
      <c r="T15" s="188" t="s">
        <v>318</v>
      </c>
      <c r="U15" s="188" t="s">
        <v>318</v>
      </c>
      <c r="V15" s="188" t="s">
        <v>318</v>
      </c>
      <c r="W15" s="188" t="s">
        <v>318</v>
      </c>
      <c r="X15" s="188" t="s">
        <v>318</v>
      </c>
      <c r="Y15" s="188" t="s">
        <v>318</v>
      </c>
      <c r="Z15" s="188" t="s">
        <v>318</v>
      </c>
      <c r="AA15" s="188" t="s">
        <v>318</v>
      </c>
      <c r="AB15" s="188" t="s">
        <v>318</v>
      </c>
      <c r="AC15" s="188" t="s">
        <v>318</v>
      </c>
      <c r="AD15" s="188" t="s">
        <v>318</v>
      </c>
      <c r="AE15" s="188" t="s">
        <v>318</v>
      </c>
      <c r="AF15" s="188" t="s">
        <v>318</v>
      </c>
      <c r="AG15" s="188" t="s">
        <v>318</v>
      </c>
      <c r="AH15" s="107">
        <f t="shared" si="1"/>
        <v>3.9350000000000001</v>
      </c>
    </row>
    <row r="16" spans="1:34" ht="15">
      <c r="A16" s="415" t="s">
        <v>153</v>
      </c>
      <c r="B16" s="319">
        <f t="shared" si="0"/>
        <v>0</v>
      </c>
      <c r="C16" s="188" t="s">
        <v>318</v>
      </c>
      <c r="D16" s="188" t="s">
        <v>318</v>
      </c>
      <c r="E16" s="188" t="s">
        <v>318</v>
      </c>
      <c r="F16" s="188" t="s">
        <v>318</v>
      </c>
      <c r="G16" s="188" t="s">
        <v>318</v>
      </c>
      <c r="H16" s="188" t="s">
        <v>318</v>
      </c>
      <c r="I16" s="188" t="s">
        <v>318</v>
      </c>
      <c r="J16" s="188" t="s">
        <v>318</v>
      </c>
      <c r="K16" s="188" t="s">
        <v>318</v>
      </c>
      <c r="L16" s="188" t="s">
        <v>318</v>
      </c>
      <c r="M16" s="188" t="s">
        <v>318</v>
      </c>
      <c r="N16" s="188" t="s">
        <v>318</v>
      </c>
      <c r="O16" s="188" t="s">
        <v>318</v>
      </c>
      <c r="P16" s="188" t="s">
        <v>318</v>
      </c>
      <c r="Q16" s="188" t="s">
        <v>318</v>
      </c>
      <c r="R16" s="188" t="s">
        <v>318</v>
      </c>
      <c r="S16" s="188" t="s">
        <v>318</v>
      </c>
      <c r="T16" s="188" t="s">
        <v>318</v>
      </c>
      <c r="U16" s="188" t="s">
        <v>318</v>
      </c>
      <c r="V16" s="188" t="s">
        <v>318</v>
      </c>
      <c r="W16" s="188" t="s">
        <v>318</v>
      </c>
      <c r="X16" s="188" t="s">
        <v>318</v>
      </c>
      <c r="Y16" s="188" t="s">
        <v>318</v>
      </c>
      <c r="Z16" s="188" t="s">
        <v>318</v>
      </c>
      <c r="AA16" s="188" t="s">
        <v>318</v>
      </c>
      <c r="AB16" s="188" t="s">
        <v>318</v>
      </c>
      <c r="AC16" s="188" t="s">
        <v>318</v>
      </c>
      <c r="AD16" s="188" t="s">
        <v>318</v>
      </c>
      <c r="AE16" s="188" t="s">
        <v>318</v>
      </c>
      <c r="AF16" s="188" t="s">
        <v>318</v>
      </c>
      <c r="AG16" s="188" t="s">
        <v>318</v>
      </c>
      <c r="AH16" s="107">
        <f t="shared" si="1"/>
        <v>0</v>
      </c>
    </row>
    <row r="17" spans="1:34" ht="15">
      <c r="A17" s="415" t="s">
        <v>154</v>
      </c>
      <c r="B17" s="319">
        <f t="shared" si="0"/>
        <v>1180.9750000000001</v>
      </c>
      <c r="C17" s="188" t="s">
        <v>318</v>
      </c>
      <c r="D17" s="188" t="s">
        <v>318</v>
      </c>
      <c r="E17" s="188" t="s">
        <v>318</v>
      </c>
      <c r="F17" s="188" t="s">
        <v>318</v>
      </c>
      <c r="G17" s="188" t="s">
        <v>318</v>
      </c>
      <c r="H17" s="188" t="s">
        <v>318</v>
      </c>
      <c r="I17" s="188" t="s">
        <v>318</v>
      </c>
      <c r="J17" s="188" t="s">
        <v>318</v>
      </c>
      <c r="K17" s="188" t="s">
        <v>318</v>
      </c>
      <c r="L17" s="188" t="s">
        <v>318</v>
      </c>
      <c r="M17" s="188" t="s">
        <v>318</v>
      </c>
      <c r="N17" s="188" t="s">
        <v>318</v>
      </c>
      <c r="O17" s="188" t="s">
        <v>318</v>
      </c>
      <c r="P17" s="188" t="s">
        <v>318</v>
      </c>
      <c r="Q17" s="188" t="s">
        <v>318</v>
      </c>
      <c r="R17" s="188" t="s">
        <v>318</v>
      </c>
      <c r="S17" s="188" t="s">
        <v>318</v>
      </c>
      <c r="T17" s="188" t="s">
        <v>318</v>
      </c>
      <c r="U17" s="188" t="s">
        <v>318</v>
      </c>
      <c r="V17" s="188" t="s">
        <v>318</v>
      </c>
      <c r="W17" s="188" t="s">
        <v>318</v>
      </c>
      <c r="X17" s="2546">
        <v>139.14500000000001</v>
      </c>
      <c r="Y17" s="2546">
        <v>363.92</v>
      </c>
      <c r="Z17" s="2546">
        <v>279.16000000000003</v>
      </c>
      <c r="AA17" s="2546">
        <v>112.965</v>
      </c>
      <c r="AB17" s="2546">
        <v>31.02</v>
      </c>
      <c r="AC17" s="2546">
        <v>48.47</v>
      </c>
      <c r="AD17" s="2546">
        <v>0</v>
      </c>
      <c r="AE17" s="2546">
        <v>171.60499999999999</v>
      </c>
      <c r="AF17" s="2547">
        <v>34.69</v>
      </c>
      <c r="AG17" s="2548">
        <v>0</v>
      </c>
      <c r="AH17" s="107">
        <f t="shared" si="1"/>
        <v>1180.9750000000001</v>
      </c>
    </row>
    <row r="18" spans="1:34" ht="15">
      <c r="A18" s="415" t="s">
        <v>155</v>
      </c>
      <c r="B18" s="319">
        <f t="shared" si="0"/>
        <v>1148.9900000000002</v>
      </c>
      <c r="C18" s="103">
        <v>0</v>
      </c>
      <c r="D18" s="53">
        <v>0</v>
      </c>
      <c r="E18" s="53">
        <v>0</v>
      </c>
      <c r="F18" s="53">
        <v>0</v>
      </c>
      <c r="G18" s="53">
        <v>72.38</v>
      </c>
      <c r="H18" s="53">
        <v>50.78</v>
      </c>
      <c r="I18" s="53">
        <v>20.63</v>
      </c>
      <c r="J18" s="53">
        <v>22.675000000000001</v>
      </c>
      <c r="K18" s="53">
        <v>0</v>
      </c>
      <c r="L18" s="53">
        <v>0</v>
      </c>
      <c r="M18" s="53">
        <v>45.365000000000002</v>
      </c>
      <c r="N18" s="53">
        <v>129.88499999999999</v>
      </c>
      <c r="O18" s="53">
        <v>156.95500000000001</v>
      </c>
      <c r="P18" s="53">
        <v>304.19</v>
      </c>
      <c r="Q18" s="53">
        <v>52.97</v>
      </c>
      <c r="R18" s="53">
        <v>42.57</v>
      </c>
      <c r="S18" s="53">
        <v>5.2750000000000004</v>
      </c>
      <c r="T18" s="53">
        <v>0</v>
      </c>
      <c r="U18" s="53">
        <v>2.5</v>
      </c>
      <c r="V18" s="53">
        <v>8.3450000000000006</v>
      </c>
      <c r="W18" s="53">
        <v>14.97</v>
      </c>
      <c r="X18" s="53">
        <v>0</v>
      </c>
      <c r="Y18" s="53">
        <v>0</v>
      </c>
      <c r="Z18" s="53">
        <v>0</v>
      </c>
      <c r="AA18" s="53">
        <v>0</v>
      </c>
      <c r="AB18" s="53">
        <v>17.079999999999998</v>
      </c>
      <c r="AC18" s="53">
        <v>202.42</v>
      </c>
      <c r="AD18" s="53">
        <v>0</v>
      </c>
      <c r="AE18" s="107">
        <v>0</v>
      </c>
      <c r="AF18" s="53">
        <v>0</v>
      </c>
      <c r="AG18" s="107">
        <v>0</v>
      </c>
      <c r="AH18" s="107">
        <f t="shared" si="1"/>
        <v>1148.9900000000002</v>
      </c>
    </row>
    <row r="19" spans="1:34" ht="15">
      <c r="A19" s="415" t="s">
        <v>156</v>
      </c>
      <c r="B19" s="319">
        <f t="shared" si="0"/>
        <v>0</v>
      </c>
      <c r="C19" s="103">
        <v>0</v>
      </c>
      <c r="D19" s="53">
        <v>0</v>
      </c>
      <c r="E19" s="53">
        <v>0</v>
      </c>
      <c r="F19" s="53">
        <v>0</v>
      </c>
      <c r="G19" s="53">
        <v>0</v>
      </c>
      <c r="H19" s="53">
        <v>0</v>
      </c>
      <c r="I19" s="53">
        <v>0</v>
      </c>
      <c r="J19" s="53">
        <v>0</v>
      </c>
      <c r="K19" s="53">
        <v>0</v>
      </c>
      <c r="L19" s="53">
        <v>0</v>
      </c>
      <c r="M19" s="53">
        <v>0</v>
      </c>
      <c r="N19" s="53">
        <v>0</v>
      </c>
      <c r="O19" s="53">
        <v>0</v>
      </c>
      <c r="P19" s="3013" t="s">
        <v>311</v>
      </c>
      <c r="Q19" s="3013" t="s">
        <v>311</v>
      </c>
      <c r="R19" s="3013" t="s">
        <v>311</v>
      </c>
      <c r="S19" s="3013" t="s">
        <v>311</v>
      </c>
      <c r="T19" s="3013" t="s">
        <v>311</v>
      </c>
      <c r="U19" s="3013" t="s">
        <v>311</v>
      </c>
      <c r="V19" s="3013" t="s">
        <v>311</v>
      </c>
      <c r="W19" s="3013" t="s">
        <v>311</v>
      </c>
      <c r="X19" s="3013" t="s">
        <v>311</v>
      </c>
      <c r="Y19" s="3013" t="s">
        <v>311</v>
      </c>
      <c r="Z19" s="3013" t="s">
        <v>311</v>
      </c>
      <c r="AA19" s="3013" t="s">
        <v>311</v>
      </c>
      <c r="AB19" s="3013" t="s">
        <v>311</v>
      </c>
      <c r="AC19" s="3013" t="s">
        <v>311</v>
      </c>
      <c r="AD19" s="3013" t="s">
        <v>311</v>
      </c>
      <c r="AE19" s="3013" t="s">
        <v>311</v>
      </c>
      <c r="AF19" s="3013" t="s">
        <v>311</v>
      </c>
      <c r="AG19" s="3013" t="s">
        <v>311</v>
      </c>
      <c r="AH19" s="107">
        <f t="shared" si="1"/>
        <v>0</v>
      </c>
    </row>
    <row r="20" spans="1:34" ht="15">
      <c r="A20" s="199" t="s">
        <v>111</v>
      </c>
      <c r="B20" s="201">
        <f>SUM(B8:B19)</f>
        <v>7715.1360000000004</v>
      </c>
      <c r="C20" s="100">
        <f>SUM(C8:C18)</f>
        <v>152.98500000000001</v>
      </c>
      <c r="D20" s="107">
        <f>SUM(D8:D18)</f>
        <v>103.58</v>
      </c>
      <c r="E20" s="107">
        <v>0</v>
      </c>
      <c r="F20" s="107">
        <f t="shared" ref="F20:AC20" si="2">SUM(F8:F18)</f>
        <v>176.77</v>
      </c>
      <c r="G20" s="107">
        <f t="shared" si="2"/>
        <v>320.72500000000002</v>
      </c>
      <c r="H20" s="107">
        <f t="shared" si="2"/>
        <v>91.98</v>
      </c>
      <c r="I20" s="107">
        <f t="shared" si="2"/>
        <v>235.99</v>
      </c>
      <c r="J20" s="107">
        <f t="shared" si="2"/>
        <v>155.67000000000002</v>
      </c>
      <c r="K20" s="107">
        <f t="shared" si="2"/>
        <v>73.034999999999997</v>
      </c>
      <c r="L20" s="107">
        <f t="shared" si="2"/>
        <v>397.2</v>
      </c>
      <c r="M20" s="107">
        <f t="shared" si="2"/>
        <v>84.42</v>
      </c>
      <c r="N20" s="107">
        <f t="shared" si="2"/>
        <v>277.28499999999997</v>
      </c>
      <c r="O20" s="107">
        <f t="shared" si="2"/>
        <v>432.04000000000008</v>
      </c>
      <c r="P20" s="107">
        <f t="shared" si="2"/>
        <v>619.505</v>
      </c>
      <c r="Q20" s="107">
        <f t="shared" si="2"/>
        <v>323.05499999999995</v>
      </c>
      <c r="R20" s="107">
        <f t="shared" si="2"/>
        <v>344.185</v>
      </c>
      <c r="S20" s="107">
        <f t="shared" si="2"/>
        <v>30.784999999999997</v>
      </c>
      <c r="T20" s="107">
        <f t="shared" si="2"/>
        <v>214.72499999999999</v>
      </c>
      <c r="U20" s="107">
        <f t="shared" si="2"/>
        <v>49.239999999999995</v>
      </c>
      <c r="V20" s="107">
        <f t="shared" si="2"/>
        <v>221.465</v>
      </c>
      <c r="W20" s="107">
        <f t="shared" si="2"/>
        <v>200.535</v>
      </c>
      <c r="X20" s="107">
        <f t="shared" si="2"/>
        <v>308.51</v>
      </c>
      <c r="Y20" s="107">
        <f t="shared" si="2"/>
        <v>684.06000000000006</v>
      </c>
      <c r="Z20" s="107">
        <f t="shared" si="2"/>
        <v>505.53000000000003</v>
      </c>
      <c r="AA20" s="107">
        <f t="shared" si="2"/>
        <v>503.83500000000004</v>
      </c>
      <c r="AB20" s="107">
        <f t="shared" si="2"/>
        <v>172.91000000000003</v>
      </c>
      <c r="AC20" s="107">
        <f t="shared" si="2"/>
        <v>334.68100000000004</v>
      </c>
      <c r="AD20" s="107">
        <v>0</v>
      </c>
      <c r="AE20" s="107">
        <f>SUM(AE8:AE18)</f>
        <v>275.48</v>
      </c>
      <c r="AF20" s="107">
        <f>SUM(AF8:AF18)</f>
        <v>199.48499999999999</v>
      </c>
      <c r="AG20" s="107">
        <f>SUM(AG8:AG18)</f>
        <v>0</v>
      </c>
      <c r="AH20" s="100">
        <f>SUM(AH8:AH18)</f>
        <v>7715.1360000000004</v>
      </c>
    </row>
    <row r="21" spans="1:34" ht="5.0999999999999996" customHeight="1">
      <c r="A21" s="105"/>
      <c r="B21" s="176"/>
      <c r="C21" s="1"/>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
    </row>
    <row r="22" spans="1:34" ht="15" customHeight="1">
      <c r="A22" s="3854" t="s">
        <v>119</v>
      </c>
      <c r="B22" s="3855"/>
      <c r="C22" s="3855"/>
      <c r="D22" s="3855"/>
      <c r="E22" s="3855"/>
      <c r="F22" s="3855"/>
      <c r="G22" s="3855"/>
      <c r="H22" s="3856"/>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
    </row>
    <row r="23" spans="1:34" ht="15" customHeight="1">
      <c r="A23" s="8" t="s">
        <v>142</v>
      </c>
      <c r="B23" s="172" t="s">
        <v>143</v>
      </c>
      <c r="C23" s="8">
        <v>1</v>
      </c>
      <c r="D23" s="73">
        <v>2</v>
      </c>
      <c r="E23" s="73">
        <v>3</v>
      </c>
      <c r="F23" s="73">
        <v>4</v>
      </c>
      <c r="G23" s="73">
        <v>5</v>
      </c>
      <c r="H23" s="73">
        <v>6</v>
      </c>
      <c r="I23" s="73">
        <v>7</v>
      </c>
      <c r="J23" s="73">
        <v>8</v>
      </c>
      <c r="K23" s="73">
        <v>9</v>
      </c>
      <c r="L23" s="73">
        <v>10</v>
      </c>
      <c r="M23" s="73">
        <v>11</v>
      </c>
      <c r="N23" s="73">
        <v>12</v>
      </c>
      <c r="O23" s="73">
        <v>13</v>
      </c>
      <c r="P23" s="73">
        <v>14</v>
      </c>
      <c r="Q23" s="73">
        <v>15</v>
      </c>
      <c r="R23" s="73">
        <v>16</v>
      </c>
      <c r="S23" s="73">
        <v>17</v>
      </c>
      <c r="T23" s="73">
        <v>18</v>
      </c>
      <c r="U23" s="73">
        <v>19</v>
      </c>
      <c r="V23" s="73">
        <v>20</v>
      </c>
      <c r="W23" s="73">
        <v>21</v>
      </c>
      <c r="X23" s="73">
        <v>22</v>
      </c>
      <c r="Y23" s="73">
        <v>23</v>
      </c>
      <c r="Z23" s="73">
        <v>24</v>
      </c>
      <c r="AA23" s="73">
        <v>25</v>
      </c>
      <c r="AB23" s="73">
        <v>26</v>
      </c>
      <c r="AC23" s="73">
        <v>27</v>
      </c>
      <c r="AD23" s="73">
        <v>28</v>
      </c>
      <c r="AE23" s="73">
        <v>29</v>
      </c>
      <c r="AF23" s="73">
        <v>30</v>
      </c>
      <c r="AG23" s="73">
        <v>31</v>
      </c>
      <c r="AH23" s="88" t="s">
        <v>144</v>
      </c>
    </row>
    <row r="24" spans="1:34" ht="15">
      <c r="A24" s="363" t="s">
        <v>145</v>
      </c>
      <c r="B24" s="552">
        <f t="shared" ref="B24:B35" si="3">+AH24</f>
        <v>13.130000000000003</v>
      </c>
      <c r="C24" s="188" t="s">
        <v>318</v>
      </c>
      <c r="D24" s="188" t="s">
        <v>318</v>
      </c>
      <c r="E24" s="188" t="s">
        <v>318</v>
      </c>
      <c r="F24" s="188" t="s">
        <v>318</v>
      </c>
      <c r="G24" s="188" t="s">
        <v>318</v>
      </c>
      <c r="H24" s="188">
        <v>0.3</v>
      </c>
      <c r="I24" s="188" t="s">
        <v>318</v>
      </c>
      <c r="J24" s="188" t="s">
        <v>318</v>
      </c>
      <c r="K24" s="188" t="s">
        <v>318</v>
      </c>
      <c r="L24" s="188">
        <v>0.2</v>
      </c>
      <c r="M24" s="188">
        <v>0.1</v>
      </c>
      <c r="N24" s="188">
        <v>0.9</v>
      </c>
      <c r="O24" s="188">
        <v>0.35</v>
      </c>
      <c r="P24" s="188">
        <v>0.2</v>
      </c>
      <c r="Q24" s="188">
        <v>0.4</v>
      </c>
      <c r="R24" s="188">
        <v>0.5</v>
      </c>
      <c r="S24" s="188">
        <v>0.4</v>
      </c>
      <c r="T24" s="188">
        <v>1.3</v>
      </c>
      <c r="U24" s="188">
        <v>1.2</v>
      </c>
      <c r="V24" s="188">
        <v>1.1000000000000001</v>
      </c>
      <c r="W24" s="188">
        <v>0.5</v>
      </c>
      <c r="X24" s="188">
        <v>1</v>
      </c>
      <c r="Y24" s="188" t="s">
        <v>318</v>
      </c>
      <c r="Z24" s="188" t="s">
        <v>318</v>
      </c>
      <c r="AA24" s="188" t="s">
        <v>318</v>
      </c>
      <c r="AB24" s="188">
        <v>0.08</v>
      </c>
      <c r="AC24" s="188">
        <v>1.8</v>
      </c>
      <c r="AD24" s="188">
        <v>0.8</v>
      </c>
      <c r="AE24" s="188">
        <v>1</v>
      </c>
      <c r="AF24" s="188" t="s">
        <v>318</v>
      </c>
      <c r="AG24" s="188">
        <v>1</v>
      </c>
      <c r="AH24" s="107">
        <f>SUM(C24:AG24)</f>
        <v>13.130000000000003</v>
      </c>
    </row>
    <row r="25" spans="1:34" ht="15">
      <c r="A25" s="363" t="s">
        <v>146</v>
      </c>
      <c r="B25" s="552">
        <f t="shared" si="3"/>
        <v>19.13</v>
      </c>
      <c r="C25" s="188">
        <v>1</v>
      </c>
      <c r="D25" s="188" t="s">
        <v>318</v>
      </c>
      <c r="E25" s="188">
        <v>0.4</v>
      </c>
      <c r="F25" s="188">
        <v>0.35</v>
      </c>
      <c r="G25" s="188" t="s">
        <v>318</v>
      </c>
      <c r="H25" s="188" t="s">
        <v>318</v>
      </c>
      <c r="I25" s="188">
        <v>0.5</v>
      </c>
      <c r="J25" s="188">
        <v>0.4</v>
      </c>
      <c r="K25" s="188">
        <v>1.25</v>
      </c>
      <c r="L25" s="188">
        <v>1.6</v>
      </c>
      <c r="M25" s="188" t="s">
        <v>318</v>
      </c>
      <c r="N25" s="188" t="s">
        <v>318</v>
      </c>
      <c r="O25" s="188" t="s">
        <v>318</v>
      </c>
      <c r="P25" s="188" t="s">
        <v>318</v>
      </c>
      <c r="Q25" s="188">
        <v>0.02</v>
      </c>
      <c r="R25" s="188" t="s">
        <v>318</v>
      </c>
      <c r="S25" s="188" t="s">
        <v>318</v>
      </c>
      <c r="T25" s="188">
        <v>0.8</v>
      </c>
      <c r="U25" s="188">
        <v>1</v>
      </c>
      <c r="V25" s="188" t="s">
        <v>318</v>
      </c>
      <c r="W25" s="188">
        <v>0.6</v>
      </c>
      <c r="X25" s="188">
        <v>1</v>
      </c>
      <c r="Y25" s="188">
        <v>1.6</v>
      </c>
      <c r="Z25" s="188">
        <v>4</v>
      </c>
      <c r="AA25" s="188">
        <v>2.61</v>
      </c>
      <c r="AB25" s="188" t="s">
        <v>318</v>
      </c>
      <c r="AC25" s="188" t="s">
        <v>318</v>
      </c>
      <c r="AD25" s="188">
        <v>1</v>
      </c>
      <c r="AE25" s="188">
        <v>1</v>
      </c>
      <c r="AF25" s="188" t="s">
        <v>318</v>
      </c>
      <c r="AG25" s="188" t="s">
        <v>318</v>
      </c>
      <c r="AH25" s="107">
        <f t="shared" ref="AH25:AH35" si="4">SUM(C25:AG25)</f>
        <v>19.13</v>
      </c>
    </row>
    <row r="26" spans="1:34" ht="15">
      <c r="A26" s="363" t="s">
        <v>147</v>
      </c>
      <c r="B26" s="552">
        <f t="shared" si="3"/>
        <v>20.195</v>
      </c>
      <c r="C26" s="188" t="s">
        <v>626</v>
      </c>
      <c r="D26" s="188">
        <v>0.8</v>
      </c>
      <c r="E26" s="188">
        <v>0.5</v>
      </c>
      <c r="F26" s="188" t="s">
        <v>318</v>
      </c>
      <c r="G26" s="188" t="s">
        <v>318</v>
      </c>
      <c r="H26" s="53">
        <v>0</v>
      </c>
      <c r="I26" s="53">
        <v>0</v>
      </c>
      <c r="J26" s="53">
        <v>0.3</v>
      </c>
      <c r="K26" s="53">
        <v>0</v>
      </c>
      <c r="L26" s="53">
        <v>1</v>
      </c>
      <c r="M26" s="53">
        <v>0.8</v>
      </c>
      <c r="N26" s="53">
        <v>0</v>
      </c>
      <c r="O26" s="53">
        <v>0.8</v>
      </c>
      <c r="P26" s="53">
        <v>0</v>
      </c>
      <c r="Q26" s="53">
        <v>0.5</v>
      </c>
      <c r="R26" s="53">
        <v>13.795</v>
      </c>
      <c r="S26" s="53">
        <v>0</v>
      </c>
      <c r="T26" s="53">
        <v>0</v>
      </c>
      <c r="U26" s="53">
        <v>0</v>
      </c>
      <c r="V26" s="53">
        <v>1</v>
      </c>
      <c r="W26" s="53">
        <v>0.5</v>
      </c>
      <c r="X26" s="53">
        <v>0</v>
      </c>
      <c r="Y26" s="53">
        <v>0</v>
      </c>
      <c r="Z26" s="53">
        <v>0.2</v>
      </c>
      <c r="AA26" s="53">
        <v>0</v>
      </c>
      <c r="AB26" s="53">
        <v>0</v>
      </c>
      <c r="AC26" s="188" t="s">
        <v>318</v>
      </c>
      <c r="AD26" s="188" t="s">
        <v>318</v>
      </c>
      <c r="AE26" s="188" t="s">
        <v>318</v>
      </c>
      <c r="AF26" s="188" t="s">
        <v>318</v>
      </c>
      <c r="AG26" s="188" t="s">
        <v>318</v>
      </c>
      <c r="AH26" s="107">
        <f t="shared" si="4"/>
        <v>20.195</v>
      </c>
    </row>
    <row r="27" spans="1:34" ht="15">
      <c r="A27" s="363" t="s">
        <v>148</v>
      </c>
      <c r="B27" s="552">
        <f t="shared" si="3"/>
        <v>605.47500000000002</v>
      </c>
      <c r="C27" s="188" t="s">
        <v>626</v>
      </c>
      <c r="D27" s="188" t="s">
        <v>318</v>
      </c>
      <c r="E27" s="188" t="s">
        <v>318</v>
      </c>
      <c r="F27" s="188" t="s">
        <v>318</v>
      </c>
      <c r="G27" s="188" t="s">
        <v>318</v>
      </c>
      <c r="H27" s="188" t="s">
        <v>318</v>
      </c>
      <c r="I27" s="188" t="s">
        <v>318</v>
      </c>
      <c r="J27" s="188" t="s">
        <v>318</v>
      </c>
      <c r="K27" s="188" t="s">
        <v>318</v>
      </c>
      <c r="L27" s="831">
        <v>52.27</v>
      </c>
      <c r="M27" s="831">
        <v>0</v>
      </c>
      <c r="N27" s="831">
        <v>0</v>
      </c>
      <c r="O27" s="831">
        <v>13.005000000000001</v>
      </c>
      <c r="P27" s="831">
        <v>18.05</v>
      </c>
      <c r="Q27" s="831">
        <v>40.784999999999997</v>
      </c>
      <c r="R27" s="831">
        <v>15.98</v>
      </c>
      <c r="S27" s="831">
        <v>0</v>
      </c>
      <c r="T27" s="831">
        <v>0</v>
      </c>
      <c r="U27" s="831">
        <v>61.16</v>
      </c>
      <c r="V27" s="831">
        <v>83.96</v>
      </c>
      <c r="W27" s="831">
        <v>40.454999999999998</v>
      </c>
      <c r="X27" s="831">
        <v>83.83</v>
      </c>
      <c r="Y27" s="831">
        <v>21</v>
      </c>
      <c r="Z27" s="831">
        <v>93.564999999999998</v>
      </c>
      <c r="AA27" s="831">
        <v>12</v>
      </c>
      <c r="AB27" s="831">
        <v>0</v>
      </c>
      <c r="AC27" s="831">
        <v>24.72</v>
      </c>
      <c r="AD27" s="831">
        <v>3.45</v>
      </c>
      <c r="AE27" s="831">
        <v>41.244999999999997</v>
      </c>
      <c r="AF27" s="831">
        <v>0</v>
      </c>
      <c r="AG27" s="831">
        <v>0</v>
      </c>
      <c r="AH27" s="107">
        <f t="shared" si="4"/>
        <v>605.47500000000002</v>
      </c>
    </row>
    <row r="28" spans="1:34" ht="15">
      <c r="A28" s="375" t="s">
        <v>149</v>
      </c>
      <c r="B28" s="552">
        <f t="shared" si="3"/>
        <v>507.161</v>
      </c>
      <c r="C28" s="867">
        <v>0</v>
      </c>
      <c r="D28" s="867">
        <v>0</v>
      </c>
      <c r="E28" s="867">
        <v>7.47</v>
      </c>
      <c r="F28" s="867">
        <v>45.41</v>
      </c>
      <c r="G28" s="867">
        <v>66.435000000000002</v>
      </c>
      <c r="H28" s="867">
        <v>0</v>
      </c>
      <c r="I28" s="867">
        <v>20</v>
      </c>
      <c r="J28" s="867">
        <v>128.536</v>
      </c>
      <c r="K28" s="867">
        <v>32.68</v>
      </c>
      <c r="L28" s="867">
        <v>28.28</v>
      </c>
      <c r="M28" s="867">
        <v>0</v>
      </c>
      <c r="N28" s="867">
        <v>5.51</v>
      </c>
      <c r="O28" s="867">
        <v>45.91</v>
      </c>
      <c r="P28" s="867">
        <v>0</v>
      </c>
      <c r="Q28" s="867">
        <v>44.07</v>
      </c>
      <c r="R28" s="867">
        <v>43.534999999999997</v>
      </c>
      <c r="S28" s="867">
        <v>8.32</v>
      </c>
      <c r="T28" s="867">
        <v>0</v>
      </c>
      <c r="U28" s="867">
        <v>0</v>
      </c>
      <c r="V28" s="867">
        <v>0</v>
      </c>
      <c r="W28" s="867">
        <v>0</v>
      </c>
      <c r="X28" s="867">
        <v>13.43</v>
      </c>
      <c r="Y28" s="928">
        <v>7.2549999999999999</v>
      </c>
      <c r="Z28" s="928">
        <v>10.32</v>
      </c>
      <c r="AA28" s="928">
        <v>0</v>
      </c>
      <c r="AB28" s="928">
        <v>0</v>
      </c>
      <c r="AC28" s="928">
        <v>0</v>
      </c>
      <c r="AD28" s="928">
        <v>0</v>
      </c>
      <c r="AE28" s="928">
        <v>0</v>
      </c>
      <c r="AF28" s="928">
        <v>0</v>
      </c>
      <c r="AG28" s="928">
        <v>0</v>
      </c>
      <c r="AH28" s="830">
        <f t="shared" si="4"/>
        <v>507.161</v>
      </c>
    </row>
    <row r="29" spans="1:34" ht="15">
      <c r="A29" s="375" t="s">
        <v>150</v>
      </c>
      <c r="B29" s="552">
        <f t="shared" si="3"/>
        <v>262.27999999999997</v>
      </c>
      <c r="C29" s="103">
        <v>42</v>
      </c>
      <c r="D29" s="53">
        <v>27.824999999999999</v>
      </c>
      <c r="E29" s="53">
        <v>0</v>
      </c>
      <c r="F29" s="53">
        <v>0</v>
      </c>
      <c r="G29" s="53">
        <v>0</v>
      </c>
      <c r="H29" s="188" t="s">
        <v>162</v>
      </c>
      <c r="I29" s="188" t="s">
        <v>162</v>
      </c>
      <c r="J29" s="188" t="s">
        <v>162</v>
      </c>
      <c r="K29" s="188" t="s">
        <v>162</v>
      </c>
      <c r="L29" s="188" t="s">
        <v>162</v>
      </c>
      <c r="M29" s="188" t="s">
        <v>162</v>
      </c>
      <c r="N29" s="188" t="s">
        <v>162</v>
      </c>
      <c r="O29" s="188" t="s">
        <v>162</v>
      </c>
      <c r="P29" s="188" t="s">
        <v>162</v>
      </c>
      <c r="Q29" s="188" t="s">
        <v>162</v>
      </c>
      <c r="R29" s="188" t="s">
        <v>162</v>
      </c>
      <c r="S29" s="188" t="s">
        <v>162</v>
      </c>
      <c r="T29" s="188" t="s">
        <v>162</v>
      </c>
      <c r="U29" s="188" t="s">
        <v>162</v>
      </c>
      <c r="V29" s="188" t="s">
        <v>162</v>
      </c>
      <c r="W29" s="188" t="s">
        <v>162</v>
      </c>
      <c r="X29" s="188" t="s">
        <v>162</v>
      </c>
      <c r="Y29" s="53">
        <v>34.36</v>
      </c>
      <c r="Z29" s="53">
        <v>21.9</v>
      </c>
      <c r="AA29" s="53">
        <v>74.114999999999995</v>
      </c>
      <c r="AB29" s="53">
        <v>62.08</v>
      </c>
      <c r="AC29" s="53">
        <v>0</v>
      </c>
      <c r="AD29" s="53">
        <v>0</v>
      </c>
      <c r="AE29" s="53">
        <v>0</v>
      </c>
      <c r="AF29" s="53">
        <v>0</v>
      </c>
      <c r="AG29" s="53">
        <v>0</v>
      </c>
      <c r="AH29" s="107">
        <f t="shared" si="4"/>
        <v>262.27999999999997</v>
      </c>
    </row>
    <row r="30" spans="1:34" ht="15">
      <c r="A30" s="375" t="s">
        <v>151</v>
      </c>
      <c r="B30" s="552">
        <f t="shared" si="3"/>
        <v>162.62999999999997</v>
      </c>
      <c r="C30" s="103">
        <v>0</v>
      </c>
      <c r="D30" s="53">
        <v>0</v>
      </c>
      <c r="E30" s="53">
        <v>0</v>
      </c>
      <c r="F30" s="53">
        <v>50</v>
      </c>
      <c r="G30" s="53">
        <v>16.905000000000001</v>
      </c>
      <c r="H30" s="53">
        <v>8</v>
      </c>
      <c r="I30" s="53">
        <v>0</v>
      </c>
      <c r="J30" s="103">
        <v>0</v>
      </c>
      <c r="K30" s="103">
        <v>4.38</v>
      </c>
      <c r="L30" s="53">
        <v>0</v>
      </c>
      <c r="M30" s="53">
        <v>0</v>
      </c>
      <c r="N30" s="53">
        <v>0</v>
      </c>
      <c r="O30" s="53">
        <v>28.414999999999999</v>
      </c>
      <c r="P30" s="53">
        <v>23.1</v>
      </c>
      <c r="Q30" s="53">
        <v>4.8550000000000004</v>
      </c>
      <c r="R30" s="53">
        <v>5.74</v>
      </c>
      <c r="S30" s="53">
        <v>0</v>
      </c>
      <c r="T30" s="53">
        <v>18.975000000000001</v>
      </c>
      <c r="U30" s="53">
        <v>0</v>
      </c>
      <c r="V30" s="53">
        <v>0</v>
      </c>
      <c r="W30" s="53">
        <v>0</v>
      </c>
      <c r="X30" s="53">
        <v>0</v>
      </c>
      <c r="Y30" s="53">
        <v>1</v>
      </c>
      <c r="Z30" s="53">
        <v>0</v>
      </c>
      <c r="AA30" s="53">
        <v>0</v>
      </c>
      <c r="AB30" s="53">
        <v>0</v>
      </c>
      <c r="AC30" s="53">
        <v>0</v>
      </c>
      <c r="AD30" s="53">
        <v>0</v>
      </c>
      <c r="AE30" s="53">
        <v>0</v>
      </c>
      <c r="AF30" s="53">
        <v>0</v>
      </c>
      <c r="AG30" s="53">
        <v>1.26</v>
      </c>
      <c r="AH30" s="107">
        <f t="shared" si="4"/>
        <v>162.62999999999997</v>
      </c>
    </row>
    <row r="31" spans="1:34" ht="15">
      <c r="A31" s="375" t="s">
        <v>152</v>
      </c>
      <c r="B31" s="552">
        <f t="shared" si="3"/>
        <v>0</v>
      </c>
      <c r="C31" s="103">
        <v>0</v>
      </c>
      <c r="D31" s="53">
        <v>0</v>
      </c>
      <c r="E31" s="53">
        <v>0</v>
      </c>
      <c r="F31" s="53">
        <v>0</v>
      </c>
      <c r="G31" s="53">
        <v>0</v>
      </c>
      <c r="H31" s="53">
        <v>0</v>
      </c>
      <c r="I31" s="53">
        <v>0</v>
      </c>
      <c r="J31" s="188" t="s">
        <v>318</v>
      </c>
      <c r="K31" s="188" t="s">
        <v>318</v>
      </c>
      <c r="L31" s="188" t="s">
        <v>318</v>
      </c>
      <c r="M31" s="188" t="s">
        <v>318</v>
      </c>
      <c r="N31" s="188" t="s">
        <v>318</v>
      </c>
      <c r="O31" s="188" t="s">
        <v>318</v>
      </c>
      <c r="P31" s="188" t="s">
        <v>318</v>
      </c>
      <c r="Q31" s="188" t="s">
        <v>318</v>
      </c>
      <c r="R31" s="188" t="s">
        <v>318</v>
      </c>
      <c r="S31" s="188" t="s">
        <v>318</v>
      </c>
      <c r="T31" s="188" t="s">
        <v>318</v>
      </c>
      <c r="U31" s="188" t="s">
        <v>318</v>
      </c>
      <c r="V31" s="188" t="s">
        <v>318</v>
      </c>
      <c r="W31" s="188" t="s">
        <v>318</v>
      </c>
      <c r="X31" s="188" t="s">
        <v>318</v>
      </c>
      <c r="Y31" s="188" t="s">
        <v>318</v>
      </c>
      <c r="Z31" s="188" t="s">
        <v>318</v>
      </c>
      <c r="AA31" s="188" t="s">
        <v>318</v>
      </c>
      <c r="AB31" s="188" t="s">
        <v>318</v>
      </c>
      <c r="AC31" s="188" t="s">
        <v>318</v>
      </c>
      <c r="AD31" s="188" t="s">
        <v>318</v>
      </c>
      <c r="AE31" s="188" t="s">
        <v>318</v>
      </c>
      <c r="AF31" s="188" t="s">
        <v>318</v>
      </c>
      <c r="AG31" s="188" t="s">
        <v>318</v>
      </c>
      <c r="AH31" s="107">
        <f t="shared" si="4"/>
        <v>0</v>
      </c>
    </row>
    <row r="32" spans="1:34" ht="15">
      <c r="A32" s="415" t="s">
        <v>153</v>
      </c>
      <c r="B32" s="83">
        <f t="shared" si="3"/>
        <v>6.4499999999999993</v>
      </c>
      <c r="C32" s="330">
        <v>0</v>
      </c>
      <c r="D32" s="330">
        <v>0</v>
      </c>
      <c r="E32" s="330">
        <v>0</v>
      </c>
      <c r="F32" s="330">
        <v>0.2</v>
      </c>
      <c r="G32" s="330">
        <v>0</v>
      </c>
      <c r="H32" s="330">
        <v>0.3</v>
      </c>
      <c r="I32" s="330">
        <v>0</v>
      </c>
      <c r="J32" s="330">
        <v>1.8</v>
      </c>
      <c r="K32" s="330">
        <v>0</v>
      </c>
      <c r="L32" s="330">
        <v>0</v>
      </c>
      <c r="M32" s="330">
        <v>0</v>
      </c>
      <c r="N32" s="330">
        <v>0.35</v>
      </c>
      <c r="O32" s="330">
        <v>0.3</v>
      </c>
      <c r="P32" s="330">
        <v>2</v>
      </c>
      <c r="Q32" s="188">
        <v>0</v>
      </c>
      <c r="R32" s="188">
        <v>0</v>
      </c>
      <c r="S32" s="188">
        <v>0</v>
      </c>
      <c r="T32" s="188">
        <v>0</v>
      </c>
      <c r="U32" s="188">
        <v>0</v>
      </c>
      <c r="V32" s="188">
        <v>0</v>
      </c>
      <c r="W32" s="188">
        <v>0</v>
      </c>
      <c r="X32" s="188">
        <v>0</v>
      </c>
      <c r="Y32" s="188">
        <v>0</v>
      </c>
      <c r="Z32" s="188">
        <v>1.5</v>
      </c>
      <c r="AA32" s="188">
        <v>0</v>
      </c>
      <c r="AB32" s="188">
        <v>0</v>
      </c>
      <c r="AC32" s="188">
        <v>0</v>
      </c>
      <c r="AD32" s="188">
        <v>0</v>
      </c>
      <c r="AE32" s="188">
        <v>0</v>
      </c>
      <c r="AF32" s="188">
        <v>0</v>
      </c>
      <c r="AG32" s="188">
        <v>0</v>
      </c>
      <c r="AH32" s="107">
        <f t="shared" si="4"/>
        <v>6.4499999999999993</v>
      </c>
    </row>
    <row r="33" spans="1:34" ht="15">
      <c r="A33" s="415" t="s">
        <v>154</v>
      </c>
      <c r="B33" s="83">
        <f t="shared" si="3"/>
        <v>123.21</v>
      </c>
      <c r="C33" s="188">
        <v>0</v>
      </c>
      <c r="D33" s="630">
        <v>0</v>
      </c>
      <c r="E33" s="188">
        <v>0</v>
      </c>
      <c r="F33" s="188">
        <v>0</v>
      </c>
      <c r="G33" s="188">
        <v>0</v>
      </c>
      <c r="H33" s="188">
        <v>0</v>
      </c>
      <c r="I33" s="188">
        <v>0</v>
      </c>
      <c r="J33" s="188">
        <v>0</v>
      </c>
      <c r="K33" s="188">
        <v>0</v>
      </c>
      <c r="L33" s="188">
        <v>0</v>
      </c>
      <c r="M33" s="188">
        <v>3.4</v>
      </c>
      <c r="N33" s="188">
        <v>0</v>
      </c>
      <c r="O33" s="188">
        <v>0</v>
      </c>
      <c r="P33" s="188">
        <v>0</v>
      </c>
      <c r="Q33" s="188">
        <v>0</v>
      </c>
      <c r="R33" s="188">
        <v>0</v>
      </c>
      <c r="S33" s="188">
        <v>0</v>
      </c>
      <c r="T33" s="188">
        <v>0.4</v>
      </c>
      <c r="U33" s="188">
        <v>2.5</v>
      </c>
      <c r="V33" s="188">
        <v>0</v>
      </c>
      <c r="W33" s="188">
        <v>0</v>
      </c>
      <c r="X33" s="480">
        <v>13.115</v>
      </c>
      <c r="Y33" s="480">
        <v>0</v>
      </c>
      <c r="Z33" s="480">
        <v>53.19</v>
      </c>
      <c r="AA33" s="480">
        <v>5</v>
      </c>
      <c r="AB33" s="480">
        <v>0</v>
      </c>
      <c r="AC33" s="480">
        <v>7.9050000000000002</v>
      </c>
      <c r="AD33" s="480">
        <v>0</v>
      </c>
      <c r="AE33" s="480">
        <v>17.7</v>
      </c>
      <c r="AF33" s="480">
        <v>20</v>
      </c>
      <c r="AG33" s="480">
        <v>0</v>
      </c>
      <c r="AH33" s="107">
        <f t="shared" si="4"/>
        <v>123.21</v>
      </c>
    </row>
    <row r="34" spans="1:34" ht="15">
      <c r="A34" s="415" t="s">
        <v>155</v>
      </c>
      <c r="B34" s="83">
        <f t="shared" si="3"/>
        <v>224.66500000000002</v>
      </c>
      <c r="C34" s="103">
        <v>0</v>
      </c>
      <c r="D34" s="53">
        <v>0</v>
      </c>
      <c r="E34" s="53">
        <v>0</v>
      </c>
      <c r="F34" s="53">
        <v>0</v>
      </c>
      <c r="G34" s="53">
        <v>20.245000000000001</v>
      </c>
      <c r="H34" s="53">
        <v>6.2050000000000001</v>
      </c>
      <c r="I34" s="53">
        <v>0</v>
      </c>
      <c r="J34" s="53">
        <v>0</v>
      </c>
      <c r="K34" s="53">
        <v>0</v>
      </c>
      <c r="L34" s="53">
        <v>0</v>
      </c>
      <c r="M34" s="53">
        <v>0</v>
      </c>
      <c r="N34" s="53">
        <v>7.2750000000000004</v>
      </c>
      <c r="O34" s="53">
        <v>38.43</v>
      </c>
      <c r="P34" s="53">
        <v>33.909999999999997</v>
      </c>
      <c r="Q34" s="53">
        <v>9.4649999999999999</v>
      </c>
      <c r="R34" s="53">
        <v>15.22</v>
      </c>
      <c r="S34" s="53">
        <v>15.31</v>
      </c>
      <c r="T34" s="53">
        <v>0</v>
      </c>
      <c r="U34" s="53">
        <v>0</v>
      </c>
      <c r="V34" s="53">
        <v>0.08</v>
      </c>
      <c r="W34" s="53">
        <v>0.06</v>
      </c>
      <c r="X34" s="53">
        <v>1.2</v>
      </c>
      <c r="Y34" s="53">
        <v>0</v>
      </c>
      <c r="Z34" s="53">
        <v>0</v>
      </c>
      <c r="AA34" s="53">
        <v>0</v>
      </c>
      <c r="AB34" s="53">
        <v>0</v>
      </c>
      <c r="AC34" s="53">
        <v>29.315000000000001</v>
      </c>
      <c r="AD34" s="53">
        <v>23.954999999999998</v>
      </c>
      <c r="AE34" s="107">
        <v>4</v>
      </c>
      <c r="AF34" s="53">
        <v>19.995000000000001</v>
      </c>
      <c r="AG34" s="107">
        <v>0</v>
      </c>
      <c r="AH34" s="107">
        <f t="shared" si="4"/>
        <v>224.66500000000002</v>
      </c>
    </row>
    <row r="35" spans="1:34" ht="15">
      <c r="A35" s="415" t="s">
        <v>156</v>
      </c>
      <c r="B35" s="83">
        <f t="shared" si="3"/>
        <v>52.65</v>
      </c>
      <c r="C35" s="103">
        <v>0</v>
      </c>
      <c r="D35" s="53">
        <v>5.75</v>
      </c>
      <c r="E35" s="53">
        <v>0</v>
      </c>
      <c r="F35" s="53">
        <v>8.9700000000000006</v>
      </c>
      <c r="G35" s="53">
        <v>0</v>
      </c>
      <c r="H35" s="53">
        <v>0</v>
      </c>
      <c r="I35" s="53">
        <v>3.71</v>
      </c>
      <c r="J35" s="53">
        <v>0</v>
      </c>
      <c r="K35" s="53">
        <v>2.5</v>
      </c>
      <c r="L35" s="53">
        <v>2.25</v>
      </c>
      <c r="M35" s="53">
        <v>0</v>
      </c>
      <c r="N35" s="53">
        <v>0</v>
      </c>
      <c r="O35" s="53">
        <v>22.29</v>
      </c>
      <c r="P35" s="3013">
        <v>2.2000000000000002</v>
      </c>
      <c r="Q35" s="3013">
        <v>0</v>
      </c>
      <c r="R35" s="3013">
        <v>0</v>
      </c>
      <c r="S35" s="3013">
        <v>0</v>
      </c>
      <c r="T35" s="3013">
        <v>0</v>
      </c>
      <c r="U35" s="3013">
        <v>0</v>
      </c>
      <c r="V35" s="3013">
        <v>0</v>
      </c>
      <c r="W35" s="3013">
        <v>4.68</v>
      </c>
      <c r="X35" s="3013">
        <v>0</v>
      </c>
      <c r="Y35" s="3013">
        <v>0</v>
      </c>
      <c r="Z35" s="3013">
        <v>0</v>
      </c>
      <c r="AA35" s="3013">
        <v>0</v>
      </c>
      <c r="AB35" s="3013">
        <v>0</v>
      </c>
      <c r="AC35" s="3013">
        <v>0</v>
      </c>
      <c r="AD35" s="3013">
        <v>0.3</v>
      </c>
      <c r="AE35" s="3013">
        <v>0</v>
      </c>
      <c r="AF35" s="3013">
        <v>0</v>
      </c>
      <c r="AG35" s="3013">
        <v>0</v>
      </c>
      <c r="AH35" s="107">
        <f t="shared" si="4"/>
        <v>52.65</v>
      </c>
    </row>
    <row r="36" spans="1:34" ht="15">
      <c r="A36" s="199" t="s">
        <v>144</v>
      </c>
      <c r="B36" s="229">
        <f>SUM(B24:B35)</f>
        <v>1996.9760000000001</v>
      </c>
      <c r="C36" s="100">
        <f>SUM(C24:C34)</f>
        <v>43</v>
      </c>
      <c r="D36" s="107">
        <f>SUM(D24:D34)</f>
        <v>28.625</v>
      </c>
      <c r="E36" s="107">
        <v>0</v>
      </c>
      <c r="F36" s="107">
        <f t="shared" ref="F36:AC36" si="5">SUM(F24:F34)</f>
        <v>95.96</v>
      </c>
      <c r="G36" s="107">
        <f t="shared" si="5"/>
        <v>103.58500000000001</v>
      </c>
      <c r="H36" s="107">
        <f t="shared" si="5"/>
        <v>14.805000000000001</v>
      </c>
      <c r="I36" s="107">
        <f t="shared" si="5"/>
        <v>20.5</v>
      </c>
      <c r="J36" s="107">
        <f t="shared" si="5"/>
        <v>131.036</v>
      </c>
      <c r="K36" s="107">
        <f t="shared" si="5"/>
        <v>38.31</v>
      </c>
      <c r="L36" s="107">
        <f t="shared" si="5"/>
        <v>83.35</v>
      </c>
      <c r="M36" s="107">
        <f t="shared" si="5"/>
        <v>4.3</v>
      </c>
      <c r="N36" s="107">
        <f t="shared" si="5"/>
        <v>14.035</v>
      </c>
      <c r="O36" s="107">
        <f t="shared" si="5"/>
        <v>127.20999999999998</v>
      </c>
      <c r="P36" s="107">
        <f t="shared" si="5"/>
        <v>77.259999999999991</v>
      </c>
      <c r="Q36" s="107">
        <f t="shared" si="5"/>
        <v>100.09500000000001</v>
      </c>
      <c r="R36" s="107">
        <f t="shared" si="5"/>
        <v>94.77</v>
      </c>
      <c r="S36" s="107">
        <f t="shared" si="5"/>
        <v>24.03</v>
      </c>
      <c r="T36" s="107">
        <f t="shared" si="5"/>
        <v>21.475000000000001</v>
      </c>
      <c r="U36" s="107">
        <f t="shared" si="5"/>
        <v>65.86</v>
      </c>
      <c r="V36" s="107">
        <f t="shared" si="5"/>
        <v>86.139999999999986</v>
      </c>
      <c r="W36" s="107">
        <f t="shared" si="5"/>
        <v>42.115000000000002</v>
      </c>
      <c r="X36" s="107">
        <f t="shared" si="5"/>
        <v>113.57499999999999</v>
      </c>
      <c r="Y36" s="107">
        <f t="shared" si="5"/>
        <v>65.215000000000003</v>
      </c>
      <c r="Z36" s="107">
        <f t="shared" si="5"/>
        <v>184.67500000000001</v>
      </c>
      <c r="AA36" s="107">
        <f t="shared" si="5"/>
        <v>93.724999999999994</v>
      </c>
      <c r="AB36" s="107">
        <f t="shared" si="5"/>
        <v>62.16</v>
      </c>
      <c r="AC36" s="107">
        <f t="shared" si="5"/>
        <v>63.739999999999995</v>
      </c>
      <c r="AD36" s="107">
        <v>0</v>
      </c>
      <c r="AE36" s="107">
        <f>SUM(AE24:AE34)</f>
        <v>64.944999999999993</v>
      </c>
      <c r="AF36" s="107">
        <f>SUM(AF24:AF34)</f>
        <v>39.995000000000005</v>
      </c>
      <c r="AG36" s="107">
        <f>SUM(AG24:AG34)</f>
        <v>2.2599999999999998</v>
      </c>
      <c r="AH36" s="100">
        <f>SUM(AH24:AH34)</f>
        <v>1944.326</v>
      </c>
    </row>
    <row r="37" spans="1:34" ht="15">
      <c r="A37" s="387"/>
      <c r="B37" s="747"/>
      <c r="C37" s="16"/>
      <c r="D37" s="106"/>
      <c r="E37" s="106"/>
      <c r="F37" s="106"/>
      <c r="G37" s="106"/>
      <c r="H37" s="106"/>
      <c r="I37" s="106"/>
      <c r="J37" s="106"/>
      <c r="K37" s="106"/>
      <c r="L37" s="106"/>
      <c r="M37" s="106"/>
      <c r="N37" s="106"/>
      <c r="O37" s="106"/>
      <c r="P37" s="106"/>
      <c r="Q37" s="106"/>
      <c r="R37" s="106"/>
      <c r="S37" s="106"/>
      <c r="T37" s="106"/>
      <c r="U37" s="106"/>
      <c r="V37" s="106"/>
      <c r="W37" s="106"/>
      <c r="X37" s="106"/>
      <c r="Y37" s="106"/>
      <c r="Z37" s="106"/>
      <c r="AA37" s="106"/>
      <c r="AB37" s="106"/>
      <c r="AC37" s="106"/>
      <c r="AD37" s="106"/>
      <c r="AE37" s="106"/>
      <c r="AF37" s="106"/>
      <c r="AG37" s="106"/>
      <c r="AH37" s="16"/>
    </row>
    <row r="38" spans="1:34" ht="15">
      <c r="A38" s="3876" t="s">
        <v>138</v>
      </c>
      <c r="B38" s="3877"/>
      <c r="C38" s="3877"/>
      <c r="D38" s="3877"/>
      <c r="E38" s="3877"/>
      <c r="F38" s="3877"/>
      <c r="G38" s="3877"/>
      <c r="H38" s="3877"/>
      <c r="I38" s="3877"/>
      <c r="J38" s="3877"/>
      <c r="K38" s="3877"/>
      <c r="L38" s="3877"/>
      <c r="M38" s="3877"/>
      <c r="N38" s="3877"/>
      <c r="O38" s="3877"/>
      <c r="P38" s="3877"/>
      <c r="Q38" s="3877"/>
      <c r="R38" s="3877"/>
      <c r="S38" s="106"/>
      <c r="T38" s="106"/>
      <c r="U38" s="106"/>
      <c r="V38" s="106"/>
      <c r="W38" s="106"/>
      <c r="X38" s="106"/>
      <c r="Y38" s="106"/>
      <c r="Z38" s="106"/>
      <c r="AA38" s="106"/>
      <c r="AB38" s="106"/>
      <c r="AC38" s="106"/>
      <c r="AD38" s="106"/>
      <c r="AE38" s="106"/>
      <c r="AF38" s="106"/>
      <c r="AG38" s="106"/>
      <c r="AH38" s="16"/>
    </row>
    <row r="39" spans="1:34" ht="15">
      <c r="A39" s="783" t="s">
        <v>652</v>
      </c>
      <c r="B39" s="784"/>
      <c r="C39" s="785"/>
      <c r="D39" s="782"/>
      <c r="E39" s="782"/>
      <c r="F39" s="782"/>
      <c r="G39" s="782"/>
      <c r="H39" s="81"/>
      <c r="I39" s="81"/>
      <c r="J39" s="81"/>
      <c r="K39" s="81"/>
      <c r="L39" s="81"/>
      <c r="M39" s="81"/>
      <c r="N39" s="81"/>
      <c r="O39" s="81"/>
      <c r="P39" s="81"/>
      <c r="Q39" s="81"/>
      <c r="R39" s="81"/>
      <c r="S39" s="106"/>
      <c r="T39" s="106"/>
      <c r="U39" s="106"/>
      <c r="V39" s="106"/>
      <c r="W39" s="106"/>
      <c r="X39" s="106"/>
      <c r="Y39" s="106"/>
      <c r="Z39" s="106"/>
      <c r="AA39" s="106"/>
      <c r="AB39" s="106"/>
      <c r="AC39" s="106"/>
      <c r="AD39" s="106"/>
      <c r="AE39" s="106"/>
      <c r="AF39" s="106"/>
      <c r="AG39" s="106"/>
      <c r="AH39" s="16"/>
    </row>
    <row r="40" spans="1:34" ht="15">
      <c r="A40" s="363" t="s">
        <v>142</v>
      </c>
      <c r="B40" s="70" t="s">
        <v>143</v>
      </c>
      <c r="C40" s="173">
        <v>1</v>
      </c>
      <c r="D40" s="82">
        <v>2</v>
      </c>
      <c r="E40" s="82">
        <v>3</v>
      </c>
      <c r="F40" s="82">
        <v>4</v>
      </c>
      <c r="G40" s="82">
        <v>5</v>
      </c>
      <c r="H40" s="82">
        <v>6</v>
      </c>
      <c r="I40" s="82">
        <v>7</v>
      </c>
      <c r="J40" s="82">
        <v>8</v>
      </c>
      <c r="K40" s="82">
        <v>9</v>
      </c>
      <c r="L40" s="82">
        <v>10</v>
      </c>
      <c r="M40" s="82">
        <v>11</v>
      </c>
      <c r="N40" s="82">
        <v>12</v>
      </c>
      <c r="O40" s="82">
        <v>13</v>
      </c>
      <c r="P40" s="82">
        <v>14</v>
      </c>
      <c r="Q40" s="82">
        <v>15</v>
      </c>
      <c r="R40" s="82">
        <v>16</v>
      </c>
      <c r="S40" s="73">
        <v>17</v>
      </c>
      <c r="T40" s="73">
        <v>18</v>
      </c>
      <c r="U40" s="73">
        <v>19</v>
      </c>
      <c r="V40" s="73">
        <v>20</v>
      </c>
      <c r="W40" s="73">
        <v>21</v>
      </c>
      <c r="X40" s="73">
        <v>22</v>
      </c>
      <c r="Y40" s="73">
        <v>23</v>
      </c>
      <c r="Z40" s="73">
        <v>24</v>
      </c>
      <c r="AA40" s="73">
        <v>25</v>
      </c>
      <c r="AB40" s="73">
        <v>26</v>
      </c>
      <c r="AC40" s="73">
        <v>27</v>
      </c>
      <c r="AD40" s="73">
        <v>28</v>
      </c>
      <c r="AE40" s="73">
        <v>29</v>
      </c>
      <c r="AF40" s="73">
        <v>30</v>
      </c>
      <c r="AG40" s="73">
        <v>31</v>
      </c>
      <c r="AH40" s="88" t="s">
        <v>144</v>
      </c>
    </row>
    <row r="41" spans="1:34" ht="15">
      <c r="A41" s="363" t="s">
        <v>145</v>
      </c>
      <c r="B41" s="70">
        <f t="shared" ref="B41:B52" si="6">+AH41</f>
        <v>0</v>
      </c>
      <c r="C41" s="360" t="s">
        <v>311</v>
      </c>
      <c r="D41" s="360" t="s">
        <v>311</v>
      </c>
      <c r="E41" s="360" t="s">
        <v>311</v>
      </c>
      <c r="F41" s="360" t="s">
        <v>311</v>
      </c>
      <c r="G41" s="360" t="s">
        <v>311</v>
      </c>
      <c r="H41" s="360" t="s">
        <v>311</v>
      </c>
      <c r="I41" s="360" t="s">
        <v>311</v>
      </c>
      <c r="J41" s="360" t="s">
        <v>311</v>
      </c>
      <c r="K41" s="360" t="s">
        <v>311</v>
      </c>
      <c r="L41" s="360" t="s">
        <v>311</v>
      </c>
      <c r="M41" s="360" t="s">
        <v>311</v>
      </c>
      <c r="N41" s="360" t="s">
        <v>311</v>
      </c>
      <c r="O41" s="360" t="s">
        <v>311</v>
      </c>
      <c r="P41" s="360" t="s">
        <v>311</v>
      </c>
      <c r="Q41" s="360" t="s">
        <v>311</v>
      </c>
      <c r="R41" s="360" t="s">
        <v>311</v>
      </c>
      <c r="S41" s="360" t="s">
        <v>311</v>
      </c>
      <c r="T41" s="360" t="s">
        <v>311</v>
      </c>
      <c r="U41" s="360" t="s">
        <v>311</v>
      </c>
      <c r="V41" s="360" t="s">
        <v>311</v>
      </c>
      <c r="W41" s="360" t="s">
        <v>311</v>
      </c>
      <c r="X41" s="360" t="s">
        <v>311</v>
      </c>
      <c r="Y41" s="360" t="s">
        <v>311</v>
      </c>
      <c r="Z41" s="360" t="s">
        <v>311</v>
      </c>
      <c r="AA41" s="360" t="s">
        <v>311</v>
      </c>
      <c r="AB41" s="360" t="s">
        <v>311</v>
      </c>
      <c r="AC41" s="360" t="s">
        <v>311</v>
      </c>
      <c r="AD41" s="360" t="s">
        <v>311</v>
      </c>
      <c r="AE41" s="360" t="s">
        <v>311</v>
      </c>
      <c r="AF41" s="360" t="s">
        <v>311</v>
      </c>
      <c r="AG41" s="360" t="s">
        <v>311</v>
      </c>
      <c r="AH41" s="107">
        <f>SUM(C41:AG41)</f>
        <v>0</v>
      </c>
    </row>
    <row r="42" spans="1:34" ht="15">
      <c r="A42" s="363" t="s">
        <v>146</v>
      </c>
      <c r="B42" s="70">
        <f t="shared" si="6"/>
        <v>0</v>
      </c>
      <c r="C42" s="360" t="s">
        <v>311</v>
      </c>
      <c r="D42" s="360" t="s">
        <v>311</v>
      </c>
      <c r="E42" s="360" t="s">
        <v>311</v>
      </c>
      <c r="F42" s="360" t="s">
        <v>311</v>
      </c>
      <c r="G42" s="360" t="s">
        <v>311</v>
      </c>
      <c r="H42" s="360" t="s">
        <v>311</v>
      </c>
      <c r="I42" s="360" t="s">
        <v>311</v>
      </c>
      <c r="J42" s="360" t="s">
        <v>311</v>
      </c>
      <c r="K42" s="360" t="s">
        <v>311</v>
      </c>
      <c r="L42" s="360" t="s">
        <v>311</v>
      </c>
      <c r="M42" s="360" t="s">
        <v>311</v>
      </c>
      <c r="N42" s="360" t="s">
        <v>311</v>
      </c>
      <c r="O42" s="360" t="s">
        <v>311</v>
      </c>
      <c r="P42" s="360" t="s">
        <v>311</v>
      </c>
      <c r="Q42" s="360" t="s">
        <v>311</v>
      </c>
      <c r="R42" s="360" t="s">
        <v>311</v>
      </c>
      <c r="S42" s="360" t="s">
        <v>311</v>
      </c>
      <c r="T42" s="360" t="s">
        <v>311</v>
      </c>
      <c r="U42" s="360" t="s">
        <v>311</v>
      </c>
      <c r="V42" s="360" t="s">
        <v>311</v>
      </c>
      <c r="W42" s="360" t="s">
        <v>311</v>
      </c>
      <c r="X42" s="360" t="s">
        <v>311</v>
      </c>
      <c r="Y42" s="360" t="s">
        <v>311</v>
      </c>
      <c r="Z42" s="360" t="s">
        <v>311</v>
      </c>
      <c r="AA42" s="360" t="s">
        <v>311</v>
      </c>
      <c r="AB42" s="360" t="s">
        <v>311</v>
      </c>
      <c r="AC42" s="360" t="s">
        <v>311</v>
      </c>
      <c r="AD42" s="360" t="s">
        <v>311</v>
      </c>
      <c r="AE42" s="360" t="s">
        <v>311</v>
      </c>
      <c r="AF42" s="360" t="s">
        <v>311</v>
      </c>
      <c r="AG42" s="360" t="s">
        <v>311</v>
      </c>
      <c r="AH42" s="107">
        <f t="shared" ref="AH42:AH52" si="7">SUM(C42:AG42)</f>
        <v>0</v>
      </c>
    </row>
    <row r="43" spans="1:34" ht="15">
      <c r="A43" s="363" t="s">
        <v>147</v>
      </c>
      <c r="B43" s="70">
        <f t="shared" si="6"/>
        <v>224.81299999999999</v>
      </c>
      <c r="C43" s="360" t="s">
        <v>311</v>
      </c>
      <c r="D43" s="360" t="s">
        <v>311</v>
      </c>
      <c r="E43" s="360" t="s">
        <v>311</v>
      </c>
      <c r="F43" s="360" t="s">
        <v>311</v>
      </c>
      <c r="G43" s="360" t="s">
        <v>311</v>
      </c>
      <c r="H43" s="53"/>
      <c r="I43" s="53"/>
      <c r="J43" s="53"/>
      <c r="K43" s="448">
        <v>40.86</v>
      </c>
      <c r="L43" s="448"/>
      <c r="M43" s="448">
        <v>49.7</v>
      </c>
      <c r="N43" s="448"/>
      <c r="O43" s="448"/>
      <c r="P43" s="448"/>
      <c r="Q43" s="448"/>
      <c r="R43" s="448">
        <v>54.46</v>
      </c>
      <c r="S43" s="448"/>
      <c r="T43" s="448">
        <v>4.5049999999999999</v>
      </c>
      <c r="U43" s="448">
        <v>43.569000000000003</v>
      </c>
      <c r="V43" s="448"/>
      <c r="W43" s="448"/>
      <c r="X43" s="448">
        <v>31.719000000000001</v>
      </c>
      <c r="Y43" s="448"/>
      <c r="Z43" s="448"/>
      <c r="AA43" s="448"/>
      <c r="AB43" s="448"/>
      <c r="AC43" s="448"/>
      <c r="AD43" s="448"/>
      <c r="AE43" s="448"/>
      <c r="AF43" s="448"/>
      <c r="AG43" s="448"/>
      <c r="AH43" s="107">
        <f t="shared" si="7"/>
        <v>224.81299999999999</v>
      </c>
    </row>
    <row r="44" spans="1:34" ht="15">
      <c r="A44" s="363" t="s">
        <v>148</v>
      </c>
      <c r="B44" s="70">
        <f t="shared" si="6"/>
        <v>751.45799999999997</v>
      </c>
      <c r="C44" s="360" t="s">
        <v>311</v>
      </c>
      <c r="D44" s="360" t="s">
        <v>311</v>
      </c>
      <c r="E44" s="360" t="s">
        <v>311</v>
      </c>
      <c r="F44" s="360" t="s">
        <v>311</v>
      </c>
      <c r="G44" s="360" t="s">
        <v>311</v>
      </c>
      <c r="H44" s="360" t="s">
        <v>311</v>
      </c>
      <c r="I44" s="360" t="s">
        <v>311</v>
      </c>
      <c r="J44" s="360" t="s">
        <v>311</v>
      </c>
      <c r="K44" s="360" t="s">
        <v>311</v>
      </c>
      <c r="L44" s="53"/>
      <c r="M44" s="448">
        <v>15.61</v>
      </c>
      <c r="N44" s="448"/>
      <c r="O44" s="448">
        <v>48.72</v>
      </c>
      <c r="P44" s="448"/>
      <c r="Q44" s="448">
        <v>36.786000000000001</v>
      </c>
      <c r="R44" s="448">
        <v>157.63</v>
      </c>
      <c r="S44" s="448">
        <v>59.143999999999998</v>
      </c>
      <c r="T44" s="448">
        <v>100.97799999999999</v>
      </c>
      <c r="U44" s="448">
        <v>10.009</v>
      </c>
      <c r="V44" s="448">
        <v>20.888000000000002</v>
      </c>
      <c r="W44" s="448">
        <v>1.6160000000000001</v>
      </c>
      <c r="X44" s="448">
        <v>4.5289999999999999</v>
      </c>
      <c r="Y44" s="448"/>
      <c r="Z44" s="448">
        <v>113.952</v>
      </c>
      <c r="AA44" s="448">
        <v>79.072999999999993</v>
      </c>
      <c r="AB44" s="448"/>
      <c r="AC44" s="448">
        <v>102.523</v>
      </c>
      <c r="AD44" s="448"/>
      <c r="AE44" s="448"/>
      <c r="AF44" s="448"/>
      <c r="AG44" s="448"/>
      <c r="AH44" s="107">
        <f t="shared" si="7"/>
        <v>751.45799999999997</v>
      </c>
    </row>
    <row r="45" spans="1:34" ht="15">
      <c r="A45" s="375" t="s">
        <v>149</v>
      </c>
      <c r="B45" s="70">
        <f t="shared" si="6"/>
        <v>211.44500000000002</v>
      </c>
      <c r="C45" s="448">
        <v>114.648</v>
      </c>
      <c r="D45" s="448"/>
      <c r="E45" s="448"/>
      <c r="F45" s="448">
        <v>81.704999999999998</v>
      </c>
      <c r="G45" s="448">
        <v>15.092000000000001</v>
      </c>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107">
        <f t="shared" si="7"/>
        <v>211.44500000000002</v>
      </c>
    </row>
    <row r="46" spans="1:34" ht="15">
      <c r="A46" s="375" t="s">
        <v>150</v>
      </c>
      <c r="B46" s="70">
        <f t="shared" si="6"/>
        <v>0</v>
      </c>
      <c r="C46" s="103"/>
      <c r="D46" s="53"/>
      <c r="E46" s="53"/>
      <c r="F46" s="53"/>
      <c r="G46" s="53"/>
      <c r="H46" s="188" t="s">
        <v>162</v>
      </c>
      <c r="I46" s="188" t="s">
        <v>162</v>
      </c>
      <c r="J46" s="188" t="s">
        <v>162</v>
      </c>
      <c r="K46" s="188" t="s">
        <v>162</v>
      </c>
      <c r="L46" s="188" t="s">
        <v>162</v>
      </c>
      <c r="M46" s="188" t="s">
        <v>162</v>
      </c>
      <c r="N46" s="188" t="s">
        <v>162</v>
      </c>
      <c r="O46" s="188" t="s">
        <v>162</v>
      </c>
      <c r="P46" s="188" t="s">
        <v>162</v>
      </c>
      <c r="Q46" s="188" t="s">
        <v>162</v>
      </c>
      <c r="R46" s="188" t="s">
        <v>162</v>
      </c>
      <c r="S46" s="188" t="s">
        <v>162</v>
      </c>
      <c r="T46" s="188" t="s">
        <v>162</v>
      </c>
      <c r="U46" s="188" t="s">
        <v>162</v>
      </c>
      <c r="V46" s="188" t="s">
        <v>162</v>
      </c>
      <c r="W46" s="188" t="s">
        <v>162</v>
      </c>
      <c r="X46" s="188" t="s">
        <v>162</v>
      </c>
      <c r="Y46" s="53"/>
      <c r="Z46" s="53"/>
      <c r="AA46" s="53"/>
      <c r="AB46" s="53"/>
      <c r="AC46" s="53"/>
      <c r="AD46" s="53"/>
      <c r="AE46" s="53"/>
      <c r="AF46" s="53"/>
      <c r="AG46" s="53"/>
      <c r="AH46" s="107">
        <f t="shared" si="7"/>
        <v>0</v>
      </c>
    </row>
    <row r="47" spans="1:34" ht="15">
      <c r="A47" s="375" t="s">
        <v>151</v>
      </c>
      <c r="B47" s="70">
        <f t="shared" si="6"/>
        <v>224.512</v>
      </c>
      <c r="C47" s="103"/>
      <c r="D47" s="107"/>
      <c r="E47" s="107"/>
      <c r="F47" s="107"/>
      <c r="G47" s="53"/>
      <c r="H47" s="53"/>
      <c r="I47" s="53">
        <v>31.1</v>
      </c>
      <c r="J47" s="111"/>
      <c r="K47" s="111">
        <v>65.099999999999994</v>
      </c>
      <c r="L47" s="107"/>
      <c r="M47" s="107"/>
      <c r="N47" s="107"/>
      <c r="O47" s="107"/>
      <c r="P47" s="107"/>
      <c r="Q47" s="107"/>
      <c r="R47" s="107">
        <v>105.289</v>
      </c>
      <c r="S47" s="53"/>
      <c r="T47" s="53"/>
      <c r="U47" s="53">
        <v>7.157</v>
      </c>
      <c r="V47" s="53"/>
      <c r="W47" s="53">
        <v>15.866</v>
      </c>
      <c r="X47" s="53"/>
      <c r="Y47" s="53"/>
      <c r="Z47" s="53"/>
      <c r="AA47" s="53"/>
      <c r="AB47" s="53"/>
      <c r="AC47" s="53"/>
      <c r="AD47" s="53"/>
      <c r="AE47" s="53"/>
      <c r="AF47" s="53"/>
      <c r="AG47" s="53"/>
      <c r="AH47" s="107">
        <f t="shared" si="7"/>
        <v>224.512</v>
      </c>
    </row>
    <row r="48" spans="1:34" ht="15">
      <c r="A48" s="375" t="s">
        <v>152</v>
      </c>
      <c r="B48" s="70">
        <f t="shared" si="6"/>
        <v>0</v>
      </c>
      <c r="C48" s="103"/>
      <c r="D48" s="53"/>
      <c r="E48" s="53"/>
      <c r="F48" s="53"/>
      <c r="G48" s="53"/>
      <c r="H48" s="53"/>
      <c r="I48" s="53"/>
      <c r="J48" s="188" t="s">
        <v>318</v>
      </c>
      <c r="K48" s="188" t="s">
        <v>318</v>
      </c>
      <c r="L48" s="188" t="s">
        <v>318</v>
      </c>
      <c r="M48" s="188" t="s">
        <v>318</v>
      </c>
      <c r="N48" s="188" t="s">
        <v>318</v>
      </c>
      <c r="O48" s="188" t="s">
        <v>318</v>
      </c>
      <c r="P48" s="188" t="s">
        <v>318</v>
      </c>
      <c r="Q48" s="188" t="s">
        <v>318</v>
      </c>
      <c r="R48" s="188" t="s">
        <v>318</v>
      </c>
      <c r="S48" s="188" t="s">
        <v>318</v>
      </c>
      <c r="T48" s="188" t="s">
        <v>318</v>
      </c>
      <c r="U48" s="188" t="s">
        <v>318</v>
      </c>
      <c r="V48" s="188" t="s">
        <v>318</v>
      </c>
      <c r="W48" s="188" t="s">
        <v>318</v>
      </c>
      <c r="X48" s="188" t="s">
        <v>318</v>
      </c>
      <c r="Y48" s="188" t="s">
        <v>318</v>
      </c>
      <c r="Z48" s="188" t="s">
        <v>318</v>
      </c>
      <c r="AA48" s="188" t="s">
        <v>318</v>
      </c>
      <c r="AB48" s="188" t="s">
        <v>318</v>
      </c>
      <c r="AC48" s="188" t="s">
        <v>318</v>
      </c>
      <c r="AD48" s="188" t="s">
        <v>318</v>
      </c>
      <c r="AE48" s="188" t="s">
        <v>318</v>
      </c>
      <c r="AF48" s="188" t="s">
        <v>318</v>
      </c>
      <c r="AG48" s="188" t="s">
        <v>318</v>
      </c>
      <c r="AH48" s="107">
        <f t="shared" si="7"/>
        <v>0</v>
      </c>
    </row>
    <row r="49" spans="1:34" ht="15">
      <c r="A49" s="73" t="s">
        <v>153</v>
      </c>
      <c r="B49" s="70">
        <f t="shared" si="6"/>
        <v>0</v>
      </c>
      <c r="C49" s="188" t="s">
        <v>318</v>
      </c>
      <c r="D49" s="188" t="s">
        <v>318</v>
      </c>
      <c r="E49" s="188" t="s">
        <v>318</v>
      </c>
      <c r="F49" s="188" t="s">
        <v>318</v>
      </c>
      <c r="G49" s="188" t="s">
        <v>318</v>
      </c>
      <c r="H49" s="188" t="s">
        <v>318</v>
      </c>
      <c r="I49" s="188" t="s">
        <v>318</v>
      </c>
      <c r="J49" s="188" t="s">
        <v>318</v>
      </c>
      <c r="K49" s="188" t="s">
        <v>318</v>
      </c>
      <c r="L49" s="188" t="s">
        <v>318</v>
      </c>
      <c r="M49" s="188" t="s">
        <v>318</v>
      </c>
      <c r="N49" s="188" t="s">
        <v>318</v>
      </c>
      <c r="O49" s="188" t="s">
        <v>318</v>
      </c>
      <c r="P49" s="188" t="s">
        <v>318</v>
      </c>
      <c r="Q49" s="188" t="s">
        <v>318</v>
      </c>
      <c r="R49" s="188" t="s">
        <v>318</v>
      </c>
      <c r="S49" s="188" t="s">
        <v>318</v>
      </c>
      <c r="T49" s="188" t="s">
        <v>318</v>
      </c>
      <c r="U49" s="188" t="s">
        <v>318</v>
      </c>
      <c r="V49" s="188" t="s">
        <v>318</v>
      </c>
      <c r="W49" s="188" t="s">
        <v>318</v>
      </c>
      <c r="X49" s="188" t="s">
        <v>318</v>
      </c>
      <c r="Y49" s="188" t="s">
        <v>318</v>
      </c>
      <c r="Z49" s="188" t="s">
        <v>318</v>
      </c>
      <c r="AA49" s="188" t="s">
        <v>318</v>
      </c>
      <c r="AB49" s="188" t="s">
        <v>318</v>
      </c>
      <c r="AC49" s="188" t="s">
        <v>318</v>
      </c>
      <c r="AD49" s="188" t="s">
        <v>318</v>
      </c>
      <c r="AE49" s="188" t="s">
        <v>318</v>
      </c>
      <c r="AF49" s="188" t="s">
        <v>318</v>
      </c>
      <c r="AG49" s="188" t="s">
        <v>318</v>
      </c>
      <c r="AH49" s="107">
        <f t="shared" si="7"/>
        <v>0</v>
      </c>
    </row>
    <row r="50" spans="1:34" ht="15">
      <c r="A50" s="73" t="s">
        <v>154</v>
      </c>
      <c r="B50" s="70">
        <f t="shared" si="6"/>
        <v>120.16999999999999</v>
      </c>
      <c r="C50" s="188" t="s">
        <v>318</v>
      </c>
      <c r="D50" s="188" t="s">
        <v>318</v>
      </c>
      <c r="E50" s="188" t="s">
        <v>318</v>
      </c>
      <c r="F50" s="188" t="s">
        <v>318</v>
      </c>
      <c r="G50" s="188" t="s">
        <v>318</v>
      </c>
      <c r="H50" s="188" t="s">
        <v>318</v>
      </c>
      <c r="I50" s="188" t="s">
        <v>318</v>
      </c>
      <c r="J50" s="188" t="s">
        <v>318</v>
      </c>
      <c r="K50" s="188" t="s">
        <v>318</v>
      </c>
      <c r="L50" s="188" t="s">
        <v>318</v>
      </c>
      <c r="M50" s="188" t="s">
        <v>318</v>
      </c>
      <c r="N50" s="188" t="s">
        <v>318</v>
      </c>
      <c r="O50" s="188" t="s">
        <v>318</v>
      </c>
      <c r="P50" s="188" t="s">
        <v>318</v>
      </c>
      <c r="Q50" s="188" t="s">
        <v>318</v>
      </c>
      <c r="R50" s="188" t="s">
        <v>318</v>
      </c>
      <c r="S50" s="188" t="s">
        <v>318</v>
      </c>
      <c r="T50" s="188" t="s">
        <v>318</v>
      </c>
      <c r="U50" s="188" t="s">
        <v>318</v>
      </c>
      <c r="V50" s="188" t="s">
        <v>318</v>
      </c>
      <c r="W50" s="188" t="s">
        <v>318</v>
      </c>
      <c r="X50" s="53"/>
      <c r="Y50" s="53"/>
      <c r="Z50" s="53">
        <v>80.748999999999995</v>
      </c>
      <c r="AA50" s="53"/>
      <c r="AB50" s="53"/>
      <c r="AC50" s="53"/>
      <c r="AD50" s="53">
        <v>39.420999999999999</v>
      </c>
      <c r="AE50" s="107"/>
      <c r="AF50" s="53"/>
      <c r="AG50" s="107"/>
      <c r="AH50" s="107">
        <f t="shared" si="7"/>
        <v>120.16999999999999</v>
      </c>
    </row>
    <row r="51" spans="1:34" ht="15">
      <c r="A51" s="73" t="s">
        <v>155</v>
      </c>
      <c r="B51" s="70">
        <f t="shared" si="6"/>
        <v>0</v>
      </c>
      <c r="C51" s="103"/>
      <c r="D51" s="53"/>
      <c r="E51" s="53"/>
      <c r="F51" s="53"/>
      <c r="G51" s="14"/>
      <c r="H51" s="53"/>
      <c r="I51" s="53"/>
      <c r="J51" s="53"/>
      <c r="K51" s="53"/>
      <c r="L51" s="53"/>
      <c r="M51" s="53"/>
      <c r="N51" s="53"/>
      <c r="O51" s="53"/>
      <c r="P51" s="53"/>
      <c r="Q51" s="53"/>
      <c r="R51" s="53"/>
      <c r="S51" s="53"/>
      <c r="T51" s="53"/>
      <c r="U51" s="53"/>
      <c r="V51" s="53"/>
      <c r="W51" s="53"/>
      <c r="X51" s="53"/>
      <c r="Y51" s="53"/>
      <c r="Z51" s="53"/>
      <c r="AA51" s="53"/>
      <c r="AB51" s="53"/>
      <c r="AC51" s="53"/>
      <c r="AD51" s="53"/>
      <c r="AE51" s="107"/>
      <c r="AF51" s="53"/>
      <c r="AG51" s="107"/>
      <c r="AH51" s="107">
        <f t="shared" si="7"/>
        <v>0</v>
      </c>
    </row>
    <row r="52" spans="1:34" ht="15">
      <c r="A52" s="73" t="s">
        <v>156</v>
      </c>
      <c r="B52" s="70">
        <f t="shared" si="6"/>
        <v>0</v>
      </c>
      <c r="C52" s="103"/>
      <c r="D52" s="53"/>
      <c r="E52" s="53"/>
      <c r="F52" s="53"/>
      <c r="G52" s="53"/>
      <c r="H52" s="53"/>
      <c r="I52" s="53"/>
      <c r="J52" s="53"/>
      <c r="K52" s="53"/>
      <c r="L52" s="53"/>
      <c r="M52" s="53"/>
      <c r="N52" s="53"/>
      <c r="O52" s="53"/>
      <c r="P52" s="3013" t="s">
        <v>311</v>
      </c>
      <c r="Q52" s="3013" t="s">
        <v>311</v>
      </c>
      <c r="R52" s="3013" t="s">
        <v>311</v>
      </c>
      <c r="S52" s="3013" t="s">
        <v>311</v>
      </c>
      <c r="T52" s="3013" t="s">
        <v>311</v>
      </c>
      <c r="U52" s="3013" t="s">
        <v>311</v>
      </c>
      <c r="V52" s="3013" t="s">
        <v>311</v>
      </c>
      <c r="W52" s="3013" t="s">
        <v>311</v>
      </c>
      <c r="X52" s="3013" t="s">
        <v>311</v>
      </c>
      <c r="Y52" s="3013" t="s">
        <v>311</v>
      </c>
      <c r="Z52" s="3013" t="s">
        <v>311</v>
      </c>
      <c r="AA52" s="3013" t="s">
        <v>311</v>
      </c>
      <c r="AB52" s="3013" t="s">
        <v>311</v>
      </c>
      <c r="AC52" s="3013" t="s">
        <v>311</v>
      </c>
      <c r="AD52" s="3013" t="s">
        <v>311</v>
      </c>
      <c r="AE52" s="3013" t="s">
        <v>311</v>
      </c>
      <c r="AF52" s="3013" t="s">
        <v>311</v>
      </c>
      <c r="AG52" s="3013" t="s">
        <v>311</v>
      </c>
      <c r="AH52" s="107">
        <f t="shared" si="7"/>
        <v>0</v>
      </c>
    </row>
    <row r="53" spans="1:34" ht="15">
      <c r="A53" s="199" t="s">
        <v>144</v>
      </c>
      <c r="B53" s="201">
        <f t="shared" ref="B53:R53" si="8">SUM(B41:B52)</f>
        <v>1532.3979999999999</v>
      </c>
      <c r="C53" s="172">
        <f t="shared" si="8"/>
        <v>114.648</v>
      </c>
      <c r="D53" s="172">
        <f t="shared" si="8"/>
        <v>0</v>
      </c>
      <c r="E53" s="172">
        <f t="shared" si="8"/>
        <v>0</v>
      </c>
      <c r="F53" s="172">
        <f t="shared" si="8"/>
        <v>81.704999999999998</v>
      </c>
      <c r="G53" s="172">
        <f t="shared" si="8"/>
        <v>15.092000000000001</v>
      </c>
      <c r="H53" s="172">
        <f t="shared" si="8"/>
        <v>0</v>
      </c>
      <c r="I53" s="172">
        <f t="shared" si="8"/>
        <v>31.1</v>
      </c>
      <c r="J53" s="172">
        <f t="shared" si="8"/>
        <v>0</v>
      </c>
      <c r="K53" s="172">
        <f t="shared" si="8"/>
        <v>105.96</v>
      </c>
      <c r="L53" s="172">
        <f t="shared" si="8"/>
        <v>0</v>
      </c>
      <c r="M53" s="172">
        <f t="shared" si="8"/>
        <v>65.31</v>
      </c>
      <c r="N53" s="172">
        <f t="shared" si="8"/>
        <v>0</v>
      </c>
      <c r="O53" s="172">
        <f t="shared" si="8"/>
        <v>48.72</v>
      </c>
      <c r="P53" s="172">
        <f t="shared" si="8"/>
        <v>0</v>
      </c>
      <c r="Q53" s="172">
        <f t="shared" si="8"/>
        <v>36.786000000000001</v>
      </c>
      <c r="R53" s="172">
        <f t="shared" si="8"/>
        <v>317.37900000000002</v>
      </c>
      <c r="S53" s="107">
        <f t="shared" ref="S53:AC53" si="9">SUM(S41:S51)</f>
        <v>59.143999999999998</v>
      </c>
      <c r="T53" s="107">
        <f t="shared" si="9"/>
        <v>105.48299999999999</v>
      </c>
      <c r="U53" s="107">
        <f t="shared" si="9"/>
        <v>60.734999999999999</v>
      </c>
      <c r="V53" s="107">
        <f t="shared" si="9"/>
        <v>20.888000000000002</v>
      </c>
      <c r="W53" s="107">
        <f t="shared" si="9"/>
        <v>17.481999999999999</v>
      </c>
      <c r="X53" s="107">
        <f t="shared" si="9"/>
        <v>36.248000000000005</v>
      </c>
      <c r="Y53" s="107">
        <f t="shared" si="9"/>
        <v>0</v>
      </c>
      <c r="Z53" s="107">
        <f t="shared" si="9"/>
        <v>194.70099999999999</v>
      </c>
      <c r="AA53" s="107">
        <f t="shared" si="9"/>
        <v>79.072999999999993</v>
      </c>
      <c r="AB53" s="107">
        <f t="shared" si="9"/>
        <v>0</v>
      </c>
      <c r="AC53" s="107">
        <f t="shared" si="9"/>
        <v>102.523</v>
      </c>
      <c r="AD53" s="107">
        <v>0</v>
      </c>
      <c r="AE53" s="107">
        <f>SUM(AE41:AE51)</f>
        <v>0</v>
      </c>
      <c r="AF53" s="107">
        <f>SUM(AF41:AF51)</f>
        <v>0</v>
      </c>
      <c r="AG53" s="107">
        <f>SUM(AG41:AG51)</f>
        <v>0</v>
      </c>
      <c r="AH53" s="100">
        <f>SUM(AH41:AH51)</f>
        <v>1532.3979999999999</v>
      </c>
    </row>
    <row r="54" spans="1:34" ht="15">
      <c r="A54" s="387"/>
      <c r="B54" s="747"/>
      <c r="C54" s="176"/>
      <c r="D54" s="176"/>
      <c r="E54" s="176"/>
      <c r="F54" s="176"/>
      <c r="G54" s="176"/>
      <c r="H54" s="176"/>
      <c r="I54" s="176"/>
      <c r="J54" s="176"/>
      <c r="K54" s="176"/>
      <c r="L54" s="176"/>
      <c r="M54" s="176"/>
      <c r="N54" s="176"/>
      <c r="O54" s="176"/>
      <c r="P54" s="176"/>
      <c r="Q54" s="176"/>
      <c r="R54" s="176"/>
      <c r="S54" s="106"/>
      <c r="T54" s="106"/>
      <c r="U54" s="106"/>
      <c r="V54" s="106"/>
      <c r="W54" s="106"/>
      <c r="X54" s="106"/>
      <c r="Y54" s="106"/>
      <c r="Z54" s="106"/>
      <c r="AA54" s="106"/>
      <c r="AB54" s="106"/>
      <c r="AC54" s="106"/>
      <c r="AD54" s="106"/>
      <c r="AE54" s="106"/>
      <c r="AF54" s="106"/>
      <c r="AG54" s="106"/>
      <c r="AH54" s="16"/>
    </row>
    <row r="55" spans="1:34" ht="15">
      <c r="A55" s="3854" t="s">
        <v>206</v>
      </c>
      <c r="B55" s="3855"/>
      <c r="C55" s="3856"/>
      <c r="D55" s="81"/>
      <c r="E55" s="81"/>
      <c r="F55" s="81"/>
      <c r="G55" s="81"/>
      <c r="H55" s="81"/>
      <c r="I55" s="81"/>
      <c r="J55" s="81"/>
      <c r="K55" s="81"/>
      <c r="L55" s="81"/>
      <c r="M55" s="81"/>
      <c r="N55" s="81"/>
      <c r="O55" s="81"/>
      <c r="P55" s="81"/>
      <c r="Q55" s="81"/>
      <c r="R55" s="81"/>
      <c r="S55" s="106"/>
      <c r="T55" s="106"/>
      <c r="U55" s="106"/>
      <c r="V55" s="106"/>
      <c r="W55" s="106"/>
      <c r="X55" s="106"/>
      <c r="Y55" s="106"/>
      <c r="Z55" s="106"/>
      <c r="AA55" s="106"/>
      <c r="AB55" s="106"/>
      <c r="AC55" s="106"/>
      <c r="AD55" s="106"/>
      <c r="AE55" s="106"/>
      <c r="AF55" s="106"/>
      <c r="AG55" s="106"/>
      <c r="AH55" s="16"/>
    </row>
    <row r="56" spans="1:34" ht="15">
      <c r="A56" s="8" t="s">
        <v>142</v>
      </c>
      <c r="B56" s="70" t="s">
        <v>143</v>
      </c>
      <c r="C56" s="173">
        <v>1</v>
      </c>
      <c r="D56" s="82">
        <v>2</v>
      </c>
      <c r="E56" s="82">
        <v>3</v>
      </c>
      <c r="F56" s="82">
        <v>4</v>
      </c>
      <c r="G56" s="82">
        <v>5</v>
      </c>
      <c r="H56" s="82">
        <v>6</v>
      </c>
      <c r="I56" s="82">
        <v>7</v>
      </c>
      <c r="J56" s="82">
        <v>8</v>
      </c>
      <c r="K56" s="82">
        <v>9</v>
      </c>
      <c r="L56" s="82">
        <v>10</v>
      </c>
      <c r="M56" s="82">
        <v>11</v>
      </c>
      <c r="N56" s="82">
        <v>12</v>
      </c>
      <c r="O56" s="82">
        <v>13</v>
      </c>
      <c r="P56" s="82">
        <v>14</v>
      </c>
      <c r="Q56" s="82">
        <v>15</v>
      </c>
      <c r="R56" s="82">
        <v>16</v>
      </c>
      <c r="S56" s="73">
        <v>17</v>
      </c>
      <c r="T56" s="73">
        <v>18</v>
      </c>
      <c r="U56" s="73">
        <v>19</v>
      </c>
      <c r="V56" s="73">
        <v>20</v>
      </c>
      <c r="W56" s="73">
        <v>21</v>
      </c>
      <c r="X56" s="73">
        <v>22</v>
      </c>
      <c r="Y56" s="73">
        <v>23</v>
      </c>
      <c r="Z56" s="73">
        <v>24</v>
      </c>
      <c r="AA56" s="73">
        <v>25</v>
      </c>
      <c r="AB56" s="73">
        <v>26</v>
      </c>
      <c r="AC56" s="73">
        <v>27</v>
      </c>
      <c r="AD56" s="73">
        <v>28</v>
      </c>
      <c r="AE56" s="73">
        <v>29</v>
      </c>
      <c r="AF56" s="73">
        <v>30</v>
      </c>
      <c r="AG56" s="73">
        <v>31</v>
      </c>
      <c r="AH56" s="88" t="s">
        <v>144</v>
      </c>
    </row>
    <row r="57" spans="1:34" ht="15">
      <c r="A57" s="363" t="s">
        <v>145</v>
      </c>
      <c r="B57" s="70">
        <f t="shared" ref="B57:B68" si="10">+AH57</f>
        <v>0</v>
      </c>
      <c r="C57" s="360" t="s">
        <v>311</v>
      </c>
      <c r="D57" s="360" t="s">
        <v>311</v>
      </c>
      <c r="E57" s="360" t="s">
        <v>311</v>
      </c>
      <c r="F57" s="360" t="s">
        <v>311</v>
      </c>
      <c r="G57" s="360" t="s">
        <v>311</v>
      </c>
      <c r="H57" s="360" t="s">
        <v>311</v>
      </c>
      <c r="I57" s="360" t="s">
        <v>311</v>
      </c>
      <c r="J57" s="360" t="s">
        <v>311</v>
      </c>
      <c r="K57" s="360" t="s">
        <v>311</v>
      </c>
      <c r="L57" s="360" t="s">
        <v>311</v>
      </c>
      <c r="M57" s="360" t="s">
        <v>311</v>
      </c>
      <c r="N57" s="360" t="s">
        <v>311</v>
      </c>
      <c r="O57" s="360" t="s">
        <v>311</v>
      </c>
      <c r="P57" s="360" t="s">
        <v>311</v>
      </c>
      <c r="Q57" s="360" t="s">
        <v>311</v>
      </c>
      <c r="R57" s="360" t="s">
        <v>311</v>
      </c>
      <c r="S57" s="360" t="s">
        <v>311</v>
      </c>
      <c r="T57" s="360" t="s">
        <v>311</v>
      </c>
      <c r="U57" s="360" t="s">
        <v>311</v>
      </c>
      <c r="V57" s="360" t="s">
        <v>311</v>
      </c>
      <c r="W57" s="360" t="s">
        <v>311</v>
      </c>
      <c r="X57" s="360" t="s">
        <v>311</v>
      </c>
      <c r="Y57" s="360" t="s">
        <v>311</v>
      </c>
      <c r="Z57" s="360" t="s">
        <v>311</v>
      </c>
      <c r="AA57" s="360" t="s">
        <v>311</v>
      </c>
      <c r="AB57" s="360" t="s">
        <v>311</v>
      </c>
      <c r="AC57" s="360" t="s">
        <v>311</v>
      </c>
      <c r="AD57" s="360" t="s">
        <v>311</v>
      </c>
      <c r="AE57" s="360" t="s">
        <v>311</v>
      </c>
      <c r="AF57" s="360" t="s">
        <v>311</v>
      </c>
      <c r="AG57" s="360" t="s">
        <v>311</v>
      </c>
      <c r="AH57" s="107">
        <f>SUM(C57:AG57)</f>
        <v>0</v>
      </c>
    </row>
    <row r="58" spans="1:34" ht="15">
      <c r="A58" s="363" t="s">
        <v>146</v>
      </c>
      <c r="B58" s="70">
        <f t="shared" si="10"/>
        <v>0</v>
      </c>
      <c r="C58" s="360" t="s">
        <v>311</v>
      </c>
      <c r="D58" s="360" t="s">
        <v>311</v>
      </c>
      <c r="E58" s="360" t="s">
        <v>311</v>
      </c>
      <c r="F58" s="360" t="s">
        <v>311</v>
      </c>
      <c r="G58" s="360" t="s">
        <v>311</v>
      </c>
      <c r="H58" s="360" t="s">
        <v>311</v>
      </c>
      <c r="I58" s="360" t="s">
        <v>311</v>
      </c>
      <c r="J58" s="360" t="s">
        <v>311</v>
      </c>
      <c r="K58" s="360" t="s">
        <v>311</v>
      </c>
      <c r="L58" s="360" t="s">
        <v>311</v>
      </c>
      <c r="M58" s="360" t="s">
        <v>311</v>
      </c>
      <c r="N58" s="360" t="s">
        <v>311</v>
      </c>
      <c r="O58" s="360" t="s">
        <v>311</v>
      </c>
      <c r="P58" s="360" t="s">
        <v>311</v>
      </c>
      <c r="Q58" s="360" t="s">
        <v>311</v>
      </c>
      <c r="R58" s="360" t="s">
        <v>311</v>
      </c>
      <c r="S58" s="360" t="s">
        <v>311</v>
      </c>
      <c r="T58" s="360" t="s">
        <v>311</v>
      </c>
      <c r="U58" s="360" t="s">
        <v>311</v>
      </c>
      <c r="V58" s="360" t="s">
        <v>311</v>
      </c>
      <c r="W58" s="360" t="s">
        <v>311</v>
      </c>
      <c r="X58" s="360" t="s">
        <v>311</v>
      </c>
      <c r="Y58" s="360" t="s">
        <v>311</v>
      </c>
      <c r="Z58" s="360" t="s">
        <v>311</v>
      </c>
      <c r="AA58" s="360" t="s">
        <v>311</v>
      </c>
      <c r="AB58" s="360" t="s">
        <v>311</v>
      </c>
      <c r="AC58" s="360" t="s">
        <v>311</v>
      </c>
      <c r="AD58" s="360" t="s">
        <v>311</v>
      </c>
      <c r="AE58" s="360" t="s">
        <v>311</v>
      </c>
      <c r="AF58" s="360" t="s">
        <v>311</v>
      </c>
      <c r="AG58" s="360" t="s">
        <v>311</v>
      </c>
      <c r="AH58" s="107">
        <f t="shared" ref="AH58:AH68" si="11">SUM(C58:AG58)</f>
        <v>0</v>
      </c>
    </row>
    <row r="59" spans="1:34" ht="15">
      <c r="A59" s="363" t="s">
        <v>147</v>
      </c>
      <c r="B59" s="70">
        <f t="shared" si="10"/>
        <v>33.631</v>
      </c>
      <c r="C59" s="360" t="s">
        <v>311</v>
      </c>
      <c r="D59" s="360" t="s">
        <v>311</v>
      </c>
      <c r="E59" s="360" t="s">
        <v>311</v>
      </c>
      <c r="F59" s="360" t="s">
        <v>311</v>
      </c>
      <c r="G59" s="360" t="s">
        <v>311</v>
      </c>
      <c r="H59" s="53"/>
      <c r="I59" s="53"/>
      <c r="J59" s="53"/>
      <c r="K59" s="53"/>
      <c r="L59" s="53"/>
      <c r="M59" s="53"/>
      <c r="N59" s="53"/>
      <c r="O59" s="53"/>
      <c r="P59" s="53"/>
      <c r="Q59" s="53"/>
      <c r="R59" s="53"/>
      <c r="S59" s="53"/>
      <c r="T59" s="53"/>
      <c r="U59" s="53"/>
      <c r="V59" s="53"/>
      <c r="W59" s="53">
        <v>33.631</v>
      </c>
      <c r="X59" s="53"/>
      <c r="Y59" s="53"/>
      <c r="Z59" s="53"/>
      <c r="AA59" s="53"/>
      <c r="AB59" s="53"/>
      <c r="AC59" s="360" t="s">
        <v>311</v>
      </c>
      <c r="AD59" s="360" t="s">
        <v>311</v>
      </c>
      <c r="AE59" s="360" t="s">
        <v>311</v>
      </c>
      <c r="AF59" s="360" t="s">
        <v>311</v>
      </c>
      <c r="AG59" s="360" t="s">
        <v>311</v>
      </c>
      <c r="AH59" s="107">
        <f t="shared" si="11"/>
        <v>33.631</v>
      </c>
    </row>
    <row r="60" spans="1:34" ht="15">
      <c r="A60" s="363" t="s">
        <v>148</v>
      </c>
      <c r="B60" s="70">
        <f t="shared" si="10"/>
        <v>356.73</v>
      </c>
      <c r="C60" s="360" t="s">
        <v>311</v>
      </c>
      <c r="D60" s="360" t="s">
        <v>311</v>
      </c>
      <c r="E60" s="360" t="s">
        <v>311</v>
      </c>
      <c r="F60" s="360" t="s">
        <v>311</v>
      </c>
      <c r="G60" s="360" t="s">
        <v>311</v>
      </c>
      <c r="H60" s="360" t="s">
        <v>311</v>
      </c>
      <c r="I60" s="360" t="s">
        <v>311</v>
      </c>
      <c r="J60" s="360" t="s">
        <v>311</v>
      </c>
      <c r="K60" s="360" t="s">
        <v>311</v>
      </c>
      <c r="L60" s="448">
        <v>0.2</v>
      </c>
      <c r="M60" s="448">
        <v>62.1</v>
      </c>
      <c r="N60" s="448"/>
      <c r="O60" s="448">
        <v>39.533000000000001</v>
      </c>
      <c r="P60" s="448">
        <v>1.1180000000000001</v>
      </c>
      <c r="Q60" s="448"/>
      <c r="R60" s="448">
        <v>51.817999999999998</v>
      </c>
      <c r="S60" s="448"/>
      <c r="T60" s="448"/>
      <c r="U60" s="448">
        <v>35.850999999999999</v>
      </c>
      <c r="V60" s="448"/>
      <c r="W60" s="448">
        <v>31.788</v>
      </c>
      <c r="X60" s="448">
        <v>24.552</v>
      </c>
      <c r="Y60" s="448"/>
      <c r="Z60" s="448">
        <v>68.7</v>
      </c>
      <c r="AA60" s="448">
        <v>41.07</v>
      </c>
      <c r="AB60" s="448"/>
      <c r="AC60" s="448"/>
      <c r="AD60" s="448"/>
      <c r="AE60" s="448"/>
      <c r="AF60" s="448"/>
      <c r="AG60" s="448"/>
      <c r="AH60" s="107">
        <f t="shared" si="11"/>
        <v>356.73</v>
      </c>
    </row>
    <row r="61" spans="1:34" ht="15">
      <c r="A61" s="375" t="s">
        <v>149</v>
      </c>
      <c r="B61" s="70">
        <f t="shared" si="10"/>
        <v>0</v>
      </c>
      <c r="C61" s="103"/>
      <c r="D61" s="53"/>
      <c r="E61" s="53"/>
      <c r="F61" s="53"/>
      <c r="G61" s="53"/>
      <c r="H61" s="53"/>
      <c r="I61" s="53"/>
      <c r="J61" s="53"/>
      <c r="K61" s="53"/>
      <c r="L61" s="53"/>
      <c r="M61" s="53"/>
      <c r="N61" s="53"/>
      <c r="O61" s="53"/>
      <c r="P61" s="53"/>
      <c r="Q61" s="53"/>
      <c r="R61" s="53"/>
      <c r="S61" s="53"/>
      <c r="T61" s="53"/>
      <c r="U61" s="53"/>
      <c r="V61" s="53"/>
      <c r="W61" s="53"/>
      <c r="X61" s="53"/>
      <c r="Y61" s="53"/>
      <c r="Z61" s="53"/>
      <c r="AA61" s="53"/>
      <c r="AB61" s="53"/>
      <c r="AC61" s="53"/>
      <c r="AD61" s="53"/>
      <c r="AE61" s="53"/>
      <c r="AF61" s="53"/>
      <c r="AG61" s="53"/>
      <c r="AH61" s="107">
        <f t="shared" si="11"/>
        <v>0</v>
      </c>
    </row>
    <row r="62" spans="1:34" ht="15">
      <c r="A62" s="375" t="s">
        <v>150</v>
      </c>
      <c r="B62" s="70">
        <f t="shared" si="10"/>
        <v>0</v>
      </c>
      <c r="C62" s="103"/>
      <c r="D62" s="53"/>
      <c r="E62" s="53"/>
      <c r="F62" s="53"/>
      <c r="G62" s="53"/>
      <c r="H62" s="188" t="s">
        <v>162</v>
      </c>
      <c r="I62" s="188" t="s">
        <v>162</v>
      </c>
      <c r="J62" s="188" t="s">
        <v>162</v>
      </c>
      <c r="K62" s="188" t="s">
        <v>162</v>
      </c>
      <c r="L62" s="188" t="s">
        <v>162</v>
      </c>
      <c r="M62" s="188" t="s">
        <v>162</v>
      </c>
      <c r="N62" s="188" t="s">
        <v>162</v>
      </c>
      <c r="O62" s="188" t="s">
        <v>162</v>
      </c>
      <c r="P62" s="188" t="s">
        <v>162</v>
      </c>
      <c r="Q62" s="188" t="s">
        <v>162</v>
      </c>
      <c r="R62" s="188" t="s">
        <v>162</v>
      </c>
      <c r="S62" s="188" t="s">
        <v>162</v>
      </c>
      <c r="T62" s="188" t="s">
        <v>162</v>
      </c>
      <c r="U62" s="188" t="s">
        <v>162</v>
      </c>
      <c r="V62" s="188" t="s">
        <v>162</v>
      </c>
      <c r="W62" s="188" t="s">
        <v>162</v>
      </c>
      <c r="X62" s="188" t="s">
        <v>162</v>
      </c>
      <c r="Y62" s="53"/>
      <c r="Z62" s="53"/>
      <c r="AA62" s="53"/>
      <c r="AB62" s="53"/>
      <c r="AC62" s="53"/>
      <c r="AD62" s="53"/>
      <c r="AE62" s="53"/>
      <c r="AF62" s="53"/>
      <c r="AG62" s="53"/>
      <c r="AH62" s="107">
        <f t="shared" si="11"/>
        <v>0</v>
      </c>
    </row>
    <row r="63" spans="1:34" ht="15">
      <c r="A63" s="375" t="s">
        <v>151</v>
      </c>
      <c r="B63" s="70">
        <f t="shared" si="10"/>
        <v>0</v>
      </c>
      <c r="C63" s="103"/>
      <c r="D63" s="107"/>
      <c r="E63" s="107"/>
      <c r="F63" s="107"/>
      <c r="G63" s="53"/>
      <c r="H63" s="306"/>
      <c r="I63" s="306"/>
      <c r="J63" s="306"/>
      <c r="K63" s="306"/>
      <c r="L63" s="306"/>
      <c r="M63" s="306"/>
      <c r="N63" s="306"/>
      <c r="O63" s="306"/>
      <c r="P63" s="306"/>
      <c r="Q63" s="306"/>
      <c r="R63" s="306"/>
      <c r="S63" s="306"/>
      <c r="T63" s="306"/>
      <c r="U63" s="306"/>
      <c r="V63" s="306"/>
      <c r="W63" s="306"/>
      <c r="X63" s="306"/>
      <c r="Y63" s="53"/>
      <c r="Z63" s="53"/>
      <c r="AA63" s="53"/>
      <c r="AB63" s="53"/>
      <c r="AC63" s="53"/>
      <c r="AD63" s="53"/>
      <c r="AE63" s="53"/>
      <c r="AF63" s="53"/>
      <c r="AG63" s="53"/>
      <c r="AH63" s="107">
        <f t="shared" si="11"/>
        <v>0</v>
      </c>
    </row>
    <row r="64" spans="1:34" ht="15">
      <c r="A64" s="375" t="s">
        <v>152</v>
      </c>
      <c r="B64" s="70">
        <f t="shared" si="10"/>
        <v>0</v>
      </c>
      <c r="C64" s="103"/>
      <c r="D64" s="53"/>
      <c r="E64" s="53"/>
      <c r="F64" s="53"/>
      <c r="G64" s="53"/>
      <c r="H64" s="53"/>
      <c r="I64" s="53"/>
      <c r="J64" s="188" t="s">
        <v>318</v>
      </c>
      <c r="K64" s="188" t="s">
        <v>318</v>
      </c>
      <c r="L64" s="188" t="s">
        <v>318</v>
      </c>
      <c r="M64" s="188" t="s">
        <v>318</v>
      </c>
      <c r="N64" s="188" t="s">
        <v>318</v>
      </c>
      <c r="O64" s="188" t="s">
        <v>318</v>
      </c>
      <c r="P64" s="188" t="s">
        <v>318</v>
      </c>
      <c r="Q64" s="188" t="s">
        <v>318</v>
      </c>
      <c r="R64" s="188" t="s">
        <v>318</v>
      </c>
      <c r="S64" s="188" t="s">
        <v>318</v>
      </c>
      <c r="T64" s="188" t="s">
        <v>318</v>
      </c>
      <c r="U64" s="188" t="s">
        <v>318</v>
      </c>
      <c r="V64" s="188" t="s">
        <v>318</v>
      </c>
      <c r="W64" s="188" t="s">
        <v>318</v>
      </c>
      <c r="X64" s="188" t="s">
        <v>318</v>
      </c>
      <c r="Y64" s="188" t="s">
        <v>318</v>
      </c>
      <c r="Z64" s="188" t="s">
        <v>318</v>
      </c>
      <c r="AA64" s="188" t="s">
        <v>318</v>
      </c>
      <c r="AB64" s="188" t="s">
        <v>318</v>
      </c>
      <c r="AC64" s="188" t="s">
        <v>318</v>
      </c>
      <c r="AD64" s="188" t="s">
        <v>318</v>
      </c>
      <c r="AE64" s="188" t="s">
        <v>318</v>
      </c>
      <c r="AF64" s="188" t="s">
        <v>318</v>
      </c>
      <c r="AG64" s="188" t="s">
        <v>318</v>
      </c>
      <c r="AH64" s="107">
        <f t="shared" si="11"/>
        <v>0</v>
      </c>
    </row>
    <row r="65" spans="1:34" ht="15">
      <c r="A65" s="73" t="s">
        <v>153</v>
      </c>
      <c r="B65" s="70">
        <f t="shared" si="10"/>
        <v>0</v>
      </c>
      <c r="C65" s="188" t="s">
        <v>318</v>
      </c>
      <c r="D65" s="188" t="s">
        <v>318</v>
      </c>
      <c r="E65" s="188" t="s">
        <v>318</v>
      </c>
      <c r="F65" s="188" t="s">
        <v>318</v>
      </c>
      <c r="G65" s="188" t="s">
        <v>318</v>
      </c>
      <c r="H65" s="188" t="s">
        <v>318</v>
      </c>
      <c r="I65" s="188" t="s">
        <v>318</v>
      </c>
      <c r="J65" s="188" t="s">
        <v>318</v>
      </c>
      <c r="K65" s="188" t="s">
        <v>318</v>
      </c>
      <c r="L65" s="188" t="s">
        <v>318</v>
      </c>
      <c r="M65" s="188" t="s">
        <v>318</v>
      </c>
      <c r="N65" s="188" t="s">
        <v>318</v>
      </c>
      <c r="O65" s="188" t="s">
        <v>318</v>
      </c>
      <c r="P65" s="188" t="s">
        <v>318</v>
      </c>
      <c r="Q65" s="188" t="s">
        <v>318</v>
      </c>
      <c r="R65" s="188" t="s">
        <v>318</v>
      </c>
      <c r="S65" s="188" t="s">
        <v>318</v>
      </c>
      <c r="T65" s="188" t="s">
        <v>318</v>
      </c>
      <c r="U65" s="188" t="s">
        <v>318</v>
      </c>
      <c r="V65" s="188" t="s">
        <v>318</v>
      </c>
      <c r="W65" s="188" t="s">
        <v>318</v>
      </c>
      <c r="X65" s="188" t="s">
        <v>318</v>
      </c>
      <c r="Y65" s="188" t="s">
        <v>318</v>
      </c>
      <c r="Z65" s="188" t="s">
        <v>318</v>
      </c>
      <c r="AA65" s="188" t="s">
        <v>318</v>
      </c>
      <c r="AB65" s="188" t="s">
        <v>318</v>
      </c>
      <c r="AC65" s="188" t="s">
        <v>318</v>
      </c>
      <c r="AD65" s="188" t="s">
        <v>318</v>
      </c>
      <c r="AE65" s="188" t="s">
        <v>318</v>
      </c>
      <c r="AF65" s="188" t="s">
        <v>318</v>
      </c>
      <c r="AG65" s="188" t="s">
        <v>318</v>
      </c>
      <c r="AH65" s="107">
        <f t="shared" si="11"/>
        <v>0</v>
      </c>
    </row>
    <row r="66" spans="1:34" ht="15">
      <c r="A66" s="73" t="s">
        <v>154</v>
      </c>
      <c r="B66" s="70">
        <f t="shared" si="10"/>
        <v>0</v>
      </c>
      <c r="C66" s="188" t="s">
        <v>318</v>
      </c>
      <c r="D66" s="188" t="s">
        <v>318</v>
      </c>
      <c r="E66" s="188" t="s">
        <v>318</v>
      </c>
      <c r="F66" s="188" t="s">
        <v>318</v>
      </c>
      <c r="G66" s="188" t="s">
        <v>318</v>
      </c>
      <c r="H66" s="188" t="s">
        <v>318</v>
      </c>
      <c r="I66" s="188" t="s">
        <v>318</v>
      </c>
      <c r="J66" s="188" t="s">
        <v>318</v>
      </c>
      <c r="K66" s="188" t="s">
        <v>318</v>
      </c>
      <c r="L66" s="188" t="s">
        <v>318</v>
      </c>
      <c r="M66" s="188" t="s">
        <v>318</v>
      </c>
      <c r="N66" s="188" t="s">
        <v>318</v>
      </c>
      <c r="O66" s="188" t="s">
        <v>318</v>
      </c>
      <c r="P66" s="188" t="s">
        <v>318</v>
      </c>
      <c r="Q66" s="188" t="s">
        <v>318</v>
      </c>
      <c r="R66" s="188" t="s">
        <v>318</v>
      </c>
      <c r="S66" s="188" t="s">
        <v>318</v>
      </c>
      <c r="T66" s="188" t="s">
        <v>318</v>
      </c>
      <c r="U66" s="188" t="s">
        <v>318</v>
      </c>
      <c r="V66" s="188" t="s">
        <v>318</v>
      </c>
      <c r="W66" s="188" t="s">
        <v>318</v>
      </c>
      <c r="X66" s="53"/>
      <c r="Y66" s="53"/>
      <c r="Z66" s="53"/>
      <c r="AA66" s="53"/>
      <c r="AB66" s="53"/>
      <c r="AC66" s="53"/>
      <c r="AD66" s="53"/>
      <c r="AE66" s="107"/>
      <c r="AF66" s="53"/>
      <c r="AG66" s="107"/>
      <c r="AH66" s="107">
        <f t="shared" si="11"/>
        <v>0</v>
      </c>
    </row>
    <row r="67" spans="1:34" ht="15">
      <c r="A67" s="73" t="s">
        <v>155</v>
      </c>
      <c r="B67" s="70">
        <f t="shared" si="10"/>
        <v>0</v>
      </c>
      <c r="C67" s="103"/>
      <c r="D67" s="53"/>
      <c r="E67" s="53"/>
      <c r="F67" s="53"/>
      <c r="G67" s="14"/>
      <c r="H67" s="53"/>
      <c r="I67" s="53"/>
      <c r="J67" s="53"/>
      <c r="K67" s="53"/>
      <c r="L67" s="53"/>
      <c r="M67" s="53"/>
      <c r="N67" s="53"/>
      <c r="O67" s="53"/>
      <c r="P67" s="53"/>
      <c r="Q67" s="53"/>
      <c r="R67" s="53"/>
      <c r="S67" s="53"/>
      <c r="T67" s="53"/>
      <c r="U67" s="53"/>
      <c r="V67" s="53"/>
      <c r="W67" s="53"/>
      <c r="X67" s="53"/>
      <c r="Y67" s="53"/>
      <c r="Z67" s="53"/>
      <c r="AA67" s="53"/>
      <c r="AB67" s="53"/>
      <c r="AC67" s="53"/>
      <c r="AD67" s="53"/>
      <c r="AE67" s="107"/>
      <c r="AF67" s="53"/>
      <c r="AG67" s="107"/>
      <c r="AH67" s="107">
        <f t="shared" si="11"/>
        <v>0</v>
      </c>
    </row>
    <row r="68" spans="1:34" ht="15">
      <c r="A68" s="73" t="s">
        <v>156</v>
      </c>
      <c r="B68" s="70">
        <f t="shared" si="10"/>
        <v>0</v>
      </c>
      <c r="C68" s="103"/>
      <c r="D68" s="53"/>
      <c r="E68" s="53"/>
      <c r="F68" s="53"/>
      <c r="G68" s="53"/>
      <c r="H68" s="53"/>
      <c r="I68" s="53"/>
      <c r="J68" s="53"/>
      <c r="K68" s="53"/>
      <c r="L68" s="53"/>
      <c r="M68" s="53"/>
      <c r="N68" s="53"/>
      <c r="O68" s="53"/>
      <c r="P68" s="3013" t="s">
        <v>311</v>
      </c>
      <c r="Q68" s="3013" t="s">
        <v>311</v>
      </c>
      <c r="R68" s="3013" t="s">
        <v>311</v>
      </c>
      <c r="S68" s="3013" t="s">
        <v>311</v>
      </c>
      <c r="T68" s="3013" t="s">
        <v>311</v>
      </c>
      <c r="U68" s="3013" t="s">
        <v>311</v>
      </c>
      <c r="V68" s="3013" t="s">
        <v>311</v>
      </c>
      <c r="W68" s="3013" t="s">
        <v>311</v>
      </c>
      <c r="X68" s="3013" t="s">
        <v>311</v>
      </c>
      <c r="Y68" s="3013" t="s">
        <v>311</v>
      </c>
      <c r="Z68" s="3013" t="s">
        <v>311</v>
      </c>
      <c r="AA68" s="3013" t="s">
        <v>311</v>
      </c>
      <c r="AB68" s="3013" t="s">
        <v>311</v>
      </c>
      <c r="AC68" s="3013" t="s">
        <v>311</v>
      </c>
      <c r="AD68" s="3013" t="s">
        <v>311</v>
      </c>
      <c r="AE68" s="3013" t="s">
        <v>311</v>
      </c>
      <c r="AF68" s="3013" t="s">
        <v>311</v>
      </c>
      <c r="AG68" s="3013" t="s">
        <v>311</v>
      </c>
      <c r="AH68" s="107">
        <f t="shared" si="11"/>
        <v>0</v>
      </c>
    </row>
    <row r="69" spans="1:34" ht="15">
      <c r="A69" s="199" t="s">
        <v>144</v>
      </c>
      <c r="B69" s="201">
        <f t="shared" ref="B69:R69" si="12">SUM(B57:B68)</f>
        <v>390.36099999999999</v>
      </c>
      <c r="C69" s="172">
        <f t="shared" si="12"/>
        <v>0</v>
      </c>
      <c r="D69" s="172">
        <f t="shared" si="12"/>
        <v>0</v>
      </c>
      <c r="E69" s="172">
        <f t="shared" si="12"/>
        <v>0</v>
      </c>
      <c r="F69" s="172">
        <f t="shared" si="12"/>
        <v>0</v>
      </c>
      <c r="G69" s="172">
        <f t="shared" si="12"/>
        <v>0</v>
      </c>
      <c r="H69" s="172">
        <f t="shared" si="12"/>
        <v>0</v>
      </c>
      <c r="I69" s="172">
        <f t="shared" si="12"/>
        <v>0</v>
      </c>
      <c r="J69" s="172">
        <f t="shared" si="12"/>
        <v>0</v>
      </c>
      <c r="K69" s="172">
        <f t="shared" si="12"/>
        <v>0</v>
      </c>
      <c r="L69" s="172">
        <f t="shared" si="12"/>
        <v>0.2</v>
      </c>
      <c r="M69" s="172">
        <f t="shared" si="12"/>
        <v>62.1</v>
      </c>
      <c r="N69" s="172">
        <f t="shared" si="12"/>
        <v>0</v>
      </c>
      <c r="O69" s="172">
        <f t="shared" si="12"/>
        <v>39.533000000000001</v>
      </c>
      <c r="P69" s="172">
        <f t="shared" si="12"/>
        <v>1.1180000000000001</v>
      </c>
      <c r="Q69" s="172">
        <f t="shared" si="12"/>
        <v>0</v>
      </c>
      <c r="R69" s="172">
        <f t="shared" si="12"/>
        <v>51.817999999999998</v>
      </c>
      <c r="S69" s="107">
        <f t="shared" ref="S69:AC69" si="13">SUM(S57:S67)</f>
        <v>0</v>
      </c>
      <c r="T69" s="107">
        <f t="shared" si="13"/>
        <v>0</v>
      </c>
      <c r="U69" s="107">
        <f t="shared" si="13"/>
        <v>35.850999999999999</v>
      </c>
      <c r="V69" s="107">
        <f t="shared" si="13"/>
        <v>0</v>
      </c>
      <c r="W69" s="107">
        <f t="shared" si="13"/>
        <v>65.418999999999997</v>
      </c>
      <c r="X69" s="107">
        <f t="shared" si="13"/>
        <v>24.552</v>
      </c>
      <c r="Y69" s="107">
        <f t="shared" si="13"/>
        <v>0</v>
      </c>
      <c r="Z69" s="107">
        <f t="shared" si="13"/>
        <v>68.7</v>
      </c>
      <c r="AA69" s="107">
        <f t="shared" si="13"/>
        <v>41.07</v>
      </c>
      <c r="AB69" s="107">
        <f t="shared" si="13"/>
        <v>0</v>
      </c>
      <c r="AC69" s="107">
        <f t="shared" si="13"/>
        <v>0</v>
      </c>
      <c r="AD69" s="107">
        <v>0</v>
      </c>
      <c r="AE69" s="107">
        <f>SUM(AE57:AE67)</f>
        <v>0</v>
      </c>
      <c r="AF69" s="107">
        <f>SUM(AF57:AF67)</f>
        <v>0</v>
      </c>
      <c r="AG69" s="107">
        <f>SUM(AG57:AG67)</f>
        <v>0</v>
      </c>
      <c r="AH69" s="100">
        <f>SUM(AH57:AH67)</f>
        <v>390.36099999999999</v>
      </c>
    </row>
    <row r="70" spans="1:34" ht="15">
      <c r="A70" s="388"/>
      <c r="B70" s="777"/>
      <c r="C70" s="108"/>
      <c r="D70" s="109"/>
      <c r="E70" s="109"/>
      <c r="F70" s="109"/>
      <c r="G70" s="109"/>
      <c r="H70" s="109"/>
      <c r="I70" s="109"/>
      <c r="J70" s="109"/>
      <c r="K70" s="109"/>
      <c r="L70" s="109"/>
      <c r="M70" s="109"/>
      <c r="N70" s="109"/>
      <c r="O70" s="109"/>
      <c r="P70" s="109"/>
      <c r="Q70" s="109"/>
      <c r="R70" s="110"/>
      <c r="S70" s="106"/>
      <c r="T70" s="106"/>
      <c r="U70" s="106"/>
      <c r="V70" s="106"/>
      <c r="W70" s="106"/>
      <c r="X70" s="106"/>
      <c r="Y70" s="106"/>
      <c r="Z70" s="106"/>
      <c r="AA70" s="106"/>
      <c r="AB70" s="106"/>
      <c r="AC70" s="106"/>
      <c r="AD70" s="106"/>
      <c r="AE70" s="106"/>
      <c r="AF70" s="106"/>
      <c r="AG70" s="106"/>
      <c r="AH70" s="16"/>
    </row>
    <row r="71" spans="1:34" ht="15">
      <c r="A71" s="3873" t="s">
        <v>114</v>
      </c>
      <c r="B71" s="3874"/>
      <c r="C71" s="3874"/>
      <c r="D71" s="3874"/>
      <c r="E71" s="3874"/>
      <c r="F71" s="3874"/>
      <c r="G71" s="3874"/>
      <c r="H71" s="3874"/>
      <c r="I71" s="3874"/>
      <c r="J71" s="3874"/>
      <c r="K71" s="3874"/>
      <c r="L71" s="3874"/>
      <c r="M71" s="3874"/>
      <c r="N71" s="3874"/>
      <c r="O71" s="3874"/>
      <c r="P71" s="3874"/>
      <c r="Q71" s="3874"/>
      <c r="R71" s="3875"/>
      <c r="S71" s="14"/>
      <c r="T71" s="14"/>
      <c r="U71" s="14"/>
      <c r="V71" s="14"/>
      <c r="W71" s="14"/>
      <c r="X71" s="14"/>
      <c r="Y71" s="14"/>
      <c r="Z71" s="14"/>
      <c r="AA71" s="14"/>
      <c r="AB71" s="14"/>
      <c r="AC71" s="14"/>
      <c r="AD71" s="14"/>
      <c r="AE71" s="14"/>
      <c r="AF71" s="14"/>
      <c r="AG71" s="14"/>
      <c r="AH71" s="1"/>
    </row>
    <row r="72" spans="1:34" ht="5.0999999999999996" customHeight="1">
      <c r="A72" s="104"/>
      <c r="B72" s="105"/>
      <c r="C72" s="1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c r="AD72" s="106"/>
      <c r="AE72" s="106"/>
      <c r="AF72" s="106"/>
      <c r="AG72" s="106"/>
      <c r="AH72" s="16"/>
    </row>
    <row r="73" spans="1:34" ht="15">
      <c r="A73" s="3854" t="s">
        <v>115</v>
      </c>
      <c r="B73" s="3855"/>
      <c r="C73" s="3855"/>
      <c r="D73" s="3855"/>
      <c r="E73" s="3855"/>
      <c r="F73" s="3855"/>
      <c r="G73" s="3855"/>
      <c r="H73" s="3856"/>
      <c r="I73" s="3649"/>
      <c r="J73" s="96"/>
      <c r="K73" s="96"/>
      <c r="L73" s="96"/>
      <c r="M73" s="96"/>
      <c r="N73" s="96"/>
      <c r="O73" s="96"/>
      <c r="P73" s="96"/>
      <c r="Q73" s="96"/>
      <c r="R73" s="96"/>
      <c r="S73" s="14"/>
      <c r="T73" s="14"/>
      <c r="U73" s="14"/>
      <c r="V73" s="14"/>
      <c r="W73" s="14"/>
      <c r="X73" s="14"/>
      <c r="Y73" s="14"/>
      <c r="Z73" s="14"/>
      <c r="AA73" s="14"/>
      <c r="AB73" s="14"/>
      <c r="AC73" s="14"/>
      <c r="AD73" s="14"/>
      <c r="AE73" s="14"/>
      <c r="AF73" s="14"/>
      <c r="AG73" s="14"/>
      <c r="AH73" s="14"/>
    </row>
    <row r="74" spans="1:34" ht="15">
      <c r="A74" s="8" t="s">
        <v>142</v>
      </c>
      <c r="B74" s="8" t="s">
        <v>143</v>
      </c>
      <c r="C74" s="2907">
        <v>1</v>
      </c>
      <c r="D74" s="73">
        <v>2</v>
      </c>
      <c r="E74" s="73">
        <v>3</v>
      </c>
      <c r="F74" s="73">
        <v>4</v>
      </c>
      <c r="G74" s="73">
        <v>5</v>
      </c>
      <c r="H74" s="73">
        <v>6</v>
      </c>
      <c r="I74" s="73">
        <v>7</v>
      </c>
      <c r="J74" s="73">
        <v>8</v>
      </c>
      <c r="K74" s="73">
        <v>9</v>
      </c>
      <c r="L74" s="73">
        <v>10</v>
      </c>
      <c r="M74" s="73">
        <v>11</v>
      </c>
      <c r="N74" s="73">
        <v>12</v>
      </c>
      <c r="O74" s="73">
        <v>13</v>
      </c>
      <c r="P74" s="73">
        <v>14</v>
      </c>
      <c r="Q74" s="73">
        <v>15</v>
      </c>
      <c r="R74" s="73">
        <v>16</v>
      </c>
      <c r="S74" s="73">
        <v>17</v>
      </c>
      <c r="T74" s="73">
        <v>18</v>
      </c>
      <c r="U74" s="73">
        <v>19</v>
      </c>
      <c r="V74" s="73">
        <v>20</v>
      </c>
      <c r="W74" s="73">
        <v>21</v>
      </c>
      <c r="X74" s="73">
        <v>22</v>
      </c>
      <c r="Y74" s="73">
        <v>23</v>
      </c>
      <c r="Z74" s="73">
        <v>24</v>
      </c>
      <c r="AA74" s="73">
        <v>25</v>
      </c>
      <c r="AB74" s="73">
        <v>26</v>
      </c>
      <c r="AC74" s="73">
        <v>27</v>
      </c>
      <c r="AD74" s="73">
        <v>28</v>
      </c>
      <c r="AE74" s="73">
        <v>29</v>
      </c>
      <c r="AF74" s="73">
        <v>30</v>
      </c>
      <c r="AG74" s="73">
        <v>31</v>
      </c>
      <c r="AH74" s="88" t="s">
        <v>144</v>
      </c>
    </row>
    <row r="75" spans="1:34" ht="15">
      <c r="A75" s="414" t="s">
        <v>145</v>
      </c>
      <c r="B75" s="306">
        <f t="shared" ref="B75:B85" si="14">+AH75</f>
        <v>0</v>
      </c>
      <c r="C75" s="188" t="s">
        <v>311</v>
      </c>
      <c r="D75" s="188" t="s">
        <v>311</v>
      </c>
      <c r="E75" s="188" t="s">
        <v>311</v>
      </c>
      <c r="F75" s="188" t="s">
        <v>311</v>
      </c>
      <c r="G75" s="188" t="s">
        <v>311</v>
      </c>
      <c r="H75" s="188" t="s">
        <v>311</v>
      </c>
      <c r="I75" s="188" t="s">
        <v>311</v>
      </c>
      <c r="J75" s="306"/>
      <c r="K75" s="491"/>
      <c r="L75" s="306"/>
      <c r="M75" s="306"/>
      <c r="N75" s="306"/>
      <c r="O75" s="306"/>
      <c r="P75" s="306"/>
      <c r="Q75" s="306"/>
      <c r="R75" s="306"/>
      <c r="S75" s="306"/>
      <c r="T75" s="306"/>
      <c r="U75" s="306"/>
      <c r="V75" s="306"/>
      <c r="W75" s="306"/>
      <c r="X75" s="306"/>
      <c r="Y75" s="306"/>
      <c r="Z75" s="306"/>
      <c r="AA75" s="306"/>
      <c r="AB75" s="306"/>
      <c r="AC75" s="306"/>
      <c r="AD75" s="306"/>
      <c r="AE75" s="306"/>
      <c r="AF75" s="306"/>
      <c r="AG75" s="306"/>
      <c r="AH75" s="328">
        <f>SUM(C75:AG75)</f>
        <v>0</v>
      </c>
    </row>
    <row r="76" spans="1:34" ht="15">
      <c r="A76" s="414" t="s">
        <v>146</v>
      </c>
      <c r="B76" s="306">
        <f t="shared" si="14"/>
        <v>3487.0259999999998</v>
      </c>
      <c r="C76" s="306"/>
      <c r="D76" s="306"/>
      <c r="E76" s="306"/>
      <c r="F76" s="306"/>
      <c r="G76" s="306"/>
      <c r="H76" s="306"/>
      <c r="I76" s="306"/>
      <c r="J76" s="306">
        <v>357.19499999999999</v>
      </c>
      <c r="K76" s="481">
        <v>20.21</v>
      </c>
      <c r="L76" s="306"/>
      <c r="M76" s="306"/>
      <c r="N76" s="306">
        <v>397.11799999999999</v>
      </c>
      <c r="O76" s="306"/>
      <c r="P76" s="306">
        <v>415.26499999999999</v>
      </c>
      <c r="Q76" s="306"/>
      <c r="R76" s="306">
        <v>434.11</v>
      </c>
      <c r="S76" s="306"/>
      <c r="T76" s="306"/>
      <c r="U76" s="306"/>
      <c r="V76" s="306">
        <v>429.18</v>
      </c>
      <c r="W76" s="306"/>
      <c r="X76" s="306">
        <v>479.79500000000002</v>
      </c>
      <c r="Y76" s="306">
        <v>62.575000000000003</v>
      </c>
      <c r="Z76" s="306"/>
      <c r="AA76" s="306">
        <v>610.11300000000006</v>
      </c>
      <c r="AB76" s="306"/>
      <c r="AC76" s="306">
        <v>281.46499999999997</v>
      </c>
      <c r="AD76" s="306"/>
      <c r="AE76" s="306"/>
      <c r="AF76" s="306"/>
      <c r="AG76" s="306"/>
      <c r="AH76" s="328">
        <f t="shared" ref="AH76:AH86" si="15">SUM(C76:AG76)</f>
        <v>3487.0259999999998</v>
      </c>
    </row>
    <row r="77" spans="1:34" ht="15">
      <c r="A77" s="414" t="s">
        <v>147</v>
      </c>
      <c r="B77" s="306">
        <f t="shared" si="14"/>
        <v>7462.3429999999989</v>
      </c>
      <c r="C77" s="306">
        <v>332.26499999999999</v>
      </c>
      <c r="D77" s="306"/>
      <c r="E77" s="306">
        <v>429.2</v>
      </c>
      <c r="F77" s="306"/>
      <c r="G77" s="306"/>
      <c r="H77" s="315"/>
      <c r="I77" s="315"/>
      <c r="J77" s="315">
        <v>417.262</v>
      </c>
      <c r="K77" s="492"/>
      <c r="L77" s="315">
        <v>757.71400000000006</v>
      </c>
      <c r="M77" s="315"/>
      <c r="N77" s="315">
        <v>708.30499999999995</v>
      </c>
      <c r="O77" s="315">
        <v>352.14800000000002</v>
      </c>
      <c r="P77" s="315">
        <v>404.05</v>
      </c>
      <c r="Q77" s="315"/>
      <c r="R77" s="315">
        <v>434.84500000000003</v>
      </c>
      <c r="S77" s="315">
        <v>419.44</v>
      </c>
      <c r="T77" s="315">
        <v>142.57499999999999</v>
      </c>
      <c r="U77" s="315">
        <v>485.11399999999998</v>
      </c>
      <c r="V77" s="315">
        <v>332.57499999999999</v>
      </c>
      <c r="W77" s="315">
        <v>341.6</v>
      </c>
      <c r="X77" s="315"/>
      <c r="Y77" s="315">
        <v>387.83499999999998</v>
      </c>
      <c r="Z77" s="315">
        <v>393.35500000000002</v>
      </c>
      <c r="AA77" s="315">
        <v>409.36500000000001</v>
      </c>
      <c r="AB77" s="315">
        <v>218.48500000000001</v>
      </c>
      <c r="AC77" s="188">
        <v>371.8</v>
      </c>
      <c r="AD77" s="188">
        <v>124.41</v>
      </c>
      <c r="AE77" s="188" t="s">
        <v>311</v>
      </c>
      <c r="AF77" s="188" t="s">
        <v>311</v>
      </c>
      <c r="AG77" s="188" t="s">
        <v>311</v>
      </c>
      <c r="AH77" s="328">
        <f>SUM(C77:AG77)</f>
        <v>7462.3429999999989</v>
      </c>
    </row>
    <row r="78" spans="1:34" ht="15">
      <c r="A78" s="414" t="s">
        <v>148</v>
      </c>
      <c r="B78" s="306">
        <f t="shared" si="14"/>
        <v>6815.25</v>
      </c>
      <c r="C78" s="188" t="s">
        <v>311</v>
      </c>
      <c r="D78" s="188" t="s">
        <v>311</v>
      </c>
      <c r="E78" s="188" t="s">
        <v>311</v>
      </c>
      <c r="F78" s="188" t="s">
        <v>311</v>
      </c>
      <c r="G78" s="188" t="s">
        <v>311</v>
      </c>
      <c r="H78" s="188" t="s">
        <v>311</v>
      </c>
      <c r="I78" s="188" t="s">
        <v>311</v>
      </c>
      <c r="J78" s="188" t="s">
        <v>311</v>
      </c>
      <c r="K78" s="188" t="s">
        <v>311</v>
      </c>
      <c r="L78" s="315">
        <v>224.02500000000001</v>
      </c>
      <c r="M78" s="315">
        <v>196.785</v>
      </c>
      <c r="N78" s="315">
        <v>426.65</v>
      </c>
      <c r="O78" s="315">
        <v>353.065</v>
      </c>
      <c r="P78" s="315">
        <v>278.90499999999997</v>
      </c>
      <c r="Q78" s="315">
        <v>636.66</v>
      </c>
      <c r="R78" s="315">
        <v>359.15</v>
      </c>
      <c r="S78" s="315">
        <v>410.755</v>
      </c>
      <c r="T78" s="315">
        <v>131.08000000000001</v>
      </c>
      <c r="U78" s="315">
        <v>267.26499999999999</v>
      </c>
      <c r="V78" s="315">
        <v>271.98500000000001</v>
      </c>
      <c r="W78" s="315">
        <v>619.64499999999998</v>
      </c>
      <c r="X78" s="315">
        <v>415.24</v>
      </c>
      <c r="Y78" s="315">
        <v>477.65</v>
      </c>
      <c r="Z78" s="315">
        <v>327.92500000000001</v>
      </c>
      <c r="AA78" s="315">
        <v>232.6</v>
      </c>
      <c r="AB78" s="315">
        <v>365.23</v>
      </c>
      <c r="AC78" s="315">
        <v>333.13499999999999</v>
      </c>
      <c r="AD78" s="315">
        <v>487.5</v>
      </c>
      <c r="AE78" s="315"/>
      <c r="AF78" s="315"/>
      <c r="AG78" s="315"/>
      <c r="AH78" s="328">
        <f t="shared" si="15"/>
        <v>6815.25</v>
      </c>
    </row>
    <row r="79" spans="1:34" ht="15">
      <c r="A79" s="375" t="s">
        <v>149</v>
      </c>
      <c r="B79" s="306">
        <f t="shared" si="14"/>
        <v>3625.9139999999998</v>
      </c>
      <c r="C79" s="103"/>
      <c r="D79" s="53"/>
      <c r="E79" s="53"/>
      <c r="F79" s="53">
        <v>187.88900000000001</v>
      </c>
      <c r="G79" s="53">
        <v>497.30500000000001</v>
      </c>
      <c r="H79" s="53">
        <v>306.25799999999998</v>
      </c>
      <c r="I79" s="53">
        <v>59.935000000000002</v>
      </c>
      <c r="J79" s="107">
        <v>328.30500000000001</v>
      </c>
      <c r="K79" s="107">
        <v>399.31500000000005</v>
      </c>
      <c r="L79" s="107">
        <v>72.275000000000006</v>
      </c>
      <c r="M79" s="107">
        <v>59.835000000000001</v>
      </c>
      <c r="N79" s="107">
        <v>140.63999999999999</v>
      </c>
      <c r="O79" s="107">
        <v>256.45</v>
      </c>
      <c r="P79" s="107"/>
      <c r="Q79" s="107"/>
      <c r="R79" s="107"/>
      <c r="S79" s="107"/>
      <c r="T79" s="107"/>
      <c r="U79" s="107"/>
      <c r="V79" s="107">
        <v>64.525000000000006</v>
      </c>
      <c r="W79" s="107">
        <v>519.99599999999998</v>
      </c>
      <c r="X79" s="107">
        <v>123.748</v>
      </c>
      <c r="Y79" s="107">
        <v>17.41</v>
      </c>
      <c r="Z79" s="107"/>
      <c r="AA79" s="107"/>
      <c r="AB79" s="107"/>
      <c r="AC79" s="107"/>
      <c r="AD79" s="107"/>
      <c r="AE79" s="107"/>
      <c r="AF79" s="315">
        <v>244.63399999999999</v>
      </c>
      <c r="AG79" s="315">
        <v>347.39400000000001</v>
      </c>
      <c r="AH79" s="328">
        <f t="shared" si="15"/>
        <v>3625.9139999999998</v>
      </c>
    </row>
    <row r="80" spans="1:34" ht="15">
      <c r="A80" s="375" t="s">
        <v>150</v>
      </c>
      <c r="B80" s="306">
        <f t="shared" si="14"/>
        <v>482.48500000000001</v>
      </c>
      <c r="C80" s="100">
        <v>202.965</v>
      </c>
      <c r="D80" s="107">
        <v>154.88499999999999</v>
      </c>
      <c r="E80" s="107">
        <v>90.46</v>
      </c>
      <c r="F80" s="107">
        <v>34.174999999999997</v>
      </c>
      <c r="G80" s="107"/>
      <c r="H80" s="188" t="s">
        <v>162</v>
      </c>
      <c r="I80" s="188" t="s">
        <v>162</v>
      </c>
      <c r="J80" s="188" t="s">
        <v>162</v>
      </c>
      <c r="K80" s="188" t="s">
        <v>162</v>
      </c>
      <c r="L80" s="188" t="s">
        <v>162</v>
      </c>
      <c r="M80" s="188" t="s">
        <v>162</v>
      </c>
      <c r="N80" s="188" t="s">
        <v>162</v>
      </c>
      <c r="O80" s="188" t="s">
        <v>162</v>
      </c>
      <c r="P80" s="188" t="s">
        <v>162</v>
      </c>
      <c r="Q80" s="188" t="s">
        <v>162</v>
      </c>
      <c r="R80" s="188" t="s">
        <v>162</v>
      </c>
      <c r="S80" s="188" t="s">
        <v>162</v>
      </c>
      <c r="T80" s="188" t="s">
        <v>162</v>
      </c>
      <c r="U80" s="188" t="s">
        <v>162</v>
      </c>
      <c r="V80" s="188" t="s">
        <v>162</v>
      </c>
      <c r="W80" s="188" t="s">
        <v>162</v>
      </c>
      <c r="X80" s="188" t="s">
        <v>162</v>
      </c>
      <c r="Y80" s="107"/>
      <c r="Z80" s="107"/>
      <c r="AA80" s="107"/>
      <c r="AB80" s="107"/>
      <c r="AC80" s="107"/>
      <c r="AD80" s="107"/>
      <c r="AE80" s="107"/>
      <c r="AF80" s="107"/>
      <c r="AG80" s="107"/>
      <c r="AH80" s="328">
        <f t="shared" si="15"/>
        <v>482.48500000000001</v>
      </c>
    </row>
    <row r="81" spans="1:34" ht="15">
      <c r="A81" s="375" t="s">
        <v>151</v>
      </c>
      <c r="B81" s="306">
        <f t="shared" si="14"/>
        <v>698.23500000000001</v>
      </c>
      <c r="C81" s="103"/>
      <c r="D81" s="107"/>
      <c r="E81" s="107">
        <v>164.965</v>
      </c>
      <c r="F81" s="107"/>
      <c r="G81" s="53"/>
      <c r="H81" s="306"/>
      <c r="I81" s="306"/>
      <c r="J81" s="306"/>
      <c r="K81" s="306"/>
      <c r="L81" s="306"/>
      <c r="M81" s="306"/>
      <c r="N81" s="306"/>
      <c r="O81" s="306"/>
      <c r="P81" s="306"/>
      <c r="Q81" s="306"/>
      <c r="R81" s="306"/>
      <c r="S81" s="306"/>
      <c r="T81" s="306"/>
      <c r="U81" s="306"/>
      <c r="V81" s="306"/>
      <c r="W81" s="306"/>
      <c r="X81" s="306"/>
      <c r="Y81" s="107"/>
      <c r="Z81" s="107"/>
      <c r="AA81" s="107">
        <v>53.12</v>
      </c>
      <c r="AB81" s="107">
        <v>62.924999999999997</v>
      </c>
      <c r="AC81" s="107">
        <v>74.23</v>
      </c>
      <c r="AD81" s="107"/>
      <c r="AE81" s="107"/>
      <c r="AF81" s="107">
        <v>118.98</v>
      </c>
      <c r="AG81" s="107">
        <v>224.01499999999999</v>
      </c>
      <c r="AH81" s="328">
        <f t="shared" si="15"/>
        <v>698.23500000000001</v>
      </c>
    </row>
    <row r="82" spans="1:34" ht="15">
      <c r="A82" s="375" t="s">
        <v>152</v>
      </c>
      <c r="B82" s="306">
        <f t="shared" si="14"/>
        <v>2013.6709999999998</v>
      </c>
      <c r="C82" s="103"/>
      <c r="D82" s="53"/>
      <c r="E82" s="53">
        <v>417.38299999999998</v>
      </c>
      <c r="F82" s="53">
        <v>411.25</v>
      </c>
      <c r="G82" s="53">
        <v>343.23500000000001</v>
      </c>
      <c r="H82" s="53">
        <v>580.56399999999996</v>
      </c>
      <c r="I82" s="53">
        <v>217.69900000000001</v>
      </c>
      <c r="J82" s="1900">
        <v>43.54</v>
      </c>
      <c r="K82" s="188" t="s">
        <v>318</v>
      </c>
      <c r="L82" s="188" t="s">
        <v>318</v>
      </c>
      <c r="M82" s="188" t="s">
        <v>318</v>
      </c>
      <c r="N82" s="188" t="s">
        <v>318</v>
      </c>
      <c r="O82" s="188" t="s">
        <v>318</v>
      </c>
      <c r="P82" s="188" t="s">
        <v>318</v>
      </c>
      <c r="Q82" s="188" t="s">
        <v>318</v>
      </c>
      <c r="R82" s="188" t="s">
        <v>318</v>
      </c>
      <c r="S82" s="188" t="s">
        <v>318</v>
      </c>
      <c r="T82" s="188" t="s">
        <v>318</v>
      </c>
      <c r="U82" s="188" t="s">
        <v>318</v>
      </c>
      <c r="V82" s="188" t="s">
        <v>318</v>
      </c>
      <c r="W82" s="188" t="s">
        <v>318</v>
      </c>
      <c r="X82" s="188" t="s">
        <v>318</v>
      </c>
      <c r="Y82" s="188" t="s">
        <v>318</v>
      </c>
      <c r="Z82" s="188" t="s">
        <v>318</v>
      </c>
      <c r="AA82" s="188" t="s">
        <v>318</v>
      </c>
      <c r="AB82" s="188" t="s">
        <v>318</v>
      </c>
      <c r="AC82" s="188" t="s">
        <v>318</v>
      </c>
      <c r="AD82" s="188" t="s">
        <v>318</v>
      </c>
      <c r="AE82" s="188" t="s">
        <v>318</v>
      </c>
      <c r="AF82" s="188" t="s">
        <v>318</v>
      </c>
      <c r="AG82" s="188" t="s">
        <v>318</v>
      </c>
      <c r="AH82" s="328">
        <f t="shared" si="15"/>
        <v>2013.6709999999998</v>
      </c>
    </row>
    <row r="83" spans="1:34" ht="15">
      <c r="A83" s="363" t="s">
        <v>153</v>
      </c>
      <c r="B83" s="306">
        <f t="shared" si="14"/>
        <v>0</v>
      </c>
      <c r="C83" s="188" t="s">
        <v>318</v>
      </c>
      <c r="D83" s="188" t="s">
        <v>318</v>
      </c>
      <c r="E83" s="188" t="s">
        <v>318</v>
      </c>
      <c r="F83" s="188" t="s">
        <v>318</v>
      </c>
      <c r="G83" s="188" t="s">
        <v>318</v>
      </c>
      <c r="H83" s="188" t="s">
        <v>318</v>
      </c>
      <c r="I83" s="188" t="s">
        <v>318</v>
      </c>
      <c r="J83" s="188" t="s">
        <v>318</v>
      </c>
      <c r="K83" s="188" t="s">
        <v>318</v>
      </c>
      <c r="L83" s="188" t="s">
        <v>318</v>
      </c>
      <c r="M83" s="188" t="s">
        <v>318</v>
      </c>
      <c r="N83" s="188" t="s">
        <v>318</v>
      </c>
      <c r="O83" s="188" t="s">
        <v>318</v>
      </c>
      <c r="P83" s="188" t="s">
        <v>318</v>
      </c>
      <c r="Q83" s="188" t="s">
        <v>318</v>
      </c>
      <c r="R83" s="188" t="s">
        <v>318</v>
      </c>
      <c r="S83" s="188" t="s">
        <v>318</v>
      </c>
      <c r="T83" s="188" t="s">
        <v>318</v>
      </c>
      <c r="U83" s="188" t="s">
        <v>318</v>
      </c>
      <c r="V83" s="188" t="s">
        <v>318</v>
      </c>
      <c r="W83" s="188" t="s">
        <v>318</v>
      </c>
      <c r="X83" s="188" t="s">
        <v>318</v>
      </c>
      <c r="Y83" s="188" t="s">
        <v>318</v>
      </c>
      <c r="Z83" s="188" t="s">
        <v>318</v>
      </c>
      <c r="AA83" s="188" t="s">
        <v>318</v>
      </c>
      <c r="AB83" s="188" t="s">
        <v>318</v>
      </c>
      <c r="AC83" s="188" t="s">
        <v>318</v>
      </c>
      <c r="AD83" s="188" t="s">
        <v>318</v>
      </c>
      <c r="AE83" s="188" t="s">
        <v>318</v>
      </c>
      <c r="AF83" s="188" t="s">
        <v>318</v>
      </c>
      <c r="AG83" s="188" t="s">
        <v>318</v>
      </c>
      <c r="AH83" s="328">
        <f t="shared" si="15"/>
        <v>0</v>
      </c>
    </row>
    <row r="84" spans="1:34" ht="15">
      <c r="A84" s="363" t="s">
        <v>154</v>
      </c>
      <c r="B84" s="306">
        <f t="shared" si="14"/>
        <v>3693.7119999999995</v>
      </c>
      <c r="C84" s="188" t="s">
        <v>318</v>
      </c>
      <c r="D84" s="188" t="s">
        <v>318</v>
      </c>
      <c r="E84" s="188" t="s">
        <v>318</v>
      </c>
      <c r="F84" s="188" t="s">
        <v>318</v>
      </c>
      <c r="G84" s="188" t="s">
        <v>318</v>
      </c>
      <c r="H84" s="188" t="s">
        <v>318</v>
      </c>
      <c r="I84" s="188" t="s">
        <v>318</v>
      </c>
      <c r="J84" s="188" t="s">
        <v>318</v>
      </c>
      <c r="K84" s="188" t="s">
        <v>318</v>
      </c>
      <c r="L84" s="188" t="s">
        <v>318</v>
      </c>
      <c r="M84" s="188" t="s">
        <v>318</v>
      </c>
      <c r="N84" s="188" t="s">
        <v>318</v>
      </c>
      <c r="O84" s="188" t="s">
        <v>318</v>
      </c>
      <c r="P84" s="188" t="s">
        <v>318</v>
      </c>
      <c r="Q84" s="188" t="s">
        <v>318</v>
      </c>
      <c r="R84" s="188" t="s">
        <v>318</v>
      </c>
      <c r="S84" s="188" t="s">
        <v>318</v>
      </c>
      <c r="T84" s="188" t="s">
        <v>318</v>
      </c>
      <c r="U84" s="188" t="s">
        <v>318</v>
      </c>
      <c r="V84" s="188" t="s">
        <v>318</v>
      </c>
      <c r="W84" s="188" t="s">
        <v>318</v>
      </c>
      <c r="X84" s="53">
        <v>490.36500000000001</v>
      </c>
      <c r="Y84" s="53">
        <v>489.84</v>
      </c>
      <c r="Z84" s="53">
        <v>513.42499999999995</v>
      </c>
      <c r="AA84" s="53">
        <v>327.41000000000003</v>
      </c>
      <c r="AB84" s="53"/>
      <c r="AC84" s="53">
        <v>448.245</v>
      </c>
      <c r="AD84" s="53">
        <v>345.97</v>
      </c>
      <c r="AE84" s="107">
        <v>422.36500000000001</v>
      </c>
      <c r="AF84" s="53">
        <v>309.99</v>
      </c>
      <c r="AG84" s="107">
        <v>346.10199999999998</v>
      </c>
      <c r="AH84" s="328">
        <f t="shared" si="15"/>
        <v>3693.7119999999995</v>
      </c>
    </row>
    <row r="85" spans="1:34" ht="15">
      <c r="A85" s="363" t="s">
        <v>155</v>
      </c>
      <c r="B85" s="306">
        <f t="shared" si="14"/>
        <v>3661.8239999999992</v>
      </c>
      <c r="C85" s="103">
        <v>483.01</v>
      </c>
      <c r="D85" s="53">
        <v>232.90799999999999</v>
      </c>
      <c r="E85" s="53">
        <v>351.22300000000001</v>
      </c>
      <c r="F85" s="53">
        <v>421.23899999999998</v>
      </c>
      <c r="G85" s="53">
        <v>249.93</v>
      </c>
      <c r="H85" s="53">
        <v>226.369</v>
      </c>
      <c r="I85" s="53">
        <v>174.47</v>
      </c>
      <c r="J85" s="53"/>
      <c r="K85" s="53">
        <v>174.87</v>
      </c>
      <c r="L85" s="53">
        <v>123.465</v>
      </c>
      <c r="M85" s="53">
        <v>375.80099999999999</v>
      </c>
      <c r="N85" s="53">
        <v>71.31</v>
      </c>
      <c r="O85" s="53"/>
      <c r="P85" s="53">
        <v>95.114999999999995</v>
      </c>
      <c r="Q85" s="53"/>
      <c r="R85" s="53">
        <v>114.2</v>
      </c>
      <c r="S85" s="53"/>
      <c r="T85" s="53"/>
      <c r="U85" s="53">
        <v>43.52</v>
      </c>
      <c r="V85" s="53">
        <v>52.59</v>
      </c>
      <c r="W85" s="53">
        <v>10.93</v>
      </c>
      <c r="X85" s="53">
        <v>40.488</v>
      </c>
      <c r="Y85" s="53">
        <v>27.274999999999999</v>
      </c>
      <c r="Z85" s="53">
        <v>60.375</v>
      </c>
      <c r="AA85" s="53">
        <v>59.814999999999998</v>
      </c>
      <c r="AB85" s="53">
        <v>27.745000000000001</v>
      </c>
      <c r="AC85" s="53">
        <v>59.14</v>
      </c>
      <c r="AD85" s="53"/>
      <c r="AE85" s="107">
        <v>116.11199999999999</v>
      </c>
      <c r="AF85" s="53">
        <v>69.924000000000007</v>
      </c>
      <c r="AG85" s="107"/>
      <c r="AH85" s="328">
        <f t="shared" si="15"/>
        <v>3661.8239999999992</v>
      </c>
    </row>
    <row r="86" spans="1:34" ht="15">
      <c r="A86" s="363" t="s">
        <v>156</v>
      </c>
      <c r="B86" s="306">
        <f>+AH86</f>
        <v>667.17200000000003</v>
      </c>
      <c r="C86" s="103">
        <v>46.82</v>
      </c>
      <c r="D86" s="53"/>
      <c r="E86" s="53"/>
      <c r="F86" s="53"/>
      <c r="G86" s="53"/>
      <c r="H86" s="53"/>
      <c r="I86" s="53"/>
      <c r="J86" s="53"/>
      <c r="K86" s="53"/>
      <c r="L86" s="53"/>
      <c r="M86" s="53"/>
      <c r="N86" s="53"/>
      <c r="O86" s="53"/>
      <c r="P86" s="3027">
        <v>44.484999999999999</v>
      </c>
      <c r="Q86" s="3027">
        <v>72.739999999999995</v>
      </c>
      <c r="R86" s="3027">
        <v>18.646999999999998</v>
      </c>
      <c r="S86" s="3027">
        <v>0</v>
      </c>
      <c r="T86" s="3027">
        <v>0</v>
      </c>
      <c r="U86" s="3027">
        <v>0</v>
      </c>
      <c r="V86" s="3027">
        <v>0</v>
      </c>
      <c r="W86" s="3027">
        <v>67.590999999999994</v>
      </c>
      <c r="X86" s="3027">
        <v>11.821999999999999</v>
      </c>
      <c r="Y86" s="3027">
        <v>0</v>
      </c>
      <c r="Z86" s="3027">
        <v>0</v>
      </c>
      <c r="AA86" s="3027">
        <v>0</v>
      </c>
      <c r="AB86" s="3027">
        <v>80.325000000000003</v>
      </c>
      <c r="AC86" s="3027">
        <v>125.28700000000001</v>
      </c>
      <c r="AD86" s="3027">
        <v>69.84</v>
      </c>
      <c r="AE86" s="3027">
        <v>0</v>
      </c>
      <c r="AF86" s="3027">
        <v>0</v>
      </c>
      <c r="AG86" s="3027">
        <v>129.61500000000001</v>
      </c>
      <c r="AH86" s="328">
        <f t="shared" si="15"/>
        <v>667.17200000000003</v>
      </c>
    </row>
    <row r="87" spans="1:34" ht="15">
      <c r="A87" s="199" t="s">
        <v>144</v>
      </c>
      <c r="B87" s="200">
        <f>SUM(B75:B86)</f>
        <v>32607.631999999998</v>
      </c>
      <c r="C87" s="100">
        <f>SUM(C75:C85)</f>
        <v>1018.24</v>
      </c>
      <c r="D87" s="107">
        <f>SUM(D75:D85)</f>
        <v>387.79300000000001</v>
      </c>
      <c r="E87" s="107">
        <v>0</v>
      </c>
      <c r="F87" s="107">
        <f t="shared" ref="F87:AC87" si="16">SUM(F75:F85)</f>
        <v>1054.5530000000001</v>
      </c>
      <c r="G87" s="107">
        <f t="shared" si="16"/>
        <v>1090.47</v>
      </c>
      <c r="H87" s="107">
        <f t="shared" si="16"/>
        <v>1113.1909999999998</v>
      </c>
      <c r="I87" s="107">
        <f t="shared" si="16"/>
        <v>452.10400000000004</v>
      </c>
      <c r="J87" s="107">
        <f t="shared" si="16"/>
        <v>1146.3019999999999</v>
      </c>
      <c r="K87" s="107">
        <f t="shared" si="16"/>
        <v>594.39499999999998</v>
      </c>
      <c r="L87" s="107">
        <f t="shared" si="16"/>
        <v>1177.479</v>
      </c>
      <c r="M87" s="107">
        <f t="shared" si="16"/>
        <v>632.42100000000005</v>
      </c>
      <c r="N87" s="107">
        <f t="shared" si="16"/>
        <v>1744.0229999999997</v>
      </c>
      <c r="O87" s="107">
        <f t="shared" si="16"/>
        <v>961.66300000000001</v>
      </c>
      <c r="P87" s="107">
        <f t="shared" si="16"/>
        <v>1193.335</v>
      </c>
      <c r="Q87" s="107">
        <f t="shared" si="16"/>
        <v>636.66</v>
      </c>
      <c r="R87" s="107">
        <f t="shared" si="16"/>
        <v>1342.3050000000001</v>
      </c>
      <c r="S87" s="107">
        <f t="shared" si="16"/>
        <v>830.19499999999994</v>
      </c>
      <c r="T87" s="107">
        <f t="shared" si="16"/>
        <v>273.65499999999997</v>
      </c>
      <c r="U87" s="107">
        <f t="shared" si="16"/>
        <v>795.89899999999989</v>
      </c>
      <c r="V87" s="107">
        <f t="shared" si="16"/>
        <v>1150.855</v>
      </c>
      <c r="W87" s="107">
        <f t="shared" si="16"/>
        <v>1492.171</v>
      </c>
      <c r="X87" s="107">
        <f t="shared" si="16"/>
        <v>1549.6360000000002</v>
      </c>
      <c r="Y87" s="107">
        <f t="shared" si="16"/>
        <v>1462.585</v>
      </c>
      <c r="Z87" s="107">
        <f t="shared" si="16"/>
        <v>1295.08</v>
      </c>
      <c r="AA87" s="107">
        <f t="shared" si="16"/>
        <v>1692.423</v>
      </c>
      <c r="AB87" s="107">
        <f t="shared" si="16"/>
        <v>674.38499999999999</v>
      </c>
      <c r="AC87" s="107">
        <f t="shared" si="16"/>
        <v>1568.0150000000001</v>
      </c>
      <c r="AD87" s="107">
        <v>0</v>
      </c>
      <c r="AE87" s="107">
        <f>SUM(AE75:AE85)</f>
        <v>538.47699999999998</v>
      </c>
      <c r="AF87" s="107">
        <f>SUM(AF75:AF85)</f>
        <v>743.52800000000002</v>
      </c>
      <c r="AG87" s="107">
        <f>SUM(AG75:AG85)</f>
        <v>917.51099999999997</v>
      </c>
      <c r="AH87" s="101">
        <f>SUM(AH75:AH85)</f>
        <v>31940.46</v>
      </c>
    </row>
    <row r="88" spans="1:34" ht="5.0999999999999996" customHeight="1">
      <c r="A88" s="104"/>
      <c r="B88" s="105"/>
      <c r="C88" s="1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c r="AD88" s="106"/>
      <c r="AE88" s="106"/>
      <c r="AF88" s="106"/>
      <c r="AG88" s="106"/>
      <c r="AH88" s="16"/>
    </row>
    <row r="89" spans="1:34" ht="15">
      <c r="A89" s="3854" t="s">
        <v>116</v>
      </c>
      <c r="B89" s="3855"/>
      <c r="C89" s="3855"/>
      <c r="D89" s="3855"/>
      <c r="E89" s="3855"/>
      <c r="F89" s="3855"/>
      <c r="G89" s="3855"/>
      <c r="H89" s="3856"/>
      <c r="I89" s="3649"/>
      <c r="J89" s="96"/>
      <c r="K89" s="96"/>
      <c r="L89" s="96"/>
      <c r="M89" s="96"/>
      <c r="N89" s="96"/>
      <c r="O89" s="96"/>
      <c r="P89" s="96"/>
      <c r="Q89" s="96"/>
      <c r="R89" s="96"/>
      <c r="S89" s="14"/>
      <c r="T89" s="14"/>
      <c r="U89" s="14"/>
      <c r="V89" s="14"/>
      <c r="W89" s="14"/>
      <c r="X89" s="14"/>
      <c r="Y89" s="14"/>
      <c r="Z89" s="14"/>
      <c r="AA89" s="14"/>
      <c r="AB89" s="14"/>
      <c r="AC89" s="14"/>
      <c r="AD89" s="14"/>
      <c r="AE89" s="14"/>
      <c r="AF89" s="14"/>
      <c r="AG89" s="14"/>
      <c r="AH89" s="14"/>
    </row>
    <row r="90" spans="1:34" ht="15">
      <c r="A90" s="8" t="s">
        <v>142</v>
      </c>
      <c r="B90" s="8" t="s">
        <v>143</v>
      </c>
      <c r="C90" s="2907">
        <v>1</v>
      </c>
      <c r="D90" s="73">
        <v>2</v>
      </c>
      <c r="E90" s="73">
        <v>3</v>
      </c>
      <c r="F90" s="73">
        <v>4</v>
      </c>
      <c r="G90" s="73">
        <v>5</v>
      </c>
      <c r="H90" s="73">
        <v>6</v>
      </c>
      <c r="I90" s="73">
        <v>7</v>
      </c>
      <c r="J90" s="73">
        <v>8</v>
      </c>
      <c r="K90" s="73">
        <v>9</v>
      </c>
      <c r="L90" s="73">
        <v>10</v>
      </c>
      <c r="M90" s="73">
        <v>11</v>
      </c>
      <c r="N90" s="73">
        <v>12</v>
      </c>
      <c r="O90" s="73">
        <v>13</v>
      </c>
      <c r="P90" s="73">
        <v>14</v>
      </c>
      <c r="Q90" s="73">
        <v>15</v>
      </c>
      <c r="R90" s="73">
        <v>16</v>
      </c>
      <c r="S90" s="73">
        <v>17</v>
      </c>
      <c r="T90" s="73">
        <v>18</v>
      </c>
      <c r="U90" s="73">
        <v>19</v>
      </c>
      <c r="V90" s="73">
        <v>20</v>
      </c>
      <c r="W90" s="73">
        <v>21</v>
      </c>
      <c r="X90" s="73">
        <v>22</v>
      </c>
      <c r="Y90" s="73">
        <v>23</v>
      </c>
      <c r="Z90" s="73">
        <v>24</v>
      </c>
      <c r="AA90" s="73">
        <v>25</v>
      </c>
      <c r="AB90" s="73">
        <v>26</v>
      </c>
      <c r="AC90" s="73">
        <v>27</v>
      </c>
      <c r="AD90" s="73">
        <v>28</v>
      </c>
      <c r="AE90" s="73">
        <v>29</v>
      </c>
      <c r="AF90" s="73">
        <v>30</v>
      </c>
      <c r="AG90" s="73">
        <v>31</v>
      </c>
      <c r="AH90" s="88" t="s">
        <v>144</v>
      </c>
    </row>
    <row r="91" spans="1:34" ht="15">
      <c r="A91" s="414" t="s">
        <v>145</v>
      </c>
      <c r="B91" s="162">
        <f t="shared" ref="B91:B102" si="17">+AH91</f>
        <v>0</v>
      </c>
      <c r="C91" s="188" t="s">
        <v>311</v>
      </c>
      <c r="D91" s="188" t="s">
        <v>311</v>
      </c>
      <c r="E91" s="188" t="s">
        <v>311</v>
      </c>
      <c r="F91" s="188" t="s">
        <v>311</v>
      </c>
      <c r="G91" s="188" t="s">
        <v>311</v>
      </c>
      <c r="H91" s="188" t="s">
        <v>311</v>
      </c>
      <c r="I91" s="188" t="s">
        <v>311</v>
      </c>
      <c r="J91" s="306"/>
      <c r="K91" s="306"/>
      <c r="L91" s="306"/>
      <c r="M91" s="306"/>
      <c r="N91" s="306"/>
      <c r="O91" s="306"/>
      <c r="P91" s="306"/>
      <c r="Q91" s="306"/>
      <c r="R91" s="306"/>
      <c r="S91" s="306"/>
      <c r="T91" s="306"/>
      <c r="U91" s="306"/>
      <c r="V91" s="306"/>
      <c r="W91" s="306"/>
      <c r="X91" s="306"/>
      <c r="Y91" s="306"/>
      <c r="Z91" s="306"/>
      <c r="AA91" s="306"/>
      <c r="AB91" s="306"/>
      <c r="AC91" s="306"/>
      <c r="AD91" s="306"/>
      <c r="AE91" s="306"/>
      <c r="AF91" s="306"/>
      <c r="AG91" s="306"/>
      <c r="AH91" s="107">
        <f>SUM(C91:AG91)</f>
        <v>0</v>
      </c>
    </row>
    <row r="92" spans="1:34" ht="15">
      <c r="A92" s="414" t="s">
        <v>146</v>
      </c>
      <c r="B92" s="162">
        <f t="shared" si="17"/>
        <v>2079.23</v>
      </c>
      <c r="C92" s="306"/>
      <c r="D92" s="306"/>
      <c r="E92" s="306"/>
      <c r="F92" s="306"/>
      <c r="G92" s="306"/>
      <c r="H92" s="306"/>
      <c r="I92" s="306"/>
      <c r="J92" s="481">
        <v>96.789999999999992</v>
      </c>
      <c r="K92" s="493">
        <v>119.14</v>
      </c>
      <c r="L92" s="306">
        <v>68.400000000000006</v>
      </c>
      <c r="M92" s="306"/>
      <c r="N92" s="306">
        <v>160.99</v>
      </c>
      <c r="O92" s="306">
        <v>70.95</v>
      </c>
      <c r="P92" s="306">
        <v>85.98</v>
      </c>
      <c r="Q92" s="306">
        <v>163.63999999999999</v>
      </c>
      <c r="R92" s="306">
        <v>134.86000000000001</v>
      </c>
      <c r="S92" s="306">
        <v>63.19</v>
      </c>
      <c r="T92" s="306">
        <v>69.069999999999993</v>
      </c>
      <c r="U92" s="306">
        <v>131.77000000000001</v>
      </c>
      <c r="V92" s="306">
        <v>40.380000000000003</v>
      </c>
      <c r="W92" s="306">
        <v>60.68</v>
      </c>
      <c r="X92" s="306">
        <v>179.56</v>
      </c>
      <c r="Y92" s="306">
        <v>185.11</v>
      </c>
      <c r="Z92" s="306">
        <v>103.42</v>
      </c>
      <c r="AA92" s="306">
        <v>135.51</v>
      </c>
      <c r="AB92" s="306">
        <v>66.569999999999993</v>
      </c>
      <c r="AC92" s="306"/>
      <c r="AD92" s="306"/>
      <c r="AE92" s="306">
        <v>143.22</v>
      </c>
      <c r="AF92" s="306"/>
      <c r="AG92" s="306"/>
      <c r="AH92" s="107">
        <f>SUM(C92:AG92)</f>
        <v>2079.23</v>
      </c>
    </row>
    <row r="93" spans="1:34" ht="15">
      <c r="A93" s="414" t="s">
        <v>147</v>
      </c>
      <c r="B93" s="162">
        <f t="shared" si="17"/>
        <v>1319.4000000000003</v>
      </c>
      <c r="C93" s="306">
        <v>134.03</v>
      </c>
      <c r="D93" s="306">
        <v>169.03</v>
      </c>
      <c r="E93" s="306">
        <v>243.84</v>
      </c>
      <c r="F93" s="306">
        <v>53.26</v>
      </c>
      <c r="G93" s="306">
        <v>134.91</v>
      </c>
      <c r="H93" s="315">
        <v>166.25</v>
      </c>
      <c r="I93" s="315"/>
      <c r="J93" s="492">
        <v>65.86</v>
      </c>
      <c r="K93" s="315"/>
      <c r="L93" s="315"/>
      <c r="M93" s="315">
        <v>14.58</v>
      </c>
      <c r="N93" s="315">
        <v>59.66</v>
      </c>
      <c r="O93" s="315">
        <v>53.25</v>
      </c>
      <c r="P93" s="315">
        <v>55.63</v>
      </c>
      <c r="Q93" s="315">
        <v>57.44</v>
      </c>
      <c r="R93" s="315">
        <v>111.66</v>
      </c>
      <c r="S93" s="315"/>
      <c r="T93" s="315"/>
      <c r="U93" s="315"/>
      <c r="V93" s="315"/>
      <c r="W93" s="315"/>
      <c r="X93" s="315"/>
      <c r="Y93" s="315"/>
      <c r="Z93" s="315"/>
      <c r="AA93" s="315"/>
      <c r="AB93" s="315"/>
      <c r="AC93" s="188" t="s">
        <v>311</v>
      </c>
      <c r="AD93" s="188" t="s">
        <v>311</v>
      </c>
      <c r="AE93" s="188" t="s">
        <v>311</v>
      </c>
      <c r="AF93" s="188" t="s">
        <v>311</v>
      </c>
      <c r="AG93" s="188" t="s">
        <v>311</v>
      </c>
      <c r="AH93" s="107">
        <f>SUM(C93:AG93)</f>
        <v>1319.4000000000003</v>
      </c>
    </row>
    <row r="94" spans="1:34" ht="15">
      <c r="A94" s="414" t="s">
        <v>148</v>
      </c>
      <c r="B94" s="162">
        <f t="shared" si="17"/>
        <v>252.27999999999997</v>
      </c>
      <c r="C94" s="188" t="s">
        <v>311</v>
      </c>
      <c r="D94" s="188" t="s">
        <v>311</v>
      </c>
      <c r="E94" s="188" t="s">
        <v>311</v>
      </c>
      <c r="F94" s="188" t="s">
        <v>311</v>
      </c>
      <c r="G94" s="188" t="s">
        <v>314</v>
      </c>
      <c r="H94" s="188" t="s">
        <v>311</v>
      </c>
      <c r="I94" s="188" t="s">
        <v>311</v>
      </c>
      <c r="J94" s="188" t="s">
        <v>311</v>
      </c>
      <c r="K94" s="188" t="s">
        <v>314</v>
      </c>
      <c r="L94" s="107"/>
      <c r="M94" s="107"/>
      <c r="N94" s="107"/>
      <c r="O94" s="107"/>
      <c r="P94" s="107"/>
      <c r="Q94" s="107"/>
      <c r="R94" s="107"/>
      <c r="S94" s="107"/>
      <c r="T94" s="107"/>
      <c r="U94" s="107"/>
      <c r="V94" s="107"/>
      <c r="W94" s="107"/>
      <c r="X94" s="107"/>
      <c r="Y94" s="107"/>
      <c r="Z94" s="107"/>
      <c r="AA94" s="107">
        <v>54.73</v>
      </c>
      <c r="AB94" s="107">
        <f>69.25+58.75</f>
        <v>128</v>
      </c>
      <c r="AC94" s="107">
        <v>69.55</v>
      </c>
      <c r="AD94" s="107"/>
      <c r="AE94" s="107"/>
      <c r="AF94" s="107"/>
      <c r="AG94" s="107"/>
      <c r="AH94" s="107">
        <f>SUM(C94:AG94)</f>
        <v>252.27999999999997</v>
      </c>
    </row>
    <row r="95" spans="1:34" ht="15">
      <c r="A95" s="375" t="s">
        <v>149</v>
      </c>
      <c r="B95" s="162">
        <f t="shared" si="17"/>
        <v>1343.354</v>
      </c>
      <c r="C95" s="103"/>
      <c r="D95" s="53"/>
      <c r="E95" s="53"/>
      <c r="F95" s="53"/>
      <c r="G95" s="53">
        <v>236.45</v>
      </c>
      <c r="H95" s="53">
        <v>141.72</v>
      </c>
      <c r="I95" s="53"/>
      <c r="J95" s="107">
        <v>131.49</v>
      </c>
      <c r="K95" s="107">
        <v>78.41</v>
      </c>
      <c r="L95" s="107">
        <v>82.68</v>
      </c>
      <c r="M95" s="107"/>
      <c r="N95" s="107">
        <v>152.44999999999999</v>
      </c>
      <c r="O95" s="107">
        <v>87.98</v>
      </c>
      <c r="P95" s="107"/>
      <c r="Q95" s="107"/>
      <c r="R95" s="107"/>
      <c r="S95" s="107"/>
      <c r="T95" s="107"/>
      <c r="U95" s="107"/>
      <c r="V95" s="107">
        <v>47.21</v>
      </c>
      <c r="W95" s="107">
        <v>172.42</v>
      </c>
      <c r="X95" s="107"/>
      <c r="Y95" s="107"/>
      <c r="Z95" s="107"/>
      <c r="AA95" s="107">
        <v>14.85</v>
      </c>
      <c r="AB95" s="107"/>
      <c r="AC95" s="107"/>
      <c r="AD95" s="107"/>
      <c r="AE95" s="107"/>
      <c r="AF95" s="107"/>
      <c r="AG95" s="107">
        <v>197.69399999999999</v>
      </c>
      <c r="AH95" s="107">
        <f t="shared" ref="AH95:AH102" si="18">SUM(C95:AG95)</f>
        <v>1343.354</v>
      </c>
    </row>
    <row r="96" spans="1:34" ht="15">
      <c r="A96" s="375" t="s">
        <v>150</v>
      </c>
      <c r="B96" s="162">
        <f t="shared" si="17"/>
        <v>61.970000000000006</v>
      </c>
      <c r="C96" s="100"/>
      <c r="D96" s="107"/>
      <c r="E96" s="107">
        <v>46.09</v>
      </c>
      <c r="F96" s="107">
        <v>15.88</v>
      </c>
      <c r="G96" s="107"/>
      <c r="H96" s="188" t="s">
        <v>162</v>
      </c>
      <c r="I96" s="188" t="s">
        <v>162</v>
      </c>
      <c r="J96" s="188" t="s">
        <v>162</v>
      </c>
      <c r="K96" s="188" t="s">
        <v>162</v>
      </c>
      <c r="L96" s="188" t="s">
        <v>162</v>
      </c>
      <c r="M96" s="188" t="s">
        <v>162</v>
      </c>
      <c r="N96" s="188" t="s">
        <v>162</v>
      </c>
      <c r="O96" s="188" t="s">
        <v>162</v>
      </c>
      <c r="P96" s="188" t="s">
        <v>162</v>
      </c>
      <c r="Q96" s="188" t="s">
        <v>162</v>
      </c>
      <c r="R96" s="188" t="s">
        <v>162</v>
      </c>
      <c r="S96" s="188" t="s">
        <v>162</v>
      </c>
      <c r="T96" s="188" t="s">
        <v>162</v>
      </c>
      <c r="U96" s="188" t="s">
        <v>162</v>
      </c>
      <c r="V96" s="188" t="s">
        <v>162</v>
      </c>
      <c r="W96" s="188" t="s">
        <v>162</v>
      </c>
      <c r="X96" s="188" t="s">
        <v>162</v>
      </c>
      <c r="Y96" s="107"/>
      <c r="Z96" s="107"/>
      <c r="AA96" s="107"/>
      <c r="AB96" s="107"/>
      <c r="AC96" s="107"/>
      <c r="AD96" s="107"/>
      <c r="AE96" s="107"/>
      <c r="AF96" s="107"/>
      <c r="AG96" s="107"/>
      <c r="AH96" s="107">
        <f t="shared" si="18"/>
        <v>61.970000000000006</v>
      </c>
    </row>
    <row r="97" spans="1:34" ht="15">
      <c r="A97" s="375" t="s">
        <v>151</v>
      </c>
      <c r="B97" s="162">
        <f t="shared" si="17"/>
        <v>7.82</v>
      </c>
      <c r="C97" s="103"/>
      <c r="D97" s="107"/>
      <c r="E97" s="107"/>
      <c r="F97" s="107"/>
      <c r="G97" s="53"/>
      <c r="H97" s="306"/>
      <c r="I97" s="306"/>
      <c r="J97" s="306"/>
      <c r="K97" s="306"/>
      <c r="L97" s="306"/>
      <c r="M97" s="306"/>
      <c r="N97" s="306"/>
      <c r="O97" s="306"/>
      <c r="P97" s="306"/>
      <c r="Q97" s="306"/>
      <c r="R97" s="306"/>
      <c r="S97" s="306"/>
      <c r="T97" s="306"/>
      <c r="U97" s="306"/>
      <c r="V97" s="306"/>
      <c r="W97" s="306"/>
      <c r="X97" s="306"/>
      <c r="Y97" s="107"/>
      <c r="Z97" s="107"/>
      <c r="AA97" s="107"/>
      <c r="AB97" s="107"/>
      <c r="AC97" s="107">
        <v>7.82</v>
      </c>
      <c r="AD97" s="107"/>
      <c r="AE97" s="107"/>
      <c r="AF97" s="107"/>
      <c r="AG97" s="107"/>
      <c r="AH97" s="107">
        <f t="shared" si="18"/>
        <v>7.82</v>
      </c>
    </row>
    <row r="98" spans="1:34" ht="15">
      <c r="A98" s="375" t="s">
        <v>152</v>
      </c>
      <c r="B98" s="162">
        <f t="shared" si="17"/>
        <v>97.88000000000001</v>
      </c>
      <c r="C98" s="103"/>
      <c r="D98" s="53"/>
      <c r="E98" s="53"/>
      <c r="F98" s="53">
        <v>2.2000000000000002</v>
      </c>
      <c r="G98" s="53">
        <v>95.68</v>
      </c>
      <c r="H98" s="1899"/>
      <c r="I98" s="306"/>
      <c r="J98" s="188" t="s">
        <v>318</v>
      </c>
      <c r="K98" s="188" t="s">
        <v>318</v>
      </c>
      <c r="L98" s="188" t="s">
        <v>318</v>
      </c>
      <c r="M98" s="188" t="s">
        <v>318</v>
      </c>
      <c r="N98" s="188" t="s">
        <v>318</v>
      </c>
      <c r="O98" s="188" t="s">
        <v>318</v>
      </c>
      <c r="P98" s="188" t="s">
        <v>318</v>
      </c>
      <c r="Q98" s="188" t="s">
        <v>318</v>
      </c>
      <c r="R98" s="188" t="s">
        <v>318</v>
      </c>
      <c r="S98" s="188" t="s">
        <v>318</v>
      </c>
      <c r="T98" s="188" t="s">
        <v>318</v>
      </c>
      <c r="U98" s="188" t="s">
        <v>318</v>
      </c>
      <c r="V98" s="188" t="s">
        <v>318</v>
      </c>
      <c r="W98" s="188" t="s">
        <v>318</v>
      </c>
      <c r="X98" s="188" t="s">
        <v>318</v>
      </c>
      <c r="Y98" s="188" t="s">
        <v>318</v>
      </c>
      <c r="Z98" s="188" t="s">
        <v>318</v>
      </c>
      <c r="AA98" s="188" t="s">
        <v>318</v>
      </c>
      <c r="AB98" s="188" t="s">
        <v>318</v>
      </c>
      <c r="AC98" s="188" t="s">
        <v>318</v>
      </c>
      <c r="AD98" s="188" t="s">
        <v>318</v>
      </c>
      <c r="AE98" s="188" t="s">
        <v>318</v>
      </c>
      <c r="AF98" s="188" t="s">
        <v>318</v>
      </c>
      <c r="AG98" s="188" t="s">
        <v>318</v>
      </c>
      <c r="AH98" s="107">
        <f t="shared" si="18"/>
        <v>97.88000000000001</v>
      </c>
    </row>
    <row r="99" spans="1:34" ht="15">
      <c r="A99" s="363" t="s">
        <v>153</v>
      </c>
      <c r="B99" s="162">
        <f t="shared" si="17"/>
        <v>0</v>
      </c>
      <c r="C99" s="188" t="s">
        <v>318</v>
      </c>
      <c r="D99" s="188" t="s">
        <v>318</v>
      </c>
      <c r="E99" s="188" t="s">
        <v>318</v>
      </c>
      <c r="F99" s="188" t="s">
        <v>318</v>
      </c>
      <c r="G99" s="188" t="s">
        <v>318</v>
      </c>
      <c r="H99" s="188" t="s">
        <v>318</v>
      </c>
      <c r="I99" s="188" t="s">
        <v>318</v>
      </c>
      <c r="J99" s="188" t="s">
        <v>318</v>
      </c>
      <c r="K99" s="188" t="s">
        <v>318</v>
      </c>
      <c r="L99" s="188" t="s">
        <v>318</v>
      </c>
      <c r="M99" s="188" t="s">
        <v>318</v>
      </c>
      <c r="N99" s="188" t="s">
        <v>318</v>
      </c>
      <c r="O99" s="188" t="s">
        <v>318</v>
      </c>
      <c r="P99" s="188" t="s">
        <v>318</v>
      </c>
      <c r="Q99" s="188" t="s">
        <v>318</v>
      </c>
      <c r="R99" s="188" t="s">
        <v>318</v>
      </c>
      <c r="S99" s="188" t="s">
        <v>318</v>
      </c>
      <c r="T99" s="188" t="s">
        <v>318</v>
      </c>
      <c r="U99" s="188" t="s">
        <v>318</v>
      </c>
      <c r="V99" s="188" t="s">
        <v>318</v>
      </c>
      <c r="W99" s="188" t="s">
        <v>318</v>
      </c>
      <c r="X99" s="188" t="s">
        <v>318</v>
      </c>
      <c r="Y99" s="188" t="s">
        <v>318</v>
      </c>
      <c r="Z99" s="188" t="s">
        <v>318</v>
      </c>
      <c r="AA99" s="188" t="s">
        <v>318</v>
      </c>
      <c r="AB99" s="188" t="s">
        <v>318</v>
      </c>
      <c r="AC99" s="188" t="s">
        <v>318</v>
      </c>
      <c r="AD99" s="188" t="s">
        <v>318</v>
      </c>
      <c r="AE99" s="188" t="s">
        <v>318</v>
      </c>
      <c r="AF99" s="188" t="s">
        <v>318</v>
      </c>
      <c r="AG99" s="188" t="s">
        <v>318</v>
      </c>
      <c r="AH99" s="107">
        <f t="shared" si="18"/>
        <v>0</v>
      </c>
    </row>
    <row r="100" spans="1:34" ht="15">
      <c r="A100" s="363" t="s">
        <v>154</v>
      </c>
      <c r="B100" s="162">
        <f t="shared" si="17"/>
        <v>231.75000000000003</v>
      </c>
      <c r="C100" s="188" t="s">
        <v>318</v>
      </c>
      <c r="D100" s="188" t="s">
        <v>318</v>
      </c>
      <c r="E100" s="188" t="s">
        <v>318</v>
      </c>
      <c r="F100" s="188" t="s">
        <v>318</v>
      </c>
      <c r="G100" s="188" t="s">
        <v>318</v>
      </c>
      <c r="H100" s="188" t="s">
        <v>318</v>
      </c>
      <c r="I100" s="188" t="s">
        <v>318</v>
      </c>
      <c r="J100" s="188" t="s">
        <v>318</v>
      </c>
      <c r="K100" s="188" t="s">
        <v>318</v>
      </c>
      <c r="L100" s="188" t="s">
        <v>318</v>
      </c>
      <c r="M100" s="188" t="s">
        <v>318</v>
      </c>
      <c r="N100" s="188" t="s">
        <v>318</v>
      </c>
      <c r="O100" s="188" t="s">
        <v>318</v>
      </c>
      <c r="P100" s="188" t="s">
        <v>318</v>
      </c>
      <c r="Q100" s="188" t="s">
        <v>318</v>
      </c>
      <c r="R100" s="188" t="s">
        <v>318</v>
      </c>
      <c r="S100" s="188" t="s">
        <v>318</v>
      </c>
      <c r="T100" s="188" t="s">
        <v>318</v>
      </c>
      <c r="U100" s="188" t="s">
        <v>318</v>
      </c>
      <c r="V100" s="188" t="s">
        <v>318</v>
      </c>
      <c r="W100" s="188" t="s">
        <v>318</v>
      </c>
      <c r="X100" s="53"/>
      <c r="Y100" s="53"/>
      <c r="Z100" s="53">
        <v>66.430000000000007</v>
      </c>
      <c r="AA100" s="53"/>
      <c r="AB100" s="53"/>
      <c r="AC100" s="53">
        <v>65.790000000000006</v>
      </c>
      <c r="AD100" s="53">
        <v>34.46</v>
      </c>
      <c r="AE100" s="107">
        <v>25.41</v>
      </c>
      <c r="AF100" s="53">
        <v>39.659999999999997</v>
      </c>
      <c r="AG100" s="107"/>
      <c r="AH100" s="107">
        <f t="shared" si="18"/>
        <v>231.75000000000003</v>
      </c>
    </row>
    <row r="101" spans="1:34" ht="15">
      <c r="A101" s="363" t="s">
        <v>155</v>
      </c>
      <c r="B101" s="162">
        <f t="shared" si="17"/>
        <v>1001.144</v>
      </c>
      <c r="C101" s="103">
        <v>193.87</v>
      </c>
      <c r="D101" s="53">
        <v>39.223999999999997</v>
      </c>
      <c r="E101" s="53">
        <v>15.35</v>
      </c>
      <c r="F101" s="53">
        <v>39.659999999999997</v>
      </c>
      <c r="G101" s="53"/>
      <c r="H101" s="53">
        <v>98.75</v>
      </c>
      <c r="I101" s="53"/>
      <c r="J101" s="53"/>
      <c r="K101" s="53">
        <v>124.24</v>
      </c>
      <c r="L101" s="53">
        <v>107.53</v>
      </c>
      <c r="M101" s="53">
        <v>124.94</v>
      </c>
      <c r="N101" s="53">
        <v>7.85</v>
      </c>
      <c r="O101" s="53"/>
      <c r="P101" s="53"/>
      <c r="Q101" s="53"/>
      <c r="R101" s="53">
        <v>68.03</v>
      </c>
      <c r="S101" s="53"/>
      <c r="T101" s="53"/>
      <c r="U101" s="53"/>
      <c r="V101" s="53"/>
      <c r="W101" s="53">
        <v>29.09</v>
      </c>
      <c r="X101" s="53">
        <v>49.05</v>
      </c>
      <c r="Y101" s="53"/>
      <c r="Z101" s="53">
        <v>79.13</v>
      </c>
      <c r="AA101" s="53">
        <v>24.43</v>
      </c>
      <c r="AB101" s="53"/>
      <c r="AC101" s="53"/>
      <c r="AD101" s="53"/>
      <c r="AE101" s="107"/>
      <c r="AF101" s="53"/>
      <c r="AG101" s="107"/>
      <c r="AH101" s="107">
        <f t="shared" si="18"/>
        <v>1001.144</v>
      </c>
    </row>
    <row r="102" spans="1:34" ht="15">
      <c r="A102" s="363" t="s">
        <v>156</v>
      </c>
      <c r="B102" s="162">
        <f t="shared" si="17"/>
        <v>18.22</v>
      </c>
      <c r="C102" s="103"/>
      <c r="D102" s="53"/>
      <c r="E102" s="53"/>
      <c r="F102" s="53"/>
      <c r="G102" s="53"/>
      <c r="H102" s="53"/>
      <c r="I102" s="53"/>
      <c r="J102" s="53"/>
      <c r="K102" s="53"/>
      <c r="L102" s="53"/>
      <c r="M102" s="53"/>
      <c r="N102" s="53"/>
      <c r="O102" s="53"/>
      <c r="P102" s="3027">
        <v>0</v>
      </c>
      <c r="Q102" s="3027">
        <v>0</v>
      </c>
      <c r="R102" s="3027">
        <v>0</v>
      </c>
      <c r="S102" s="3027">
        <v>0</v>
      </c>
      <c r="T102" s="3027">
        <v>0</v>
      </c>
      <c r="U102" s="3027">
        <v>0</v>
      </c>
      <c r="V102" s="3027">
        <v>0</v>
      </c>
      <c r="W102" s="3027">
        <v>0</v>
      </c>
      <c r="X102" s="3027">
        <v>18.22</v>
      </c>
      <c r="Y102" s="3027">
        <v>0</v>
      </c>
      <c r="Z102" s="3027">
        <v>0</v>
      </c>
      <c r="AA102" s="3027">
        <v>0</v>
      </c>
      <c r="AB102" s="3027">
        <v>0</v>
      </c>
      <c r="AC102" s="3027">
        <v>0</v>
      </c>
      <c r="AD102" s="3027">
        <v>0</v>
      </c>
      <c r="AE102" s="3027">
        <v>0</v>
      </c>
      <c r="AF102" s="3027">
        <v>0</v>
      </c>
      <c r="AG102" s="3027">
        <v>0</v>
      </c>
      <c r="AH102" s="107">
        <f t="shared" si="18"/>
        <v>18.22</v>
      </c>
    </row>
    <row r="103" spans="1:34" ht="15">
      <c r="A103" s="199" t="s">
        <v>144</v>
      </c>
      <c r="B103" s="327">
        <f>SUM(B91:B102)</f>
        <v>6413.0480000000007</v>
      </c>
      <c r="C103" s="100">
        <f>SUM(C91:C101)</f>
        <v>327.9</v>
      </c>
      <c r="D103" s="107">
        <f>SUM(D91:D101)</f>
        <v>208.25399999999999</v>
      </c>
      <c r="E103" s="107">
        <v>0</v>
      </c>
      <c r="F103" s="107">
        <f t="shared" ref="F103:AC103" si="19">SUM(F91:F101)</f>
        <v>111</v>
      </c>
      <c r="G103" s="107">
        <f t="shared" si="19"/>
        <v>467.04</v>
      </c>
      <c r="H103" s="107">
        <f t="shared" si="19"/>
        <v>406.72</v>
      </c>
      <c r="I103" s="107">
        <f t="shared" si="19"/>
        <v>0</v>
      </c>
      <c r="J103" s="107">
        <f t="shared" si="19"/>
        <v>294.14</v>
      </c>
      <c r="K103" s="107">
        <f t="shared" si="19"/>
        <v>321.79000000000002</v>
      </c>
      <c r="L103" s="107">
        <f t="shared" si="19"/>
        <v>258.61</v>
      </c>
      <c r="M103" s="107">
        <f t="shared" si="19"/>
        <v>139.52000000000001</v>
      </c>
      <c r="N103" s="107">
        <f t="shared" si="19"/>
        <v>380.95000000000005</v>
      </c>
      <c r="O103" s="107">
        <f t="shared" si="19"/>
        <v>212.18</v>
      </c>
      <c r="P103" s="107">
        <f t="shared" si="19"/>
        <v>141.61000000000001</v>
      </c>
      <c r="Q103" s="107">
        <f t="shared" si="19"/>
        <v>221.07999999999998</v>
      </c>
      <c r="R103" s="107">
        <f t="shared" si="19"/>
        <v>314.55</v>
      </c>
      <c r="S103" s="107">
        <f t="shared" si="19"/>
        <v>63.19</v>
      </c>
      <c r="T103" s="107">
        <f t="shared" si="19"/>
        <v>69.069999999999993</v>
      </c>
      <c r="U103" s="107">
        <f t="shared" si="19"/>
        <v>131.77000000000001</v>
      </c>
      <c r="V103" s="107">
        <f t="shared" si="19"/>
        <v>87.59</v>
      </c>
      <c r="W103" s="107">
        <f t="shared" si="19"/>
        <v>262.19</v>
      </c>
      <c r="X103" s="107">
        <f t="shared" si="19"/>
        <v>228.61</v>
      </c>
      <c r="Y103" s="107">
        <f t="shared" si="19"/>
        <v>185.11</v>
      </c>
      <c r="Z103" s="107">
        <f t="shared" si="19"/>
        <v>248.98000000000002</v>
      </c>
      <c r="AA103" s="107">
        <f t="shared" si="19"/>
        <v>229.51999999999998</v>
      </c>
      <c r="AB103" s="107">
        <f t="shared" si="19"/>
        <v>194.57</v>
      </c>
      <c r="AC103" s="107">
        <f t="shared" si="19"/>
        <v>143.16000000000003</v>
      </c>
      <c r="AD103" s="107">
        <v>0</v>
      </c>
      <c r="AE103" s="107">
        <f>SUM(AE91:AE101)</f>
        <v>168.63</v>
      </c>
      <c r="AF103" s="107">
        <f>SUM(AF91:AF101)</f>
        <v>39.659999999999997</v>
      </c>
      <c r="AG103" s="107">
        <f>SUM(AG91:AG101)</f>
        <v>197.69399999999999</v>
      </c>
      <c r="AH103" s="100">
        <f>SUM(AH91:AH101)</f>
        <v>6394.8280000000004</v>
      </c>
    </row>
    <row r="104" spans="1:34" ht="5.0999999999999996" customHeight="1">
      <c r="A104" s="104"/>
      <c r="B104" s="105"/>
      <c r="C104" s="1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c r="AD104" s="106"/>
      <c r="AE104" s="106"/>
      <c r="AF104" s="106"/>
      <c r="AG104" s="106"/>
      <c r="AH104" s="16"/>
    </row>
    <row r="105" spans="1:34" ht="15">
      <c r="A105" s="3854" t="s">
        <v>117</v>
      </c>
      <c r="B105" s="3855"/>
      <c r="C105" s="3855"/>
      <c r="D105" s="3855"/>
      <c r="E105" s="3855"/>
      <c r="F105" s="3855"/>
      <c r="G105" s="3855"/>
      <c r="H105" s="3856"/>
      <c r="I105" s="3649"/>
      <c r="J105" s="96"/>
      <c r="K105" s="96"/>
      <c r="L105" s="96"/>
      <c r="M105" s="96"/>
      <c r="N105" s="96"/>
      <c r="O105" s="96"/>
      <c r="P105" s="96"/>
      <c r="Q105" s="96"/>
      <c r="R105" s="96"/>
      <c r="S105" s="14"/>
      <c r="T105" s="14"/>
      <c r="U105" s="14"/>
      <c r="V105" s="14"/>
      <c r="W105" s="14"/>
      <c r="X105" s="14"/>
      <c r="Y105" s="14"/>
      <c r="Z105" s="14"/>
      <c r="AA105" s="14"/>
      <c r="AB105" s="14"/>
      <c r="AC105" s="14"/>
      <c r="AD105" s="14"/>
      <c r="AE105" s="14"/>
      <c r="AF105" s="14"/>
      <c r="AG105" s="14"/>
      <c r="AH105" s="14"/>
    </row>
    <row r="106" spans="1:34" ht="15">
      <c r="A106" s="8" t="s">
        <v>142</v>
      </c>
      <c r="B106" s="8" t="s">
        <v>143</v>
      </c>
      <c r="C106" s="2907">
        <v>1</v>
      </c>
      <c r="D106" s="73">
        <v>2</v>
      </c>
      <c r="E106" s="73">
        <v>3</v>
      </c>
      <c r="F106" s="73">
        <v>4</v>
      </c>
      <c r="G106" s="73">
        <v>5</v>
      </c>
      <c r="H106" s="73">
        <v>6</v>
      </c>
      <c r="I106" s="73">
        <v>7</v>
      </c>
      <c r="J106" s="73">
        <v>8</v>
      </c>
      <c r="K106" s="73">
        <v>9</v>
      </c>
      <c r="L106" s="73">
        <v>10</v>
      </c>
      <c r="M106" s="73">
        <v>11</v>
      </c>
      <c r="N106" s="73">
        <v>12</v>
      </c>
      <c r="O106" s="73">
        <v>13</v>
      </c>
      <c r="P106" s="73">
        <v>14</v>
      </c>
      <c r="Q106" s="73">
        <v>15</v>
      </c>
      <c r="R106" s="73">
        <v>16</v>
      </c>
      <c r="S106" s="73">
        <v>17</v>
      </c>
      <c r="T106" s="73">
        <v>18</v>
      </c>
      <c r="U106" s="73">
        <v>19</v>
      </c>
      <c r="V106" s="73">
        <v>20</v>
      </c>
      <c r="W106" s="73">
        <v>21</v>
      </c>
      <c r="X106" s="73">
        <v>22</v>
      </c>
      <c r="Y106" s="73">
        <v>23</v>
      </c>
      <c r="Z106" s="73">
        <v>24</v>
      </c>
      <c r="AA106" s="73">
        <v>25</v>
      </c>
      <c r="AB106" s="73">
        <v>26</v>
      </c>
      <c r="AC106" s="73">
        <v>27</v>
      </c>
      <c r="AD106" s="73">
        <v>28</v>
      </c>
      <c r="AE106" s="73">
        <v>29</v>
      </c>
      <c r="AF106" s="73">
        <v>30</v>
      </c>
      <c r="AG106" s="73">
        <v>31</v>
      </c>
      <c r="AH106" s="88" t="s">
        <v>144</v>
      </c>
    </row>
    <row r="107" spans="1:34" ht="15">
      <c r="A107" s="414" t="s">
        <v>145</v>
      </c>
      <c r="B107" s="53">
        <f t="shared" ref="B107:B118" si="20">+AH107</f>
        <v>0</v>
      </c>
      <c r="C107" s="188" t="s">
        <v>311</v>
      </c>
      <c r="D107" s="188" t="s">
        <v>311</v>
      </c>
      <c r="E107" s="188" t="s">
        <v>311</v>
      </c>
      <c r="F107" s="188" t="s">
        <v>311</v>
      </c>
      <c r="G107" s="188" t="s">
        <v>311</v>
      </c>
      <c r="H107" s="188" t="s">
        <v>311</v>
      </c>
      <c r="I107" s="188" t="s">
        <v>311</v>
      </c>
      <c r="J107" s="306"/>
      <c r="K107" s="306"/>
      <c r="L107" s="306"/>
      <c r="M107" s="306"/>
      <c r="N107" s="306"/>
      <c r="O107" s="306"/>
      <c r="P107" s="306"/>
      <c r="Q107" s="306"/>
      <c r="R107" s="306"/>
      <c r="S107" s="306"/>
      <c r="T107" s="306"/>
      <c r="U107" s="306"/>
      <c r="V107" s="306"/>
      <c r="W107" s="306"/>
      <c r="X107" s="306"/>
      <c r="Y107" s="306"/>
      <c r="Z107" s="306"/>
      <c r="AA107" s="306"/>
      <c r="AB107" s="306"/>
      <c r="AC107" s="306"/>
      <c r="AD107" s="306"/>
      <c r="AE107" s="306"/>
      <c r="AF107" s="306"/>
      <c r="AG107" s="306"/>
      <c r="AH107" s="107">
        <f>SUM(C107:AG107)</f>
        <v>0</v>
      </c>
    </row>
    <row r="108" spans="1:34" ht="15">
      <c r="A108" s="414" t="s">
        <v>146</v>
      </c>
      <c r="B108" s="53">
        <f t="shared" si="20"/>
        <v>0</v>
      </c>
      <c r="C108" s="306"/>
      <c r="D108" s="306"/>
      <c r="E108" s="306"/>
      <c r="F108" s="306"/>
      <c r="G108" s="306"/>
      <c r="H108" s="306"/>
      <c r="I108" s="306"/>
      <c r="J108" s="306"/>
      <c r="K108" s="306"/>
      <c r="L108" s="306"/>
      <c r="M108" s="306"/>
      <c r="N108" s="306"/>
      <c r="O108" s="306"/>
      <c r="P108" s="306"/>
      <c r="Q108" s="306"/>
      <c r="R108" s="306"/>
      <c r="S108" s="306"/>
      <c r="T108" s="306"/>
      <c r="U108" s="306"/>
      <c r="V108" s="306"/>
      <c r="W108" s="306"/>
      <c r="X108" s="306"/>
      <c r="Y108" s="306"/>
      <c r="Z108" s="306"/>
      <c r="AA108" s="306"/>
      <c r="AB108" s="306"/>
      <c r="AC108" s="306"/>
      <c r="AD108" s="306"/>
      <c r="AE108" s="306"/>
      <c r="AF108" s="306"/>
      <c r="AG108" s="306"/>
      <c r="AH108" s="107">
        <f>SUM(C108:AG108)</f>
        <v>0</v>
      </c>
    </row>
    <row r="109" spans="1:34" ht="15">
      <c r="A109" s="414" t="s">
        <v>147</v>
      </c>
      <c r="B109" s="53">
        <f t="shared" si="20"/>
        <v>256.92</v>
      </c>
      <c r="C109" s="306"/>
      <c r="D109" s="306"/>
      <c r="E109" s="306"/>
      <c r="F109" s="306"/>
      <c r="G109" s="306"/>
      <c r="H109" s="315"/>
      <c r="I109" s="315"/>
      <c r="J109" s="107"/>
      <c r="K109" s="107"/>
      <c r="L109" s="107"/>
      <c r="M109" s="107"/>
      <c r="N109" s="107"/>
      <c r="O109" s="107"/>
      <c r="P109" s="107"/>
      <c r="Q109" s="107"/>
      <c r="R109" s="107"/>
      <c r="S109" s="107"/>
      <c r="T109" s="107"/>
      <c r="U109" s="107"/>
      <c r="V109" s="107">
        <v>46.774999999999999</v>
      </c>
      <c r="W109" s="107"/>
      <c r="X109" s="107"/>
      <c r="Y109" s="107">
        <v>45.08</v>
      </c>
      <c r="Z109" s="107">
        <v>27.23</v>
      </c>
      <c r="AA109" s="107">
        <v>41.53</v>
      </c>
      <c r="AB109" s="107"/>
      <c r="AC109" s="188">
        <v>50.25</v>
      </c>
      <c r="AD109" s="188">
        <v>46.055</v>
      </c>
      <c r="AE109" s="188" t="s">
        <v>311</v>
      </c>
      <c r="AF109" s="188" t="s">
        <v>311</v>
      </c>
      <c r="AG109" s="188" t="s">
        <v>311</v>
      </c>
      <c r="AH109" s="107">
        <f>SUM(C109:AG109)</f>
        <v>256.92</v>
      </c>
    </row>
    <row r="110" spans="1:34" ht="15">
      <c r="A110" s="414" t="s">
        <v>148</v>
      </c>
      <c r="B110" s="53">
        <f t="shared" si="20"/>
        <v>628.16800000000001</v>
      </c>
      <c r="C110" s="188" t="s">
        <v>311</v>
      </c>
      <c r="D110" s="188" t="s">
        <v>311</v>
      </c>
      <c r="E110" s="188" t="s">
        <v>311</v>
      </c>
      <c r="F110" s="188" t="s">
        <v>311</v>
      </c>
      <c r="G110" s="188" t="s">
        <v>311</v>
      </c>
      <c r="H110" s="188" t="s">
        <v>311</v>
      </c>
      <c r="I110" s="188" t="s">
        <v>311</v>
      </c>
      <c r="J110" s="188" t="s">
        <v>311</v>
      </c>
      <c r="K110" s="188" t="s">
        <v>311</v>
      </c>
      <c r="L110" s="107">
        <v>50.094999999999999</v>
      </c>
      <c r="M110" s="107"/>
      <c r="N110" s="107">
        <v>53.98</v>
      </c>
      <c r="O110" s="107">
        <v>55.185000000000002</v>
      </c>
      <c r="P110" s="107">
        <v>51.085000000000001</v>
      </c>
      <c r="Q110" s="107"/>
      <c r="R110" s="107">
        <v>23.57</v>
      </c>
      <c r="S110" s="107">
        <v>71.123000000000005</v>
      </c>
      <c r="T110" s="107"/>
      <c r="U110" s="107">
        <v>28.754999999999999</v>
      </c>
      <c r="V110" s="107">
        <v>30.754999999999999</v>
      </c>
      <c r="W110" s="107">
        <v>53.39</v>
      </c>
      <c r="X110" s="107">
        <v>43.634999999999998</v>
      </c>
      <c r="Y110" s="107">
        <v>47.424999999999997</v>
      </c>
      <c r="Z110" s="107">
        <v>22.114999999999998</v>
      </c>
      <c r="AA110" s="107">
        <v>28.594999999999999</v>
      </c>
      <c r="AB110" s="107">
        <v>15.73</v>
      </c>
      <c r="AC110" s="107"/>
      <c r="AD110" s="107">
        <v>52.73</v>
      </c>
      <c r="AE110" s="107"/>
      <c r="AF110" s="107"/>
      <c r="AG110" s="107"/>
      <c r="AH110" s="107">
        <f t="shared" ref="AH110:AH118" si="21">SUM(C110:AG110)</f>
        <v>628.16800000000001</v>
      </c>
    </row>
    <row r="111" spans="1:34" ht="15">
      <c r="A111" s="375" t="s">
        <v>149</v>
      </c>
      <c r="B111" s="53">
        <f t="shared" si="20"/>
        <v>229.065</v>
      </c>
      <c r="C111" s="103"/>
      <c r="D111" s="53"/>
      <c r="E111" s="53"/>
      <c r="F111" s="53">
        <v>30.7</v>
      </c>
      <c r="G111" s="53">
        <v>30.7</v>
      </c>
      <c r="H111" s="53">
        <v>27.925000000000001</v>
      </c>
      <c r="I111" s="53"/>
      <c r="J111" s="107">
        <v>26.355</v>
      </c>
      <c r="K111" s="107">
        <v>21.88</v>
      </c>
      <c r="L111" s="107">
        <v>27.725000000000001</v>
      </c>
      <c r="M111" s="107"/>
      <c r="N111" s="107"/>
      <c r="O111" s="107"/>
      <c r="P111" s="107"/>
      <c r="Q111" s="107"/>
      <c r="R111" s="107"/>
      <c r="S111" s="107"/>
      <c r="T111" s="107"/>
      <c r="U111" s="107"/>
      <c r="V111" s="107"/>
      <c r="W111" s="107">
        <v>55.335000000000001</v>
      </c>
      <c r="X111" s="107">
        <v>8.4450000000000003</v>
      </c>
      <c r="Y111" s="107"/>
      <c r="Z111" s="107"/>
      <c r="AA111" s="107"/>
      <c r="AB111" s="107"/>
      <c r="AC111" s="107"/>
      <c r="AD111" s="107"/>
      <c r="AE111" s="107"/>
      <c r="AF111" s="107"/>
      <c r="AG111" s="107"/>
      <c r="AH111" s="107">
        <f t="shared" si="21"/>
        <v>229.065</v>
      </c>
    </row>
    <row r="112" spans="1:34" ht="15">
      <c r="A112" s="375" t="s">
        <v>150</v>
      </c>
      <c r="B112" s="53">
        <f t="shared" si="20"/>
        <v>0</v>
      </c>
      <c r="C112" s="100"/>
      <c r="D112" s="107"/>
      <c r="E112" s="107"/>
      <c r="F112" s="107"/>
      <c r="G112" s="107"/>
      <c r="H112" s="188" t="s">
        <v>162</v>
      </c>
      <c r="I112" s="188" t="s">
        <v>162</v>
      </c>
      <c r="J112" s="188" t="s">
        <v>162</v>
      </c>
      <c r="K112" s="188" t="s">
        <v>162</v>
      </c>
      <c r="L112" s="188" t="s">
        <v>162</v>
      </c>
      <c r="M112" s="188" t="s">
        <v>162</v>
      </c>
      <c r="N112" s="188" t="s">
        <v>162</v>
      </c>
      <c r="O112" s="188" t="s">
        <v>162</v>
      </c>
      <c r="P112" s="188" t="s">
        <v>162</v>
      </c>
      <c r="Q112" s="188" t="s">
        <v>162</v>
      </c>
      <c r="R112" s="188" t="s">
        <v>162</v>
      </c>
      <c r="S112" s="188" t="s">
        <v>162</v>
      </c>
      <c r="T112" s="188" t="s">
        <v>162</v>
      </c>
      <c r="U112" s="188" t="s">
        <v>162</v>
      </c>
      <c r="V112" s="188" t="s">
        <v>162</v>
      </c>
      <c r="W112" s="188" t="s">
        <v>162</v>
      </c>
      <c r="X112" s="188" t="s">
        <v>162</v>
      </c>
      <c r="Y112" s="107"/>
      <c r="Z112" s="107"/>
      <c r="AA112" s="107"/>
      <c r="AB112" s="107"/>
      <c r="AC112" s="107"/>
      <c r="AD112" s="107"/>
      <c r="AE112" s="107"/>
      <c r="AF112" s="107"/>
      <c r="AG112" s="107"/>
      <c r="AH112" s="107">
        <f t="shared" si="21"/>
        <v>0</v>
      </c>
    </row>
    <row r="113" spans="1:34" ht="15">
      <c r="A113" s="375" t="s">
        <v>151</v>
      </c>
      <c r="B113" s="53">
        <f t="shared" si="20"/>
        <v>0</v>
      </c>
      <c r="C113" s="103"/>
      <c r="D113" s="107"/>
      <c r="E113" s="107"/>
      <c r="F113" s="107"/>
      <c r="G113" s="53"/>
      <c r="H113" s="53"/>
      <c r="I113" s="53"/>
      <c r="J113" s="111"/>
      <c r="K113" s="111"/>
      <c r="L113" s="107"/>
      <c r="M113" s="107"/>
      <c r="N113" s="107"/>
      <c r="O113" s="107"/>
      <c r="P113" s="107"/>
      <c r="Q113" s="107"/>
      <c r="R113" s="107"/>
      <c r="S113" s="107"/>
      <c r="T113" s="107"/>
      <c r="U113" s="107"/>
      <c r="V113" s="107"/>
      <c r="W113" s="107"/>
      <c r="X113" s="107"/>
      <c r="Y113" s="107"/>
      <c r="Z113" s="107"/>
      <c r="AA113" s="107"/>
      <c r="AB113" s="107"/>
      <c r="AC113" s="107"/>
      <c r="AD113" s="107"/>
      <c r="AE113" s="107"/>
      <c r="AF113" s="107"/>
      <c r="AG113" s="107"/>
      <c r="AH113" s="107">
        <f t="shared" si="21"/>
        <v>0</v>
      </c>
    </row>
    <row r="114" spans="1:34" ht="15">
      <c r="A114" s="375" t="s">
        <v>152</v>
      </c>
      <c r="B114" s="53">
        <f t="shared" si="20"/>
        <v>0</v>
      </c>
      <c r="C114" s="103"/>
      <c r="D114" s="53"/>
      <c r="E114" s="53"/>
      <c r="F114" s="53"/>
      <c r="G114" s="53"/>
      <c r="H114" s="1899"/>
      <c r="I114" s="306"/>
      <c r="J114" s="188" t="s">
        <v>318</v>
      </c>
      <c r="K114" s="188" t="s">
        <v>318</v>
      </c>
      <c r="L114" s="188" t="s">
        <v>318</v>
      </c>
      <c r="M114" s="188" t="s">
        <v>318</v>
      </c>
      <c r="N114" s="188" t="s">
        <v>318</v>
      </c>
      <c r="O114" s="188" t="s">
        <v>318</v>
      </c>
      <c r="P114" s="188" t="s">
        <v>318</v>
      </c>
      <c r="Q114" s="188" t="s">
        <v>318</v>
      </c>
      <c r="R114" s="188" t="s">
        <v>318</v>
      </c>
      <c r="S114" s="188" t="s">
        <v>318</v>
      </c>
      <c r="T114" s="188" t="s">
        <v>318</v>
      </c>
      <c r="U114" s="188" t="s">
        <v>318</v>
      </c>
      <c r="V114" s="188" t="s">
        <v>318</v>
      </c>
      <c r="W114" s="188" t="s">
        <v>318</v>
      </c>
      <c r="X114" s="188" t="s">
        <v>318</v>
      </c>
      <c r="Y114" s="188" t="s">
        <v>318</v>
      </c>
      <c r="Z114" s="188" t="s">
        <v>318</v>
      </c>
      <c r="AA114" s="188" t="s">
        <v>318</v>
      </c>
      <c r="AB114" s="188" t="s">
        <v>318</v>
      </c>
      <c r="AC114" s="188" t="s">
        <v>318</v>
      </c>
      <c r="AD114" s="188" t="s">
        <v>318</v>
      </c>
      <c r="AE114" s="188" t="s">
        <v>318</v>
      </c>
      <c r="AF114" s="188" t="s">
        <v>318</v>
      </c>
      <c r="AG114" s="188" t="s">
        <v>318</v>
      </c>
      <c r="AH114" s="107">
        <f t="shared" si="21"/>
        <v>0</v>
      </c>
    </row>
    <row r="115" spans="1:34" ht="15">
      <c r="A115" s="363" t="s">
        <v>153</v>
      </c>
      <c r="B115" s="53">
        <f t="shared" si="20"/>
        <v>0</v>
      </c>
      <c r="C115" s="188" t="s">
        <v>318</v>
      </c>
      <c r="D115" s="188" t="s">
        <v>318</v>
      </c>
      <c r="E115" s="188" t="s">
        <v>318</v>
      </c>
      <c r="F115" s="188" t="s">
        <v>318</v>
      </c>
      <c r="G115" s="188" t="s">
        <v>318</v>
      </c>
      <c r="H115" s="188" t="s">
        <v>318</v>
      </c>
      <c r="I115" s="188" t="s">
        <v>318</v>
      </c>
      <c r="J115" s="188" t="s">
        <v>318</v>
      </c>
      <c r="K115" s="188" t="s">
        <v>318</v>
      </c>
      <c r="L115" s="188" t="s">
        <v>318</v>
      </c>
      <c r="M115" s="188" t="s">
        <v>318</v>
      </c>
      <c r="N115" s="188" t="s">
        <v>318</v>
      </c>
      <c r="O115" s="188" t="s">
        <v>318</v>
      </c>
      <c r="P115" s="188" t="s">
        <v>318</v>
      </c>
      <c r="Q115" s="188" t="s">
        <v>318</v>
      </c>
      <c r="R115" s="188" t="s">
        <v>318</v>
      </c>
      <c r="S115" s="188" t="s">
        <v>318</v>
      </c>
      <c r="T115" s="188" t="s">
        <v>318</v>
      </c>
      <c r="U115" s="188" t="s">
        <v>318</v>
      </c>
      <c r="V115" s="188" t="s">
        <v>318</v>
      </c>
      <c r="W115" s="188" t="s">
        <v>318</v>
      </c>
      <c r="X115" s="188" t="s">
        <v>318</v>
      </c>
      <c r="Y115" s="188" t="s">
        <v>318</v>
      </c>
      <c r="Z115" s="188" t="s">
        <v>318</v>
      </c>
      <c r="AA115" s="188" t="s">
        <v>318</v>
      </c>
      <c r="AB115" s="188" t="s">
        <v>318</v>
      </c>
      <c r="AC115" s="188" t="s">
        <v>318</v>
      </c>
      <c r="AD115" s="188" t="s">
        <v>318</v>
      </c>
      <c r="AE115" s="188" t="s">
        <v>318</v>
      </c>
      <c r="AF115" s="188" t="s">
        <v>318</v>
      </c>
      <c r="AG115" s="188" t="s">
        <v>318</v>
      </c>
      <c r="AH115" s="107">
        <f t="shared" si="21"/>
        <v>0</v>
      </c>
    </row>
    <row r="116" spans="1:34" ht="15">
      <c r="A116" s="363" t="s">
        <v>154</v>
      </c>
      <c r="B116" s="53">
        <f t="shared" si="20"/>
        <v>0</v>
      </c>
      <c r="C116" s="188" t="s">
        <v>318</v>
      </c>
      <c r="D116" s="188" t="s">
        <v>318</v>
      </c>
      <c r="E116" s="188" t="s">
        <v>318</v>
      </c>
      <c r="F116" s="188" t="s">
        <v>318</v>
      </c>
      <c r="G116" s="188" t="s">
        <v>318</v>
      </c>
      <c r="H116" s="188" t="s">
        <v>318</v>
      </c>
      <c r="I116" s="188" t="s">
        <v>318</v>
      </c>
      <c r="J116" s="188" t="s">
        <v>318</v>
      </c>
      <c r="K116" s="188" t="s">
        <v>318</v>
      </c>
      <c r="L116" s="188" t="s">
        <v>318</v>
      </c>
      <c r="M116" s="188" t="s">
        <v>318</v>
      </c>
      <c r="N116" s="188" t="s">
        <v>318</v>
      </c>
      <c r="O116" s="188" t="s">
        <v>318</v>
      </c>
      <c r="P116" s="188" t="s">
        <v>318</v>
      </c>
      <c r="Q116" s="188" t="s">
        <v>318</v>
      </c>
      <c r="R116" s="188" t="s">
        <v>318</v>
      </c>
      <c r="S116" s="188" t="s">
        <v>318</v>
      </c>
      <c r="T116" s="188" t="s">
        <v>318</v>
      </c>
      <c r="U116" s="188" t="s">
        <v>318</v>
      </c>
      <c r="V116" s="188" t="s">
        <v>318</v>
      </c>
      <c r="W116" s="188" t="s">
        <v>318</v>
      </c>
      <c r="X116" s="53"/>
      <c r="Y116" s="53"/>
      <c r="Z116" s="53"/>
      <c r="AA116" s="53"/>
      <c r="AB116" s="53"/>
      <c r="AC116" s="53"/>
      <c r="AD116" s="53"/>
      <c r="AE116" s="107"/>
      <c r="AF116" s="53"/>
      <c r="AG116" s="107"/>
      <c r="AH116" s="107">
        <f t="shared" si="21"/>
        <v>0</v>
      </c>
    </row>
    <row r="117" spans="1:34" ht="15">
      <c r="A117" s="363" t="s">
        <v>155</v>
      </c>
      <c r="B117" s="53">
        <f t="shared" si="20"/>
        <v>0</v>
      </c>
      <c r="C117" s="10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c r="AD117" s="53"/>
      <c r="AE117" s="107"/>
      <c r="AF117" s="53"/>
      <c r="AG117" s="107"/>
      <c r="AH117" s="107">
        <f t="shared" si="21"/>
        <v>0</v>
      </c>
    </row>
    <row r="118" spans="1:34" ht="15">
      <c r="A118" s="363" t="s">
        <v>156</v>
      </c>
      <c r="B118" s="53">
        <f t="shared" si="20"/>
        <v>0</v>
      </c>
      <c r="C118" s="103"/>
      <c r="D118" s="53"/>
      <c r="E118" s="53"/>
      <c r="F118" s="53"/>
      <c r="G118" s="53"/>
      <c r="H118" s="53"/>
      <c r="I118" s="53"/>
      <c r="J118" s="53"/>
      <c r="K118" s="53"/>
      <c r="L118" s="53"/>
      <c r="M118" s="53"/>
      <c r="N118" s="53"/>
      <c r="O118" s="53"/>
      <c r="P118" s="3027">
        <v>0</v>
      </c>
      <c r="Q118" s="3027">
        <v>0</v>
      </c>
      <c r="R118" s="3027">
        <v>0</v>
      </c>
      <c r="S118" s="3027">
        <v>0</v>
      </c>
      <c r="T118" s="3027">
        <v>0</v>
      </c>
      <c r="U118" s="3027">
        <v>0</v>
      </c>
      <c r="V118" s="3027">
        <v>0</v>
      </c>
      <c r="W118" s="3027">
        <v>0</v>
      </c>
      <c r="X118" s="3027">
        <v>0</v>
      </c>
      <c r="Y118" s="3027">
        <v>0</v>
      </c>
      <c r="Z118" s="3027">
        <v>0</v>
      </c>
      <c r="AA118" s="3027">
        <v>0</v>
      </c>
      <c r="AB118" s="3027">
        <v>0</v>
      </c>
      <c r="AC118" s="3027">
        <v>0</v>
      </c>
      <c r="AD118" s="3027">
        <v>0</v>
      </c>
      <c r="AE118" s="3027">
        <v>0</v>
      </c>
      <c r="AF118" s="3027">
        <v>0</v>
      </c>
      <c r="AG118" s="3027">
        <v>0</v>
      </c>
      <c r="AH118" s="107">
        <f t="shared" si="21"/>
        <v>0</v>
      </c>
    </row>
    <row r="119" spans="1:34" ht="15">
      <c r="A119" s="199" t="s">
        <v>144</v>
      </c>
      <c r="B119" s="200">
        <f>SUM(B107:B118)</f>
        <v>1114.153</v>
      </c>
      <c r="C119" s="100">
        <f>SUM(C107:C117)</f>
        <v>0</v>
      </c>
      <c r="D119" s="107">
        <f>SUM(D107:D117)</f>
        <v>0</v>
      </c>
      <c r="E119" s="107">
        <v>0</v>
      </c>
      <c r="F119" s="107">
        <f t="shared" ref="F119:AC119" si="22">SUM(F107:F117)</f>
        <v>30.7</v>
      </c>
      <c r="G119" s="107">
        <f t="shared" si="22"/>
        <v>30.7</v>
      </c>
      <c r="H119" s="107">
        <f t="shared" si="22"/>
        <v>27.925000000000001</v>
      </c>
      <c r="I119" s="107">
        <f t="shared" si="22"/>
        <v>0</v>
      </c>
      <c r="J119" s="107">
        <f t="shared" si="22"/>
        <v>26.355</v>
      </c>
      <c r="K119" s="107">
        <f t="shared" si="22"/>
        <v>21.88</v>
      </c>
      <c r="L119" s="107">
        <f t="shared" si="22"/>
        <v>77.819999999999993</v>
      </c>
      <c r="M119" s="107">
        <f t="shared" si="22"/>
        <v>0</v>
      </c>
      <c r="N119" s="107">
        <f t="shared" si="22"/>
        <v>53.98</v>
      </c>
      <c r="O119" s="107">
        <f t="shared" si="22"/>
        <v>55.185000000000002</v>
      </c>
      <c r="P119" s="107">
        <f t="shared" si="22"/>
        <v>51.085000000000001</v>
      </c>
      <c r="Q119" s="107">
        <f t="shared" si="22"/>
        <v>0</v>
      </c>
      <c r="R119" s="107">
        <f t="shared" si="22"/>
        <v>23.57</v>
      </c>
      <c r="S119" s="107">
        <f t="shared" si="22"/>
        <v>71.123000000000005</v>
      </c>
      <c r="T119" s="107">
        <f t="shared" si="22"/>
        <v>0</v>
      </c>
      <c r="U119" s="107">
        <f t="shared" si="22"/>
        <v>28.754999999999999</v>
      </c>
      <c r="V119" s="107">
        <f t="shared" si="22"/>
        <v>77.53</v>
      </c>
      <c r="W119" s="107">
        <f t="shared" si="22"/>
        <v>108.72499999999999</v>
      </c>
      <c r="X119" s="107">
        <f t="shared" si="22"/>
        <v>52.08</v>
      </c>
      <c r="Y119" s="107">
        <f t="shared" si="22"/>
        <v>92.504999999999995</v>
      </c>
      <c r="Z119" s="107">
        <f t="shared" si="22"/>
        <v>49.344999999999999</v>
      </c>
      <c r="AA119" s="107">
        <f t="shared" si="22"/>
        <v>70.125</v>
      </c>
      <c r="AB119" s="107">
        <f t="shared" si="22"/>
        <v>15.73</v>
      </c>
      <c r="AC119" s="107">
        <f t="shared" si="22"/>
        <v>50.25</v>
      </c>
      <c r="AD119" s="107">
        <v>0</v>
      </c>
      <c r="AE119" s="107">
        <f>SUM(AE107:AE117)</f>
        <v>0</v>
      </c>
      <c r="AF119" s="107">
        <f>SUM(AF107:AF117)</f>
        <v>0</v>
      </c>
      <c r="AG119" s="107">
        <f>SUM(AG107:AG117)</f>
        <v>0</v>
      </c>
      <c r="AH119" s="100">
        <f>SUM(AH107:AH117)</f>
        <v>1114.153</v>
      </c>
    </row>
    <row r="120" spans="1:34" ht="5.0999999999999996" customHeight="1">
      <c r="A120" s="104"/>
      <c r="B120" s="105"/>
      <c r="C120" s="1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6"/>
    </row>
    <row r="121" spans="1:34" ht="15">
      <c r="A121" s="3854" t="s">
        <v>288</v>
      </c>
      <c r="B121" s="3855"/>
      <c r="C121" s="3855"/>
      <c r="D121" s="3855"/>
      <c r="E121" s="3855"/>
      <c r="F121" s="3855"/>
      <c r="G121" s="3855"/>
      <c r="H121" s="3856"/>
      <c r="I121" s="3649"/>
      <c r="J121" s="96"/>
      <c r="K121" s="96"/>
      <c r="L121" s="96"/>
      <c r="M121" s="96"/>
      <c r="N121" s="96"/>
      <c r="O121" s="96"/>
      <c r="P121" s="96"/>
      <c r="Q121" s="96"/>
      <c r="R121" s="96"/>
      <c r="S121" s="14"/>
      <c r="T121" s="14"/>
      <c r="U121" s="14"/>
      <c r="V121" s="14"/>
      <c r="W121" s="14"/>
      <c r="X121" s="14"/>
      <c r="Y121" s="14"/>
      <c r="Z121" s="14"/>
      <c r="AA121" s="14"/>
      <c r="AB121" s="14"/>
      <c r="AC121" s="14"/>
      <c r="AD121" s="14"/>
      <c r="AE121" s="14"/>
      <c r="AF121" s="14"/>
      <c r="AG121" s="14"/>
      <c r="AH121" s="14"/>
    </row>
    <row r="122" spans="1:34" ht="15">
      <c r="A122" s="8" t="s">
        <v>142</v>
      </c>
      <c r="B122" s="8" t="s">
        <v>143</v>
      </c>
      <c r="C122" s="2907">
        <v>1</v>
      </c>
      <c r="D122" s="73">
        <v>2</v>
      </c>
      <c r="E122" s="73">
        <v>3</v>
      </c>
      <c r="F122" s="73">
        <v>4</v>
      </c>
      <c r="G122" s="73">
        <v>5</v>
      </c>
      <c r="H122" s="73">
        <v>6</v>
      </c>
      <c r="I122" s="73">
        <v>7</v>
      </c>
      <c r="J122" s="73">
        <v>8</v>
      </c>
      <c r="K122" s="73">
        <v>9</v>
      </c>
      <c r="L122" s="73">
        <v>10</v>
      </c>
      <c r="M122" s="73">
        <v>11</v>
      </c>
      <c r="N122" s="73">
        <v>12</v>
      </c>
      <c r="O122" s="73">
        <v>13</v>
      </c>
      <c r="P122" s="73">
        <v>14</v>
      </c>
      <c r="Q122" s="73">
        <v>15</v>
      </c>
      <c r="R122" s="73">
        <v>16</v>
      </c>
      <c r="S122" s="73">
        <v>17</v>
      </c>
      <c r="T122" s="73">
        <v>18</v>
      </c>
      <c r="U122" s="73">
        <v>19</v>
      </c>
      <c r="V122" s="73">
        <v>20</v>
      </c>
      <c r="W122" s="73">
        <v>21</v>
      </c>
      <c r="X122" s="73">
        <v>22</v>
      </c>
      <c r="Y122" s="73">
        <v>23</v>
      </c>
      <c r="Z122" s="73">
        <v>24</v>
      </c>
      <c r="AA122" s="73">
        <v>25</v>
      </c>
      <c r="AB122" s="73">
        <v>26</v>
      </c>
      <c r="AC122" s="73">
        <v>27</v>
      </c>
      <c r="AD122" s="73">
        <v>28</v>
      </c>
      <c r="AE122" s="73">
        <v>29</v>
      </c>
      <c r="AF122" s="73">
        <v>30</v>
      </c>
      <c r="AG122" s="73">
        <v>31</v>
      </c>
      <c r="AH122" s="88" t="s">
        <v>144</v>
      </c>
    </row>
    <row r="123" spans="1:34" ht="15">
      <c r="A123" s="414" t="s">
        <v>145</v>
      </c>
      <c r="B123" s="53">
        <f t="shared" ref="B123:B134" si="23">+AH123</f>
        <v>0</v>
      </c>
      <c r="C123" s="188" t="s">
        <v>311</v>
      </c>
      <c r="D123" s="188" t="s">
        <v>311</v>
      </c>
      <c r="E123" s="188" t="s">
        <v>311</v>
      </c>
      <c r="F123" s="188" t="s">
        <v>311</v>
      </c>
      <c r="G123" s="188" t="s">
        <v>311</v>
      </c>
      <c r="H123" s="188" t="s">
        <v>311</v>
      </c>
      <c r="I123" s="188" t="s">
        <v>311</v>
      </c>
      <c r="J123" s="306"/>
      <c r="K123" s="306"/>
      <c r="L123" s="306"/>
      <c r="M123" s="306"/>
      <c r="N123" s="306"/>
      <c r="O123" s="306"/>
      <c r="P123" s="306"/>
      <c r="Q123" s="306"/>
      <c r="R123" s="306"/>
      <c r="S123" s="306"/>
      <c r="T123" s="306"/>
      <c r="U123" s="306"/>
      <c r="V123" s="306"/>
      <c r="W123" s="306"/>
      <c r="X123" s="306"/>
      <c r="Y123" s="306"/>
      <c r="Z123" s="306"/>
      <c r="AA123" s="306"/>
      <c r="AB123" s="306"/>
      <c r="AC123" s="306"/>
      <c r="AD123" s="306"/>
      <c r="AE123" s="306"/>
      <c r="AF123" s="306"/>
      <c r="AG123" s="306"/>
      <c r="AH123" s="107">
        <f>SUM(C123:AG123)</f>
        <v>0</v>
      </c>
    </row>
    <row r="124" spans="1:34" ht="15">
      <c r="A124" s="414" t="s">
        <v>146</v>
      </c>
      <c r="B124" s="53">
        <f t="shared" si="23"/>
        <v>0</v>
      </c>
      <c r="C124" s="306"/>
      <c r="D124" s="306"/>
      <c r="E124" s="306"/>
      <c r="F124" s="306"/>
      <c r="G124" s="306"/>
      <c r="H124" s="306"/>
      <c r="I124" s="306"/>
      <c r="J124" s="306"/>
      <c r="K124" s="306"/>
      <c r="L124" s="306"/>
      <c r="M124" s="306"/>
      <c r="N124" s="306"/>
      <c r="O124" s="306"/>
      <c r="P124" s="306"/>
      <c r="Q124" s="306"/>
      <c r="R124" s="306"/>
      <c r="S124" s="306"/>
      <c r="T124" s="306"/>
      <c r="U124" s="306"/>
      <c r="V124" s="306"/>
      <c r="W124" s="306"/>
      <c r="X124" s="306"/>
      <c r="Y124" s="306"/>
      <c r="Z124" s="306"/>
      <c r="AA124" s="306"/>
      <c r="AB124" s="306"/>
      <c r="AC124" s="306"/>
      <c r="AD124" s="306"/>
      <c r="AE124" s="306"/>
      <c r="AF124" s="306"/>
      <c r="AG124" s="306"/>
      <c r="AH124" s="107">
        <f>SUM(C124:AG124)</f>
        <v>0</v>
      </c>
    </row>
    <row r="125" spans="1:34" ht="15">
      <c r="A125" s="414" t="s">
        <v>147</v>
      </c>
      <c r="B125" s="53">
        <f t="shared" si="23"/>
        <v>0</v>
      </c>
      <c r="C125" s="306"/>
      <c r="D125" s="306"/>
      <c r="E125" s="306"/>
      <c r="F125" s="306"/>
      <c r="G125" s="306"/>
      <c r="H125" s="315"/>
      <c r="I125" s="315"/>
      <c r="J125" s="107"/>
      <c r="K125" s="107"/>
      <c r="L125" s="107"/>
      <c r="M125" s="107"/>
      <c r="N125" s="107"/>
      <c r="O125" s="107"/>
      <c r="P125" s="107"/>
      <c r="Q125" s="107"/>
      <c r="R125" s="107"/>
      <c r="S125" s="107"/>
      <c r="T125" s="107"/>
      <c r="U125" s="107"/>
      <c r="V125" s="107"/>
      <c r="W125" s="107"/>
      <c r="X125" s="107"/>
      <c r="Y125" s="107"/>
      <c r="Z125" s="107"/>
      <c r="AA125" s="107"/>
      <c r="AB125" s="107"/>
      <c r="AC125" s="188" t="s">
        <v>311</v>
      </c>
      <c r="AD125" s="188" t="s">
        <v>311</v>
      </c>
      <c r="AE125" s="188" t="s">
        <v>311</v>
      </c>
      <c r="AF125" s="188" t="s">
        <v>311</v>
      </c>
      <c r="AG125" s="188" t="s">
        <v>311</v>
      </c>
      <c r="AH125" s="107">
        <f>SUM(C125:AG125)</f>
        <v>0</v>
      </c>
    </row>
    <row r="126" spans="1:34" ht="15">
      <c r="A126" s="414" t="s">
        <v>148</v>
      </c>
      <c r="B126" s="53">
        <f t="shared" si="23"/>
        <v>0</v>
      </c>
      <c r="C126" s="188" t="s">
        <v>311</v>
      </c>
      <c r="D126" s="188" t="s">
        <v>311</v>
      </c>
      <c r="E126" s="188" t="s">
        <v>311</v>
      </c>
      <c r="F126" s="188" t="s">
        <v>311</v>
      </c>
      <c r="G126" s="188" t="s">
        <v>311</v>
      </c>
      <c r="H126" s="188" t="s">
        <v>311</v>
      </c>
      <c r="I126" s="188" t="s">
        <v>311</v>
      </c>
      <c r="J126" s="188" t="s">
        <v>311</v>
      </c>
      <c r="K126" s="188" t="s">
        <v>311</v>
      </c>
      <c r="L126" s="107"/>
      <c r="M126" s="107"/>
      <c r="N126" s="107"/>
      <c r="O126" s="107"/>
      <c r="P126" s="107"/>
      <c r="Q126" s="107"/>
      <c r="R126" s="107"/>
      <c r="S126" s="107"/>
      <c r="T126" s="107"/>
      <c r="U126" s="107"/>
      <c r="V126" s="107"/>
      <c r="W126" s="107"/>
      <c r="X126" s="107"/>
      <c r="Y126" s="107"/>
      <c r="Z126" s="107"/>
      <c r="AA126" s="107"/>
      <c r="AB126" s="107"/>
      <c r="AC126" s="107"/>
      <c r="AD126" s="107"/>
      <c r="AE126" s="107"/>
      <c r="AF126" s="107"/>
      <c r="AG126" s="107"/>
      <c r="AH126" s="107">
        <f t="shared" ref="AH126:AH134" si="24">SUM(C126:AG126)</f>
        <v>0</v>
      </c>
    </row>
    <row r="127" spans="1:34" ht="15">
      <c r="A127" s="375" t="s">
        <v>149</v>
      </c>
      <c r="B127" s="53">
        <f t="shared" si="23"/>
        <v>0</v>
      </c>
      <c r="C127" s="103"/>
      <c r="D127" s="53"/>
      <c r="E127" s="53"/>
      <c r="F127" s="53"/>
      <c r="G127" s="53"/>
      <c r="H127" s="53"/>
      <c r="I127" s="53"/>
      <c r="J127" s="107"/>
      <c r="K127" s="107"/>
      <c r="L127" s="107"/>
      <c r="M127" s="107"/>
      <c r="N127" s="107"/>
      <c r="O127" s="107"/>
      <c r="P127" s="107"/>
      <c r="Q127" s="107"/>
      <c r="R127" s="107"/>
      <c r="S127" s="107"/>
      <c r="T127" s="107"/>
      <c r="U127" s="107"/>
      <c r="V127" s="107"/>
      <c r="W127" s="107"/>
      <c r="X127" s="107"/>
      <c r="Y127" s="107"/>
      <c r="Z127" s="107"/>
      <c r="AA127" s="107"/>
      <c r="AB127" s="107"/>
      <c r="AC127" s="107"/>
      <c r="AD127" s="107"/>
      <c r="AE127" s="107"/>
      <c r="AF127" s="107"/>
      <c r="AG127" s="107"/>
      <c r="AH127" s="107">
        <f t="shared" si="24"/>
        <v>0</v>
      </c>
    </row>
    <row r="128" spans="1:34" ht="15">
      <c r="A128" s="375" t="s">
        <v>150</v>
      </c>
      <c r="B128" s="53">
        <f t="shared" si="23"/>
        <v>0</v>
      </c>
      <c r="C128" s="100"/>
      <c r="D128" s="107"/>
      <c r="E128" s="107"/>
      <c r="F128" s="107"/>
      <c r="G128" s="107"/>
      <c r="H128" s="188" t="s">
        <v>162</v>
      </c>
      <c r="I128" s="188" t="s">
        <v>162</v>
      </c>
      <c r="J128" s="188" t="s">
        <v>162</v>
      </c>
      <c r="K128" s="188" t="s">
        <v>162</v>
      </c>
      <c r="L128" s="188" t="s">
        <v>162</v>
      </c>
      <c r="M128" s="188" t="s">
        <v>162</v>
      </c>
      <c r="N128" s="188" t="s">
        <v>162</v>
      </c>
      <c r="O128" s="188" t="s">
        <v>162</v>
      </c>
      <c r="P128" s="188" t="s">
        <v>162</v>
      </c>
      <c r="Q128" s="188" t="s">
        <v>162</v>
      </c>
      <c r="R128" s="188" t="s">
        <v>162</v>
      </c>
      <c r="S128" s="188" t="s">
        <v>162</v>
      </c>
      <c r="T128" s="188" t="s">
        <v>162</v>
      </c>
      <c r="U128" s="188" t="s">
        <v>162</v>
      </c>
      <c r="V128" s="188" t="s">
        <v>162</v>
      </c>
      <c r="W128" s="188" t="s">
        <v>162</v>
      </c>
      <c r="X128" s="188" t="s">
        <v>162</v>
      </c>
      <c r="Y128" s="107"/>
      <c r="Z128" s="107"/>
      <c r="AA128" s="107"/>
      <c r="AB128" s="107"/>
      <c r="AC128" s="107"/>
      <c r="AD128" s="107"/>
      <c r="AE128" s="107"/>
      <c r="AF128" s="107"/>
      <c r="AG128" s="107"/>
      <c r="AH128" s="107">
        <f t="shared" si="24"/>
        <v>0</v>
      </c>
    </row>
    <row r="129" spans="1:34" ht="15">
      <c r="A129" s="375" t="s">
        <v>151</v>
      </c>
      <c r="B129" s="53">
        <f t="shared" si="23"/>
        <v>0</v>
      </c>
      <c r="C129" s="103"/>
      <c r="D129" s="107"/>
      <c r="E129" s="107"/>
      <c r="F129" s="107"/>
      <c r="G129" s="53"/>
      <c r="H129" s="53"/>
      <c r="I129" s="53"/>
      <c r="J129" s="111"/>
      <c r="K129" s="111"/>
      <c r="L129" s="107"/>
      <c r="M129" s="107"/>
      <c r="N129" s="107"/>
      <c r="O129" s="107"/>
      <c r="P129" s="107"/>
      <c r="Q129" s="107"/>
      <c r="R129" s="107"/>
      <c r="S129" s="107"/>
      <c r="T129" s="107"/>
      <c r="U129" s="107"/>
      <c r="V129" s="107"/>
      <c r="W129" s="107"/>
      <c r="X129" s="107"/>
      <c r="Y129" s="107"/>
      <c r="Z129" s="107"/>
      <c r="AA129" s="107"/>
      <c r="AB129" s="107"/>
      <c r="AC129" s="107"/>
      <c r="AD129" s="107"/>
      <c r="AE129" s="107"/>
      <c r="AF129" s="107"/>
      <c r="AG129" s="107"/>
      <c r="AH129" s="107">
        <f t="shared" si="24"/>
        <v>0</v>
      </c>
    </row>
    <row r="130" spans="1:34" ht="15">
      <c r="A130" s="375" t="s">
        <v>152</v>
      </c>
      <c r="B130" s="53">
        <f t="shared" si="23"/>
        <v>0</v>
      </c>
      <c r="C130" s="103"/>
      <c r="D130" s="53"/>
      <c r="E130" s="53"/>
      <c r="F130" s="53"/>
      <c r="G130" s="53"/>
      <c r="H130" s="1899"/>
      <c r="I130" s="306"/>
      <c r="J130" s="188" t="s">
        <v>318</v>
      </c>
      <c r="K130" s="188" t="s">
        <v>318</v>
      </c>
      <c r="L130" s="188" t="s">
        <v>318</v>
      </c>
      <c r="M130" s="188" t="s">
        <v>318</v>
      </c>
      <c r="N130" s="188" t="s">
        <v>318</v>
      </c>
      <c r="O130" s="188" t="s">
        <v>318</v>
      </c>
      <c r="P130" s="188" t="s">
        <v>318</v>
      </c>
      <c r="Q130" s="188" t="s">
        <v>318</v>
      </c>
      <c r="R130" s="188" t="s">
        <v>318</v>
      </c>
      <c r="S130" s="188" t="s">
        <v>318</v>
      </c>
      <c r="T130" s="188" t="s">
        <v>318</v>
      </c>
      <c r="U130" s="188" t="s">
        <v>318</v>
      </c>
      <c r="V130" s="188" t="s">
        <v>318</v>
      </c>
      <c r="W130" s="188" t="s">
        <v>318</v>
      </c>
      <c r="X130" s="188" t="s">
        <v>318</v>
      </c>
      <c r="Y130" s="188" t="s">
        <v>318</v>
      </c>
      <c r="Z130" s="188" t="s">
        <v>318</v>
      </c>
      <c r="AA130" s="188" t="s">
        <v>318</v>
      </c>
      <c r="AB130" s="188" t="s">
        <v>318</v>
      </c>
      <c r="AC130" s="188" t="s">
        <v>318</v>
      </c>
      <c r="AD130" s="188" t="s">
        <v>318</v>
      </c>
      <c r="AE130" s="188" t="s">
        <v>318</v>
      </c>
      <c r="AF130" s="188" t="s">
        <v>318</v>
      </c>
      <c r="AG130" s="188" t="s">
        <v>318</v>
      </c>
      <c r="AH130" s="107">
        <f t="shared" si="24"/>
        <v>0</v>
      </c>
    </row>
    <row r="131" spans="1:34" ht="15">
      <c r="A131" s="363" t="s">
        <v>153</v>
      </c>
      <c r="B131" s="53">
        <f t="shared" si="23"/>
        <v>0</v>
      </c>
      <c r="C131" s="188" t="s">
        <v>318</v>
      </c>
      <c r="D131" s="188" t="s">
        <v>318</v>
      </c>
      <c r="E131" s="188" t="s">
        <v>318</v>
      </c>
      <c r="F131" s="188" t="s">
        <v>318</v>
      </c>
      <c r="G131" s="188" t="s">
        <v>318</v>
      </c>
      <c r="H131" s="188" t="s">
        <v>318</v>
      </c>
      <c r="I131" s="188" t="s">
        <v>318</v>
      </c>
      <c r="J131" s="188" t="s">
        <v>318</v>
      </c>
      <c r="K131" s="188" t="s">
        <v>318</v>
      </c>
      <c r="L131" s="188" t="s">
        <v>318</v>
      </c>
      <c r="M131" s="188" t="s">
        <v>318</v>
      </c>
      <c r="N131" s="188" t="s">
        <v>318</v>
      </c>
      <c r="O131" s="188" t="s">
        <v>318</v>
      </c>
      <c r="P131" s="188" t="s">
        <v>318</v>
      </c>
      <c r="Q131" s="188" t="s">
        <v>318</v>
      </c>
      <c r="R131" s="188" t="s">
        <v>318</v>
      </c>
      <c r="S131" s="188" t="s">
        <v>318</v>
      </c>
      <c r="T131" s="188" t="s">
        <v>318</v>
      </c>
      <c r="U131" s="188" t="s">
        <v>318</v>
      </c>
      <c r="V131" s="188" t="s">
        <v>318</v>
      </c>
      <c r="W131" s="188" t="s">
        <v>318</v>
      </c>
      <c r="X131" s="188" t="s">
        <v>318</v>
      </c>
      <c r="Y131" s="188" t="s">
        <v>318</v>
      </c>
      <c r="Z131" s="188" t="s">
        <v>318</v>
      </c>
      <c r="AA131" s="188" t="s">
        <v>318</v>
      </c>
      <c r="AB131" s="188" t="s">
        <v>318</v>
      </c>
      <c r="AC131" s="188" t="s">
        <v>318</v>
      </c>
      <c r="AD131" s="188" t="s">
        <v>318</v>
      </c>
      <c r="AE131" s="188" t="s">
        <v>318</v>
      </c>
      <c r="AF131" s="188" t="s">
        <v>318</v>
      </c>
      <c r="AG131" s="188" t="s">
        <v>318</v>
      </c>
      <c r="AH131" s="107">
        <f t="shared" si="24"/>
        <v>0</v>
      </c>
    </row>
    <row r="132" spans="1:34" ht="15">
      <c r="A132" s="363" t="s">
        <v>154</v>
      </c>
      <c r="B132" s="53">
        <f t="shared" si="23"/>
        <v>0</v>
      </c>
      <c r="C132" s="188" t="s">
        <v>318</v>
      </c>
      <c r="D132" s="188" t="s">
        <v>318</v>
      </c>
      <c r="E132" s="188" t="s">
        <v>318</v>
      </c>
      <c r="F132" s="188" t="s">
        <v>318</v>
      </c>
      <c r="G132" s="188" t="s">
        <v>318</v>
      </c>
      <c r="H132" s="188" t="s">
        <v>318</v>
      </c>
      <c r="I132" s="188" t="s">
        <v>318</v>
      </c>
      <c r="J132" s="188" t="s">
        <v>318</v>
      </c>
      <c r="K132" s="188" t="s">
        <v>318</v>
      </c>
      <c r="L132" s="188" t="s">
        <v>318</v>
      </c>
      <c r="M132" s="188" t="s">
        <v>318</v>
      </c>
      <c r="N132" s="188" t="s">
        <v>318</v>
      </c>
      <c r="O132" s="188" t="s">
        <v>318</v>
      </c>
      <c r="P132" s="188" t="s">
        <v>318</v>
      </c>
      <c r="Q132" s="188" t="s">
        <v>318</v>
      </c>
      <c r="R132" s="188" t="s">
        <v>318</v>
      </c>
      <c r="S132" s="188" t="s">
        <v>318</v>
      </c>
      <c r="T132" s="188" t="s">
        <v>318</v>
      </c>
      <c r="U132" s="188" t="s">
        <v>318</v>
      </c>
      <c r="V132" s="188" t="s">
        <v>318</v>
      </c>
      <c r="W132" s="188" t="s">
        <v>318</v>
      </c>
      <c r="X132" s="53"/>
      <c r="Y132" s="53"/>
      <c r="Z132" s="53"/>
      <c r="AA132" s="53"/>
      <c r="AB132" s="53"/>
      <c r="AC132" s="53"/>
      <c r="AD132" s="53"/>
      <c r="AE132" s="107"/>
      <c r="AF132" s="53"/>
      <c r="AG132" s="107"/>
      <c r="AH132" s="107">
        <f t="shared" si="24"/>
        <v>0</v>
      </c>
    </row>
    <row r="133" spans="1:34" ht="15">
      <c r="A133" s="363" t="s">
        <v>155</v>
      </c>
      <c r="B133" s="53">
        <f t="shared" si="23"/>
        <v>0</v>
      </c>
      <c r="C133" s="10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53"/>
      <c r="AD133" s="53"/>
      <c r="AE133" s="107"/>
      <c r="AF133" s="53"/>
      <c r="AG133" s="107"/>
      <c r="AH133" s="107">
        <f t="shared" si="24"/>
        <v>0</v>
      </c>
    </row>
    <row r="134" spans="1:34" ht="15">
      <c r="A134" s="363" t="s">
        <v>156</v>
      </c>
      <c r="B134" s="53">
        <f t="shared" si="23"/>
        <v>0</v>
      </c>
      <c r="C134" s="103"/>
      <c r="D134" s="53"/>
      <c r="E134" s="53"/>
      <c r="F134" s="53"/>
      <c r="G134" s="53"/>
      <c r="H134" s="53"/>
      <c r="I134" s="53"/>
      <c r="J134" s="53"/>
      <c r="K134" s="53"/>
      <c r="L134" s="53"/>
      <c r="M134" s="53"/>
      <c r="N134" s="53"/>
      <c r="O134" s="53"/>
      <c r="P134" s="3027">
        <v>0</v>
      </c>
      <c r="Q134" s="3027">
        <v>0</v>
      </c>
      <c r="R134" s="3027">
        <v>0</v>
      </c>
      <c r="S134" s="3027">
        <v>0</v>
      </c>
      <c r="T134" s="3027">
        <v>0</v>
      </c>
      <c r="U134" s="3027">
        <v>0</v>
      </c>
      <c r="V134" s="3027">
        <v>0</v>
      </c>
      <c r="W134" s="3027">
        <v>0</v>
      </c>
      <c r="X134" s="3027">
        <v>0</v>
      </c>
      <c r="Y134" s="3027">
        <v>0</v>
      </c>
      <c r="Z134" s="3027">
        <v>0</v>
      </c>
      <c r="AA134" s="3027">
        <v>0</v>
      </c>
      <c r="AB134" s="3027">
        <v>0</v>
      </c>
      <c r="AC134" s="3027">
        <v>0</v>
      </c>
      <c r="AD134" s="3027">
        <v>0</v>
      </c>
      <c r="AE134" s="3027">
        <v>0</v>
      </c>
      <c r="AF134" s="3027">
        <v>0</v>
      </c>
      <c r="AG134" s="3027">
        <v>0</v>
      </c>
      <c r="AH134" s="107">
        <f t="shared" si="24"/>
        <v>0</v>
      </c>
    </row>
    <row r="135" spans="1:34" ht="15">
      <c r="A135" s="199" t="s">
        <v>144</v>
      </c>
      <c r="B135" s="200">
        <f>SUM(B123:B134)</f>
        <v>0</v>
      </c>
      <c r="C135" s="100">
        <f>SUM(C123:C133)</f>
        <v>0</v>
      </c>
      <c r="D135" s="107">
        <f>SUM(D123:D133)</f>
        <v>0</v>
      </c>
      <c r="E135" s="107">
        <v>0</v>
      </c>
      <c r="F135" s="107">
        <f t="shared" ref="F135:AC135" si="25">SUM(F123:F133)</f>
        <v>0</v>
      </c>
      <c r="G135" s="107">
        <f t="shared" si="25"/>
        <v>0</v>
      </c>
      <c r="H135" s="107">
        <f t="shared" si="25"/>
        <v>0</v>
      </c>
      <c r="I135" s="107">
        <f t="shared" si="25"/>
        <v>0</v>
      </c>
      <c r="J135" s="107">
        <f t="shared" si="25"/>
        <v>0</v>
      </c>
      <c r="K135" s="107">
        <f t="shared" si="25"/>
        <v>0</v>
      </c>
      <c r="L135" s="107">
        <f t="shared" si="25"/>
        <v>0</v>
      </c>
      <c r="M135" s="107">
        <f t="shared" si="25"/>
        <v>0</v>
      </c>
      <c r="N135" s="107">
        <f t="shared" si="25"/>
        <v>0</v>
      </c>
      <c r="O135" s="107">
        <f t="shared" si="25"/>
        <v>0</v>
      </c>
      <c r="P135" s="107">
        <f t="shared" si="25"/>
        <v>0</v>
      </c>
      <c r="Q135" s="107">
        <f t="shared" si="25"/>
        <v>0</v>
      </c>
      <c r="R135" s="107">
        <f t="shared" si="25"/>
        <v>0</v>
      </c>
      <c r="S135" s="107">
        <f t="shared" si="25"/>
        <v>0</v>
      </c>
      <c r="T135" s="107">
        <f t="shared" si="25"/>
        <v>0</v>
      </c>
      <c r="U135" s="107">
        <f t="shared" si="25"/>
        <v>0</v>
      </c>
      <c r="V135" s="107">
        <f t="shared" si="25"/>
        <v>0</v>
      </c>
      <c r="W135" s="107">
        <f t="shared" si="25"/>
        <v>0</v>
      </c>
      <c r="X135" s="107">
        <f t="shared" si="25"/>
        <v>0</v>
      </c>
      <c r="Y135" s="107">
        <f t="shared" si="25"/>
        <v>0</v>
      </c>
      <c r="Z135" s="107">
        <f t="shared" si="25"/>
        <v>0</v>
      </c>
      <c r="AA135" s="107">
        <f t="shared" si="25"/>
        <v>0</v>
      </c>
      <c r="AB135" s="107">
        <f t="shared" si="25"/>
        <v>0</v>
      </c>
      <c r="AC135" s="107">
        <f t="shared" si="25"/>
        <v>0</v>
      </c>
      <c r="AD135" s="107">
        <v>0</v>
      </c>
      <c r="AE135" s="107">
        <f>SUM(AE123:AE133)</f>
        <v>0</v>
      </c>
      <c r="AF135" s="107">
        <f>SUM(AF123:AF133)</f>
        <v>0</v>
      </c>
      <c r="AG135" s="107">
        <f>SUM(AG123:AG133)</f>
        <v>0</v>
      </c>
      <c r="AH135" s="100">
        <f>SUM(AH123:AH133)</f>
        <v>0</v>
      </c>
    </row>
    <row r="136" spans="1:34" ht="5.0999999999999996" customHeight="1">
      <c r="A136" s="104"/>
      <c r="B136" s="105"/>
      <c r="C136" s="1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c r="AA136" s="106"/>
      <c r="AB136" s="106"/>
      <c r="AC136" s="106"/>
      <c r="AD136" s="106"/>
      <c r="AE136" s="106"/>
      <c r="AF136" s="106"/>
      <c r="AG136" s="106"/>
      <c r="AH136" s="16"/>
    </row>
    <row r="137" spans="1:34" ht="15">
      <c r="A137" s="3854" t="s">
        <v>1249</v>
      </c>
      <c r="B137" s="3855"/>
      <c r="C137" s="3855"/>
      <c r="D137" s="3855"/>
      <c r="E137" s="3855"/>
      <c r="F137" s="3855"/>
      <c r="G137" s="3855"/>
      <c r="H137" s="3856"/>
      <c r="I137" s="3649"/>
      <c r="J137" s="96"/>
      <c r="K137" s="96"/>
      <c r="L137" s="96"/>
      <c r="M137" s="96"/>
      <c r="N137" s="96"/>
      <c r="O137" s="96"/>
      <c r="P137" s="96"/>
      <c r="Q137" s="96"/>
      <c r="R137" s="96"/>
      <c r="S137" s="14"/>
      <c r="T137" s="14"/>
      <c r="U137" s="14"/>
      <c r="V137" s="14"/>
      <c r="W137" s="14"/>
      <c r="X137" s="14"/>
      <c r="Y137" s="14"/>
      <c r="Z137" s="14"/>
      <c r="AA137" s="14"/>
      <c r="AB137" s="14"/>
      <c r="AC137" s="14"/>
      <c r="AD137" s="14"/>
      <c r="AE137" s="14"/>
      <c r="AF137" s="14"/>
      <c r="AG137" s="14"/>
      <c r="AH137" s="14"/>
    </row>
    <row r="138" spans="1:34" ht="15">
      <c r="A138" s="8" t="s">
        <v>142</v>
      </c>
      <c r="B138" s="8" t="s">
        <v>143</v>
      </c>
      <c r="C138" s="2907">
        <v>1</v>
      </c>
      <c r="D138" s="73">
        <v>2</v>
      </c>
      <c r="E138" s="73">
        <v>3</v>
      </c>
      <c r="F138" s="73">
        <v>4</v>
      </c>
      <c r="G138" s="73">
        <v>5</v>
      </c>
      <c r="H138" s="73">
        <v>6</v>
      </c>
      <c r="I138" s="73">
        <v>7</v>
      </c>
      <c r="J138" s="73">
        <v>8</v>
      </c>
      <c r="K138" s="73">
        <v>9</v>
      </c>
      <c r="L138" s="73">
        <v>10</v>
      </c>
      <c r="M138" s="73">
        <v>11</v>
      </c>
      <c r="N138" s="73">
        <v>12</v>
      </c>
      <c r="O138" s="73">
        <v>13</v>
      </c>
      <c r="P138" s="73">
        <v>14</v>
      </c>
      <c r="Q138" s="73">
        <v>15</v>
      </c>
      <c r="R138" s="73">
        <v>16</v>
      </c>
      <c r="S138" s="73">
        <v>17</v>
      </c>
      <c r="T138" s="73">
        <v>18</v>
      </c>
      <c r="U138" s="73">
        <v>19</v>
      </c>
      <c r="V138" s="73">
        <v>20</v>
      </c>
      <c r="W138" s="73">
        <v>21</v>
      </c>
      <c r="X138" s="73">
        <v>22</v>
      </c>
      <c r="Y138" s="73">
        <v>23</v>
      </c>
      <c r="Z138" s="73">
        <v>24</v>
      </c>
      <c r="AA138" s="73">
        <v>25</v>
      </c>
      <c r="AB138" s="73">
        <v>26</v>
      </c>
      <c r="AC138" s="73">
        <v>27</v>
      </c>
      <c r="AD138" s="73">
        <v>28</v>
      </c>
      <c r="AE138" s="73">
        <v>29</v>
      </c>
      <c r="AF138" s="73">
        <v>30</v>
      </c>
      <c r="AG138" s="73">
        <v>31</v>
      </c>
      <c r="AH138" s="88" t="s">
        <v>144</v>
      </c>
    </row>
    <row r="139" spans="1:34" ht="15">
      <c r="A139" s="414" t="s">
        <v>145</v>
      </c>
      <c r="B139" s="162">
        <f t="shared" ref="B139:B150" si="26">+AH139</f>
        <v>0</v>
      </c>
      <c r="C139" s="188" t="s">
        <v>311</v>
      </c>
      <c r="D139" s="188" t="s">
        <v>311</v>
      </c>
      <c r="E139" s="188" t="s">
        <v>311</v>
      </c>
      <c r="F139" s="188" t="s">
        <v>311</v>
      </c>
      <c r="G139" s="188" t="s">
        <v>311</v>
      </c>
      <c r="H139" s="188" t="s">
        <v>311</v>
      </c>
      <c r="I139" s="188" t="s">
        <v>311</v>
      </c>
      <c r="J139" s="306"/>
      <c r="K139" s="306"/>
      <c r="L139" s="306"/>
      <c r="M139" s="306"/>
      <c r="N139" s="306"/>
      <c r="O139" s="306"/>
      <c r="P139" s="306"/>
      <c r="Q139" s="306"/>
      <c r="R139" s="306"/>
      <c r="S139" s="306"/>
      <c r="T139" s="306"/>
      <c r="U139" s="306"/>
      <c r="V139" s="306"/>
      <c r="W139" s="306"/>
      <c r="X139" s="306"/>
      <c r="Y139" s="306"/>
      <c r="Z139" s="306"/>
      <c r="AA139" s="306"/>
      <c r="AB139" s="306"/>
      <c r="AC139" s="306"/>
      <c r="AD139" s="306"/>
      <c r="AE139" s="306"/>
      <c r="AF139" s="306"/>
      <c r="AG139" s="306"/>
      <c r="AH139" s="107">
        <f>SUM(C139:AG139)</f>
        <v>0</v>
      </c>
    </row>
    <row r="140" spans="1:34" ht="15">
      <c r="A140" s="414" t="s">
        <v>146</v>
      </c>
      <c r="B140" s="162">
        <f t="shared" si="26"/>
        <v>2499.6849999999999</v>
      </c>
      <c r="C140" s="306"/>
      <c r="D140" s="306"/>
      <c r="E140" s="306"/>
      <c r="F140" s="306"/>
      <c r="G140" s="306"/>
      <c r="H140" s="306"/>
      <c r="I140" s="306"/>
      <c r="J140" s="306"/>
      <c r="K140" s="306"/>
      <c r="L140" s="306">
        <v>194.05</v>
      </c>
      <c r="M140" s="306"/>
      <c r="N140" s="306"/>
      <c r="O140" s="306">
        <v>192.83</v>
      </c>
      <c r="P140" s="306"/>
      <c r="Q140" s="306">
        <v>193.66499999999999</v>
      </c>
      <c r="R140" s="306"/>
      <c r="S140" s="306"/>
      <c r="T140" s="306"/>
      <c r="U140" s="306">
        <v>212.745</v>
      </c>
      <c r="V140" s="306"/>
      <c r="W140" s="306">
        <v>418.125</v>
      </c>
      <c r="X140" s="306"/>
      <c r="Y140" s="306">
        <v>503.565</v>
      </c>
      <c r="Z140" s="306"/>
      <c r="AA140" s="306"/>
      <c r="AB140" s="306">
        <v>383.66500000000002</v>
      </c>
      <c r="AC140" s="306"/>
      <c r="AD140" s="306"/>
      <c r="AE140" s="306">
        <v>401.04</v>
      </c>
      <c r="AF140" s="306"/>
      <c r="AG140" s="306"/>
      <c r="AH140" s="328">
        <f>SUM(C140:AG140)</f>
        <v>2499.6849999999999</v>
      </c>
    </row>
    <row r="141" spans="1:34" ht="15">
      <c r="A141" s="414" t="s">
        <v>147</v>
      </c>
      <c r="B141" s="162">
        <f t="shared" si="26"/>
        <v>6338.8440000000001</v>
      </c>
      <c r="C141" s="306"/>
      <c r="D141" s="306">
        <v>398.31299999999999</v>
      </c>
      <c r="E141" s="306"/>
      <c r="F141" s="306"/>
      <c r="G141" s="306">
        <v>394.86700000000002</v>
      </c>
      <c r="H141" s="315"/>
      <c r="I141" s="315"/>
      <c r="J141" s="107"/>
      <c r="K141" s="107">
        <v>546.51499999999999</v>
      </c>
      <c r="L141" s="107"/>
      <c r="M141" s="107">
        <v>503.25400000000002</v>
      </c>
      <c r="N141" s="107"/>
      <c r="O141" s="107">
        <v>359.57100000000003</v>
      </c>
      <c r="P141" s="107">
        <v>396.875</v>
      </c>
      <c r="Q141" s="107"/>
      <c r="R141" s="107">
        <v>405.70400000000001</v>
      </c>
      <c r="S141" s="107">
        <v>372.92500000000001</v>
      </c>
      <c r="T141" s="107">
        <v>582.15</v>
      </c>
      <c r="U141" s="107"/>
      <c r="V141" s="107">
        <v>313.07499999999999</v>
      </c>
      <c r="W141" s="107">
        <v>177.4</v>
      </c>
      <c r="X141" s="107"/>
      <c r="Y141" s="107">
        <v>342.59500000000003</v>
      </c>
      <c r="Z141" s="107">
        <v>396.28</v>
      </c>
      <c r="AA141" s="107">
        <v>385.59500000000003</v>
      </c>
      <c r="AB141" s="107">
        <v>248.19</v>
      </c>
      <c r="AC141" s="188">
        <v>386.16</v>
      </c>
      <c r="AD141" s="188">
        <v>129.375</v>
      </c>
      <c r="AE141" s="188" t="s">
        <v>311</v>
      </c>
      <c r="AF141" s="188" t="s">
        <v>311</v>
      </c>
      <c r="AG141" s="188" t="s">
        <v>311</v>
      </c>
      <c r="AH141" s="315">
        <f>SUM(C141:AG141)</f>
        <v>6338.8440000000001</v>
      </c>
    </row>
    <row r="142" spans="1:34" ht="15">
      <c r="A142" s="414" t="s">
        <v>148</v>
      </c>
      <c r="B142" s="162">
        <f t="shared" si="26"/>
        <v>4702.0219999999999</v>
      </c>
      <c r="C142" s="188" t="s">
        <v>311</v>
      </c>
      <c r="D142" s="188" t="s">
        <v>311</v>
      </c>
      <c r="E142" s="188" t="s">
        <v>311</v>
      </c>
      <c r="F142" s="188" t="s">
        <v>311</v>
      </c>
      <c r="G142" s="188" t="s">
        <v>311</v>
      </c>
      <c r="H142" s="188" t="s">
        <v>311</v>
      </c>
      <c r="I142" s="188" t="s">
        <v>311</v>
      </c>
      <c r="J142" s="188" t="s">
        <v>311</v>
      </c>
      <c r="K142" s="188" t="s">
        <v>311</v>
      </c>
      <c r="L142" s="107">
        <v>327.18</v>
      </c>
      <c r="M142" s="107">
        <v>69.905000000000001</v>
      </c>
      <c r="N142" s="107">
        <v>324.3</v>
      </c>
      <c r="O142" s="107">
        <v>273.64</v>
      </c>
      <c r="P142" s="107">
        <v>308.27499999999998</v>
      </c>
      <c r="Q142" s="107">
        <v>207.8</v>
      </c>
      <c r="R142" s="107">
        <v>408.63799999999998</v>
      </c>
      <c r="S142" s="107">
        <v>242.63499999999999</v>
      </c>
      <c r="T142" s="107"/>
      <c r="U142" s="107">
        <v>133.47999999999999</v>
      </c>
      <c r="V142" s="107">
        <v>255.74</v>
      </c>
      <c r="W142" s="107">
        <v>263.54000000000002</v>
      </c>
      <c r="X142" s="107">
        <v>250.435</v>
      </c>
      <c r="Y142" s="107">
        <v>318.815</v>
      </c>
      <c r="Z142" s="107">
        <v>253.2</v>
      </c>
      <c r="AA142" s="107">
        <v>192.554</v>
      </c>
      <c r="AB142" s="107">
        <v>253.22</v>
      </c>
      <c r="AC142" s="107">
        <v>238.33</v>
      </c>
      <c r="AD142" s="107">
        <v>380.33499999999998</v>
      </c>
      <c r="AE142" s="107"/>
      <c r="AF142" s="107"/>
      <c r="AG142" s="107"/>
      <c r="AH142" s="107">
        <f t="shared" ref="AH142:AH150" si="27">SUM(C142:AG142)</f>
        <v>4702.0219999999999</v>
      </c>
    </row>
    <row r="143" spans="1:34" ht="15">
      <c r="A143" s="375" t="s">
        <v>149</v>
      </c>
      <c r="B143" s="162">
        <f t="shared" si="26"/>
        <v>3216.9610000000002</v>
      </c>
      <c r="C143" s="103"/>
      <c r="D143" s="53"/>
      <c r="E143" s="53"/>
      <c r="F143" s="53">
        <v>300.08999999999997</v>
      </c>
      <c r="G143" s="53">
        <v>446.36</v>
      </c>
      <c r="H143" s="53">
        <v>62.475000000000001</v>
      </c>
      <c r="I143" s="53">
        <v>58.174999999999997</v>
      </c>
      <c r="J143" s="107">
        <v>323.22000000000003</v>
      </c>
      <c r="K143" s="107">
        <v>331.59</v>
      </c>
      <c r="L143" s="107">
        <v>336.88499999999999</v>
      </c>
      <c r="M143" s="107">
        <v>43.234999999999999</v>
      </c>
      <c r="N143" s="107">
        <v>455.66500000000002</v>
      </c>
      <c r="O143" s="107">
        <v>139.851</v>
      </c>
      <c r="P143" s="107"/>
      <c r="Q143" s="107"/>
      <c r="R143" s="107"/>
      <c r="S143" s="107"/>
      <c r="T143" s="107"/>
      <c r="U143" s="107"/>
      <c r="V143" s="107">
        <v>135.44</v>
      </c>
      <c r="W143" s="107">
        <v>273.57799999999997</v>
      </c>
      <c r="X143" s="107">
        <v>96.1</v>
      </c>
      <c r="Y143" s="107"/>
      <c r="Z143" s="107"/>
      <c r="AA143" s="107"/>
      <c r="AB143" s="107"/>
      <c r="AC143" s="107"/>
      <c r="AD143" s="107"/>
      <c r="AE143" s="107"/>
      <c r="AF143" s="107">
        <v>29.434000000000001</v>
      </c>
      <c r="AG143" s="107">
        <v>184.863</v>
      </c>
      <c r="AH143" s="107">
        <f t="shared" si="27"/>
        <v>3216.9610000000002</v>
      </c>
    </row>
    <row r="144" spans="1:34" ht="15">
      <c r="A144" s="375" t="s">
        <v>150</v>
      </c>
      <c r="B144" s="162">
        <f t="shared" si="26"/>
        <v>445.04099999999994</v>
      </c>
      <c r="C144" s="100">
        <v>191.905</v>
      </c>
      <c r="D144" s="107">
        <v>29.67</v>
      </c>
      <c r="E144" s="107">
        <v>84.89</v>
      </c>
      <c r="F144" s="107">
        <v>70.486000000000004</v>
      </c>
      <c r="G144" s="107"/>
      <c r="H144" s="188" t="s">
        <v>162</v>
      </c>
      <c r="I144" s="188" t="s">
        <v>162</v>
      </c>
      <c r="J144" s="188" t="s">
        <v>162</v>
      </c>
      <c r="K144" s="188" t="s">
        <v>162</v>
      </c>
      <c r="L144" s="188" t="s">
        <v>162</v>
      </c>
      <c r="M144" s="188" t="s">
        <v>162</v>
      </c>
      <c r="N144" s="188" t="s">
        <v>162</v>
      </c>
      <c r="O144" s="188" t="s">
        <v>162</v>
      </c>
      <c r="P144" s="188" t="s">
        <v>162</v>
      </c>
      <c r="Q144" s="188" t="s">
        <v>162</v>
      </c>
      <c r="R144" s="188" t="s">
        <v>162</v>
      </c>
      <c r="S144" s="188" t="s">
        <v>162</v>
      </c>
      <c r="T144" s="188" t="s">
        <v>162</v>
      </c>
      <c r="U144" s="188" t="s">
        <v>162</v>
      </c>
      <c r="V144" s="188" t="s">
        <v>162</v>
      </c>
      <c r="W144" s="188" t="s">
        <v>162</v>
      </c>
      <c r="X144" s="188" t="s">
        <v>162</v>
      </c>
      <c r="Y144" s="107"/>
      <c r="Z144" s="107"/>
      <c r="AA144" s="107"/>
      <c r="AB144" s="107">
        <v>68.09</v>
      </c>
      <c r="AC144" s="107"/>
      <c r="AD144" s="107"/>
      <c r="AE144" s="107"/>
      <c r="AF144" s="107"/>
      <c r="AG144" s="107"/>
      <c r="AH144" s="107">
        <f t="shared" si="27"/>
        <v>445.04099999999994</v>
      </c>
    </row>
    <row r="145" spans="1:34" ht="15">
      <c r="A145" s="375" t="s">
        <v>151</v>
      </c>
      <c r="B145" s="162">
        <f t="shared" si="26"/>
        <v>759.745</v>
      </c>
      <c r="C145" s="103"/>
      <c r="D145" s="107"/>
      <c r="E145" s="107">
        <v>145.78</v>
      </c>
      <c r="F145" s="107"/>
      <c r="G145" s="53"/>
      <c r="H145" s="53"/>
      <c r="I145" s="53"/>
      <c r="J145" s="111"/>
      <c r="K145" s="111"/>
      <c r="L145" s="107"/>
      <c r="M145" s="107"/>
      <c r="N145" s="107"/>
      <c r="O145" s="107"/>
      <c r="P145" s="107"/>
      <c r="Q145" s="107"/>
      <c r="R145" s="107"/>
      <c r="S145" s="107"/>
      <c r="T145" s="107"/>
      <c r="U145" s="107"/>
      <c r="V145" s="107"/>
      <c r="W145" s="107"/>
      <c r="X145" s="107"/>
      <c r="Y145" s="107"/>
      <c r="Z145" s="107"/>
      <c r="AA145" s="107"/>
      <c r="AB145" s="107">
        <v>45.17</v>
      </c>
      <c r="AC145" s="107">
        <v>85.875</v>
      </c>
      <c r="AD145" s="107">
        <v>192.93</v>
      </c>
      <c r="AE145" s="107">
        <v>289.99</v>
      </c>
      <c r="AF145" s="107"/>
      <c r="AG145" s="107"/>
      <c r="AH145" s="107">
        <f t="shared" si="27"/>
        <v>759.745</v>
      </c>
    </row>
    <row r="146" spans="1:34" ht="15">
      <c r="A146" s="375" t="s">
        <v>152</v>
      </c>
      <c r="B146" s="162">
        <f t="shared" si="26"/>
        <v>1890.2340000000002</v>
      </c>
      <c r="C146" s="103"/>
      <c r="D146" s="53"/>
      <c r="E146" s="53">
        <v>460.56</v>
      </c>
      <c r="F146" s="53">
        <v>410.38</v>
      </c>
      <c r="G146" s="53">
        <v>412.15499999999997</v>
      </c>
      <c r="H146" s="53">
        <v>353.82</v>
      </c>
      <c r="I146" s="53">
        <v>196.005</v>
      </c>
      <c r="J146" s="1900">
        <v>57.314</v>
      </c>
      <c r="K146" s="188" t="s">
        <v>318</v>
      </c>
      <c r="L146" s="188" t="s">
        <v>318</v>
      </c>
      <c r="M146" s="188" t="s">
        <v>318</v>
      </c>
      <c r="N146" s="188" t="s">
        <v>318</v>
      </c>
      <c r="O146" s="188" t="s">
        <v>318</v>
      </c>
      <c r="P146" s="188" t="s">
        <v>318</v>
      </c>
      <c r="Q146" s="188" t="s">
        <v>318</v>
      </c>
      <c r="R146" s="188" t="s">
        <v>318</v>
      </c>
      <c r="S146" s="188" t="s">
        <v>318</v>
      </c>
      <c r="T146" s="188" t="s">
        <v>318</v>
      </c>
      <c r="U146" s="188" t="s">
        <v>318</v>
      </c>
      <c r="V146" s="188" t="s">
        <v>318</v>
      </c>
      <c r="W146" s="188" t="s">
        <v>318</v>
      </c>
      <c r="X146" s="188" t="s">
        <v>318</v>
      </c>
      <c r="Y146" s="188" t="s">
        <v>318</v>
      </c>
      <c r="Z146" s="188" t="s">
        <v>318</v>
      </c>
      <c r="AA146" s="188" t="s">
        <v>318</v>
      </c>
      <c r="AB146" s="188" t="s">
        <v>318</v>
      </c>
      <c r="AC146" s="188" t="s">
        <v>318</v>
      </c>
      <c r="AD146" s="188" t="s">
        <v>318</v>
      </c>
      <c r="AE146" s="188" t="s">
        <v>318</v>
      </c>
      <c r="AF146" s="188" t="s">
        <v>318</v>
      </c>
      <c r="AG146" s="188" t="s">
        <v>318</v>
      </c>
      <c r="AH146" s="107">
        <f t="shared" si="27"/>
        <v>1890.2340000000002</v>
      </c>
    </row>
    <row r="147" spans="1:34" ht="15">
      <c r="A147" s="363" t="s">
        <v>153</v>
      </c>
      <c r="B147" s="162">
        <f t="shared" si="26"/>
        <v>0</v>
      </c>
      <c r="C147" s="188" t="s">
        <v>318</v>
      </c>
      <c r="D147" s="188" t="s">
        <v>318</v>
      </c>
      <c r="E147" s="188" t="s">
        <v>318</v>
      </c>
      <c r="F147" s="188" t="s">
        <v>318</v>
      </c>
      <c r="G147" s="188" t="s">
        <v>318</v>
      </c>
      <c r="H147" s="188" t="s">
        <v>318</v>
      </c>
      <c r="I147" s="188" t="s">
        <v>318</v>
      </c>
      <c r="J147" s="188" t="s">
        <v>318</v>
      </c>
      <c r="K147" s="188" t="s">
        <v>318</v>
      </c>
      <c r="L147" s="188" t="s">
        <v>318</v>
      </c>
      <c r="M147" s="188" t="s">
        <v>318</v>
      </c>
      <c r="N147" s="188" t="s">
        <v>318</v>
      </c>
      <c r="O147" s="188" t="s">
        <v>318</v>
      </c>
      <c r="P147" s="188" t="s">
        <v>318</v>
      </c>
      <c r="Q147" s="188" t="s">
        <v>318</v>
      </c>
      <c r="R147" s="188" t="s">
        <v>318</v>
      </c>
      <c r="S147" s="188" t="s">
        <v>318</v>
      </c>
      <c r="T147" s="188" t="s">
        <v>318</v>
      </c>
      <c r="U147" s="188" t="s">
        <v>318</v>
      </c>
      <c r="V147" s="188" t="s">
        <v>318</v>
      </c>
      <c r="W147" s="188" t="s">
        <v>318</v>
      </c>
      <c r="X147" s="188" t="s">
        <v>318</v>
      </c>
      <c r="Y147" s="188" t="s">
        <v>318</v>
      </c>
      <c r="Z147" s="188" t="s">
        <v>318</v>
      </c>
      <c r="AA147" s="188" t="s">
        <v>318</v>
      </c>
      <c r="AB147" s="188" t="s">
        <v>318</v>
      </c>
      <c r="AC147" s="188" t="s">
        <v>318</v>
      </c>
      <c r="AD147" s="188" t="s">
        <v>318</v>
      </c>
      <c r="AE147" s="188" t="s">
        <v>318</v>
      </c>
      <c r="AF147" s="188" t="s">
        <v>318</v>
      </c>
      <c r="AG147" s="188" t="s">
        <v>318</v>
      </c>
      <c r="AH147" s="107">
        <f t="shared" si="27"/>
        <v>0</v>
      </c>
    </row>
    <row r="148" spans="1:34" ht="15">
      <c r="A148" s="363" t="s">
        <v>154</v>
      </c>
      <c r="B148" s="162">
        <f t="shared" si="26"/>
        <v>1402.329</v>
      </c>
      <c r="C148" s="188" t="s">
        <v>318</v>
      </c>
      <c r="D148" s="188" t="s">
        <v>318</v>
      </c>
      <c r="E148" s="188" t="s">
        <v>318</v>
      </c>
      <c r="F148" s="188" t="s">
        <v>318</v>
      </c>
      <c r="G148" s="188" t="s">
        <v>318</v>
      </c>
      <c r="H148" s="188" t="s">
        <v>318</v>
      </c>
      <c r="I148" s="188" t="s">
        <v>318</v>
      </c>
      <c r="J148" s="188" t="s">
        <v>318</v>
      </c>
      <c r="K148" s="188" t="s">
        <v>318</v>
      </c>
      <c r="L148" s="188" t="s">
        <v>318</v>
      </c>
      <c r="M148" s="188" t="s">
        <v>318</v>
      </c>
      <c r="N148" s="188" t="s">
        <v>318</v>
      </c>
      <c r="O148" s="188" t="s">
        <v>318</v>
      </c>
      <c r="P148" s="188" t="s">
        <v>318</v>
      </c>
      <c r="Q148" s="188" t="s">
        <v>318</v>
      </c>
      <c r="R148" s="188" t="s">
        <v>318</v>
      </c>
      <c r="S148" s="188" t="s">
        <v>318</v>
      </c>
      <c r="T148" s="188" t="s">
        <v>318</v>
      </c>
      <c r="U148" s="188" t="s">
        <v>318</v>
      </c>
      <c r="V148" s="188" t="s">
        <v>318</v>
      </c>
      <c r="W148" s="188" t="s">
        <v>318</v>
      </c>
      <c r="X148" s="53">
        <v>208.84</v>
      </c>
      <c r="Y148" s="53">
        <v>190.1</v>
      </c>
      <c r="Z148" s="53">
        <v>202.399</v>
      </c>
      <c r="AA148" s="53">
        <v>212.57</v>
      </c>
      <c r="AB148" s="53">
        <v>0</v>
      </c>
      <c r="AC148" s="53">
        <v>182.14</v>
      </c>
      <c r="AD148" s="53">
        <v>134.315</v>
      </c>
      <c r="AE148" s="107">
        <v>74.965000000000003</v>
      </c>
      <c r="AF148" s="53">
        <v>133.36000000000001</v>
      </c>
      <c r="AG148" s="107">
        <v>63.64</v>
      </c>
      <c r="AH148" s="107">
        <f t="shared" si="27"/>
        <v>1402.329</v>
      </c>
    </row>
    <row r="149" spans="1:34" ht="15">
      <c r="A149" s="363" t="s">
        <v>155</v>
      </c>
      <c r="B149" s="162">
        <f t="shared" si="26"/>
        <v>1719.9739999999997</v>
      </c>
      <c r="C149" s="103">
        <v>29.11</v>
      </c>
      <c r="D149" s="53">
        <v>142.88999999999999</v>
      </c>
      <c r="E149" s="53"/>
      <c r="F149" s="53"/>
      <c r="G149" s="53">
        <v>52.2</v>
      </c>
      <c r="H149" s="53">
        <v>139.76</v>
      </c>
      <c r="I149" s="53">
        <v>199.78</v>
      </c>
      <c r="J149" s="53">
        <v>0</v>
      </c>
      <c r="K149" s="53">
        <v>215.4</v>
      </c>
      <c r="L149" s="53">
        <v>133.845</v>
      </c>
      <c r="M149" s="53">
        <v>124.82299999999999</v>
      </c>
      <c r="N149" s="53">
        <v>124.934</v>
      </c>
      <c r="O149" s="53"/>
      <c r="P149" s="53">
        <v>17.725000000000001</v>
      </c>
      <c r="Q149" s="53">
        <v>57.795000000000002</v>
      </c>
      <c r="R149" s="53">
        <v>22.78</v>
      </c>
      <c r="S149" s="53"/>
      <c r="T149" s="53"/>
      <c r="U149" s="53">
        <v>61.6</v>
      </c>
      <c r="V149" s="53"/>
      <c r="W149" s="53">
        <v>28.81</v>
      </c>
      <c r="X149" s="53"/>
      <c r="Y149" s="53"/>
      <c r="Z149" s="53">
        <v>64.893000000000001</v>
      </c>
      <c r="AA149" s="53"/>
      <c r="AB149" s="53">
        <v>70.075000000000003</v>
      </c>
      <c r="AC149" s="53">
        <v>20.47</v>
      </c>
      <c r="AD149" s="53"/>
      <c r="AE149" s="107">
        <v>144.45500000000001</v>
      </c>
      <c r="AF149" s="53">
        <v>68.629000000000005</v>
      </c>
      <c r="AG149" s="107"/>
      <c r="AH149" s="107">
        <f t="shared" si="27"/>
        <v>1719.9739999999997</v>
      </c>
    </row>
    <row r="150" spans="1:34" ht="15">
      <c r="A150" s="363" t="s">
        <v>156</v>
      </c>
      <c r="B150" s="162">
        <f t="shared" si="26"/>
        <v>2534.8399999999997</v>
      </c>
      <c r="C150" s="103">
        <v>225</v>
      </c>
      <c r="D150" s="53"/>
      <c r="E150" s="53"/>
      <c r="F150" s="53">
        <v>59.991</v>
      </c>
      <c r="G150" s="53">
        <v>113.66</v>
      </c>
      <c r="H150" s="53">
        <v>43.075000000000003</v>
      </c>
      <c r="I150" s="53"/>
      <c r="J150" s="53">
        <v>199.26</v>
      </c>
      <c r="K150" s="53">
        <v>143.81</v>
      </c>
      <c r="L150" s="53">
        <v>94.945999999999998</v>
      </c>
      <c r="M150" s="53">
        <v>155.20099999999999</v>
      </c>
      <c r="N150" s="53"/>
      <c r="O150" s="53">
        <v>56.715000000000003</v>
      </c>
      <c r="P150" s="3027">
        <v>268.714</v>
      </c>
      <c r="Q150" s="3027">
        <v>442.45299999999997</v>
      </c>
      <c r="R150" s="3027">
        <v>0</v>
      </c>
      <c r="S150" s="3027">
        <v>44.69</v>
      </c>
      <c r="T150" s="3027">
        <v>47.64</v>
      </c>
      <c r="U150" s="3027">
        <v>0</v>
      </c>
      <c r="V150" s="3027">
        <v>0</v>
      </c>
      <c r="W150" s="3027">
        <v>0</v>
      </c>
      <c r="X150" s="3027">
        <v>0</v>
      </c>
      <c r="Y150" s="3027">
        <v>0</v>
      </c>
      <c r="Z150" s="3027">
        <v>0</v>
      </c>
      <c r="AA150" s="3027">
        <v>0</v>
      </c>
      <c r="AB150" s="3027">
        <v>0.69799999999999995</v>
      </c>
      <c r="AC150" s="3027">
        <v>117.97199999999999</v>
      </c>
      <c r="AD150" s="3027">
        <v>223.63499999999999</v>
      </c>
      <c r="AE150" s="3027">
        <v>209.04</v>
      </c>
      <c r="AF150" s="3027">
        <v>37.18</v>
      </c>
      <c r="AG150" s="3027">
        <v>51.16</v>
      </c>
      <c r="AH150" s="107">
        <f t="shared" si="27"/>
        <v>2534.8399999999997</v>
      </c>
    </row>
    <row r="151" spans="1:34" ht="15">
      <c r="A151" s="199" t="s">
        <v>144</v>
      </c>
      <c r="B151" s="232">
        <f>SUM(B139:B150)</f>
        <v>25509.674999999999</v>
      </c>
      <c r="C151" s="100">
        <f>SUM(C139:C149)</f>
        <v>221.01499999999999</v>
      </c>
      <c r="D151" s="107">
        <f>SUM(D139:D149)</f>
        <v>570.87300000000005</v>
      </c>
      <c r="E151" s="107">
        <v>0</v>
      </c>
      <c r="F151" s="107">
        <f t="shared" ref="F151:AC151" si="28">SUM(F139:F149)</f>
        <v>780.9559999999999</v>
      </c>
      <c r="G151" s="107">
        <f t="shared" si="28"/>
        <v>1305.5820000000001</v>
      </c>
      <c r="H151" s="107">
        <f t="shared" si="28"/>
        <v>556.05500000000006</v>
      </c>
      <c r="I151" s="107">
        <f t="shared" si="28"/>
        <v>453.96000000000004</v>
      </c>
      <c r="J151" s="107">
        <f t="shared" si="28"/>
        <v>380.53400000000005</v>
      </c>
      <c r="K151" s="107">
        <f t="shared" si="28"/>
        <v>1093.5050000000001</v>
      </c>
      <c r="L151" s="107">
        <f t="shared" si="28"/>
        <v>991.96</v>
      </c>
      <c r="M151" s="107">
        <f t="shared" si="28"/>
        <v>741.21699999999998</v>
      </c>
      <c r="N151" s="107">
        <f t="shared" si="28"/>
        <v>904.899</v>
      </c>
      <c r="O151" s="107">
        <f t="shared" si="28"/>
        <v>965.89200000000005</v>
      </c>
      <c r="P151" s="107">
        <f t="shared" si="28"/>
        <v>722.875</v>
      </c>
      <c r="Q151" s="107">
        <f t="shared" si="28"/>
        <v>459.26000000000005</v>
      </c>
      <c r="R151" s="107">
        <f t="shared" si="28"/>
        <v>837.12199999999996</v>
      </c>
      <c r="S151" s="107">
        <f t="shared" si="28"/>
        <v>615.55999999999995</v>
      </c>
      <c r="T151" s="107">
        <f t="shared" si="28"/>
        <v>582.15</v>
      </c>
      <c r="U151" s="107">
        <f t="shared" si="28"/>
        <v>407.82500000000005</v>
      </c>
      <c r="V151" s="107">
        <f t="shared" si="28"/>
        <v>704.25500000000011</v>
      </c>
      <c r="W151" s="107">
        <f t="shared" si="28"/>
        <v>1161.453</v>
      </c>
      <c r="X151" s="107">
        <f t="shared" si="28"/>
        <v>555.375</v>
      </c>
      <c r="Y151" s="107">
        <f t="shared" si="28"/>
        <v>1355.075</v>
      </c>
      <c r="Z151" s="107">
        <f t="shared" si="28"/>
        <v>916.77200000000005</v>
      </c>
      <c r="AA151" s="107">
        <f t="shared" si="28"/>
        <v>790.71900000000005</v>
      </c>
      <c r="AB151" s="107">
        <f t="shared" si="28"/>
        <v>1068.4100000000001</v>
      </c>
      <c r="AC151" s="107">
        <f t="shared" si="28"/>
        <v>912.97500000000002</v>
      </c>
      <c r="AD151" s="107">
        <v>0</v>
      </c>
      <c r="AE151" s="107">
        <f>SUM(AE139:AE149)</f>
        <v>910.45</v>
      </c>
      <c r="AF151" s="107">
        <f>SUM(AF139:AF149)</f>
        <v>231.423</v>
      </c>
      <c r="AG151" s="107">
        <f>SUM(AG139:AG149)</f>
        <v>248.50299999999999</v>
      </c>
      <c r="AH151" s="100">
        <f>SUM(AH139:AH150)</f>
        <v>25509.674999999999</v>
      </c>
    </row>
    <row r="152" spans="1:34" ht="5.0999999999999996" customHeight="1">
      <c r="A152" s="104"/>
      <c r="B152" s="105"/>
      <c r="C152" s="1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c r="AB152" s="106"/>
      <c r="AC152" s="106"/>
      <c r="AD152" s="106"/>
      <c r="AE152" s="106"/>
      <c r="AF152" s="106"/>
      <c r="AG152" s="106"/>
      <c r="AH152" s="16"/>
    </row>
    <row r="153" spans="1:34" ht="15">
      <c r="A153" s="3854" t="s">
        <v>289</v>
      </c>
      <c r="B153" s="3855"/>
      <c r="C153" s="3855"/>
      <c r="D153" s="3855"/>
      <c r="E153" s="3855"/>
      <c r="F153" s="3855"/>
      <c r="G153" s="3855"/>
      <c r="H153" s="3856"/>
      <c r="I153" s="3313"/>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row>
    <row r="154" spans="1:34" ht="15">
      <c r="A154" s="8" t="s">
        <v>142</v>
      </c>
      <c r="B154" s="8" t="s">
        <v>143</v>
      </c>
      <c r="C154" s="2907">
        <v>1</v>
      </c>
      <c r="D154" s="73">
        <v>2</v>
      </c>
      <c r="E154" s="73">
        <v>3</v>
      </c>
      <c r="F154" s="73">
        <v>4</v>
      </c>
      <c r="G154" s="73">
        <v>5</v>
      </c>
      <c r="H154" s="73">
        <v>6</v>
      </c>
      <c r="I154" s="73">
        <v>7</v>
      </c>
      <c r="J154" s="73">
        <v>8</v>
      </c>
      <c r="K154" s="73">
        <v>9</v>
      </c>
      <c r="L154" s="73">
        <v>10</v>
      </c>
      <c r="M154" s="73">
        <v>11</v>
      </c>
      <c r="N154" s="73">
        <v>12</v>
      </c>
      <c r="O154" s="73">
        <v>13</v>
      </c>
      <c r="P154" s="73">
        <v>14</v>
      </c>
      <c r="Q154" s="73">
        <v>15</v>
      </c>
      <c r="R154" s="73">
        <v>16</v>
      </c>
      <c r="S154" s="73">
        <v>17</v>
      </c>
      <c r="T154" s="73">
        <v>18</v>
      </c>
      <c r="U154" s="73">
        <v>19</v>
      </c>
      <c r="V154" s="73">
        <v>20</v>
      </c>
      <c r="W154" s="73">
        <v>21</v>
      </c>
      <c r="X154" s="73">
        <v>22</v>
      </c>
      <c r="Y154" s="73">
        <v>23</v>
      </c>
      <c r="Z154" s="73">
        <v>24</v>
      </c>
      <c r="AA154" s="73">
        <v>25</v>
      </c>
      <c r="AB154" s="73">
        <v>26</v>
      </c>
      <c r="AC154" s="73">
        <v>27</v>
      </c>
      <c r="AD154" s="73">
        <v>28</v>
      </c>
      <c r="AE154" s="73">
        <v>29</v>
      </c>
      <c r="AF154" s="73">
        <v>30</v>
      </c>
      <c r="AG154" s="73">
        <v>31</v>
      </c>
      <c r="AH154" s="88" t="s">
        <v>144</v>
      </c>
    </row>
    <row r="155" spans="1:34" ht="15">
      <c r="A155" s="414" t="s">
        <v>145</v>
      </c>
      <c r="B155" s="53">
        <f t="shared" ref="B155:B166" si="29">+AH155</f>
        <v>0</v>
      </c>
      <c r="C155" s="188" t="s">
        <v>311</v>
      </c>
      <c r="D155" s="188" t="s">
        <v>311</v>
      </c>
      <c r="E155" s="188" t="s">
        <v>311</v>
      </c>
      <c r="F155" s="188" t="s">
        <v>311</v>
      </c>
      <c r="G155" s="188" t="s">
        <v>311</v>
      </c>
      <c r="H155" s="188" t="s">
        <v>311</v>
      </c>
      <c r="I155" s="188" t="s">
        <v>311</v>
      </c>
      <c r="J155" s="306"/>
      <c r="K155" s="306"/>
      <c r="L155" s="306"/>
      <c r="M155" s="306"/>
      <c r="N155" s="306"/>
      <c r="O155" s="306"/>
      <c r="P155" s="306"/>
      <c r="Q155" s="306"/>
      <c r="R155" s="306"/>
      <c r="S155" s="306"/>
      <c r="T155" s="306"/>
      <c r="U155" s="306"/>
      <c r="V155" s="306"/>
      <c r="W155" s="306"/>
      <c r="X155" s="306"/>
      <c r="Y155" s="306"/>
      <c r="Z155" s="306"/>
      <c r="AA155" s="306"/>
      <c r="AB155" s="306"/>
      <c r="AC155" s="306"/>
      <c r="AD155" s="306"/>
      <c r="AE155" s="306"/>
      <c r="AF155" s="306"/>
      <c r="AG155" s="306"/>
      <c r="AH155" s="107">
        <f>SUM(C155:AG155)</f>
        <v>0</v>
      </c>
    </row>
    <row r="156" spans="1:34" ht="15">
      <c r="A156" s="414" t="s">
        <v>146</v>
      </c>
      <c r="B156" s="162">
        <f t="shared" si="29"/>
        <v>7.0000000000000001E-3</v>
      </c>
      <c r="C156" s="306"/>
      <c r="D156" s="306"/>
      <c r="E156" s="306"/>
      <c r="F156" s="306"/>
      <c r="G156" s="306"/>
      <c r="H156" s="306"/>
      <c r="I156" s="306"/>
      <c r="J156" s="306"/>
      <c r="K156" s="306"/>
      <c r="L156" s="306"/>
      <c r="M156" s="306"/>
      <c r="N156" s="306"/>
      <c r="O156" s="306"/>
      <c r="P156" s="306"/>
      <c r="Q156" s="306">
        <v>7.0000000000000001E-3</v>
      </c>
      <c r="R156" s="306"/>
      <c r="S156" s="306"/>
      <c r="T156" s="306"/>
      <c r="U156" s="306"/>
      <c r="V156" s="306"/>
      <c r="W156" s="306"/>
      <c r="X156" s="306"/>
      <c r="Y156" s="306"/>
      <c r="Z156" s="306"/>
      <c r="AA156" s="306"/>
      <c r="AB156" s="306"/>
      <c r="AC156" s="306"/>
      <c r="AD156" s="306"/>
      <c r="AE156" s="306"/>
      <c r="AF156" s="306"/>
      <c r="AG156" s="306"/>
      <c r="AH156" s="107">
        <f t="shared" ref="AH156:AH166" si="30">SUM(C156:AG156)</f>
        <v>7.0000000000000001E-3</v>
      </c>
    </row>
    <row r="157" spans="1:34" ht="15">
      <c r="A157" s="414" t="s">
        <v>147</v>
      </c>
      <c r="B157" s="53">
        <f t="shared" si="29"/>
        <v>1.4E-2</v>
      </c>
      <c r="C157" s="306"/>
      <c r="D157" s="306"/>
      <c r="E157" s="306"/>
      <c r="F157" s="306"/>
      <c r="G157" s="306"/>
      <c r="H157" s="315"/>
      <c r="I157" s="315"/>
      <c r="J157" s="107"/>
      <c r="K157" s="107"/>
      <c r="L157" s="107"/>
      <c r="M157" s="107"/>
      <c r="N157" s="107"/>
      <c r="O157" s="107"/>
      <c r="P157" s="107"/>
      <c r="Q157" s="107">
        <v>7.0000000000000001E-3</v>
      </c>
      <c r="R157" s="107">
        <v>7.0000000000000001E-3</v>
      </c>
      <c r="S157" s="107"/>
      <c r="T157" s="107"/>
      <c r="U157" s="107"/>
      <c r="V157" s="107"/>
      <c r="W157" s="107"/>
      <c r="X157" s="107"/>
      <c r="Y157" s="107"/>
      <c r="Z157" s="107"/>
      <c r="AA157" s="107"/>
      <c r="AB157" s="107"/>
      <c r="AC157" s="188" t="s">
        <v>311</v>
      </c>
      <c r="AD157" s="188" t="s">
        <v>311</v>
      </c>
      <c r="AE157" s="188" t="s">
        <v>311</v>
      </c>
      <c r="AF157" s="188" t="s">
        <v>311</v>
      </c>
      <c r="AG157" s="188" t="s">
        <v>311</v>
      </c>
      <c r="AH157" s="107">
        <f t="shared" si="30"/>
        <v>1.4E-2</v>
      </c>
    </row>
    <row r="158" spans="1:34" ht="15">
      <c r="A158" s="414" t="s">
        <v>148</v>
      </c>
      <c r="B158" s="53">
        <f t="shared" si="29"/>
        <v>2.1000000000000001E-2</v>
      </c>
      <c r="C158" s="188" t="s">
        <v>311</v>
      </c>
      <c r="D158" s="188" t="s">
        <v>311</v>
      </c>
      <c r="E158" s="188" t="s">
        <v>311</v>
      </c>
      <c r="F158" s="188" t="s">
        <v>311</v>
      </c>
      <c r="G158" s="188" t="s">
        <v>311</v>
      </c>
      <c r="H158" s="188" t="s">
        <v>311</v>
      </c>
      <c r="I158" s="188" t="s">
        <v>311</v>
      </c>
      <c r="J158" s="188" t="s">
        <v>311</v>
      </c>
      <c r="K158" s="188" t="s">
        <v>311</v>
      </c>
      <c r="L158" s="107"/>
      <c r="M158" s="107"/>
      <c r="N158" s="107"/>
      <c r="O158" s="107"/>
      <c r="P158" s="107"/>
      <c r="Q158" s="107"/>
      <c r="R158" s="107"/>
      <c r="S158" s="107"/>
      <c r="T158" s="107"/>
      <c r="U158" s="107"/>
      <c r="V158" s="107"/>
      <c r="W158" s="107"/>
      <c r="X158" s="107"/>
      <c r="Y158" s="107"/>
      <c r="Z158" s="107"/>
      <c r="AA158" s="107"/>
      <c r="AB158" s="107">
        <v>1.4E-2</v>
      </c>
      <c r="AC158" s="107"/>
      <c r="AD158" s="107"/>
      <c r="AE158" s="107"/>
      <c r="AF158" s="107">
        <v>7.0000000000000001E-3</v>
      </c>
      <c r="AG158" s="107"/>
      <c r="AH158" s="107">
        <f>SUM(C158:AG158)</f>
        <v>2.1000000000000001E-2</v>
      </c>
    </row>
    <row r="159" spans="1:34" ht="15">
      <c r="A159" s="375" t="s">
        <v>149</v>
      </c>
      <c r="B159" s="53">
        <f t="shared" si="29"/>
        <v>0</v>
      </c>
      <c r="C159" s="103"/>
      <c r="D159" s="53"/>
      <c r="E159" s="53"/>
      <c r="F159" s="53"/>
      <c r="G159" s="53"/>
      <c r="H159" s="53"/>
      <c r="I159" s="53"/>
      <c r="J159" s="107"/>
      <c r="K159" s="107"/>
      <c r="L159" s="107"/>
      <c r="M159" s="107"/>
      <c r="N159" s="107"/>
      <c r="O159" s="107"/>
      <c r="P159" s="107"/>
      <c r="Q159" s="107"/>
      <c r="R159" s="107"/>
      <c r="S159" s="107"/>
      <c r="T159" s="107"/>
      <c r="U159" s="107"/>
      <c r="V159" s="107"/>
      <c r="W159" s="107"/>
      <c r="X159" s="107"/>
      <c r="Y159" s="107"/>
      <c r="Z159" s="107"/>
      <c r="AA159" s="107"/>
      <c r="AB159" s="107"/>
      <c r="AC159" s="107"/>
      <c r="AD159" s="107"/>
      <c r="AE159" s="107"/>
      <c r="AF159" s="107"/>
      <c r="AG159" s="107"/>
      <c r="AH159" s="107">
        <f t="shared" si="30"/>
        <v>0</v>
      </c>
    </row>
    <row r="160" spans="1:34" ht="15">
      <c r="A160" s="375" t="s">
        <v>150</v>
      </c>
      <c r="B160" s="53">
        <f t="shared" si="29"/>
        <v>0</v>
      </c>
      <c r="C160" s="100"/>
      <c r="D160" s="107"/>
      <c r="E160" s="107"/>
      <c r="F160" s="107"/>
      <c r="G160" s="107"/>
      <c r="H160" s="188" t="s">
        <v>162</v>
      </c>
      <c r="I160" s="188" t="s">
        <v>162</v>
      </c>
      <c r="J160" s="188" t="s">
        <v>162</v>
      </c>
      <c r="K160" s="188" t="s">
        <v>162</v>
      </c>
      <c r="L160" s="188" t="s">
        <v>162</v>
      </c>
      <c r="M160" s="188" t="s">
        <v>162</v>
      </c>
      <c r="N160" s="188" t="s">
        <v>162</v>
      </c>
      <c r="O160" s="188" t="s">
        <v>162</v>
      </c>
      <c r="P160" s="188" t="s">
        <v>162</v>
      </c>
      <c r="Q160" s="188" t="s">
        <v>162</v>
      </c>
      <c r="R160" s="188" t="s">
        <v>162</v>
      </c>
      <c r="S160" s="188" t="s">
        <v>162</v>
      </c>
      <c r="T160" s="188" t="s">
        <v>162</v>
      </c>
      <c r="U160" s="188" t="s">
        <v>162</v>
      </c>
      <c r="V160" s="188" t="s">
        <v>162</v>
      </c>
      <c r="W160" s="188" t="s">
        <v>162</v>
      </c>
      <c r="X160" s="188" t="s">
        <v>162</v>
      </c>
      <c r="Y160" s="107"/>
      <c r="Z160" s="107"/>
      <c r="AA160" s="107"/>
      <c r="AB160" s="107"/>
      <c r="AC160" s="107"/>
      <c r="AD160" s="107"/>
      <c r="AE160" s="107"/>
      <c r="AF160" s="107"/>
      <c r="AG160" s="107"/>
      <c r="AH160" s="107">
        <f t="shared" si="30"/>
        <v>0</v>
      </c>
    </row>
    <row r="161" spans="1:34" ht="15">
      <c r="A161" s="375" t="s">
        <v>151</v>
      </c>
      <c r="B161" s="53">
        <f t="shared" si="29"/>
        <v>0</v>
      </c>
      <c r="C161" s="103"/>
      <c r="D161" s="107"/>
      <c r="E161" s="107"/>
      <c r="F161" s="107"/>
      <c r="G161" s="53"/>
      <c r="H161" s="53"/>
      <c r="I161" s="53"/>
      <c r="J161" s="111"/>
      <c r="K161" s="111"/>
      <c r="L161" s="107"/>
      <c r="M161" s="107"/>
      <c r="N161" s="107"/>
      <c r="O161" s="107"/>
      <c r="P161" s="107"/>
      <c r="Q161" s="107"/>
      <c r="R161" s="107"/>
      <c r="S161" s="107"/>
      <c r="T161" s="107"/>
      <c r="U161" s="107"/>
      <c r="V161" s="107"/>
      <c r="W161" s="107"/>
      <c r="X161" s="107"/>
      <c r="Y161" s="107"/>
      <c r="Z161" s="107"/>
      <c r="AA161" s="107"/>
      <c r="AB161" s="107"/>
      <c r="AC161" s="107"/>
      <c r="AD161" s="107"/>
      <c r="AE161" s="107"/>
      <c r="AF161" s="107"/>
      <c r="AG161" s="107"/>
      <c r="AH161" s="107">
        <f t="shared" si="30"/>
        <v>0</v>
      </c>
    </row>
    <row r="162" spans="1:34" ht="15">
      <c r="A162" s="375" t="s">
        <v>152</v>
      </c>
      <c r="B162" s="53">
        <f t="shared" si="29"/>
        <v>0</v>
      </c>
      <c r="C162" s="103"/>
      <c r="D162" s="53"/>
      <c r="E162" s="53"/>
      <c r="F162" s="53"/>
      <c r="G162" s="53"/>
      <c r="H162" s="53"/>
      <c r="I162" s="53"/>
      <c r="J162" s="188" t="s">
        <v>318</v>
      </c>
      <c r="K162" s="188" t="s">
        <v>318</v>
      </c>
      <c r="L162" s="188" t="s">
        <v>318</v>
      </c>
      <c r="M162" s="188" t="s">
        <v>318</v>
      </c>
      <c r="N162" s="188" t="s">
        <v>318</v>
      </c>
      <c r="O162" s="188" t="s">
        <v>318</v>
      </c>
      <c r="P162" s="188" t="s">
        <v>318</v>
      </c>
      <c r="Q162" s="188" t="s">
        <v>318</v>
      </c>
      <c r="R162" s="188" t="s">
        <v>318</v>
      </c>
      <c r="S162" s="188" t="s">
        <v>318</v>
      </c>
      <c r="T162" s="188" t="s">
        <v>318</v>
      </c>
      <c r="U162" s="188" t="s">
        <v>318</v>
      </c>
      <c r="V162" s="188" t="s">
        <v>318</v>
      </c>
      <c r="W162" s="188" t="s">
        <v>318</v>
      </c>
      <c r="X162" s="188" t="s">
        <v>318</v>
      </c>
      <c r="Y162" s="188" t="s">
        <v>318</v>
      </c>
      <c r="Z162" s="188" t="s">
        <v>318</v>
      </c>
      <c r="AA162" s="188" t="s">
        <v>318</v>
      </c>
      <c r="AB162" s="188" t="s">
        <v>318</v>
      </c>
      <c r="AC162" s="188" t="s">
        <v>318</v>
      </c>
      <c r="AD162" s="188" t="s">
        <v>318</v>
      </c>
      <c r="AE162" s="188" t="s">
        <v>318</v>
      </c>
      <c r="AF162" s="188" t="s">
        <v>318</v>
      </c>
      <c r="AG162" s="188" t="s">
        <v>318</v>
      </c>
      <c r="AH162" s="107">
        <f t="shared" si="30"/>
        <v>0</v>
      </c>
    </row>
    <row r="163" spans="1:34" ht="15">
      <c r="A163" s="363" t="s">
        <v>153</v>
      </c>
      <c r="B163" s="53">
        <f t="shared" si="29"/>
        <v>0</v>
      </c>
      <c r="C163" s="188" t="s">
        <v>318</v>
      </c>
      <c r="D163" s="188" t="s">
        <v>318</v>
      </c>
      <c r="E163" s="188" t="s">
        <v>318</v>
      </c>
      <c r="F163" s="188" t="s">
        <v>318</v>
      </c>
      <c r="G163" s="188" t="s">
        <v>318</v>
      </c>
      <c r="H163" s="188" t="s">
        <v>318</v>
      </c>
      <c r="I163" s="188" t="s">
        <v>318</v>
      </c>
      <c r="J163" s="188" t="s">
        <v>318</v>
      </c>
      <c r="K163" s="188" t="s">
        <v>318</v>
      </c>
      <c r="L163" s="188" t="s">
        <v>318</v>
      </c>
      <c r="M163" s="188" t="s">
        <v>318</v>
      </c>
      <c r="N163" s="188" t="s">
        <v>318</v>
      </c>
      <c r="O163" s="188" t="s">
        <v>318</v>
      </c>
      <c r="P163" s="188" t="s">
        <v>318</v>
      </c>
      <c r="Q163" s="188" t="s">
        <v>318</v>
      </c>
      <c r="R163" s="188" t="s">
        <v>318</v>
      </c>
      <c r="S163" s="188" t="s">
        <v>318</v>
      </c>
      <c r="T163" s="188" t="s">
        <v>318</v>
      </c>
      <c r="U163" s="188" t="s">
        <v>318</v>
      </c>
      <c r="V163" s="188" t="s">
        <v>318</v>
      </c>
      <c r="W163" s="188" t="s">
        <v>318</v>
      </c>
      <c r="X163" s="188" t="s">
        <v>318</v>
      </c>
      <c r="Y163" s="188" t="s">
        <v>318</v>
      </c>
      <c r="Z163" s="188" t="s">
        <v>318</v>
      </c>
      <c r="AA163" s="188" t="s">
        <v>318</v>
      </c>
      <c r="AB163" s="188" t="s">
        <v>318</v>
      </c>
      <c r="AC163" s="188" t="s">
        <v>318</v>
      </c>
      <c r="AD163" s="188" t="s">
        <v>318</v>
      </c>
      <c r="AE163" s="188" t="s">
        <v>318</v>
      </c>
      <c r="AF163" s="188" t="s">
        <v>318</v>
      </c>
      <c r="AG163" s="188" t="s">
        <v>318</v>
      </c>
      <c r="AH163" s="107">
        <f t="shared" si="30"/>
        <v>0</v>
      </c>
    </row>
    <row r="164" spans="1:34" ht="15">
      <c r="A164" s="363" t="s">
        <v>154</v>
      </c>
      <c r="B164" s="53">
        <f t="shared" si="29"/>
        <v>0</v>
      </c>
      <c r="C164" s="188" t="s">
        <v>318</v>
      </c>
      <c r="D164" s="188" t="s">
        <v>318</v>
      </c>
      <c r="E164" s="188" t="s">
        <v>318</v>
      </c>
      <c r="F164" s="188" t="s">
        <v>318</v>
      </c>
      <c r="G164" s="188" t="s">
        <v>318</v>
      </c>
      <c r="H164" s="188" t="s">
        <v>318</v>
      </c>
      <c r="I164" s="188" t="s">
        <v>318</v>
      </c>
      <c r="J164" s="188" t="s">
        <v>318</v>
      </c>
      <c r="K164" s="188" t="s">
        <v>318</v>
      </c>
      <c r="L164" s="188" t="s">
        <v>318</v>
      </c>
      <c r="M164" s="188" t="s">
        <v>318</v>
      </c>
      <c r="N164" s="188" t="s">
        <v>318</v>
      </c>
      <c r="O164" s="188" t="s">
        <v>318</v>
      </c>
      <c r="P164" s="188" t="s">
        <v>318</v>
      </c>
      <c r="Q164" s="188" t="s">
        <v>318</v>
      </c>
      <c r="R164" s="188" t="s">
        <v>318</v>
      </c>
      <c r="S164" s="188" t="s">
        <v>318</v>
      </c>
      <c r="T164" s="188" t="s">
        <v>318</v>
      </c>
      <c r="U164" s="188" t="s">
        <v>318</v>
      </c>
      <c r="V164" s="188" t="s">
        <v>318</v>
      </c>
      <c r="W164" s="188" t="s">
        <v>318</v>
      </c>
      <c r="X164" s="53"/>
      <c r="Y164" s="53"/>
      <c r="Z164" s="53"/>
      <c r="AA164" s="53"/>
      <c r="AB164" s="53"/>
      <c r="AC164" s="53"/>
      <c r="AD164" s="53"/>
      <c r="AE164" s="107"/>
      <c r="AF164" s="53"/>
      <c r="AG164" s="107"/>
      <c r="AH164" s="107">
        <f t="shared" si="30"/>
        <v>0</v>
      </c>
    </row>
    <row r="165" spans="1:34" ht="15">
      <c r="A165" s="363" t="s">
        <v>155</v>
      </c>
      <c r="B165" s="53">
        <f t="shared" si="29"/>
        <v>0</v>
      </c>
      <c r="C165" s="103"/>
      <c r="D165" s="53"/>
      <c r="E165" s="53"/>
      <c r="F165" s="53"/>
      <c r="G165" s="53"/>
      <c r="H165" s="53"/>
      <c r="I165" s="53"/>
      <c r="J165" s="53"/>
      <c r="K165" s="53"/>
      <c r="L165" s="53"/>
      <c r="M165" s="53"/>
      <c r="N165" s="53"/>
      <c r="O165" s="53"/>
      <c r="P165" s="53"/>
      <c r="Q165" s="53"/>
      <c r="R165" s="53"/>
      <c r="S165" s="53"/>
      <c r="T165" s="53"/>
      <c r="U165" s="53"/>
      <c r="V165" s="53"/>
      <c r="W165" s="53"/>
      <c r="X165" s="53"/>
      <c r="Y165" s="53"/>
      <c r="Z165" s="53"/>
      <c r="AA165" s="53"/>
      <c r="AB165" s="53"/>
      <c r="AC165" s="53"/>
      <c r="AD165" s="53"/>
      <c r="AE165" s="107"/>
      <c r="AF165" s="53"/>
      <c r="AG165" s="107"/>
      <c r="AH165" s="107">
        <f t="shared" si="30"/>
        <v>0</v>
      </c>
    </row>
    <row r="166" spans="1:34" ht="15">
      <c r="A166" s="363" t="s">
        <v>156</v>
      </c>
      <c r="B166" s="53">
        <f t="shared" si="29"/>
        <v>0</v>
      </c>
      <c r="C166" s="103"/>
      <c r="D166" s="53"/>
      <c r="E166" s="53"/>
      <c r="F166" s="53"/>
      <c r="G166" s="53"/>
      <c r="H166" s="53"/>
      <c r="I166" s="53"/>
      <c r="J166" s="53"/>
      <c r="K166" s="53"/>
      <c r="L166" s="53"/>
      <c r="M166" s="53"/>
      <c r="N166" s="53"/>
      <c r="O166" s="53"/>
      <c r="P166" s="3027">
        <v>0</v>
      </c>
      <c r="Q166" s="3027">
        <v>0</v>
      </c>
      <c r="R166" s="3027">
        <v>0</v>
      </c>
      <c r="S166" s="3027">
        <v>0</v>
      </c>
      <c r="T166" s="3027">
        <v>0</v>
      </c>
      <c r="U166" s="3027">
        <v>0</v>
      </c>
      <c r="V166" s="3027">
        <v>0</v>
      </c>
      <c r="W166" s="3027">
        <v>0</v>
      </c>
      <c r="X166" s="3027">
        <v>0</v>
      </c>
      <c r="Y166" s="3027">
        <v>0</v>
      </c>
      <c r="Z166" s="3027">
        <v>0</v>
      </c>
      <c r="AA166" s="3027">
        <v>0</v>
      </c>
      <c r="AB166" s="3027">
        <v>0</v>
      </c>
      <c r="AC166" s="3027">
        <v>0</v>
      </c>
      <c r="AD166" s="3027">
        <v>0</v>
      </c>
      <c r="AE166" s="3027">
        <v>0</v>
      </c>
      <c r="AF166" s="3027">
        <v>0</v>
      </c>
      <c r="AG166" s="3027">
        <v>0</v>
      </c>
      <c r="AH166" s="107">
        <f t="shared" si="30"/>
        <v>0</v>
      </c>
    </row>
    <row r="167" spans="1:34" ht="15">
      <c r="A167" s="199" t="s">
        <v>144</v>
      </c>
      <c r="B167" s="232">
        <f>SUM(B155:B166)</f>
        <v>4.2000000000000003E-2</v>
      </c>
      <c r="C167" s="100">
        <f>SUM(C155:C165)</f>
        <v>0</v>
      </c>
      <c r="D167" s="107">
        <f>SUM(D155:D165)</f>
        <v>0</v>
      </c>
      <c r="E167" s="107">
        <v>0</v>
      </c>
      <c r="F167" s="107">
        <f t="shared" ref="F167:AC167" si="31">SUM(F155:F165)</f>
        <v>0</v>
      </c>
      <c r="G167" s="107">
        <f t="shared" si="31"/>
        <v>0</v>
      </c>
      <c r="H167" s="107">
        <f t="shared" si="31"/>
        <v>0</v>
      </c>
      <c r="I167" s="107">
        <f t="shared" si="31"/>
        <v>0</v>
      </c>
      <c r="J167" s="107">
        <f t="shared" si="31"/>
        <v>0</v>
      </c>
      <c r="K167" s="107">
        <f t="shared" si="31"/>
        <v>0</v>
      </c>
      <c r="L167" s="107">
        <f t="shared" si="31"/>
        <v>0</v>
      </c>
      <c r="M167" s="107">
        <f t="shared" si="31"/>
        <v>0</v>
      </c>
      <c r="N167" s="107">
        <f t="shared" si="31"/>
        <v>0</v>
      </c>
      <c r="O167" s="107">
        <f t="shared" si="31"/>
        <v>0</v>
      </c>
      <c r="P167" s="107">
        <f t="shared" si="31"/>
        <v>0</v>
      </c>
      <c r="Q167" s="107">
        <f t="shared" si="31"/>
        <v>1.4E-2</v>
      </c>
      <c r="R167" s="107">
        <f t="shared" si="31"/>
        <v>7.0000000000000001E-3</v>
      </c>
      <c r="S167" s="107">
        <f t="shared" si="31"/>
        <v>0</v>
      </c>
      <c r="T167" s="107">
        <f t="shared" si="31"/>
        <v>0</v>
      </c>
      <c r="U167" s="107">
        <f t="shared" si="31"/>
        <v>0</v>
      </c>
      <c r="V167" s="107">
        <f t="shared" si="31"/>
        <v>0</v>
      </c>
      <c r="W167" s="107">
        <f t="shared" si="31"/>
        <v>0</v>
      </c>
      <c r="X167" s="107">
        <f t="shared" si="31"/>
        <v>0</v>
      </c>
      <c r="Y167" s="107">
        <f t="shared" si="31"/>
        <v>0</v>
      </c>
      <c r="Z167" s="107">
        <f t="shared" si="31"/>
        <v>0</v>
      </c>
      <c r="AA167" s="107">
        <f t="shared" si="31"/>
        <v>0</v>
      </c>
      <c r="AB167" s="107">
        <f t="shared" si="31"/>
        <v>1.4E-2</v>
      </c>
      <c r="AC167" s="107">
        <f t="shared" si="31"/>
        <v>0</v>
      </c>
      <c r="AD167" s="107">
        <v>0</v>
      </c>
      <c r="AE167" s="107">
        <f>SUM(AE155:AE165)</f>
        <v>0</v>
      </c>
      <c r="AF167" s="107">
        <f>SUM(AF155:AF165)</f>
        <v>7.0000000000000001E-3</v>
      </c>
      <c r="AG167" s="107">
        <f>SUM(AG155:AG165)</f>
        <v>0</v>
      </c>
      <c r="AH167" s="100">
        <f>SUM(AH155:AH165)</f>
        <v>4.2000000000000003E-2</v>
      </c>
    </row>
    <row r="168" spans="1:34" ht="5.0999999999999996" customHeight="1">
      <c r="A168" s="104"/>
      <c r="B168" s="112"/>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c r="AA168" s="106"/>
      <c r="AB168" s="106"/>
      <c r="AC168" s="106"/>
      <c r="AD168" s="106"/>
      <c r="AE168" s="106"/>
      <c r="AF168" s="106"/>
      <c r="AG168" s="106"/>
      <c r="AH168" s="106"/>
    </row>
    <row r="169" spans="1:34" ht="15">
      <c r="A169" s="3854" t="s">
        <v>290</v>
      </c>
      <c r="B169" s="3855"/>
      <c r="C169" s="3855"/>
      <c r="D169" s="3855"/>
      <c r="E169" s="3855"/>
      <c r="F169" s="3855"/>
      <c r="G169" s="3855"/>
      <c r="H169" s="3856"/>
      <c r="I169" s="3313"/>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row>
    <row r="170" spans="1:34" ht="15">
      <c r="A170" s="8" t="s">
        <v>161</v>
      </c>
      <c r="B170" s="8" t="s">
        <v>143</v>
      </c>
      <c r="C170" s="2907">
        <v>1</v>
      </c>
      <c r="D170" s="314">
        <v>2</v>
      </c>
      <c r="E170" s="73">
        <v>3</v>
      </c>
      <c r="F170" s="73">
        <v>4</v>
      </c>
      <c r="G170" s="73">
        <v>5</v>
      </c>
      <c r="H170" s="73">
        <v>6</v>
      </c>
      <c r="I170" s="73">
        <v>7</v>
      </c>
      <c r="J170" s="73">
        <v>8</v>
      </c>
      <c r="K170" s="73">
        <v>9</v>
      </c>
      <c r="L170" s="73">
        <v>10</v>
      </c>
      <c r="M170" s="73">
        <v>11</v>
      </c>
      <c r="N170" s="73">
        <v>12</v>
      </c>
      <c r="O170" s="73">
        <v>13</v>
      </c>
      <c r="P170" s="73">
        <v>14</v>
      </c>
      <c r="Q170" s="73">
        <v>15</v>
      </c>
      <c r="R170" s="73">
        <v>16</v>
      </c>
      <c r="S170" s="73">
        <v>17</v>
      </c>
      <c r="T170" s="73">
        <v>18</v>
      </c>
      <c r="U170" s="73">
        <v>19</v>
      </c>
      <c r="V170" s="73">
        <v>20</v>
      </c>
      <c r="W170" s="73">
        <v>21</v>
      </c>
      <c r="X170" s="73">
        <v>22</v>
      </c>
      <c r="Y170" s="73">
        <v>23</v>
      </c>
      <c r="Z170" s="73">
        <v>24</v>
      </c>
      <c r="AA170" s="73">
        <v>25</v>
      </c>
      <c r="AB170" s="73">
        <v>26</v>
      </c>
      <c r="AC170" s="73">
        <v>27</v>
      </c>
      <c r="AD170" s="73">
        <v>28</v>
      </c>
      <c r="AE170" s="73">
        <v>29</v>
      </c>
      <c r="AF170" s="73">
        <v>30</v>
      </c>
      <c r="AG170" s="73">
        <v>31</v>
      </c>
      <c r="AH170" s="88" t="s">
        <v>144</v>
      </c>
    </row>
    <row r="171" spans="1:34" ht="15">
      <c r="A171" s="414" t="s">
        <v>145</v>
      </c>
      <c r="B171" s="53">
        <f t="shared" ref="B171:B182" si="32">+AH171</f>
        <v>0</v>
      </c>
      <c r="C171" s="188" t="s">
        <v>311</v>
      </c>
      <c r="D171" s="188" t="s">
        <v>311</v>
      </c>
      <c r="E171" s="188" t="s">
        <v>311</v>
      </c>
      <c r="F171" s="188" t="s">
        <v>311</v>
      </c>
      <c r="G171" s="188" t="s">
        <v>311</v>
      </c>
      <c r="H171" s="188" t="s">
        <v>311</v>
      </c>
      <c r="I171" s="188" t="s">
        <v>311</v>
      </c>
      <c r="J171" s="306"/>
      <c r="K171" s="306"/>
      <c r="L171" s="306"/>
      <c r="M171" s="306"/>
      <c r="N171" s="306"/>
      <c r="O171" s="306"/>
      <c r="P171" s="306"/>
      <c r="Q171" s="306"/>
      <c r="R171" s="306"/>
      <c r="S171" s="306"/>
      <c r="T171" s="306"/>
      <c r="U171" s="306"/>
      <c r="V171" s="306"/>
      <c r="W171" s="306"/>
      <c r="X171" s="306"/>
      <c r="Y171" s="306"/>
      <c r="Z171" s="306"/>
      <c r="AA171" s="306"/>
      <c r="AB171" s="306"/>
      <c r="AC171" s="306"/>
      <c r="AD171" s="306"/>
      <c r="AE171" s="306"/>
      <c r="AF171" s="306"/>
      <c r="AG171" s="306"/>
      <c r="AH171" s="107">
        <f>SUM(C171:AG171)</f>
        <v>0</v>
      </c>
    </row>
    <row r="172" spans="1:34" ht="15">
      <c r="A172" s="414" t="s">
        <v>146</v>
      </c>
      <c r="B172" s="53">
        <f t="shared" si="32"/>
        <v>0</v>
      </c>
      <c r="C172" s="306"/>
      <c r="D172" s="306"/>
      <c r="E172" s="306"/>
      <c r="F172" s="306"/>
      <c r="G172" s="306"/>
      <c r="H172" s="306"/>
      <c r="I172" s="306"/>
      <c r="J172" s="306"/>
      <c r="K172" s="306"/>
      <c r="L172" s="306"/>
      <c r="M172" s="306"/>
      <c r="N172" s="306"/>
      <c r="O172" s="306"/>
      <c r="P172" s="306"/>
      <c r="Q172" s="306"/>
      <c r="R172" s="306"/>
      <c r="S172" s="306"/>
      <c r="T172" s="306"/>
      <c r="U172" s="306"/>
      <c r="V172" s="306"/>
      <c r="W172" s="306"/>
      <c r="X172" s="306"/>
      <c r="Y172" s="306"/>
      <c r="Z172" s="306"/>
      <c r="AA172" s="306"/>
      <c r="AB172" s="306"/>
      <c r="AC172" s="306"/>
      <c r="AD172" s="306"/>
      <c r="AE172" s="306"/>
      <c r="AF172" s="306"/>
      <c r="AG172" s="306"/>
      <c r="AH172" s="107">
        <f t="shared" ref="AH172:AH182" si="33">SUM(C172:AG172)</f>
        <v>0</v>
      </c>
    </row>
    <row r="173" spans="1:34" ht="15">
      <c r="A173" s="414" t="s">
        <v>147</v>
      </c>
      <c r="B173" s="53">
        <f t="shared" si="32"/>
        <v>0</v>
      </c>
      <c r="C173" s="306"/>
      <c r="D173" s="306"/>
      <c r="E173" s="306"/>
      <c r="F173" s="306"/>
      <c r="G173" s="306"/>
      <c r="H173" s="315"/>
      <c r="I173" s="315"/>
      <c r="J173" s="107"/>
      <c r="K173" s="107"/>
      <c r="L173" s="107"/>
      <c r="M173" s="107"/>
      <c r="N173" s="107"/>
      <c r="O173" s="107"/>
      <c r="P173" s="107"/>
      <c r="Q173" s="107"/>
      <c r="R173" s="107"/>
      <c r="S173" s="107"/>
      <c r="T173" s="107"/>
      <c r="U173" s="107"/>
      <c r="V173" s="107"/>
      <c r="W173" s="107"/>
      <c r="X173" s="107"/>
      <c r="Y173" s="107"/>
      <c r="Z173" s="107"/>
      <c r="AA173" s="107"/>
      <c r="AB173" s="107"/>
      <c r="AC173" s="188" t="s">
        <v>311</v>
      </c>
      <c r="AD173" s="188" t="s">
        <v>311</v>
      </c>
      <c r="AE173" s="188" t="s">
        <v>311</v>
      </c>
      <c r="AF173" s="188" t="s">
        <v>311</v>
      </c>
      <c r="AG173" s="188" t="s">
        <v>311</v>
      </c>
      <c r="AH173" s="107">
        <f t="shared" si="33"/>
        <v>0</v>
      </c>
    </row>
    <row r="174" spans="1:34" ht="15">
      <c r="A174" s="414" t="s">
        <v>148</v>
      </c>
      <c r="B174" s="53">
        <f t="shared" si="32"/>
        <v>0</v>
      </c>
      <c r="C174" s="188" t="s">
        <v>311</v>
      </c>
      <c r="D174" s="188" t="s">
        <v>311</v>
      </c>
      <c r="E174" s="188" t="s">
        <v>311</v>
      </c>
      <c r="F174" s="188" t="s">
        <v>311</v>
      </c>
      <c r="G174" s="188" t="s">
        <v>311</v>
      </c>
      <c r="H174" s="188" t="s">
        <v>311</v>
      </c>
      <c r="I174" s="188" t="s">
        <v>311</v>
      </c>
      <c r="J174" s="188" t="s">
        <v>311</v>
      </c>
      <c r="K174" s="188" t="s">
        <v>311</v>
      </c>
      <c r="L174" s="107"/>
      <c r="M174" s="107"/>
      <c r="N174" s="107"/>
      <c r="O174" s="107"/>
      <c r="P174" s="107"/>
      <c r="Q174" s="107"/>
      <c r="R174" s="107"/>
      <c r="S174" s="107"/>
      <c r="T174" s="107"/>
      <c r="U174" s="107"/>
      <c r="V174" s="107"/>
      <c r="W174" s="107"/>
      <c r="X174" s="107"/>
      <c r="Y174" s="107"/>
      <c r="Z174" s="107"/>
      <c r="AA174" s="107"/>
      <c r="AB174" s="107"/>
      <c r="AC174" s="107"/>
      <c r="AD174" s="107"/>
      <c r="AE174" s="107"/>
      <c r="AF174" s="107"/>
      <c r="AG174" s="107"/>
      <c r="AH174" s="107">
        <f t="shared" si="33"/>
        <v>0</v>
      </c>
    </row>
    <row r="175" spans="1:34" ht="15">
      <c r="A175" s="375" t="s">
        <v>149</v>
      </c>
      <c r="B175" s="53">
        <f t="shared" si="32"/>
        <v>0</v>
      </c>
      <c r="C175" s="103"/>
      <c r="D175" s="53"/>
      <c r="E175" s="53"/>
      <c r="F175" s="53"/>
      <c r="G175" s="53"/>
      <c r="H175" s="53"/>
      <c r="I175" s="53"/>
      <c r="J175" s="107"/>
      <c r="K175" s="107"/>
      <c r="L175" s="107"/>
      <c r="M175" s="107"/>
      <c r="N175" s="107"/>
      <c r="O175" s="107"/>
      <c r="P175" s="107"/>
      <c r="Q175" s="107"/>
      <c r="R175" s="107"/>
      <c r="S175" s="107"/>
      <c r="T175" s="107"/>
      <c r="U175" s="107"/>
      <c r="V175" s="107"/>
      <c r="W175" s="107"/>
      <c r="X175" s="107"/>
      <c r="Y175" s="107"/>
      <c r="Z175" s="107"/>
      <c r="AA175" s="107"/>
      <c r="AB175" s="107"/>
      <c r="AC175" s="107"/>
      <c r="AD175" s="107"/>
      <c r="AE175" s="107"/>
      <c r="AF175" s="107"/>
      <c r="AG175" s="107"/>
      <c r="AH175" s="107">
        <f t="shared" si="33"/>
        <v>0</v>
      </c>
    </row>
    <row r="176" spans="1:34" ht="15">
      <c r="A176" s="375" t="s">
        <v>150</v>
      </c>
      <c r="B176" s="53">
        <f t="shared" si="32"/>
        <v>0</v>
      </c>
      <c r="C176" s="100"/>
      <c r="D176" s="107"/>
      <c r="E176" s="107"/>
      <c r="F176" s="107"/>
      <c r="G176" s="107"/>
      <c r="H176" s="188" t="s">
        <v>162</v>
      </c>
      <c r="I176" s="188" t="s">
        <v>162</v>
      </c>
      <c r="J176" s="188" t="s">
        <v>162</v>
      </c>
      <c r="K176" s="188" t="s">
        <v>162</v>
      </c>
      <c r="L176" s="188" t="s">
        <v>162</v>
      </c>
      <c r="M176" s="188" t="s">
        <v>162</v>
      </c>
      <c r="N176" s="188" t="s">
        <v>162</v>
      </c>
      <c r="O176" s="188" t="s">
        <v>162</v>
      </c>
      <c r="P176" s="188" t="s">
        <v>162</v>
      </c>
      <c r="Q176" s="188" t="s">
        <v>162</v>
      </c>
      <c r="R176" s="188" t="s">
        <v>162</v>
      </c>
      <c r="S176" s="188" t="s">
        <v>162</v>
      </c>
      <c r="T176" s="188" t="s">
        <v>162</v>
      </c>
      <c r="U176" s="188" t="s">
        <v>162</v>
      </c>
      <c r="V176" s="188" t="s">
        <v>162</v>
      </c>
      <c r="W176" s="188" t="s">
        <v>162</v>
      </c>
      <c r="X176" s="188" t="s">
        <v>162</v>
      </c>
      <c r="Y176" s="107"/>
      <c r="Z176" s="107"/>
      <c r="AA176" s="107"/>
      <c r="AB176" s="107"/>
      <c r="AC176" s="107"/>
      <c r="AD176" s="107"/>
      <c r="AE176" s="107"/>
      <c r="AF176" s="107"/>
      <c r="AG176" s="107"/>
      <c r="AH176" s="107">
        <f t="shared" si="33"/>
        <v>0</v>
      </c>
    </row>
    <row r="177" spans="1:34" ht="15">
      <c r="A177" s="375" t="s">
        <v>151</v>
      </c>
      <c r="B177" s="53">
        <f t="shared" si="32"/>
        <v>0</v>
      </c>
      <c r="C177" s="103"/>
      <c r="D177" s="107"/>
      <c r="E177" s="107"/>
      <c r="F177" s="107"/>
      <c r="G177" s="53"/>
      <c r="H177" s="53"/>
      <c r="I177" s="53"/>
      <c r="J177" s="111"/>
      <c r="K177" s="111"/>
      <c r="L177" s="107"/>
      <c r="M177" s="107"/>
      <c r="N177" s="107"/>
      <c r="O177" s="107"/>
      <c r="P177" s="107"/>
      <c r="Q177" s="107"/>
      <c r="R177" s="107"/>
      <c r="S177" s="107"/>
      <c r="T177" s="107"/>
      <c r="U177" s="107"/>
      <c r="V177" s="107"/>
      <c r="W177" s="107"/>
      <c r="X177" s="107"/>
      <c r="Y177" s="107"/>
      <c r="Z177" s="107"/>
      <c r="AA177" s="107"/>
      <c r="AB177" s="107"/>
      <c r="AC177" s="107"/>
      <c r="AD177" s="107"/>
      <c r="AE177" s="107"/>
      <c r="AF177" s="107"/>
      <c r="AG177" s="107"/>
      <c r="AH177" s="107">
        <f t="shared" si="33"/>
        <v>0</v>
      </c>
    </row>
    <row r="178" spans="1:34" ht="15">
      <c r="A178" s="375" t="s">
        <v>152</v>
      </c>
      <c r="B178" s="53">
        <f t="shared" si="32"/>
        <v>0</v>
      </c>
      <c r="C178" s="103"/>
      <c r="D178" s="53"/>
      <c r="E178" s="53"/>
      <c r="F178" s="53"/>
      <c r="G178" s="53"/>
      <c r="H178" s="53"/>
      <c r="I178" s="53"/>
      <c r="J178" s="188" t="s">
        <v>318</v>
      </c>
      <c r="K178" s="188" t="s">
        <v>318</v>
      </c>
      <c r="L178" s="188" t="s">
        <v>318</v>
      </c>
      <c r="M178" s="188" t="s">
        <v>318</v>
      </c>
      <c r="N178" s="188" t="s">
        <v>318</v>
      </c>
      <c r="O178" s="188" t="s">
        <v>318</v>
      </c>
      <c r="P178" s="188" t="s">
        <v>318</v>
      </c>
      <c r="Q178" s="188" t="s">
        <v>318</v>
      </c>
      <c r="R178" s="188" t="s">
        <v>318</v>
      </c>
      <c r="S178" s="188" t="s">
        <v>318</v>
      </c>
      <c r="T178" s="188" t="s">
        <v>318</v>
      </c>
      <c r="U178" s="188" t="s">
        <v>318</v>
      </c>
      <c r="V178" s="188" t="s">
        <v>318</v>
      </c>
      <c r="W178" s="188" t="s">
        <v>318</v>
      </c>
      <c r="X178" s="188" t="s">
        <v>318</v>
      </c>
      <c r="Y178" s="188" t="s">
        <v>318</v>
      </c>
      <c r="Z178" s="188" t="s">
        <v>318</v>
      </c>
      <c r="AA178" s="188" t="s">
        <v>318</v>
      </c>
      <c r="AB178" s="188" t="s">
        <v>318</v>
      </c>
      <c r="AC178" s="188" t="s">
        <v>318</v>
      </c>
      <c r="AD178" s="188" t="s">
        <v>318</v>
      </c>
      <c r="AE178" s="188" t="s">
        <v>318</v>
      </c>
      <c r="AF178" s="188" t="s">
        <v>318</v>
      </c>
      <c r="AG178" s="188" t="s">
        <v>318</v>
      </c>
      <c r="AH178" s="107">
        <f t="shared" si="33"/>
        <v>0</v>
      </c>
    </row>
    <row r="179" spans="1:34" ht="15">
      <c r="A179" s="363" t="s">
        <v>153</v>
      </c>
      <c r="B179" s="53">
        <f t="shared" si="32"/>
        <v>0</v>
      </c>
      <c r="C179" s="188" t="s">
        <v>318</v>
      </c>
      <c r="D179" s="188" t="s">
        <v>318</v>
      </c>
      <c r="E179" s="188" t="s">
        <v>318</v>
      </c>
      <c r="F179" s="188" t="s">
        <v>318</v>
      </c>
      <c r="G179" s="188" t="s">
        <v>318</v>
      </c>
      <c r="H179" s="188" t="s">
        <v>318</v>
      </c>
      <c r="I179" s="188" t="s">
        <v>318</v>
      </c>
      <c r="J179" s="188" t="s">
        <v>318</v>
      </c>
      <c r="K179" s="188" t="s">
        <v>318</v>
      </c>
      <c r="L179" s="188" t="s">
        <v>318</v>
      </c>
      <c r="M179" s="188" t="s">
        <v>318</v>
      </c>
      <c r="N179" s="188" t="s">
        <v>318</v>
      </c>
      <c r="O179" s="188" t="s">
        <v>318</v>
      </c>
      <c r="P179" s="188" t="s">
        <v>318</v>
      </c>
      <c r="Q179" s="188" t="s">
        <v>318</v>
      </c>
      <c r="R179" s="188" t="s">
        <v>318</v>
      </c>
      <c r="S179" s="188" t="s">
        <v>318</v>
      </c>
      <c r="T179" s="188" t="s">
        <v>318</v>
      </c>
      <c r="U179" s="188" t="s">
        <v>318</v>
      </c>
      <c r="V179" s="188" t="s">
        <v>318</v>
      </c>
      <c r="W179" s="188" t="s">
        <v>318</v>
      </c>
      <c r="X179" s="188" t="s">
        <v>318</v>
      </c>
      <c r="Y179" s="188" t="s">
        <v>318</v>
      </c>
      <c r="Z179" s="188" t="s">
        <v>318</v>
      </c>
      <c r="AA179" s="188" t="s">
        <v>318</v>
      </c>
      <c r="AB179" s="188" t="s">
        <v>318</v>
      </c>
      <c r="AC179" s="188" t="s">
        <v>318</v>
      </c>
      <c r="AD179" s="188" t="s">
        <v>318</v>
      </c>
      <c r="AE179" s="188" t="s">
        <v>318</v>
      </c>
      <c r="AF179" s="188" t="s">
        <v>318</v>
      </c>
      <c r="AG179" s="188" t="s">
        <v>318</v>
      </c>
      <c r="AH179" s="107">
        <f t="shared" si="33"/>
        <v>0</v>
      </c>
    </row>
    <row r="180" spans="1:34" ht="15">
      <c r="A180" s="363" t="s">
        <v>154</v>
      </c>
      <c r="B180" s="53">
        <f t="shared" si="32"/>
        <v>0</v>
      </c>
      <c r="C180" s="188" t="s">
        <v>318</v>
      </c>
      <c r="D180" s="188" t="s">
        <v>318</v>
      </c>
      <c r="E180" s="188" t="s">
        <v>318</v>
      </c>
      <c r="F180" s="188" t="s">
        <v>318</v>
      </c>
      <c r="G180" s="188" t="s">
        <v>318</v>
      </c>
      <c r="H180" s="188" t="s">
        <v>318</v>
      </c>
      <c r="I180" s="188" t="s">
        <v>318</v>
      </c>
      <c r="J180" s="188" t="s">
        <v>318</v>
      </c>
      <c r="K180" s="188" t="s">
        <v>318</v>
      </c>
      <c r="L180" s="188" t="s">
        <v>318</v>
      </c>
      <c r="M180" s="188" t="s">
        <v>318</v>
      </c>
      <c r="N180" s="188" t="s">
        <v>318</v>
      </c>
      <c r="O180" s="188" t="s">
        <v>318</v>
      </c>
      <c r="P180" s="188" t="s">
        <v>318</v>
      </c>
      <c r="Q180" s="188" t="s">
        <v>318</v>
      </c>
      <c r="R180" s="188" t="s">
        <v>318</v>
      </c>
      <c r="S180" s="188" t="s">
        <v>318</v>
      </c>
      <c r="T180" s="188" t="s">
        <v>318</v>
      </c>
      <c r="U180" s="188" t="s">
        <v>318</v>
      </c>
      <c r="V180" s="188" t="s">
        <v>318</v>
      </c>
      <c r="W180" s="188" t="s">
        <v>318</v>
      </c>
      <c r="X180" s="53"/>
      <c r="Y180" s="53"/>
      <c r="Z180" s="53"/>
      <c r="AA180" s="53"/>
      <c r="AB180" s="53"/>
      <c r="AC180" s="53"/>
      <c r="AD180" s="53"/>
      <c r="AE180" s="107"/>
      <c r="AF180" s="53"/>
      <c r="AG180" s="107"/>
      <c r="AH180" s="107">
        <f t="shared" si="33"/>
        <v>0</v>
      </c>
    </row>
    <row r="181" spans="1:34" ht="15">
      <c r="A181" s="363" t="s">
        <v>155</v>
      </c>
      <c r="B181" s="53">
        <f t="shared" si="32"/>
        <v>0</v>
      </c>
      <c r="C181" s="103"/>
      <c r="D181" s="53"/>
      <c r="E181" s="53"/>
      <c r="F181" s="53"/>
      <c r="G181" s="53"/>
      <c r="H181" s="53"/>
      <c r="I181" s="53"/>
      <c r="J181" s="53"/>
      <c r="K181" s="53"/>
      <c r="L181" s="53"/>
      <c r="M181" s="53"/>
      <c r="N181" s="53"/>
      <c r="O181" s="53"/>
      <c r="P181" s="53"/>
      <c r="Q181" s="53"/>
      <c r="R181" s="53"/>
      <c r="S181" s="53"/>
      <c r="T181" s="53"/>
      <c r="U181" s="53"/>
      <c r="V181" s="53"/>
      <c r="W181" s="53"/>
      <c r="X181" s="53"/>
      <c r="Y181" s="53"/>
      <c r="Z181" s="53"/>
      <c r="AA181" s="53"/>
      <c r="AB181" s="53"/>
      <c r="AC181" s="53"/>
      <c r="AD181" s="53"/>
      <c r="AE181" s="107"/>
      <c r="AF181" s="53"/>
      <c r="AG181" s="107"/>
      <c r="AH181" s="107">
        <f t="shared" si="33"/>
        <v>0</v>
      </c>
    </row>
    <row r="182" spans="1:34" ht="15">
      <c r="A182" s="363" t="s">
        <v>156</v>
      </c>
      <c r="B182" s="53">
        <f t="shared" si="32"/>
        <v>0</v>
      </c>
      <c r="C182" s="103"/>
      <c r="D182" s="53"/>
      <c r="E182" s="53"/>
      <c r="F182" s="53"/>
      <c r="G182" s="53"/>
      <c r="H182" s="53"/>
      <c r="I182" s="53"/>
      <c r="J182" s="53"/>
      <c r="K182" s="53"/>
      <c r="L182" s="53"/>
      <c r="M182" s="53"/>
      <c r="N182" s="53"/>
      <c r="O182" s="53"/>
      <c r="P182" s="3027">
        <v>0</v>
      </c>
      <c r="Q182" s="3027">
        <v>0</v>
      </c>
      <c r="R182" s="3027">
        <v>0</v>
      </c>
      <c r="S182" s="3027">
        <v>0</v>
      </c>
      <c r="T182" s="3027">
        <v>0</v>
      </c>
      <c r="U182" s="3027">
        <v>0</v>
      </c>
      <c r="V182" s="3027">
        <v>0</v>
      </c>
      <c r="W182" s="3027">
        <v>0</v>
      </c>
      <c r="X182" s="3027">
        <v>0</v>
      </c>
      <c r="Y182" s="3027">
        <v>0</v>
      </c>
      <c r="Z182" s="3027">
        <v>0</v>
      </c>
      <c r="AA182" s="3027">
        <v>0</v>
      </c>
      <c r="AB182" s="3027">
        <v>0</v>
      </c>
      <c r="AC182" s="3027">
        <v>0</v>
      </c>
      <c r="AD182" s="3027">
        <v>0</v>
      </c>
      <c r="AE182" s="3027">
        <v>0</v>
      </c>
      <c r="AF182" s="3027">
        <v>0</v>
      </c>
      <c r="AG182" s="3027">
        <v>0</v>
      </c>
      <c r="AH182" s="107">
        <f t="shared" si="33"/>
        <v>0</v>
      </c>
    </row>
    <row r="183" spans="1:34" ht="15">
      <c r="A183" s="199" t="s">
        <v>144</v>
      </c>
      <c r="B183" s="200">
        <f>SUM(B171:B182)</f>
        <v>0</v>
      </c>
      <c r="C183" s="100">
        <f>SUM(C171:C181)</f>
        <v>0</v>
      </c>
      <c r="D183" s="107">
        <f>SUM(D171:D181)</f>
        <v>0</v>
      </c>
      <c r="E183" s="107">
        <v>0</v>
      </c>
      <c r="F183" s="107">
        <f t="shared" ref="F183:AC183" si="34">SUM(F171:F181)</f>
        <v>0</v>
      </c>
      <c r="G183" s="107">
        <f t="shared" si="34"/>
        <v>0</v>
      </c>
      <c r="H183" s="107">
        <f t="shared" si="34"/>
        <v>0</v>
      </c>
      <c r="I183" s="107">
        <f t="shared" si="34"/>
        <v>0</v>
      </c>
      <c r="J183" s="107">
        <f t="shared" si="34"/>
        <v>0</v>
      </c>
      <c r="K183" s="107">
        <f t="shared" si="34"/>
        <v>0</v>
      </c>
      <c r="L183" s="107">
        <f t="shared" si="34"/>
        <v>0</v>
      </c>
      <c r="M183" s="107">
        <f t="shared" si="34"/>
        <v>0</v>
      </c>
      <c r="N183" s="107">
        <f t="shared" si="34"/>
        <v>0</v>
      </c>
      <c r="O183" s="107">
        <f t="shared" si="34"/>
        <v>0</v>
      </c>
      <c r="P183" s="107">
        <f t="shared" si="34"/>
        <v>0</v>
      </c>
      <c r="Q183" s="107">
        <f t="shared" si="34"/>
        <v>0</v>
      </c>
      <c r="R183" s="107">
        <f t="shared" si="34"/>
        <v>0</v>
      </c>
      <c r="S183" s="107">
        <f t="shared" si="34"/>
        <v>0</v>
      </c>
      <c r="T183" s="107">
        <f t="shared" si="34"/>
        <v>0</v>
      </c>
      <c r="U183" s="107">
        <f t="shared" si="34"/>
        <v>0</v>
      </c>
      <c r="V183" s="107">
        <f t="shared" si="34"/>
        <v>0</v>
      </c>
      <c r="W183" s="107">
        <f t="shared" si="34"/>
        <v>0</v>
      </c>
      <c r="X183" s="107">
        <f t="shared" si="34"/>
        <v>0</v>
      </c>
      <c r="Y183" s="107">
        <f t="shared" si="34"/>
        <v>0</v>
      </c>
      <c r="Z183" s="107">
        <f t="shared" si="34"/>
        <v>0</v>
      </c>
      <c r="AA183" s="107">
        <f t="shared" si="34"/>
        <v>0</v>
      </c>
      <c r="AB183" s="107">
        <f t="shared" si="34"/>
        <v>0</v>
      </c>
      <c r="AC183" s="107">
        <f t="shared" si="34"/>
        <v>0</v>
      </c>
      <c r="AD183" s="107">
        <v>0</v>
      </c>
      <c r="AE183" s="107">
        <f>SUM(AE171:AE181)</f>
        <v>0</v>
      </c>
      <c r="AF183" s="107">
        <f>SUM(AF171:AF181)</f>
        <v>0</v>
      </c>
      <c r="AG183" s="107">
        <f>SUM(AG171:AG181)</f>
        <v>0</v>
      </c>
      <c r="AH183" s="100">
        <f>SUM(AH171:AH181)</f>
        <v>0</v>
      </c>
    </row>
    <row r="184" spans="1:34" ht="5.0999999999999996" customHeight="1">
      <c r="A184" s="49"/>
      <c r="B184" s="49"/>
      <c r="C184" s="1"/>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
    </row>
    <row r="185" spans="1:34" ht="15">
      <c r="A185" s="3854" t="s">
        <v>291</v>
      </c>
      <c r="B185" s="3855"/>
      <c r="C185" s="3855"/>
      <c r="D185" s="3855"/>
      <c r="E185" s="3855"/>
      <c r="F185" s="3855"/>
      <c r="G185" s="3855"/>
      <c r="H185" s="3856"/>
      <c r="I185" s="3313"/>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row>
    <row r="186" spans="1:34" ht="15">
      <c r="A186" s="8" t="s">
        <v>142</v>
      </c>
      <c r="B186" s="8" t="s">
        <v>143</v>
      </c>
      <c r="C186" s="2907">
        <v>1</v>
      </c>
      <c r="D186" s="73">
        <v>2</v>
      </c>
      <c r="E186" s="73">
        <v>3</v>
      </c>
      <c r="F186" s="73">
        <v>4</v>
      </c>
      <c r="G186" s="73">
        <v>5</v>
      </c>
      <c r="H186" s="73">
        <v>6</v>
      </c>
      <c r="I186" s="73">
        <v>7</v>
      </c>
      <c r="J186" s="73">
        <v>8</v>
      </c>
      <c r="K186" s="73">
        <v>9</v>
      </c>
      <c r="L186" s="73">
        <v>10</v>
      </c>
      <c r="M186" s="73">
        <v>11</v>
      </c>
      <c r="N186" s="73">
        <v>12</v>
      </c>
      <c r="O186" s="73">
        <v>13</v>
      </c>
      <c r="P186" s="73">
        <v>14</v>
      </c>
      <c r="Q186" s="73">
        <v>15</v>
      </c>
      <c r="R186" s="73">
        <v>16</v>
      </c>
      <c r="S186" s="73">
        <v>17</v>
      </c>
      <c r="T186" s="73">
        <v>18</v>
      </c>
      <c r="U186" s="73">
        <v>19</v>
      </c>
      <c r="V186" s="73">
        <v>20</v>
      </c>
      <c r="W186" s="73">
        <v>21</v>
      </c>
      <c r="X186" s="73">
        <v>22</v>
      </c>
      <c r="Y186" s="73">
        <v>23</v>
      </c>
      <c r="Z186" s="73">
        <v>24</v>
      </c>
      <c r="AA186" s="73">
        <v>25</v>
      </c>
      <c r="AB186" s="73">
        <v>26</v>
      </c>
      <c r="AC186" s="73">
        <v>27</v>
      </c>
      <c r="AD186" s="73">
        <v>28</v>
      </c>
      <c r="AE186" s="73">
        <v>29</v>
      </c>
      <c r="AF186" s="73">
        <v>30</v>
      </c>
      <c r="AG186" s="73">
        <v>31</v>
      </c>
      <c r="AH186" s="88" t="s">
        <v>144</v>
      </c>
    </row>
    <row r="187" spans="1:34" ht="15">
      <c r="A187" s="414" t="s">
        <v>145</v>
      </c>
      <c r="B187" s="53">
        <f t="shared" ref="B187:B198" si="35">+AH187</f>
        <v>0</v>
      </c>
      <c r="C187" s="188" t="s">
        <v>311</v>
      </c>
      <c r="D187" s="188" t="s">
        <v>311</v>
      </c>
      <c r="E187" s="188" t="s">
        <v>311</v>
      </c>
      <c r="F187" s="188" t="s">
        <v>311</v>
      </c>
      <c r="G187" s="188" t="s">
        <v>311</v>
      </c>
      <c r="H187" s="188" t="s">
        <v>311</v>
      </c>
      <c r="I187" s="188" t="s">
        <v>311</v>
      </c>
      <c r="J187" s="306"/>
      <c r="K187" s="306"/>
      <c r="L187" s="306"/>
      <c r="M187" s="306"/>
      <c r="N187" s="306"/>
      <c r="O187" s="306"/>
      <c r="P187" s="306"/>
      <c r="Q187" s="306"/>
      <c r="R187" s="306"/>
      <c r="S187" s="306"/>
      <c r="T187" s="306"/>
      <c r="U187" s="306"/>
      <c r="V187" s="306"/>
      <c r="W187" s="306"/>
      <c r="X187" s="306"/>
      <c r="Y187" s="306"/>
      <c r="Z187" s="306"/>
      <c r="AA187" s="306"/>
      <c r="AB187" s="306"/>
      <c r="AC187" s="306"/>
      <c r="AD187" s="306"/>
      <c r="AE187" s="306"/>
      <c r="AF187" s="306"/>
      <c r="AG187" s="306"/>
      <c r="AH187" s="107">
        <f>SUM(C187:AG187)</f>
        <v>0</v>
      </c>
    </row>
    <row r="188" spans="1:34" s="190" customFormat="1" ht="15">
      <c r="A188" s="414" t="s">
        <v>146</v>
      </c>
      <c r="B188" s="53">
        <f t="shared" si="35"/>
        <v>0</v>
      </c>
      <c r="C188" s="306"/>
      <c r="D188" s="306"/>
      <c r="E188" s="306"/>
      <c r="F188" s="306"/>
      <c r="G188" s="306"/>
      <c r="H188" s="306"/>
      <c r="I188" s="306"/>
      <c r="J188" s="306"/>
      <c r="K188" s="306"/>
      <c r="L188" s="306"/>
      <c r="M188" s="306"/>
      <c r="N188" s="306"/>
      <c r="O188" s="306"/>
      <c r="P188" s="306"/>
      <c r="Q188" s="306"/>
      <c r="R188" s="306"/>
      <c r="S188" s="306"/>
      <c r="T188" s="306"/>
      <c r="U188" s="306"/>
      <c r="V188" s="306"/>
      <c r="W188" s="306"/>
      <c r="X188" s="306"/>
      <c r="Y188" s="306"/>
      <c r="Z188" s="306"/>
      <c r="AA188" s="306"/>
      <c r="AB188" s="306"/>
      <c r="AC188" s="306"/>
      <c r="AD188" s="306"/>
      <c r="AE188" s="306"/>
      <c r="AF188" s="306"/>
      <c r="AG188" s="306"/>
      <c r="AH188" s="107">
        <f t="shared" ref="AH188:AH198" si="36">SUM(C188:AG188)</f>
        <v>0</v>
      </c>
    </row>
    <row r="189" spans="1:34" ht="15">
      <c r="A189" s="414" t="s">
        <v>147</v>
      </c>
      <c r="B189" s="53">
        <f t="shared" si="35"/>
        <v>0</v>
      </c>
      <c r="C189" s="306"/>
      <c r="D189" s="306"/>
      <c r="E189" s="306"/>
      <c r="F189" s="306"/>
      <c r="G189" s="306"/>
      <c r="H189" s="315"/>
      <c r="I189" s="315"/>
      <c r="J189" s="107"/>
      <c r="K189" s="107"/>
      <c r="L189" s="107"/>
      <c r="M189" s="107"/>
      <c r="N189" s="107"/>
      <c r="O189" s="107"/>
      <c r="P189" s="107"/>
      <c r="Q189" s="107"/>
      <c r="R189" s="107"/>
      <c r="S189" s="107"/>
      <c r="T189" s="107"/>
      <c r="U189" s="107"/>
      <c r="V189" s="107"/>
      <c r="W189" s="107"/>
      <c r="X189" s="107"/>
      <c r="Y189" s="107"/>
      <c r="Z189" s="107"/>
      <c r="AA189" s="107"/>
      <c r="AB189" s="107"/>
      <c r="AC189" s="188" t="s">
        <v>311</v>
      </c>
      <c r="AD189" s="188" t="s">
        <v>311</v>
      </c>
      <c r="AE189" s="188" t="s">
        <v>311</v>
      </c>
      <c r="AF189" s="188" t="s">
        <v>311</v>
      </c>
      <c r="AG189" s="188" t="s">
        <v>311</v>
      </c>
      <c r="AH189" s="107">
        <f t="shared" si="36"/>
        <v>0</v>
      </c>
    </row>
    <row r="190" spans="1:34" ht="15">
      <c r="A190" s="414" t="s">
        <v>148</v>
      </c>
      <c r="B190" s="53">
        <f t="shared" si="35"/>
        <v>0</v>
      </c>
      <c r="C190" s="188" t="s">
        <v>311</v>
      </c>
      <c r="D190" s="188" t="s">
        <v>311</v>
      </c>
      <c r="E190" s="188" t="s">
        <v>311</v>
      </c>
      <c r="F190" s="188" t="s">
        <v>311</v>
      </c>
      <c r="G190" s="188" t="s">
        <v>311</v>
      </c>
      <c r="H190" s="188" t="s">
        <v>311</v>
      </c>
      <c r="I190" s="188" t="s">
        <v>311</v>
      </c>
      <c r="J190" s="188" t="s">
        <v>311</v>
      </c>
      <c r="K190" s="188" t="s">
        <v>311</v>
      </c>
      <c r="L190" s="107"/>
      <c r="M190" s="107"/>
      <c r="N190" s="107"/>
      <c r="O190" s="107"/>
      <c r="P190" s="107"/>
      <c r="Q190" s="107"/>
      <c r="R190" s="107"/>
      <c r="S190" s="107"/>
      <c r="T190" s="107"/>
      <c r="U190" s="107"/>
      <c r="V190" s="107"/>
      <c r="W190" s="107"/>
      <c r="X190" s="107"/>
      <c r="Y190" s="107"/>
      <c r="Z190" s="107"/>
      <c r="AA190" s="107"/>
      <c r="AB190" s="107"/>
      <c r="AC190" s="107"/>
      <c r="AD190" s="107"/>
      <c r="AE190" s="107"/>
      <c r="AF190" s="107"/>
      <c r="AG190" s="107"/>
      <c r="AH190" s="107">
        <f t="shared" si="36"/>
        <v>0</v>
      </c>
    </row>
    <row r="191" spans="1:34" s="190" customFormat="1" ht="15">
      <c r="A191" s="375" t="s">
        <v>149</v>
      </c>
      <c r="B191" s="53">
        <f t="shared" si="35"/>
        <v>0</v>
      </c>
      <c r="C191" s="103"/>
      <c r="D191" s="53"/>
      <c r="E191" s="53"/>
      <c r="F191" s="53"/>
      <c r="G191" s="53"/>
      <c r="H191" s="53"/>
      <c r="I191" s="53"/>
      <c r="J191" s="107"/>
      <c r="K191" s="107"/>
      <c r="L191" s="107"/>
      <c r="M191" s="107"/>
      <c r="N191" s="107"/>
      <c r="O191" s="107"/>
      <c r="P191" s="107"/>
      <c r="Q191" s="107"/>
      <c r="R191" s="107"/>
      <c r="S191" s="107"/>
      <c r="T191" s="107"/>
      <c r="U191" s="107"/>
      <c r="V191" s="107"/>
      <c r="W191" s="107"/>
      <c r="X191" s="107"/>
      <c r="Y191" s="107"/>
      <c r="Z191" s="107"/>
      <c r="AA191" s="107"/>
      <c r="AB191" s="107"/>
      <c r="AC191" s="107"/>
      <c r="AD191" s="107"/>
      <c r="AE191" s="107"/>
      <c r="AF191" s="107"/>
      <c r="AG191" s="107"/>
      <c r="AH191" s="107">
        <f t="shared" si="36"/>
        <v>0</v>
      </c>
    </row>
    <row r="192" spans="1:34" ht="15">
      <c r="A192" s="375" t="s">
        <v>150</v>
      </c>
      <c r="B192" s="53">
        <f t="shared" si="35"/>
        <v>0</v>
      </c>
      <c r="C192" s="100"/>
      <c r="D192" s="107"/>
      <c r="E192" s="107"/>
      <c r="F192" s="107"/>
      <c r="G192" s="107"/>
      <c r="H192" s="188" t="s">
        <v>162</v>
      </c>
      <c r="I192" s="188" t="s">
        <v>162</v>
      </c>
      <c r="J192" s="188" t="s">
        <v>162</v>
      </c>
      <c r="K192" s="188" t="s">
        <v>162</v>
      </c>
      <c r="L192" s="188" t="s">
        <v>162</v>
      </c>
      <c r="M192" s="188" t="s">
        <v>162</v>
      </c>
      <c r="N192" s="188" t="s">
        <v>162</v>
      </c>
      <c r="O192" s="188" t="s">
        <v>162</v>
      </c>
      <c r="P192" s="188" t="s">
        <v>162</v>
      </c>
      <c r="Q192" s="188" t="s">
        <v>162</v>
      </c>
      <c r="R192" s="188" t="s">
        <v>162</v>
      </c>
      <c r="S192" s="188" t="s">
        <v>162</v>
      </c>
      <c r="T192" s="188" t="s">
        <v>162</v>
      </c>
      <c r="U192" s="188" t="s">
        <v>162</v>
      </c>
      <c r="V192" s="188" t="s">
        <v>162</v>
      </c>
      <c r="W192" s="188" t="s">
        <v>162</v>
      </c>
      <c r="X192" s="188" t="s">
        <v>162</v>
      </c>
      <c r="Y192" s="107"/>
      <c r="Z192" s="107"/>
      <c r="AA192" s="107"/>
      <c r="AB192" s="107"/>
      <c r="AC192" s="107"/>
      <c r="AD192" s="107"/>
      <c r="AE192" s="107"/>
      <c r="AF192" s="107"/>
      <c r="AG192" s="107"/>
      <c r="AH192" s="107">
        <f t="shared" si="36"/>
        <v>0</v>
      </c>
    </row>
    <row r="193" spans="1:34" ht="15">
      <c r="A193" s="375" t="s">
        <v>151</v>
      </c>
      <c r="B193" s="53">
        <f t="shared" si="35"/>
        <v>0</v>
      </c>
      <c r="C193" s="103"/>
      <c r="D193" s="107"/>
      <c r="E193" s="107"/>
      <c r="F193" s="107"/>
      <c r="G193" s="53"/>
      <c r="H193" s="53"/>
      <c r="I193" s="53"/>
      <c r="J193" s="111"/>
      <c r="K193" s="111"/>
      <c r="L193" s="107"/>
      <c r="M193" s="107"/>
      <c r="N193" s="107"/>
      <c r="O193" s="107"/>
      <c r="P193" s="107"/>
      <c r="Q193" s="107"/>
      <c r="R193" s="107"/>
      <c r="S193" s="107"/>
      <c r="T193" s="107"/>
      <c r="U193" s="107"/>
      <c r="V193" s="107"/>
      <c r="W193" s="107"/>
      <c r="X193" s="107"/>
      <c r="Y193" s="107"/>
      <c r="Z193" s="107"/>
      <c r="AA193" s="107"/>
      <c r="AB193" s="107"/>
      <c r="AC193" s="107"/>
      <c r="AD193" s="107"/>
      <c r="AE193" s="107"/>
      <c r="AF193" s="107"/>
      <c r="AG193" s="107"/>
      <c r="AH193" s="107">
        <f t="shared" si="36"/>
        <v>0</v>
      </c>
    </row>
    <row r="194" spans="1:34" s="190" customFormat="1" ht="15">
      <c r="A194" s="375" t="s">
        <v>152</v>
      </c>
      <c r="B194" s="53">
        <f t="shared" si="35"/>
        <v>0</v>
      </c>
      <c r="C194" s="103"/>
      <c r="D194" s="53"/>
      <c r="E194" s="53"/>
      <c r="F194" s="53"/>
      <c r="G194" s="53"/>
      <c r="H194" s="53"/>
      <c r="I194" s="53"/>
      <c r="J194" s="188" t="s">
        <v>318</v>
      </c>
      <c r="K194" s="188" t="s">
        <v>318</v>
      </c>
      <c r="L194" s="188" t="s">
        <v>318</v>
      </c>
      <c r="M194" s="188" t="s">
        <v>318</v>
      </c>
      <c r="N194" s="188" t="s">
        <v>318</v>
      </c>
      <c r="O194" s="188" t="s">
        <v>318</v>
      </c>
      <c r="P194" s="188" t="s">
        <v>318</v>
      </c>
      <c r="Q194" s="188" t="s">
        <v>318</v>
      </c>
      <c r="R194" s="188" t="s">
        <v>318</v>
      </c>
      <c r="S194" s="188" t="s">
        <v>318</v>
      </c>
      <c r="T194" s="188" t="s">
        <v>318</v>
      </c>
      <c r="U194" s="188" t="s">
        <v>318</v>
      </c>
      <c r="V194" s="188" t="s">
        <v>318</v>
      </c>
      <c r="W194" s="188" t="s">
        <v>318</v>
      </c>
      <c r="X194" s="188" t="s">
        <v>318</v>
      </c>
      <c r="Y194" s="188" t="s">
        <v>318</v>
      </c>
      <c r="Z194" s="188" t="s">
        <v>318</v>
      </c>
      <c r="AA194" s="188" t="s">
        <v>318</v>
      </c>
      <c r="AB194" s="188" t="s">
        <v>318</v>
      </c>
      <c r="AC194" s="188" t="s">
        <v>318</v>
      </c>
      <c r="AD194" s="188" t="s">
        <v>318</v>
      </c>
      <c r="AE194" s="188" t="s">
        <v>318</v>
      </c>
      <c r="AF194" s="188" t="s">
        <v>318</v>
      </c>
      <c r="AG194" s="188" t="s">
        <v>318</v>
      </c>
      <c r="AH194" s="107">
        <f t="shared" si="36"/>
        <v>0</v>
      </c>
    </row>
    <row r="195" spans="1:34" ht="15">
      <c r="A195" s="363" t="s">
        <v>153</v>
      </c>
      <c r="B195" s="53">
        <f t="shared" si="35"/>
        <v>0</v>
      </c>
      <c r="C195" s="188" t="s">
        <v>318</v>
      </c>
      <c r="D195" s="188" t="s">
        <v>318</v>
      </c>
      <c r="E195" s="188" t="s">
        <v>318</v>
      </c>
      <c r="F195" s="188" t="s">
        <v>318</v>
      </c>
      <c r="G195" s="188" t="s">
        <v>318</v>
      </c>
      <c r="H195" s="188" t="s">
        <v>318</v>
      </c>
      <c r="I195" s="188" t="s">
        <v>318</v>
      </c>
      <c r="J195" s="188" t="s">
        <v>318</v>
      </c>
      <c r="K195" s="188" t="s">
        <v>318</v>
      </c>
      <c r="L195" s="188" t="s">
        <v>318</v>
      </c>
      <c r="M195" s="188" t="s">
        <v>318</v>
      </c>
      <c r="N195" s="188" t="s">
        <v>318</v>
      </c>
      <c r="O195" s="188" t="s">
        <v>318</v>
      </c>
      <c r="P195" s="188" t="s">
        <v>318</v>
      </c>
      <c r="Q195" s="188" t="s">
        <v>318</v>
      </c>
      <c r="R195" s="188" t="s">
        <v>318</v>
      </c>
      <c r="S195" s="188" t="s">
        <v>318</v>
      </c>
      <c r="T195" s="188" t="s">
        <v>318</v>
      </c>
      <c r="U195" s="188" t="s">
        <v>318</v>
      </c>
      <c r="V195" s="188" t="s">
        <v>318</v>
      </c>
      <c r="W195" s="188" t="s">
        <v>318</v>
      </c>
      <c r="X195" s="188" t="s">
        <v>318</v>
      </c>
      <c r="Y195" s="188" t="s">
        <v>318</v>
      </c>
      <c r="Z195" s="188" t="s">
        <v>318</v>
      </c>
      <c r="AA195" s="188" t="s">
        <v>318</v>
      </c>
      <c r="AB195" s="188" t="s">
        <v>318</v>
      </c>
      <c r="AC195" s="188" t="s">
        <v>318</v>
      </c>
      <c r="AD195" s="188" t="s">
        <v>318</v>
      </c>
      <c r="AE195" s="188" t="s">
        <v>318</v>
      </c>
      <c r="AF195" s="188" t="s">
        <v>318</v>
      </c>
      <c r="AG195" s="188" t="s">
        <v>318</v>
      </c>
      <c r="AH195" s="107">
        <f t="shared" si="36"/>
        <v>0</v>
      </c>
    </row>
    <row r="196" spans="1:34" ht="15">
      <c r="A196" s="363" t="s">
        <v>154</v>
      </c>
      <c r="B196" s="53">
        <f t="shared" si="35"/>
        <v>0</v>
      </c>
      <c r="C196" s="188" t="s">
        <v>318</v>
      </c>
      <c r="D196" s="188" t="s">
        <v>318</v>
      </c>
      <c r="E196" s="188" t="s">
        <v>318</v>
      </c>
      <c r="F196" s="188" t="s">
        <v>318</v>
      </c>
      <c r="G196" s="188" t="s">
        <v>318</v>
      </c>
      <c r="H196" s="188" t="s">
        <v>318</v>
      </c>
      <c r="I196" s="188" t="s">
        <v>318</v>
      </c>
      <c r="J196" s="188" t="s">
        <v>318</v>
      </c>
      <c r="K196" s="188" t="s">
        <v>318</v>
      </c>
      <c r="L196" s="188" t="s">
        <v>318</v>
      </c>
      <c r="M196" s="188" t="s">
        <v>318</v>
      </c>
      <c r="N196" s="188" t="s">
        <v>318</v>
      </c>
      <c r="O196" s="188" t="s">
        <v>318</v>
      </c>
      <c r="P196" s="188" t="s">
        <v>318</v>
      </c>
      <c r="Q196" s="188" t="s">
        <v>318</v>
      </c>
      <c r="R196" s="188" t="s">
        <v>318</v>
      </c>
      <c r="S196" s="188" t="s">
        <v>318</v>
      </c>
      <c r="T196" s="188" t="s">
        <v>318</v>
      </c>
      <c r="U196" s="188" t="s">
        <v>318</v>
      </c>
      <c r="V196" s="188" t="s">
        <v>318</v>
      </c>
      <c r="W196" s="188" t="s">
        <v>318</v>
      </c>
      <c r="X196" s="53"/>
      <c r="Y196" s="53"/>
      <c r="Z196" s="53"/>
      <c r="AA196" s="53"/>
      <c r="AB196" s="53"/>
      <c r="AC196" s="53"/>
      <c r="AD196" s="53"/>
      <c r="AE196" s="107"/>
      <c r="AF196" s="53"/>
      <c r="AG196" s="107"/>
      <c r="AH196" s="107">
        <f t="shared" si="36"/>
        <v>0</v>
      </c>
    </row>
    <row r="197" spans="1:34" ht="15">
      <c r="A197" s="363" t="s">
        <v>155</v>
      </c>
      <c r="B197" s="53">
        <f t="shared" si="35"/>
        <v>0</v>
      </c>
      <c r="C197" s="10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c r="AB197" s="53"/>
      <c r="AC197" s="53"/>
      <c r="AD197" s="53"/>
      <c r="AE197" s="107"/>
      <c r="AF197" s="53"/>
      <c r="AG197" s="107"/>
      <c r="AH197" s="107">
        <f t="shared" si="36"/>
        <v>0</v>
      </c>
    </row>
    <row r="198" spans="1:34" ht="15">
      <c r="A198" s="363" t="s">
        <v>156</v>
      </c>
      <c r="B198" s="53">
        <f t="shared" si="35"/>
        <v>0</v>
      </c>
      <c r="C198" s="103"/>
      <c r="D198" s="53"/>
      <c r="E198" s="53"/>
      <c r="F198" s="53"/>
      <c r="G198" s="53"/>
      <c r="H198" s="53"/>
      <c r="I198" s="53"/>
      <c r="J198" s="53"/>
      <c r="K198" s="53"/>
      <c r="L198" s="53"/>
      <c r="M198" s="53"/>
      <c r="N198" s="53"/>
      <c r="O198" s="53"/>
      <c r="P198" s="3027">
        <v>0</v>
      </c>
      <c r="Q198" s="3027">
        <v>0</v>
      </c>
      <c r="R198" s="3027">
        <v>0</v>
      </c>
      <c r="S198" s="3027">
        <v>0</v>
      </c>
      <c r="T198" s="3027">
        <v>0</v>
      </c>
      <c r="U198" s="3027">
        <v>0</v>
      </c>
      <c r="V198" s="3027">
        <v>0</v>
      </c>
      <c r="W198" s="3027">
        <v>0</v>
      </c>
      <c r="X198" s="3027">
        <v>0</v>
      </c>
      <c r="Y198" s="3027">
        <v>0</v>
      </c>
      <c r="Z198" s="3027">
        <v>0</v>
      </c>
      <c r="AA198" s="3027">
        <v>0</v>
      </c>
      <c r="AB198" s="3027">
        <v>0</v>
      </c>
      <c r="AC198" s="3027">
        <v>0</v>
      </c>
      <c r="AD198" s="3027">
        <v>0</v>
      </c>
      <c r="AE198" s="3027">
        <v>0</v>
      </c>
      <c r="AF198" s="3027">
        <v>0</v>
      </c>
      <c r="AG198" s="3027">
        <v>0</v>
      </c>
      <c r="AH198" s="107">
        <f t="shared" si="36"/>
        <v>0</v>
      </c>
    </row>
    <row r="199" spans="1:34" ht="15">
      <c r="A199" s="199" t="s">
        <v>144</v>
      </c>
      <c r="B199" s="200">
        <f>SUM(B187:B198)</f>
        <v>0</v>
      </c>
      <c r="C199" s="100">
        <f>SUM(C187:C197)</f>
        <v>0</v>
      </c>
      <c r="D199" s="107">
        <f>SUM(D187:D197)</f>
        <v>0</v>
      </c>
      <c r="E199" s="107">
        <v>0</v>
      </c>
      <c r="F199" s="107">
        <f t="shared" ref="F199:AC199" si="37">SUM(F187:F197)</f>
        <v>0</v>
      </c>
      <c r="G199" s="107">
        <f t="shared" si="37"/>
        <v>0</v>
      </c>
      <c r="H199" s="107">
        <f t="shared" si="37"/>
        <v>0</v>
      </c>
      <c r="I199" s="107">
        <f t="shared" si="37"/>
        <v>0</v>
      </c>
      <c r="J199" s="107">
        <f t="shared" si="37"/>
        <v>0</v>
      </c>
      <c r="K199" s="107">
        <f t="shared" si="37"/>
        <v>0</v>
      </c>
      <c r="L199" s="107">
        <f t="shared" si="37"/>
        <v>0</v>
      </c>
      <c r="M199" s="107">
        <f t="shared" si="37"/>
        <v>0</v>
      </c>
      <c r="N199" s="107">
        <f t="shared" si="37"/>
        <v>0</v>
      </c>
      <c r="O199" s="107">
        <f t="shared" si="37"/>
        <v>0</v>
      </c>
      <c r="P199" s="107">
        <f t="shared" si="37"/>
        <v>0</v>
      </c>
      <c r="Q199" s="107">
        <f t="shared" si="37"/>
        <v>0</v>
      </c>
      <c r="R199" s="107">
        <f t="shared" si="37"/>
        <v>0</v>
      </c>
      <c r="S199" s="107">
        <f t="shared" si="37"/>
        <v>0</v>
      </c>
      <c r="T199" s="107">
        <f t="shared" si="37"/>
        <v>0</v>
      </c>
      <c r="U199" s="107">
        <f t="shared" si="37"/>
        <v>0</v>
      </c>
      <c r="V199" s="107">
        <f t="shared" si="37"/>
        <v>0</v>
      </c>
      <c r="W199" s="107">
        <f t="shared" si="37"/>
        <v>0</v>
      </c>
      <c r="X199" s="107">
        <f t="shared" si="37"/>
        <v>0</v>
      </c>
      <c r="Y199" s="107">
        <f t="shared" si="37"/>
        <v>0</v>
      </c>
      <c r="Z199" s="107">
        <f t="shared" si="37"/>
        <v>0</v>
      </c>
      <c r="AA199" s="107">
        <f t="shared" si="37"/>
        <v>0</v>
      </c>
      <c r="AB199" s="107">
        <f t="shared" si="37"/>
        <v>0</v>
      </c>
      <c r="AC199" s="107">
        <f t="shared" si="37"/>
        <v>0</v>
      </c>
      <c r="AD199" s="107">
        <v>0</v>
      </c>
      <c r="AE199" s="107">
        <f>SUM(AE187:AE197)</f>
        <v>0</v>
      </c>
      <c r="AF199" s="107">
        <f>SUM(AF187:AF197)</f>
        <v>0</v>
      </c>
      <c r="AG199" s="107">
        <f>SUM(AG187:AG197)</f>
        <v>0</v>
      </c>
      <c r="AH199" s="100">
        <f>SUM(AH187:AH197)</f>
        <v>0</v>
      </c>
    </row>
    <row r="200" spans="1:34" ht="5.0999999999999996" customHeight="1">
      <c r="A200" s="49"/>
      <c r="B200" s="49"/>
      <c r="C200" s="1"/>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
    </row>
    <row r="201" spans="1:34" ht="15">
      <c r="A201" s="3854" t="s">
        <v>292</v>
      </c>
      <c r="B201" s="3855"/>
      <c r="C201" s="3855"/>
      <c r="D201" s="3855"/>
      <c r="E201" s="3855"/>
      <c r="F201" s="3855"/>
      <c r="G201" s="3855"/>
      <c r="H201" s="3856"/>
      <c r="I201" s="3313"/>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row>
    <row r="202" spans="1:34" ht="15">
      <c r="A202" s="8" t="s">
        <v>142</v>
      </c>
      <c r="B202" s="8" t="s">
        <v>143</v>
      </c>
      <c r="C202" s="2907">
        <v>1</v>
      </c>
      <c r="D202" s="73">
        <v>2</v>
      </c>
      <c r="E202" s="73">
        <v>3</v>
      </c>
      <c r="F202" s="73">
        <v>4</v>
      </c>
      <c r="G202" s="73">
        <v>5</v>
      </c>
      <c r="H202" s="73">
        <v>6</v>
      </c>
      <c r="I202" s="73">
        <v>7</v>
      </c>
      <c r="J202" s="73">
        <v>8</v>
      </c>
      <c r="K202" s="73">
        <v>9</v>
      </c>
      <c r="L202" s="73">
        <v>10</v>
      </c>
      <c r="M202" s="73">
        <v>11</v>
      </c>
      <c r="N202" s="73">
        <v>12</v>
      </c>
      <c r="O202" s="73">
        <v>13</v>
      </c>
      <c r="P202" s="73">
        <v>14</v>
      </c>
      <c r="Q202" s="73">
        <v>15</v>
      </c>
      <c r="R202" s="73">
        <v>16</v>
      </c>
      <c r="S202" s="73">
        <v>17</v>
      </c>
      <c r="T202" s="73">
        <v>18</v>
      </c>
      <c r="U202" s="73">
        <v>19</v>
      </c>
      <c r="V202" s="73">
        <v>20</v>
      </c>
      <c r="W202" s="73">
        <v>21</v>
      </c>
      <c r="X202" s="73">
        <v>22</v>
      </c>
      <c r="Y202" s="73">
        <v>23</v>
      </c>
      <c r="Z202" s="73">
        <v>24</v>
      </c>
      <c r="AA202" s="73">
        <v>25</v>
      </c>
      <c r="AB202" s="73">
        <v>26</v>
      </c>
      <c r="AC202" s="73">
        <v>27</v>
      </c>
      <c r="AD202" s="73">
        <v>28</v>
      </c>
      <c r="AE202" s="73">
        <v>29</v>
      </c>
      <c r="AF202" s="73">
        <v>30</v>
      </c>
      <c r="AG202" s="73">
        <v>31</v>
      </c>
      <c r="AH202" s="88" t="s">
        <v>144</v>
      </c>
    </row>
    <row r="203" spans="1:34" ht="15">
      <c r="A203" s="414" t="s">
        <v>145</v>
      </c>
      <c r="B203" s="53">
        <f t="shared" ref="B203:B214" si="38">+AH203</f>
        <v>0</v>
      </c>
      <c r="C203" s="188" t="s">
        <v>311</v>
      </c>
      <c r="D203" s="188" t="s">
        <v>311</v>
      </c>
      <c r="E203" s="188" t="s">
        <v>311</v>
      </c>
      <c r="F203" s="188" t="s">
        <v>311</v>
      </c>
      <c r="G203" s="188" t="s">
        <v>311</v>
      </c>
      <c r="H203" s="188" t="s">
        <v>311</v>
      </c>
      <c r="I203" s="188" t="s">
        <v>311</v>
      </c>
      <c r="J203" s="306"/>
      <c r="K203" s="306"/>
      <c r="L203" s="306"/>
      <c r="M203" s="306"/>
      <c r="N203" s="306"/>
      <c r="O203" s="306"/>
      <c r="P203" s="306"/>
      <c r="Q203" s="306"/>
      <c r="R203" s="306"/>
      <c r="S203" s="306"/>
      <c r="T203" s="306"/>
      <c r="U203" s="306"/>
      <c r="V203" s="306"/>
      <c r="W203" s="306"/>
      <c r="X203" s="306"/>
      <c r="Y203" s="306"/>
      <c r="Z203" s="306"/>
      <c r="AA203" s="306"/>
      <c r="AB203" s="306"/>
      <c r="AC203" s="306"/>
      <c r="AD203" s="306"/>
      <c r="AE203" s="306"/>
      <c r="AF203" s="306"/>
      <c r="AG203" s="306"/>
      <c r="AH203" s="107">
        <f>SUM(C203:AG203)</f>
        <v>0</v>
      </c>
    </row>
    <row r="204" spans="1:34" s="190" customFormat="1" ht="15">
      <c r="A204" s="414" t="s">
        <v>146</v>
      </c>
      <c r="B204" s="53">
        <f t="shared" si="38"/>
        <v>0</v>
      </c>
      <c r="C204" s="306"/>
      <c r="D204" s="306"/>
      <c r="E204" s="306"/>
      <c r="F204" s="306"/>
      <c r="G204" s="306"/>
      <c r="H204" s="306"/>
      <c r="I204" s="306"/>
      <c r="J204" s="306"/>
      <c r="K204" s="306"/>
      <c r="L204" s="306"/>
      <c r="M204" s="306"/>
      <c r="N204" s="306"/>
      <c r="O204" s="306"/>
      <c r="P204" s="306"/>
      <c r="Q204" s="306"/>
      <c r="R204" s="306"/>
      <c r="S204" s="306"/>
      <c r="T204" s="306"/>
      <c r="U204" s="306"/>
      <c r="V204" s="306"/>
      <c r="W204" s="306"/>
      <c r="X204" s="306"/>
      <c r="Y204" s="306"/>
      <c r="Z204" s="306"/>
      <c r="AA204" s="306"/>
      <c r="AB204" s="306"/>
      <c r="AC204" s="306"/>
      <c r="AD204" s="306"/>
      <c r="AE204" s="306"/>
      <c r="AF204" s="306"/>
      <c r="AG204" s="306"/>
      <c r="AH204" s="107">
        <f t="shared" ref="AH204:AH214" si="39">SUM(C204:AG204)</f>
        <v>0</v>
      </c>
    </row>
    <row r="205" spans="1:34" ht="15">
      <c r="A205" s="414" t="s">
        <v>147</v>
      </c>
      <c r="B205" s="53">
        <f t="shared" si="38"/>
        <v>0</v>
      </c>
      <c r="C205" s="306"/>
      <c r="D205" s="306"/>
      <c r="E205" s="306"/>
      <c r="F205" s="306"/>
      <c r="G205" s="306"/>
      <c r="H205" s="315"/>
      <c r="I205" s="315"/>
      <c r="J205" s="107"/>
      <c r="K205" s="107"/>
      <c r="L205" s="107"/>
      <c r="M205" s="107"/>
      <c r="N205" s="107"/>
      <c r="O205" s="107"/>
      <c r="P205" s="107"/>
      <c r="Q205" s="107"/>
      <c r="R205" s="107"/>
      <c r="S205" s="107"/>
      <c r="T205" s="107"/>
      <c r="U205" s="107"/>
      <c r="V205" s="107"/>
      <c r="W205" s="107"/>
      <c r="X205" s="107"/>
      <c r="Y205" s="107"/>
      <c r="Z205" s="107"/>
      <c r="AA205" s="107"/>
      <c r="AB205" s="107"/>
      <c r="AC205" s="188" t="s">
        <v>311</v>
      </c>
      <c r="AD205" s="188" t="s">
        <v>311</v>
      </c>
      <c r="AE205" s="188" t="s">
        <v>311</v>
      </c>
      <c r="AF205" s="188" t="s">
        <v>311</v>
      </c>
      <c r="AG205" s="188" t="s">
        <v>311</v>
      </c>
      <c r="AH205" s="107">
        <f t="shared" si="39"/>
        <v>0</v>
      </c>
    </row>
    <row r="206" spans="1:34" ht="15">
      <c r="A206" s="414" t="s">
        <v>148</v>
      </c>
      <c r="B206" s="53">
        <f t="shared" si="38"/>
        <v>0</v>
      </c>
      <c r="C206" s="188" t="s">
        <v>311</v>
      </c>
      <c r="D206" s="188" t="s">
        <v>311</v>
      </c>
      <c r="E206" s="188" t="s">
        <v>311</v>
      </c>
      <c r="F206" s="188" t="s">
        <v>311</v>
      </c>
      <c r="G206" s="188" t="s">
        <v>311</v>
      </c>
      <c r="H206" s="188" t="s">
        <v>311</v>
      </c>
      <c r="I206" s="188" t="s">
        <v>311</v>
      </c>
      <c r="J206" s="188" t="s">
        <v>311</v>
      </c>
      <c r="K206" s="188" t="s">
        <v>311</v>
      </c>
      <c r="L206" s="107"/>
      <c r="M206" s="107"/>
      <c r="N206" s="107"/>
      <c r="O206" s="107"/>
      <c r="P206" s="107"/>
      <c r="Q206" s="107"/>
      <c r="R206" s="107"/>
      <c r="S206" s="107"/>
      <c r="T206" s="107"/>
      <c r="U206" s="107"/>
      <c r="V206" s="107"/>
      <c r="W206" s="107"/>
      <c r="X206" s="107"/>
      <c r="Y206" s="107"/>
      <c r="Z206" s="107"/>
      <c r="AA206" s="107"/>
      <c r="AB206" s="107"/>
      <c r="AC206" s="107"/>
      <c r="AD206" s="107"/>
      <c r="AE206" s="107"/>
      <c r="AF206" s="107"/>
      <c r="AG206" s="107"/>
      <c r="AH206" s="107">
        <f t="shared" si="39"/>
        <v>0</v>
      </c>
    </row>
    <row r="207" spans="1:34" s="190" customFormat="1" ht="15">
      <c r="A207" s="375" t="s">
        <v>149</v>
      </c>
      <c r="B207" s="53">
        <f t="shared" si="38"/>
        <v>0</v>
      </c>
      <c r="C207" s="103"/>
      <c r="D207" s="53"/>
      <c r="E207" s="53"/>
      <c r="F207" s="53"/>
      <c r="G207" s="53"/>
      <c r="H207" s="53"/>
      <c r="I207" s="53"/>
      <c r="J207" s="107"/>
      <c r="K207" s="107"/>
      <c r="L207" s="107"/>
      <c r="M207" s="107"/>
      <c r="N207" s="107"/>
      <c r="O207" s="107"/>
      <c r="P207" s="107"/>
      <c r="Q207" s="107"/>
      <c r="R207" s="107"/>
      <c r="S207" s="107"/>
      <c r="T207" s="107"/>
      <c r="U207" s="107"/>
      <c r="V207" s="107"/>
      <c r="W207" s="107"/>
      <c r="X207" s="107"/>
      <c r="Y207" s="107"/>
      <c r="Z207" s="107"/>
      <c r="AA207" s="107"/>
      <c r="AB207" s="107"/>
      <c r="AC207" s="107"/>
      <c r="AD207" s="107"/>
      <c r="AE207" s="107"/>
      <c r="AF207" s="107"/>
      <c r="AG207" s="107"/>
      <c r="AH207" s="107">
        <f t="shared" si="39"/>
        <v>0</v>
      </c>
    </row>
    <row r="208" spans="1:34" ht="15">
      <c r="A208" s="375" t="s">
        <v>150</v>
      </c>
      <c r="B208" s="53">
        <f t="shared" si="38"/>
        <v>0</v>
      </c>
      <c r="C208" s="100"/>
      <c r="D208" s="107"/>
      <c r="E208" s="107"/>
      <c r="F208" s="107"/>
      <c r="G208" s="107"/>
      <c r="H208" s="188" t="s">
        <v>162</v>
      </c>
      <c r="I208" s="188" t="s">
        <v>162</v>
      </c>
      <c r="J208" s="188" t="s">
        <v>162</v>
      </c>
      <c r="K208" s="188" t="s">
        <v>162</v>
      </c>
      <c r="L208" s="188" t="s">
        <v>162</v>
      </c>
      <c r="M208" s="188" t="s">
        <v>162</v>
      </c>
      <c r="N208" s="188" t="s">
        <v>162</v>
      </c>
      <c r="O208" s="188" t="s">
        <v>162</v>
      </c>
      <c r="P208" s="188" t="s">
        <v>162</v>
      </c>
      <c r="Q208" s="188" t="s">
        <v>162</v>
      </c>
      <c r="R208" s="188" t="s">
        <v>162</v>
      </c>
      <c r="S208" s="188" t="s">
        <v>162</v>
      </c>
      <c r="T208" s="188" t="s">
        <v>162</v>
      </c>
      <c r="U208" s="188" t="s">
        <v>162</v>
      </c>
      <c r="V208" s="188" t="s">
        <v>162</v>
      </c>
      <c r="W208" s="188" t="s">
        <v>162</v>
      </c>
      <c r="X208" s="188" t="s">
        <v>162</v>
      </c>
      <c r="Y208" s="107"/>
      <c r="Z208" s="107"/>
      <c r="AA208" s="107"/>
      <c r="AB208" s="107"/>
      <c r="AC208" s="107"/>
      <c r="AD208" s="107"/>
      <c r="AE208" s="107"/>
      <c r="AF208" s="107"/>
      <c r="AG208" s="107"/>
      <c r="AH208" s="107">
        <f t="shared" si="39"/>
        <v>0</v>
      </c>
    </row>
    <row r="209" spans="1:34" ht="15">
      <c r="A209" s="375" t="s">
        <v>151</v>
      </c>
      <c r="B209" s="53">
        <f t="shared" si="38"/>
        <v>0</v>
      </c>
      <c r="C209" s="103"/>
      <c r="D209" s="107"/>
      <c r="E209" s="107"/>
      <c r="F209" s="107"/>
      <c r="G209" s="53"/>
      <c r="H209" s="53"/>
      <c r="I209" s="53"/>
      <c r="J209" s="111"/>
      <c r="K209" s="111"/>
      <c r="L209" s="107"/>
      <c r="M209" s="107"/>
      <c r="N209" s="107"/>
      <c r="O209" s="107"/>
      <c r="P209" s="107"/>
      <c r="Q209" s="107"/>
      <c r="R209" s="107"/>
      <c r="S209" s="107"/>
      <c r="T209" s="107"/>
      <c r="U209" s="107"/>
      <c r="V209" s="107"/>
      <c r="W209" s="107"/>
      <c r="X209" s="107"/>
      <c r="Y209" s="107"/>
      <c r="Z209" s="107"/>
      <c r="AA209" s="107"/>
      <c r="AB209" s="107"/>
      <c r="AC209" s="107"/>
      <c r="AD209" s="107"/>
      <c r="AE209" s="107"/>
      <c r="AF209" s="107"/>
      <c r="AG209" s="107"/>
      <c r="AH209" s="107">
        <f t="shared" si="39"/>
        <v>0</v>
      </c>
    </row>
    <row r="210" spans="1:34" s="190" customFormat="1" ht="15">
      <c r="A210" s="375" t="s">
        <v>152</v>
      </c>
      <c r="B210" s="53">
        <f t="shared" si="38"/>
        <v>0</v>
      </c>
      <c r="C210" s="103"/>
      <c r="D210" s="53"/>
      <c r="E210" s="53"/>
      <c r="F210" s="53"/>
      <c r="G210" s="53"/>
      <c r="H210" s="53"/>
      <c r="I210" s="53"/>
      <c r="J210" s="188" t="s">
        <v>318</v>
      </c>
      <c r="K210" s="188" t="s">
        <v>318</v>
      </c>
      <c r="L210" s="188" t="s">
        <v>318</v>
      </c>
      <c r="M210" s="188" t="s">
        <v>318</v>
      </c>
      <c r="N210" s="188" t="s">
        <v>318</v>
      </c>
      <c r="O210" s="188" t="s">
        <v>318</v>
      </c>
      <c r="P210" s="188" t="s">
        <v>318</v>
      </c>
      <c r="Q210" s="188" t="s">
        <v>318</v>
      </c>
      <c r="R210" s="188" t="s">
        <v>318</v>
      </c>
      <c r="S210" s="188" t="s">
        <v>318</v>
      </c>
      <c r="T210" s="188" t="s">
        <v>318</v>
      </c>
      <c r="U210" s="188" t="s">
        <v>318</v>
      </c>
      <c r="V210" s="188" t="s">
        <v>318</v>
      </c>
      <c r="W210" s="188" t="s">
        <v>318</v>
      </c>
      <c r="X210" s="188" t="s">
        <v>318</v>
      </c>
      <c r="Y210" s="188" t="s">
        <v>318</v>
      </c>
      <c r="Z210" s="188" t="s">
        <v>318</v>
      </c>
      <c r="AA210" s="188" t="s">
        <v>318</v>
      </c>
      <c r="AB210" s="188" t="s">
        <v>318</v>
      </c>
      <c r="AC210" s="188" t="s">
        <v>318</v>
      </c>
      <c r="AD210" s="188" t="s">
        <v>318</v>
      </c>
      <c r="AE210" s="188" t="s">
        <v>318</v>
      </c>
      <c r="AF210" s="188" t="s">
        <v>318</v>
      </c>
      <c r="AG210" s="188" t="s">
        <v>318</v>
      </c>
      <c r="AH210" s="107">
        <f t="shared" si="39"/>
        <v>0</v>
      </c>
    </row>
    <row r="211" spans="1:34" ht="15">
      <c r="A211" s="363" t="s">
        <v>153</v>
      </c>
      <c r="B211" s="53">
        <f t="shared" si="38"/>
        <v>0</v>
      </c>
      <c r="C211" s="188" t="s">
        <v>318</v>
      </c>
      <c r="D211" s="188" t="s">
        <v>318</v>
      </c>
      <c r="E211" s="188" t="s">
        <v>318</v>
      </c>
      <c r="F211" s="188" t="s">
        <v>318</v>
      </c>
      <c r="G211" s="188" t="s">
        <v>318</v>
      </c>
      <c r="H211" s="188" t="s">
        <v>318</v>
      </c>
      <c r="I211" s="188" t="s">
        <v>318</v>
      </c>
      <c r="J211" s="188" t="s">
        <v>318</v>
      </c>
      <c r="K211" s="188" t="s">
        <v>318</v>
      </c>
      <c r="L211" s="188" t="s">
        <v>318</v>
      </c>
      <c r="M211" s="188" t="s">
        <v>318</v>
      </c>
      <c r="N211" s="188" t="s">
        <v>318</v>
      </c>
      <c r="O211" s="188" t="s">
        <v>318</v>
      </c>
      <c r="P211" s="188" t="s">
        <v>318</v>
      </c>
      <c r="Q211" s="188" t="s">
        <v>318</v>
      </c>
      <c r="R211" s="188" t="s">
        <v>318</v>
      </c>
      <c r="S211" s="188" t="s">
        <v>318</v>
      </c>
      <c r="T211" s="188" t="s">
        <v>318</v>
      </c>
      <c r="U211" s="188" t="s">
        <v>318</v>
      </c>
      <c r="V211" s="188" t="s">
        <v>318</v>
      </c>
      <c r="W211" s="188" t="s">
        <v>318</v>
      </c>
      <c r="X211" s="188" t="s">
        <v>318</v>
      </c>
      <c r="Y211" s="188" t="s">
        <v>318</v>
      </c>
      <c r="Z211" s="188" t="s">
        <v>318</v>
      </c>
      <c r="AA211" s="188" t="s">
        <v>318</v>
      </c>
      <c r="AB211" s="188" t="s">
        <v>318</v>
      </c>
      <c r="AC211" s="188" t="s">
        <v>318</v>
      </c>
      <c r="AD211" s="188" t="s">
        <v>318</v>
      </c>
      <c r="AE211" s="188" t="s">
        <v>318</v>
      </c>
      <c r="AF211" s="188" t="s">
        <v>318</v>
      </c>
      <c r="AG211" s="188" t="s">
        <v>318</v>
      </c>
      <c r="AH211" s="107">
        <f t="shared" si="39"/>
        <v>0</v>
      </c>
    </row>
    <row r="212" spans="1:34" ht="15">
      <c r="A212" s="363" t="s">
        <v>154</v>
      </c>
      <c r="B212" s="53">
        <f t="shared" si="38"/>
        <v>0</v>
      </c>
      <c r="C212" s="188" t="s">
        <v>318</v>
      </c>
      <c r="D212" s="188" t="s">
        <v>318</v>
      </c>
      <c r="E212" s="188" t="s">
        <v>318</v>
      </c>
      <c r="F212" s="188" t="s">
        <v>318</v>
      </c>
      <c r="G212" s="188" t="s">
        <v>318</v>
      </c>
      <c r="H212" s="188" t="s">
        <v>318</v>
      </c>
      <c r="I212" s="188" t="s">
        <v>318</v>
      </c>
      <c r="J212" s="188" t="s">
        <v>318</v>
      </c>
      <c r="K212" s="188" t="s">
        <v>318</v>
      </c>
      <c r="L212" s="188" t="s">
        <v>318</v>
      </c>
      <c r="M212" s="188" t="s">
        <v>318</v>
      </c>
      <c r="N212" s="188" t="s">
        <v>318</v>
      </c>
      <c r="O212" s="188" t="s">
        <v>318</v>
      </c>
      <c r="P212" s="188" t="s">
        <v>318</v>
      </c>
      <c r="Q212" s="188" t="s">
        <v>318</v>
      </c>
      <c r="R212" s="188" t="s">
        <v>318</v>
      </c>
      <c r="S212" s="188" t="s">
        <v>318</v>
      </c>
      <c r="T212" s="188" t="s">
        <v>318</v>
      </c>
      <c r="U212" s="188" t="s">
        <v>318</v>
      </c>
      <c r="V212" s="188" t="s">
        <v>318</v>
      </c>
      <c r="W212" s="188" t="s">
        <v>318</v>
      </c>
      <c r="X212" s="53"/>
      <c r="Y212" s="53"/>
      <c r="Z212" s="53"/>
      <c r="AA212" s="53"/>
      <c r="AB212" s="53"/>
      <c r="AC212" s="53"/>
      <c r="AD212" s="53"/>
      <c r="AE212" s="107"/>
      <c r="AF212" s="53"/>
      <c r="AG212" s="107"/>
      <c r="AH212" s="107">
        <f t="shared" si="39"/>
        <v>0</v>
      </c>
    </row>
    <row r="213" spans="1:34" ht="15">
      <c r="A213" s="363" t="s">
        <v>155</v>
      </c>
      <c r="B213" s="53">
        <f t="shared" si="38"/>
        <v>0</v>
      </c>
      <c r="C213" s="10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c r="AB213" s="53"/>
      <c r="AC213" s="53"/>
      <c r="AD213" s="53"/>
      <c r="AE213" s="107"/>
      <c r="AF213" s="53"/>
      <c r="AG213" s="107"/>
      <c r="AH213" s="107">
        <f t="shared" si="39"/>
        <v>0</v>
      </c>
    </row>
    <row r="214" spans="1:34" ht="15">
      <c r="A214" s="363" t="s">
        <v>156</v>
      </c>
      <c r="B214" s="53">
        <f t="shared" si="38"/>
        <v>0</v>
      </c>
      <c r="C214" s="103"/>
      <c r="D214" s="53"/>
      <c r="E214" s="53"/>
      <c r="F214" s="53"/>
      <c r="G214" s="53"/>
      <c r="H214" s="53"/>
      <c r="I214" s="53"/>
      <c r="J214" s="53"/>
      <c r="K214" s="53"/>
      <c r="L214" s="53"/>
      <c r="M214" s="53"/>
      <c r="N214" s="53"/>
      <c r="O214" s="53"/>
      <c r="P214" s="3027">
        <v>0</v>
      </c>
      <c r="Q214" s="3027">
        <v>0</v>
      </c>
      <c r="R214" s="3027">
        <v>0</v>
      </c>
      <c r="S214" s="3027">
        <v>0</v>
      </c>
      <c r="T214" s="3027">
        <v>0</v>
      </c>
      <c r="U214" s="3027">
        <v>0</v>
      </c>
      <c r="V214" s="3027">
        <v>0</v>
      </c>
      <c r="W214" s="3027">
        <v>0</v>
      </c>
      <c r="X214" s="3027">
        <v>0</v>
      </c>
      <c r="Y214" s="3027">
        <v>0</v>
      </c>
      <c r="Z214" s="3027">
        <v>0</v>
      </c>
      <c r="AA214" s="3027">
        <v>0</v>
      </c>
      <c r="AB214" s="3027">
        <v>0</v>
      </c>
      <c r="AC214" s="3027">
        <v>0</v>
      </c>
      <c r="AD214" s="3027">
        <v>0</v>
      </c>
      <c r="AE214" s="3027">
        <v>0</v>
      </c>
      <c r="AF214" s="3027">
        <v>0</v>
      </c>
      <c r="AG214" s="3027">
        <v>0</v>
      </c>
      <c r="AH214" s="107">
        <f t="shared" si="39"/>
        <v>0</v>
      </c>
    </row>
    <row r="215" spans="1:34" ht="15">
      <c r="A215" s="199" t="s">
        <v>144</v>
      </c>
      <c r="B215" s="200">
        <f>SUM(B203:B214)</f>
        <v>0</v>
      </c>
      <c r="C215" s="100">
        <f>SUM(C203:C213)</f>
        <v>0</v>
      </c>
      <c r="D215" s="107">
        <f>SUM(D203:D213)</f>
        <v>0</v>
      </c>
      <c r="E215" s="107">
        <v>0</v>
      </c>
      <c r="F215" s="107">
        <f t="shared" ref="F215:AC215" si="40">SUM(F203:F213)</f>
        <v>0</v>
      </c>
      <c r="G215" s="107">
        <f t="shared" si="40"/>
        <v>0</v>
      </c>
      <c r="H215" s="107">
        <f t="shared" si="40"/>
        <v>0</v>
      </c>
      <c r="I215" s="107">
        <f t="shared" si="40"/>
        <v>0</v>
      </c>
      <c r="J215" s="107">
        <f t="shared" si="40"/>
        <v>0</v>
      </c>
      <c r="K215" s="107">
        <f t="shared" si="40"/>
        <v>0</v>
      </c>
      <c r="L215" s="107">
        <f t="shared" si="40"/>
        <v>0</v>
      </c>
      <c r="M215" s="107">
        <f t="shared" si="40"/>
        <v>0</v>
      </c>
      <c r="N215" s="107">
        <f t="shared" si="40"/>
        <v>0</v>
      </c>
      <c r="O215" s="107">
        <f t="shared" si="40"/>
        <v>0</v>
      </c>
      <c r="P215" s="107">
        <f t="shared" si="40"/>
        <v>0</v>
      </c>
      <c r="Q215" s="107">
        <f t="shared" si="40"/>
        <v>0</v>
      </c>
      <c r="R215" s="107">
        <f t="shared" si="40"/>
        <v>0</v>
      </c>
      <c r="S215" s="107">
        <f t="shared" si="40"/>
        <v>0</v>
      </c>
      <c r="T215" s="107">
        <f t="shared" si="40"/>
        <v>0</v>
      </c>
      <c r="U215" s="107">
        <f t="shared" si="40"/>
        <v>0</v>
      </c>
      <c r="V215" s="107">
        <f t="shared" si="40"/>
        <v>0</v>
      </c>
      <c r="W215" s="107">
        <f t="shared" si="40"/>
        <v>0</v>
      </c>
      <c r="X215" s="107">
        <f t="shared" si="40"/>
        <v>0</v>
      </c>
      <c r="Y215" s="107">
        <f t="shared" si="40"/>
        <v>0</v>
      </c>
      <c r="Z215" s="107">
        <f t="shared" si="40"/>
        <v>0</v>
      </c>
      <c r="AA215" s="107">
        <f t="shared" si="40"/>
        <v>0</v>
      </c>
      <c r="AB215" s="107">
        <f t="shared" si="40"/>
        <v>0</v>
      </c>
      <c r="AC215" s="107">
        <f t="shared" si="40"/>
        <v>0</v>
      </c>
      <c r="AD215" s="107">
        <v>0</v>
      </c>
      <c r="AE215" s="107">
        <f>SUM(AE203:AE213)</f>
        <v>0</v>
      </c>
      <c r="AF215" s="107">
        <f>SUM(AF203:AF213)</f>
        <v>0</v>
      </c>
      <c r="AG215" s="107">
        <f>SUM(AG203:AG213)</f>
        <v>0</v>
      </c>
      <c r="AH215" s="100">
        <f>SUM(AH203:AH213)</f>
        <v>0</v>
      </c>
    </row>
    <row r="216" spans="1:34" ht="5.0999999999999996" customHeight="1">
      <c r="A216" s="49"/>
      <c r="B216" s="49"/>
      <c r="C216" s="1"/>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
    </row>
    <row r="217" spans="1:34" ht="15">
      <c r="A217" s="3854" t="s">
        <v>293</v>
      </c>
      <c r="B217" s="3855"/>
      <c r="C217" s="3855"/>
      <c r="D217" s="3855"/>
      <c r="E217" s="3855"/>
      <c r="F217" s="3855"/>
      <c r="G217" s="3855"/>
      <c r="H217" s="3856"/>
      <c r="I217" s="3313"/>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row>
    <row r="218" spans="1:34" ht="15">
      <c r="A218" s="8" t="s">
        <v>142</v>
      </c>
      <c r="B218" s="8" t="s">
        <v>143</v>
      </c>
      <c r="C218" s="2907">
        <v>1</v>
      </c>
      <c r="D218" s="73">
        <v>2</v>
      </c>
      <c r="E218" s="73">
        <v>3</v>
      </c>
      <c r="F218" s="73">
        <v>4</v>
      </c>
      <c r="G218" s="73">
        <v>5</v>
      </c>
      <c r="H218" s="73">
        <v>6</v>
      </c>
      <c r="I218" s="73">
        <v>7</v>
      </c>
      <c r="J218" s="73">
        <v>8</v>
      </c>
      <c r="K218" s="73">
        <v>9</v>
      </c>
      <c r="L218" s="73">
        <v>10</v>
      </c>
      <c r="M218" s="73">
        <v>11</v>
      </c>
      <c r="N218" s="73">
        <v>12</v>
      </c>
      <c r="O218" s="73">
        <v>13</v>
      </c>
      <c r="P218" s="73">
        <v>14</v>
      </c>
      <c r="Q218" s="73">
        <v>15</v>
      </c>
      <c r="R218" s="73">
        <v>16</v>
      </c>
      <c r="S218" s="73">
        <v>17</v>
      </c>
      <c r="T218" s="73">
        <v>18</v>
      </c>
      <c r="U218" s="73">
        <v>19</v>
      </c>
      <c r="V218" s="73">
        <v>20</v>
      </c>
      <c r="W218" s="73">
        <v>21</v>
      </c>
      <c r="X218" s="73">
        <v>22</v>
      </c>
      <c r="Y218" s="73">
        <v>23</v>
      </c>
      <c r="Z218" s="73">
        <v>24</v>
      </c>
      <c r="AA218" s="73">
        <v>25</v>
      </c>
      <c r="AB218" s="73">
        <v>26</v>
      </c>
      <c r="AC218" s="73">
        <v>27</v>
      </c>
      <c r="AD218" s="73">
        <v>28</v>
      </c>
      <c r="AE218" s="73">
        <v>29</v>
      </c>
      <c r="AF218" s="73">
        <v>30</v>
      </c>
      <c r="AG218" s="73">
        <v>31</v>
      </c>
      <c r="AH218" s="88" t="s">
        <v>144</v>
      </c>
    </row>
    <row r="219" spans="1:34" ht="15">
      <c r="A219" s="414" t="s">
        <v>145</v>
      </c>
      <c r="B219" s="53">
        <f t="shared" ref="B219:B230" si="41">+AH219</f>
        <v>0</v>
      </c>
      <c r="C219" s="188" t="s">
        <v>311</v>
      </c>
      <c r="D219" s="188" t="s">
        <v>311</v>
      </c>
      <c r="E219" s="188" t="s">
        <v>311</v>
      </c>
      <c r="F219" s="188" t="s">
        <v>311</v>
      </c>
      <c r="G219" s="188" t="s">
        <v>311</v>
      </c>
      <c r="H219" s="188" t="s">
        <v>311</v>
      </c>
      <c r="I219" s="188" t="s">
        <v>311</v>
      </c>
      <c r="J219" s="306"/>
      <c r="K219" s="306"/>
      <c r="L219" s="306"/>
      <c r="M219" s="306"/>
      <c r="N219" s="306"/>
      <c r="O219" s="306"/>
      <c r="P219" s="306"/>
      <c r="Q219" s="306"/>
      <c r="R219" s="306"/>
      <c r="S219" s="306"/>
      <c r="T219" s="306"/>
      <c r="U219" s="306"/>
      <c r="V219" s="306"/>
      <c r="W219" s="306"/>
      <c r="X219" s="306"/>
      <c r="Y219" s="306"/>
      <c r="Z219" s="306"/>
      <c r="AA219" s="306"/>
      <c r="AB219" s="306"/>
      <c r="AC219" s="306"/>
      <c r="AD219" s="306"/>
      <c r="AE219" s="306"/>
      <c r="AF219" s="306"/>
      <c r="AG219" s="306"/>
      <c r="AH219" s="107">
        <f>SUM(C219:AG219)</f>
        <v>0</v>
      </c>
    </row>
    <row r="220" spans="1:34" s="190" customFormat="1" ht="15">
      <c r="A220" s="414" t="s">
        <v>146</v>
      </c>
      <c r="B220" s="53">
        <f t="shared" si="41"/>
        <v>563.20499999999993</v>
      </c>
      <c r="C220" s="306"/>
      <c r="D220" s="306"/>
      <c r="E220" s="306"/>
      <c r="F220" s="306"/>
      <c r="G220" s="306"/>
      <c r="H220" s="306"/>
      <c r="I220" s="306"/>
      <c r="J220" s="306"/>
      <c r="K220" s="306"/>
      <c r="L220" s="306">
        <v>70.724999999999994</v>
      </c>
      <c r="M220" s="306"/>
      <c r="N220" s="306"/>
      <c r="O220" s="306">
        <v>70.555000000000007</v>
      </c>
      <c r="P220" s="306"/>
      <c r="Q220" s="306">
        <v>66.025000000000006</v>
      </c>
      <c r="R220" s="306"/>
      <c r="S220" s="306"/>
      <c r="T220" s="306"/>
      <c r="U220" s="306">
        <v>66.459999999999994</v>
      </c>
      <c r="V220" s="306"/>
      <c r="W220" s="306">
        <v>144.55000000000001</v>
      </c>
      <c r="X220" s="306"/>
      <c r="Y220" s="306">
        <v>73.22</v>
      </c>
      <c r="Z220" s="306"/>
      <c r="AA220" s="306"/>
      <c r="AB220" s="306"/>
      <c r="AC220" s="306"/>
      <c r="AD220" s="306"/>
      <c r="AE220" s="306">
        <v>71.67</v>
      </c>
      <c r="AF220" s="306"/>
      <c r="AG220" s="306"/>
      <c r="AH220" s="107">
        <f t="shared" ref="AH220:AH230" si="42">SUM(C220:AG220)</f>
        <v>563.20499999999993</v>
      </c>
    </row>
    <row r="221" spans="1:34" ht="15">
      <c r="A221" s="414" t="s">
        <v>147</v>
      </c>
      <c r="B221" s="53">
        <f t="shared" si="41"/>
        <v>209.17499999999998</v>
      </c>
      <c r="C221" s="306"/>
      <c r="D221" s="306">
        <v>69.16</v>
      </c>
      <c r="E221" s="306"/>
      <c r="F221" s="306"/>
      <c r="G221" s="306">
        <v>74.61</v>
      </c>
      <c r="H221" s="315">
        <v>65.305000000000007</v>
      </c>
      <c r="I221" s="315"/>
      <c r="J221" s="107"/>
      <c r="K221" s="107"/>
      <c r="L221" s="107"/>
      <c r="M221" s="107"/>
      <c r="N221" s="107"/>
      <c r="O221" s="107"/>
      <c r="P221" s="107"/>
      <c r="Q221" s="107">
        <v>0.1</v>
      </c>
      <c r="R221" s="107"/>
      <c r="S221" s="107"/>
      <c r="T221" s="107"/>
      <c r="U221" s="107"/>
      <c r="V221" s="107"/>
      <c r="W221" s="107"/>
      <c r="X221" s="107"/>
      <c r="Y221" s="107"/>
      <c r="Z221" s="107"/>
      <c r="AA221" s="107"/>
      <c r="AB221" s="107"/>
      <c r="AC221" s="188" t="s">
        <v>311</v>
      </c>
      <c r="AD221" s="188" t="s">
        <v>311</v>
      </c>
      <c r="AE221" s="188" t="s">
        <v>311</v>
      </c>
      <c r="AF221" s="188" t="s">
        <v>311</v>
      </c>
      <c r="AG221" s="188" t="s">
        <v>311</v>
      </c>
      <c r="AH221" s="107">
        <f t="shared" si="42"/>
        <v>209.17499999999998</v>
      </c>
    </row>
    <row r="222" spans="1:34" ht="15">
      <c r="A222" s="414" t="s">
        <v>148</v>
      </c>
      <c r="B222" s="53">
        <f t="shared" si="41"/>
        <v>206.38499999999999</v>
      </c>
      <c r="C222" s="188" t="s">
        <v>311</v>
      </c>
      <c r="D222" s="188" t="s">
        <v>311</v>
      </c>
      <c r="E222" s="188" t="s">
        <v>311</v>
      </c>
      <c r="F222" s="188" t="s">
        <v>311</v>
      </c>
      <c r="G222" s="188">
        <v>0.1</v>
      </c>
      <c r="H222" s="188" t="s">
        <v>311</v>
      </c>
      <c r="I222" s="188" t="s">
        <v>311</v>
      </c>
      <c r="J222" s="188" t="s">
        <v>311</v>
      </c>
      <c r="K222" s="188" t="s">
        <v>311</v>
      </c>
      <c r="L222" s="107"/>
      <c r="M222" s="107"/>
      <c r="N222" s="107"/>
      <c r="O222" s="107"/>
      <c r="P222" s="107"/>
      <c r="Q222" s="107"/>
      <c r="R222" s="107"/>
      <c r="S222" s="107"/>
      <c r="T222" s="107"/>
      <c r="U222" s="107"/>
      <c r="V222" s="107"/>
      <c r="W222" s="107"/>
      <c r="X222" s="107"/>
      <c r="Y222" s="107"/>
      <c r="Z222" s="107"/>
      <c r="AA222" s="107">
        <v>64.915000000000006</v>
      </c>
      <c r="AB222" s="107"/>
      <c r="AC222" s="107">
        <v>70.075000000000003</v>
      </c>
      <c r="AD222" s="107">
        <v>71.295000000000002</v>
      </c>
      <c r="AE222" s="107"/>
      <c r="AF222" s="107"/>
      <c r="AG222" s="107"/>
      <c r="AH222" s="107">
        <f t="shared" si="42"/>
        <v>206.38499999999999</v>
      </c>
    </row>
    <row r="223" spans="1:34" s="190" customFormat="1" ht="15">
      <c r="A223" s="375" t="s">
        <v>149</v>
      </c>
      <c r="B223" s="53">
        <f t="shared" si="41"/>
        <v>207.80700000000002</v>
      </c>
      <c r="C223" s="103"/>
      <c r="D223" s="53"/>
      <c r="E223" s="53"/>
      <c r="F223" s="53"/>
      <c r="G223" s="53"/>
      <c r="H223" s="53"/>
      <c r="I223" s="53"/>
      <c r="J223" s="107">
        <v>68.674999999999997</v>
      </c>
      <c r="K223" s="107">
        <v>52.085000000000001</v>
      </c>
      <c r="L223" s="107">
        <v>51.86</v>
      </c>
      <c r="M223" s="107"/>
      <c r="N223" s="107"/>
      <c r="O223" s="107"/>
      <c r="P223" s="107"/>
      <c r="Q223" s="107"/>
      <c r="R223" s="107"/>
      <c r="S223" s="107"/>
      <c r="T223" s="107"/>
      <c r="U223" s="107"/>
      <c r="V223" s="107"/>
      <c r="W223" s="107"/>
      <c r="X223" s="107"/>
      <c r="Y223" s="107"/>
      <c r="Z223" s="107"/>
      <c r="AA223" s="107"/>
      <c r="AB223" s="107"/>
      <c r="AC223" s="107"/>
      <c r="AD223" s="107"/>
      <c r="AE223" s="107"/>
      <c r="AF223" s="107"/>
      <c r="AG223" s="107">
        <v>35.186999999999998</v>
      </c>
      <c r="AH223" s="107">
        <f t="shared" si="42"/>
        <v>207.80700000000002</v>
      </c>
    </row>
    <row r="224" spans="1:34" ht="15">
      <c r="A224" s="375" t="s">
        <v>150</v>
      </c>
      <c r="B224" s="53">
        <f t="shared" si="41"/>
        <v>64.489999999999995</v>
      </c>
      <c r="C224" s="100"/>
      <c r="D224" s="107"/>
      <c r="E224" s="107">
        <v>64.489999999999995</v>
      </c>
      <c r="F224" s="107"/>
      <c r="G224" s="107"/>
      <c r="H224" s="188" t="s">
        <v>162</v>
      </c>
      <c r="I224" s="188" t="s">
        <v>162</v>
      </c>
      <c r="J224" s="188" t="s">
        <v>162</v>
      </c>
      <c r="K224" s="188" t="s">
        <v>162</v>
      </c>
      <c r="L224" s="188" t="s">
        <v>162</v>
      </c>
      <c r="M224" s="188" t="s">
        <v>162</v>
      </c>
      <c r="N224" s="188" t="s">
        <v>162</v>
      </c>
      <c r="O224" s="188" t="s">
        <v>162</v>
      </c>
      <c r="P224" s="188" t="s">
        <v>162</v>
      </c>
      <c r="Q224" s="188" t="s">
        <v>162</v>
      </c>
      <c r="R224" s="188" t="s">
        <v>162</v>
      </c>
      <c r="S224" s="188" t="s">
        <v>162</v>
      </c>
      <c r="T224" s="188" t="s">
        <v>162</v>
      </c>
      <c r="U224" s="188" t="s">
        <v>162</v>
      </c>
      <c r="V224" s="188" t="s">
        <v>162</v>
      </c>
      <c r="W224" s="188" t="s">
        <v>162</v>
      </c>
      <c r="X224" s="188" t="s">
        <v>162</v>
      </c>
      <c r="Y224" s="107"/>
      <c r="Z224" s="107"/>
      <c r="AA224" s="107"/>
      <c r="AB224" s="107"/>
      <c r="AC224" s="107"/>
      <c r="AD224" s="107"/>
      <c r="AE224" s="107"/>
      <c r="AF224" s="107"/>
      <c r="AG224" s="107"/>
      <c r="AH224" s="107">
        <f t="shared" si="42"/>
        <v>64.489999999999995</v>
      </c>
    </row>
    <row r="225" spans="1:34" ht="15">
      <c r="A225" s="375" t="s">
        <v>151</v>
      </c>
      <c r="B225" s="53">
        <f t="shared" si="41"/>
        <v>0.15</v>
      </c>
      <c r="C225" s="103"/>
      <c r="D225" s="107"/>
      <c r="E225" s="107"/>
      <c r="F225" s="107"/>
      <c r="G225" s="53"/>
      <c r="H225" s="53"/>
      <c r="I225" s="53"/>
      <c r="J225" s="111"/>
      <c r="K225" s="111"/>
      <c r="L225" s="107"/>
      <c r="M225" s="107"/>
      <c r="N225" s="107"/>
      <c r="O225" s="107"/>
      <c r="P225" s="107"/>
      <c r="Q225" s="107">
        <v>0.15</v>
      </c>
      <c r="R225" s="107"/>
      <c r="S225" s="107"/>
      <c r="T225" s="107"/>
      <c r="U225" s="107"/>
      <c r="V225" s="107"/>
      <c r="W225" s="107"/>
      <c r="X225" s="107"/>
      <c r="Y225" s="107"/>
      <c r="Z225" s="107"/>
      <c r="AA225" s="107"/>
      <c r="AB225" s="107"/>
      <c r="AC225" s="107"/>
      <c r="AD225" s="107"/>
      <c r="AE225" s="107"/>
      <c r="AF225" s="107"/>
      <c r="AG225" s="107"/>
      <c r="AH225" s="107">
        <f t="shared" si="42"/>
        <v>0.15</v>
      </c>
    </row>
    <row r="226" spans="1:34" s="190" customFormat="1" ht="15">
      <c r="A226" s="375" t="s">
        <v>152</v>
      </c>
      <c r="B226" s="53">
        <f t="shared" si="41"/>
        <v>167.77199999999999</v>
      </c>
      <c r="C226" s="103">
        <v>0.15</v>
      </c>
      <c r="D226" s="53"/>
      <c r="E226" s="53"/>
      <c r="F226" s="53"/>
      <c r="G226" s="53">
        <v>53.685000000000002</v>
      </c>
      <c r="H226" s="53"/>
      <c r="I226" s="53">
        <v>113.937</v>
      </c>
      <c r="J226" s="188" t="s">
        <v>318</v>
      </c>
      <c r="K226" s="188" t="s">
        <v>318</v>
      </c>
      <c r="L226" s="188" t="s">
        <v>318</v>
      </c>
      <c r="M226" s="188" t="s">
        <v>318</v>
      </c>
      <c r="N226" s="188" t="s">
        <v>318</v>
      </c>
      <c r="O226" s="188" t="s">
        <v>318</v>
      </c>
      <c r="P226" s="188" t="s">
        <v>318</v>
      </c>
      <c r="Q226" s="188" t="s">
        <v>318</v>
      </c>
      <c r="R226" s="188" t="s">
        <v>318</v>
      </c>
      <c r="S226" s="188" t="s">
        <v>318</v>
      </c>
      <c r="T226" s="188" t="s">
        <v>318</v>
      </c>
      <c r="U226" s="188" t="s">
        <v>318</v>
      </c>
      <c r="V226" s="188" t="s">
        <v>318</v>
      </c>
      <c r="W226" s="188" t="s">
        <v>318</v>
      </c>
      <c r="X226" s="188" t="s">
        <v>318</v>
      </c>
      <c r="Y226" s="188" t="s">
        <v>318</v>
      </c>
      <c r="Z226" s="188" t="s">
        <v>318</v>
      </c>
      <c r="AA226" s="188" t="s">
        <v>318</v>
      </c>
      <c r="AB226" s="188" t="s">
        <v>318</v>
      </c>
      <c r="AC226" s="188" t="s">
        <v>318</v>
      </c>
      <c r="AD226" s="188" t="s">
        <v>318</v>
      </c>
      <c r="AE226" s="188" t="s">
        <v>318</v>
      </c>
      <c r="AF226" s="188" t="s">
        <v>318</v>
      </c>
      <c r="AG226" s="188" t="s">
        <v>318</v>
      </c>
      <c r="AH226" s="107">
        <f t="shared" si="42"/>
        <v>167.77199999999999</v>
      </c>
    </row>
    <row r="227" spans="1:34" ht="15">
      <c r="A227" s="363" t="s">
        <v>153</v>
      </c>
      <c r="B227" s="53">
        <f t="shared" si="41"/>
        <v>0</v>
      </c>
      <c r="C227" s="188" t="s">
        <v>318</v>
      </c>
      <c r="D227" s="188" t="s">
        <v>318</v>
      </c>
      <c r="E227" s="188" t="s">
        <v>318</v>
      </c>
      <c r="F227" s="188" t="s">
        <v>318</v>
      </c>
      <c r="G227" s="188" t="s">
        <v>318</v>
      </c>
      <c r="H227" s="188" t="s">
        <v>318</v>
      </c>
      <c r="I227" s="188" t="s">
        <v>318</v>
      </c>
      <c r="J227" s="188" t="s">
        <v>318</v>
      </c>
      <c r="K227" s="188" t="s">
        <v>318</v>
      </c>
      <c r="L227" s="188" t="s">
        <v>318</v>
      </c>
      <c r="M227" s="188" t="s">
        <v>318</v>
      </c>
      <c r="N227" s="188" t="s">
        <v>318</v>
      </c>
      <c r="O227" s="188" t="s">
        <v>318</v>
      </c>
      <c r="P227" s="188" t="s">
        <v>318</v>
      </c>
      <c r="Q227" s="188" t="s">
        <v>318</v>
      </c>
      <c r="R227" s="188" t="s">
        <v>318</v>
      </c>
      <c r="S227" s="188" t="s">
        <v>318</v>
      </c>
      <c r="T227" s="188" t="s">
        <v>318</v>
      </c>
      <c r="U227" s="188" t="s">
        <v>318</v>
      </c>
      <c r="V227" s="188" t="s">
        <v>318</v>
      </c>
      <c r="W227" s="188" t="s">
        <v>318</v>
      </c>
      <c r="X227" s="188" t="s">
        <v>318</v>
      </c>
      <c r="Y227" s="188" t="s">
        <v>318</v>
      </c>
      <c r="Z227" s="188" t="s">
        <v>318</v>
      </c>
      <c r="AA227" s="188" t="s">
        <v>318</v>
      </c>
      <c r="AB227" s="188" t="s">
        <v>318</v>
      </c>
      <c r="AC227" s="188" t="s">
        <v>318</v>
      </c>
      <c r="AD227" s="188" t="s">
        <v>318</v>
      </c>
      <c r="AE227" s="188" t="s">
        <v>318</v>
      </c>
      <c r="AF227" s="188" t="s">
        <v>318</v>
      </c>
      <c r="AG227" s="188" t="s">
        <v>318</v>
      </c>
      <c r="AH227" s="107">
        <f t="shared" si="42"/>
        <v>0</v>
      </c>
    </row>
    <row r="228" spans="1:34" ht="15">
      <c r="A228" s="363" t="s">
        <v>154</v>
      </c>
      <c r="B228" s="53">
        <f t="shared" si="41"/>
        <v>0</v>
      </c>
      <c r="C228" s="188" t="s">
        <v>318</v>
      </c>
      <c r="D228" s="188" t="s">
        <v>318</v>
      </c>
      <c r="E228" s="188" t="s">
        <v>318</v>
      </c>
      <c r="F228" s="188" t="s">
        <v>318</v>
      </c>
      <c r="G228" s="188" t="s">
        <v>318</v>
      </c>
      <c r="H228" s="188" t="s">
        <v>318</v>
      </c>
      <c r="I228" s="188" t="s">
        <v>318</v>
      </c>
      <c r="J228" s="188" t="s">
        <v>318</v>
      </c>
      <c r="K228" s="188" t="s">
        <v>318</v>
      </c>
      <c r="L228" s="188" t="s">
        <v>318</v>
      </c>
      <c r="M228" s="188" t="s">
        <v>318</v>
      </c>
      <c r="N228" s="188" t="s">
        <v>318</v>
      </c>
      <c r="O228" s="188" t="s">
        <v>318</v>
      </c>
      <c r="P228" s="188" t="s">
        <v>318</v>
      </c>
      <c r="Q228" s="188" t="s">
        <v>318</v>
      </c>
      <c r="R228" s="188" t="s">
        <v>318</v>
      </c>
      <c r="S228" s="188" t="s">
        <v>318</v>
      </c>
      <c r="T228" s="188" t="s">
        <v>318</v>
      </c>
      <c r="U228" s="188" t="s">
        <v>318</v>
      </c>
      <c r="V228" s="188" t="s">
        <v>318</v>
      </c>
      <c r="W228" s="188" t="s">
        <v>318</v>
      </c>
      <c r="X228" s="53"/>
      <c r="Y228" s="53"/>
      <c r="Z228" s="53"/>
      <c r="AA228" s="53"/>
      <c r="AB228" s="53"/>
      <c r="AC228" s="53"/>
      <c r="AD228" s="53"/>
      <c r="AE228" s="107"/>
      <c r="AF228" s="53"/>
      <c r="AG228" s="107"/>
      <c r="AH228" s="107">
        <f t="shared" si="42"/>
        <v>0</v>
      </c>
    </row>
    <row r="229" spans="1:34" ht="15">
      <c r="A229" s="363" t="s">
        <v>155</v>
      </c>
      <c r="B229" s="53">
        <f t="shared" si="41"/>
        <v>0</v>
      </c>
      <c r="C229" s="103"/>
      <c r="D229" s="53"/>
      <c r="E229" s="53"/>
      <c r="F229" s="53"/>
      <c r="G229" s="53"/>
      <c r="H229" s="53"/>
      <c r="I229" s="53"/>
      <c r="J229" s="53"/>
      <c r="K229" s="53"/>
      <c r="L229" s="53"/>
      <c r="M229" s="53"/>
      <c r="N229" s="53"/>
      <c r="O229" s="53"/>
      <c r="P229" s="53"/>
      <c r="Q229" s="53"/>
      <c r="R229" s="53"/>
      <c r="S229" s="53"/>
      <c r="T229" s="53"/>
      <c r="U229" s="53"/>
      <c r="V229" s="53"/>
      <c r="W229" s="53"/>
      <c r="X229" s="53"/>
      <c r="Y229" s="53"/>
      <c r="Z229" s="53"/>
      <c r="AA229" s="53"/>
      <c r="AB229" s="53"/>
      <c r="AC229" s="53"/>
      <c r="AD229" s="53"/>
      <c r="AE229" s="107"/>
      <c r="AF229" s="53"/>
      <c r="AG229" s="107"/>
      <c r="AH229" s="107">
        <f t="shared" si="42"/>
        <v>0</v>
      </c>
    </row>
    <row r="230" spans="1:34" ht="15">
      <c r="A230" s="363" t="s">
        <v>156</v>
      </c>
      <c r="B230" s="53">
        <f t="shared" si="41"/>
        <v>0</v>
      </c>
      <c r="C230" s="103"/>
      <c r="D230" s="53"/>
      <c r="E230" s="53"/>
      <c r="F230" s="53"/>
      <c r="G230" s="53"/>
      <c r="H230" s="53"/>
      <c r="I230" s="53"/>
      <c r="J230" s="53"/>
      <c r="K230" s="53"/>
      <c r="L230" s="53"/>
      <c r="M230" s="53"/>
      <c r="N230" s="53"/>
      <c r="O230" s="53"/>
      <c r="P230" s="3027">
        <v>0</v>
      </c>
      <c r="Q230" s="3027">
        <v>0</v>
      </c>
      <c r="R230" s="3027">
        <v>0</v>
      </c>
      <c r="S230" s="3027">
        <v>0</v>
      </c>
      <c r="T230" s="3027">
        <v>0</v>
      </c>
      <c r="U230" s="3027">
        <v>0</v>
      </c>
      <c r="V230" s="3027">
        <v>0</v>
      </c>
      <c r="W230" s="3027">
        <v>0</v>
      </c>
      <c r="X230" s="3027">
        <v>0</v>
      </c>
      <c r="Y230" s="3027">
        <v>0</v>
      </c>
      <c r="Z230" s="3027">
        <v>0</v>
      </c>
      <c r="AA230" s="3027">
        <v>0</v>
      </c>
      <c r="AB230" s="3027">
        <v>0</v>
      </c>
      <c r="AC230" s="3027">
        <v>0</v>
      </c>
      <c r="AD230" s="3027">
        <v>0</v>
      </c>
      <c r="AE230" s="3027">
        <v>0</v>
      </c>
      <c r="AF230" s="3027">
        <v>0</v>
      </c>
      <c r="AG230" s="3027">
        <v>0</v>
      </c>
      <c r="AH230" s="107">
        <f t="shared" si="42"/>
        <v>0</v>
      </c>
    </row>
    <row r="231" spans="1:34" ht="15">
      <c r="A231" s="199" t="s">
        <v>144</v>
      </c>
      <c r="B231" s="232">
        <f>SUM(B219:B230)</f>
        <v>1418.9839999999999</v>
      </c>
      <c r="C231" s="100">
        <f>SUM(C219:C229)</f>
        <v>0.15</v>
      </c>
      <c r="D231" s="107">
        <f>SUM(D219:D229)</f>
        <v>69.16</v>
      </c>
      <c r="E231" s="107">
        <v>0</v>
      </c>
      <c r="F231" s="107">
        <f t="shared" ref="F231:AC231" si="43">SUM(F219:F229)</f>
        <v>0</v>
      </c>
      <c r="G231" s="107">
        <f t="shared" si="43"/>
        <v>128.39499999999998</v>
      </c>
      <c r="H231" s="107">
        <f t="shared" si="43"/>
        <v>65.305000000000007</v>
      </c>
      <c r="I231" s="107">
        <f t="shared" si="43"/>
        <v>113.937</v>
      </c>
      <c r="J231" s="107">
        <f t="shared" si="43"/>
        <v>68.674999999999997</v>
      </c>
      <c r="K231" s="107">
        <f t="shared" si="43"/>
        <v>52.085000000000001</v>
      </c>
      <c r="L231" s="107">
        <f t="shared" si="43"/>
        <v>122.58499999999999</v>
      </c>
      <c r="M231" s="107">
        <f t="shared" si="43"/>
        <v>0</v>
      </c>
      <c r="N231" s="107">
        <f t="shared" si="43"/>
        <v>0</v>
      </c>
      <c r="O231" s="107">
        <f t="shared" si="43"/>
        <v>70.555000000000007</v>
      </c>
      <c r="P231" s="107">
        <f t="shared" si="43"/>
        <v>0</v>
      </c>
      <c r="Q231" s="107">
        <f t="shared" si="43"/>
        <v>66.275000000000006</v>
      </c>
      <c r="R231" s="107">
        <f t="shared" si="43"/>
        <v>0</v>
      </c>
      <c r="S231" s="107">
        <f t="shared" si="43"/>
        <v>0</v>
      </c>
      <c r="T231" s="107">
        <f t="shared" si="43"/>
        <v>0</v>
      </c>
      <c r="U231" s="107">
        <f t="shared" si="43"/>
        <v>66.459999999999994</v>
      </c>
      <c r="V231" s="107">
        <f t="shared" si="43"/>
        <v>0</v>
      </c>
      <c r="W231" s="107">
        <f t="shared" si="43"/>
        <v>144.55000000000001</v>
      </c>
      <c r="X231" s="107">
        <f t="shared" si="43"/>
        <v>0</v>
      </c>
      <c r="Y231" s="107">
        <f t="shared" si="43"/>
        <v>73.22</v>
      </c>
      <c r="Z231" s="107">
        <f t="shared" si="43"/>
        <v>0</v>
      </c>
      <c r="AA231" s="107">
        <f t="shared" si="43"/>
        <v>64.915000000000006</v>
      </c>
      <c r="AB231" s="107">
        <f t="shared" si="43"/>
        <v>0</v>
      </c>
      <c r="AC231" s="107">
        <f t="shared" si="43"/>
        <v>70.075000000000003</v>
      </c>
      <c r="AD231" s="107">
        <v>0</v>
      </c>
      <c r="AE231" s="107">
        <f>SUM(AE219:AE229)</f>
        <v>71.67</v>
      </c>
      <c r="AF231" s="107">
        <f>SUM(AF219:AF229)</f>
        <v>0</v>
      </c>
      <c r="AG231" s="107">
        <f>SUM(AG219:AG229)</f>
        <v>35.186999999999998</v>
      </c>
      <c r="AH231" s="100">
        <f>SUM(AH219:AH229)</f>
        <v>1418.9839999999999</v>
      </c>
    </row>
    <row r="232" spans="1:34" ht="5.0999999999999996" customHeight="1">
      <c r="A232" s="49"/>
      <c r="B232" s="49"/>
      <c r="C232" s="1"/>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
    </row>
    <row r="233" spans="1:34" ht="15">
      <c r="A233" s="3854" t="s">
        <v>294</v>
      </c>
      <c r="B233" s="3855"/>
      <c r="C233" s="3855"/>
      <c r="D233" s="3855"/>
      <c r="E233" s="3855"/>
      <c r="F233" s="3855"/>
      <c r="G233" s="3855"/>
      <c r="H233" s="3856"/>
      <c r="I233" s="3313"/>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row>
    <row r="234" spans="1:34" ht="15">
      <c r="A234" s="8" t="s">
        <v>142</v>
      </c>
      <c r="B234" s="8" t="s">
        <v>143</v>
      </c>
      <c r="C234" s="2907">
        <v>1</v>
      </c>
      <c r="D234" s="73">
        <v>2</v>
      </c>
      <c r="E234" s="73">
        <v>3</v>
      </c>
      <c r="F234" s="73">
        <v>4</v>
      </c>
      <c r="G234" s="73">
        <v>5</v>
      </c>
      <c r="H234" s="73">
        <v>6</v>
      </c>
      <c r="I234" s="73">
        <v>7</v>
      </c>
      <c r="J234" s="73">
        <v>8</v>
      </c>
      <c r="K234" s="73">
        <v>9</v>
      </c>
      <c r="L234" s="73">
        <v>10</v>
      </c>
      <c r="M234" s="73">
        <v>11</v>
      </c>
      <c r="N234" s="73">
        <v>12</v>
      </c>
      <c r="O234" s="73">
        <v>13</v>
      </c>
      <c r="P234" s="73">
        <v>14</v>
      </c>
      <c r="Q234" s="73">
        <v>15</v>
      </c>
      <c r="R234" s="73">
        <v>16</v>
      </c>
      <c r="S234" s="73">
        <v>17</v>
      </c>
      <c r="T234" s="73">
        <v>18</v>
      </c>
      <c r="U234" s="73">
        <v>19</v>
      </c>
      <c r="V234" s="73">
        <v>20</v>
      </c>
      <c r="W234" s="73">
        <v>21</v>
      </c>
      <c r="X234" s="73">
        <v>22</v>
      </c>
      <c r="Y234" s="73">
        <v>23</v>
      </c>
      <c r="Z234" s="73">
        <v>24</v>
      </c>
      <c r="AA234" s="73">
        <v>25</v>
      </c>
      <c r="AB234" s="73">
        <v>26</v>
      </c>
      <c r="AC234" s="73">
        <v>27</v>
      </c>
      <c r="AD234" s="73">
        <v>28</v>
      </c>
      <c r="AE234" s="73">
        <v>29</v>
      </c>
      <c r="AF234" s="73">
        <v>30</v>
      </c>
      <c r="AG234" s="73">
        <v>31</v>
      </c>
      <c r="AH234" s="88" t="s">
        <v>144</v>
      </c>
    </row>
    <row r="235" spans="1:34" ht="15">
      <c r="A235" s="414" t="s">
        <v>145</v>
      </c>
      <c r="B235" s="53">
        <f t="shared" ref="B235:B246" si="44">+AH235</f>
        <v>0</v>
      </c>
      <c r="C235" s="188" t="s">
        <v>311</v>
      </c>
      <c r="D235" s="188" t="s">
        <v>311</v>
      </c>
      <c r="E235" s="188" t="s">
        <v>311</v>
      </c>
      <c r="F235" s="188" t="s">
        <v>311</v>
      </c>
      <c r="G235" s="188" t="s">
        <v>311</v>
      </c>
      <c r="H235" s="188" t="s">
        <v>311</v>
      </c>
      <c r="I235" s="188" t="s">
        <v>311</v>
      </c>
      <c r="J235" s="306"/>
      <c r="K235" s="306"/>
      <c r="L235" s="306"/>
      <c r="M235" s="306"/>
      <c r="N235" s="306"/>
      <c r="O235" s="306"/>
      <c r="P235" s="306"/>
      <c r="Q235" s="306"/>
      <c r="R235" s="306"/>
      <c r="S235" s="306"/>
      <c r="T235" s="306"/>
      <c r="U235" s="306"/>
      <c r="V235" s="306"/>
      <c r="W235" s="306"/>
      <c r="X235" s="306"/>
      <c r="Y235" s="306"/>
      <c r="Z235" s="306"/>
      <c r="AA235" s="306"/>
      <c r="AB235" s="306"/>
      <c r="AC235" s="306"/>
      <c r="AD235" s="306"/>
      <c r="AE235" s="306"/>
      <c r="AF235" s="306"/>
      <c r="AG235" s="306"/>
      <c r="AH235" s="107">
        <f>SUM(C235:AG235)</f>
        <v>0</v>
      </c>
    </row>
    <row r="236" spans="1:34" s="190" customFormat="1" ht="15">
      <c r="A236" s="414" t="s">
        <v>146</v>
      </c>
      <c r="B236" s="53">
        <f t="shared" si="44"/>
        <v>0</v>
      </c>
      <c r="C236" s="306"/>
      <c r="D236" s="306"/>
      <c r="E236" s="306"/>
      <c r="F236" s="306"/>
      <c r="G236" s="306"/>
      <c r="H236" s="306"/>
      <c r="I236" s="306"/>
      <c r="J236" s="306"/>
      <c r="K236" s="306"/>
      <c r="L236" s="306"/>
      <c r="M236" s="306"/>
      <c r="N236" s="306"/>
      <c r="O236" s="306"/>
      <c r="P236" s="306"/>
      <c r="Q236" s="306"/>
      <c r="R236" s="306"/>
      <c r="S236" s="306"/>
      <c r="T236" s="306"/>
      <c r="U236" s="306"/>
      <c r="V236" s="306"/>
      <c r="W236" s="306"/>
      <c r="X236" s="306"/>
      <c r="Y236" s="306"/>
      <c r="Z236" s="306"/>
      <c r="AA236" s="306"/>
      <c r="AB236" s="306"/>
      <c r="AC236" s="306"/>
      <c r="AD236" s="306"/>
      <c r="AE236" s="306"/>
      <c r="AF236" s="306"/>
      <c r="AG236" s="306"/>
      <c r="AH236" s="107">
        <f t="shared" ref="AH236:AH246" si="45">SUM(C236:AG236)</f>
        <v>0</v>
      </c>
    </row>
    <row r="237" spans="1:34" ht="15">
      <c r="A237" s="414" t="s">
        <v>147</v>
      </c>
      <c r="B237" s="53">
        <f t="shared" si="44"/>
        <v>0</v>
      </c>
      <c r="C237" s="306"/>
      <c r="D237" s="306"/>
      <c r="E237" s="306"/>
      <c r="F237" s="306"/>
      <c r="G237" s="306"/>
      <c r="H237" s="315"/>
      <c r="I237" s="315"/>
      <c r="J237" s="107"/>
      <c r="K237" s="107"/>
      <c r="L237" s="107"/>
      <c r="M237" s="107"/>
      <c r="N237" s="107"/>
      <c r="O237" s="107"/>
      <c r="P237" s="107"/>
      <c r="Q237" s="107"/>
      <c r="R237" s="107"/>
      <c r="S237" s="107"/>
      <c r="T237" s="107"/>
      <c r="U237" s="107"/>
      <c r="V237" s="107"/>
      <c r="W237" s="107"/>
      <c r="X237" s="107"/>
      <c r="Y237" s="107"/>
      <c r="Z237" s="107"/>
      <c r="AA237" s="107"/>
      <c r="AB237" s="107"/>
      <c r="AC237" s="188" t="s">
        <v>311</v>
      </c>
      <c r="AD237" s="188" t="s">
        <v>311</v>
      </c>
      <c r="AE237" s="188" t="s">
        <v>311</v>
      </c>
      <c r="AF237" s="188" t="s">
        <v>311</v>
      </c>
      <c r="AG237" s="188" t="s">
        <v>311</v>
      </c>
      <c r="AH237" s="107">
        <f t="shared" si="45"/>
        <v>0</v>
      </c>
    </row>
    <row r="238" spans="1:34" ht="15">
      <c r="A238" s="414" t="s">
        <v>148</v>
      </c>
      <c r="B238" s="53">
        <f t="shared" si="44"/>
        <v>0</v>
      </c>
      <c r="C238" s="188" t="s">
        <v>311</v>
      </c>
      <c r="D238" s="188" t="s">
        <v>311</v>
      </c>
      <c r="E238" s="188" t="s">
        <v>311</v>
      </c>
      <c r="F238" s="188" t="s">
        <v>311</v>
      </c>
      <c r="G238" s="188" t="s">
        <v>311</v>
      </c>
      <c r="H238" s="188" t="s">
        <v>311</v>
      </c>
      <c r="I238" s="188" t="s">
        <v>311</v>
      </c>
      <c r="J238" s="188" t="s">
        <v>311</v>
      </c>
      <c r="K238" s="188" t="s">
        <v>311</v>
      </c>
      <c r="L238" s="107"/>
      <c r="M238" s="107"/>
      <c r="N238" s="107"/>
      <c r="O238" s="107"/>
      <c r="P238" s="107"/>
      <c r="Q238" s="107"/>
      <c r="R238" s="107"/>
      <c r="S238" s="107"/>
      <c r="T238" s="107"/>
      <c r="U238" s="107"/>
      <c r="V238" s="107"/>
      <c r="W238" s="107"/>
      <c r="X238" s="107"/>
      <c r="Y238" s="107"/>
      <c r="Z238" s="107"/>
      <c r="AA238" s="107"/>
      <c r="AB238" s="107"/>
      <c r="AC238" s="107"/>
      <c r="AD238" s="107"/>
      <c r="AE238" s="107"/>
      <c r="AF238" s="107"/>
      <c r="AG238" s="107"/>
      <c r="AH238" s="107">
        <f t="shared" si="45"/>
        <v>0</v>
      </c>
    </row>
    <row r="239" spans="1:34" s="190" customFormat="1" ht="15">
      <c r="A239" s="375" t="s">
        <v>149</v>
      </c>
      <c r="B239" s="53">
        <f t="shared" si="44"/>
        <v>0</v>
      </c>
      <c r="C239" s="103"/>
      <c r="D239" s="53"/>
      <c r="E239" s="53"/>
      <c r="F239" s="53"/>
      <c r="G239" s="53"/>
      <c r="H239" s="53"/>
      <c r="I239" s="53"/>
      <c r="J239" s="107"/>
      <c r="K239" s="107"/>
      <c r="L239" s="107"/>
      <c r="M239" s="107"/>
      <c r="N239" s="107"/>
      <c r="O239" s="107"/>
      <c r="P239" s="107"/>
      <c r="Q239" s="107"/>
      <c r="R239" s="107"/>
      <c r="S239" s="107"/>
      <c r="T239" s="107"/>
      <c r="U239" s="107"/>
      <c r="V239" s="107"/>
      <c r="W239" s="107"/>
      <c r="X239" s="107"/>
      <c r="Y239" s="107"/>
      <c r="Z239" s="107"/>
      <c r="AA239" s="107"/>
      <c r="AB239" s="107"/>
      <c r="AC239" s="107"/>
      <c r="AD239" s="107"/>
      <c r="AE239" s="107"/>
      <c r="AF239" s="107"/>
      <c r="AG239" s="107"/>
      <c r="AH239" s="107">
        <f t="shared" si="45"/>
        <v>0</v>
      </c>
    </row>
    <row r="240" spans="1:34" ht="15">
      <c r="A240" s="375" t="s">
        <v>150</v>
      </c>
      <c r="B240" s="53">
        <f t="shared" si="44"/>
        <v>0</v>
      </c>
      <c r="C240" s="100"/>
      <c r="D240" s="107"/>
      <c r="E240" s="107"/>
      <c r="F240" s="107"/>
      <c r="G240" s="107"/>
      <c r="H240" s="188" t="s">
        <v>162</v>
      </c>
      <c r="I240" s="188" t="s">
        <v>162</v>
      </c>
      <c r="J240" s="188" t="s">
        <v>162</v>
      </c>
      <c r="K240" s="188" t="s">
        <v>162</v>
      </c>
      <c r="L240" s="188" t="s">
        <v>162</v>
      </c>
      <c r="M240" s="188" t="s">
        <v>162</v>
      </c>
      <c r="N240" s="188" t="s">
        <v>162</v>
      </c>
      <c r="O240" s="188" t="s">
        <v>162</v>
      </c>
      <c r="P240" s="188" t="s">
        <v>162</v>
      </c>
      <c r="Q240" s="188" t="s">
        <v>162</v>
      </c>
      <c r="R240" s="188" t="s">
        <v>162</v>
      </c>
      <c r="S240" s="188" t="s">
        <v>162</v>
      </c>
      <c r="T240" s="188" t="s">
        <v>162</v>
      </c>
      <c r="U240" s="188" t="s">
        <v>162</v>
      </c>
      <c r="V240" s="188" t="s">
        <v>162</v>
      </c>
      <c r="W240" s="188" t="s">
        <v>162</v>
      </c>
      <c r="X240" s="188" t="s">
        <v>162</v>
      </c>
      <c r="Y240" s="107"/>
      <c r="Z240" s="107"/>
      <c r="AA240" s="107"/>
      <c r="AB240" s="107"/>
      <c r="AC240" s="107"/>
      <c r="AD240" s="107"/>
      <c r="AE240" s="107"/>
      <c r="AF240" s="107"/>
      <c r="AG240" s="107"/>
      <c r="AH240" s="107">
        <f t="shared" si="45"/>
        <v>0</v>
      </c>
    </row>
    <row r="241" spans="1:34" ht="15">
      <c r="A241" s="375" t="s">
        <v>151</v>
      </c>
      <c r="B241" s="53">
        <f t="shared" si="44"/>
        <v>0</v>
      </c>
      <c r="C241" s="103"/>
      <c r="D241" s="107"/>
      <c r="E241" s="107"/>
      <c r="F241" s="107"/>
      <c r="G241" s="53"/>
      <c r="H241" s="53"/>
      <c r="I241" s="53"/>
      <c r="J241" s="111"/>
      <c r="K241" s="111"/>
      <c r="L241" s="107"/>
      <c r="M241" s="107"/>
      <c r="N241" s="107"/>
      <c r="O241" s="107"/>
      <c r="P241" s="107"/>
      <c r="Q241" s="107"/>
      <c r="R241" s="107"/>
      <c r="S241" s="107"/>
      <c r="T241" s="107"/>
      <c r="U241" s="107"/>
      <c r="V241" s="107"/>
      <c r="W241" s="107"/>
      <c r="X241" s="107"/>
      <c r="Y241" s="107"/>
      <c r="Z241" s="107"/>
      <c r="AA241" s="107"/>
      <c r="AB241" s="107"/>
      <c r="AC241" s="107"/>
      <c r="AD241" s="107"/>
      <c r="AE241" s="107"/>
      <c r="AF241" s="107"/>
      <c r="AG241" s="107"/>
      <c r="AH241" s="107">
        <f t="shared" si="45"/>
        <v>0</v>
      </c>
    </row>
    <row r="242" spans="1:34" s="190" customFormat="1" ht="15">
      <c r="A242" s="375" t="s">
        <v>152</v>
      </c>
      <c r="B242" s="53">
        <f t="shared" si="44"/>
        <v>0</v>
      </c>
      <c r="C242" s="103"/>
      <c r="D242" s="53"/>
      <c r="E242" s="53"/>
      <c r="F242" s="53"/>
      <c r="G242" s="53"/>
      <c r="H242" s="53"/>
      <c r="I242" s="53"/>
      <c r="J242" s="188" t="s">
        <v>318</v>
      </c>
      <c r="K242" s="188" t="s">
        <v>318</v>
      </c>
      <c r="L242" s="188" t="s">
        <v>318</v>
      </c>
      <c r="M242" s="188" t="s">
        <v>318</v>
      </c>
      <c r="N242" s="188" t="s">
        <v>318</v>
      </c>
      <c r="O242" s="188" t="s">
        <v>318</v>
      </c>
      <c r="P242" s="188" t="s">
        <v>318</v>
      </c>
      <c r="Q242" s="188" t="s">
        <v>318</v>
      </c>
      <c r="R242" s="188" t="s">
        <v>318</v>
      </c>
      <c r="S242" s="188" t="s">
        <v>318</v>
      </c>
      <c r="T242" s="188" t="s">
        <v>318</v>
      </c>
      <c r="U242" s="188" t="s">
        <v>318</v>
      </c>
      <c r="V242" s="188" t="s">
        <v>318</v>
      </c>
      <c r="W242" s="188" t="s">
        <v>318</v>
      </c>
      <c r="X242" s="188" t="s">
        <v>318</v>
      </c>
      <c r="Y242" s="188" t="s">
        <v>318</v>
      </c>
      <c r="Z242" s="188" t="s">
        <v>318</v>
      </c>
      <c r="AA242" s="188" t="s">
        <v>318</v>
      </c>
      <c r="AB242" s="188" t="s">
        <v>318</v>
      </c>
      <c r="AC242" s="188" t="s">
        <v>318</v>
      </c>
      <c r="AD242" s="188" t="s">
        <v>318</v>
      </c>
      <c r="AE242" s="188" t="s">
        <v>318</v>
      </c>
      <c r="AF242" s="188" t="s">
        <v>318</v>
      </c>
      <c r="AG242" s="188" t="s">
        <v>318</v>
      </c>
      <c r="AH242" s="107">
        <f t="shared" si="45"/>
        <v>0</v>
      </c>
    </row>
    <row r="243" spans="1:34" ht="15">
      <c r="A243" s="363" t="s">
        <v>153</v>
      </c>
      <c r="B243" s="53">
        <f t="shared" si="44"/>
        <v>0</v>
      </c>
      <c r="C243" s="188" t="s">
        <v>318</v>
      </c>
      <c r="D243" s="188" t="s">
        <v>318</v>
      </c>
      <c r="E243" s="188" t="s">
        <v>318</v>
      </c>
      <c r="F243" s="188" t="s">
        <v>318</v>
      </c>
      <c r="G243" s="188" t="s">
        <v>318</v>
      </c>
      <c r="H243" s="188" t="s">
        <v>318</v>
      </c>
      <c r="I243" s="188" t="s">
        <v>318</v>
      </c>
      <c r="J243" s="188" t="s">
        <v>318</v>
      </c>
      <c r="K243" s="188" t="s">
        <v>318</v>
      </c>
      <c r="L243" s="188" t="s">
        <v>318</v>
      </c>
      <c r="M243" s="188" t="s">
        <v>318</v>
      </c>
      <c r="N243" s="188" t="s">
        <v>318</v>
      </c>
      <c r="O243" s="188" t="s">
        <v>318</v>
      </c>
      <c r="P243" s="188" t="s">
        <v>318</v>
      </c>
      <c r="Q243" s="188" t="s">
        <v>318</v>
      </c>
      <c r="R243" s="188" t="s">
        <v>318</v>
      </c>
      <c r="S243" s="188" t="s">
        <v>318</v>
      </c>
      <c r="T243" s="188" t="s">
        <v>318</v>
      </c>
      <c r="U243" s="188" t="s">
        <v>318</v>
      </c>
      <c r="V243" s="188" t="s">
        <v>318</v>
      </c>
      <c r="W243" s="188" t="s">
        <v>318</v>
      </c>
      <c r="X243" s="188" t="s">
        <v>318</v>
      </c>
      <c r="Y243" s="188" t="s">
        <v>318</v>
      </c>
      <c r="Z243" s="188" t="s">
        <v>318</v>
      </c>
      <c r="AA243" s="188" t="s">
        <v>318</v>
      </c>
      <c r="AB243" s="188" t="s">
        <v>318</v>
      </c>
      <c r="AC243" s="188" t="s">
        <v>318</v>
      </c>
      <c r="AD243" s="188" t="s">
        <v>318</v>
      </c>
      <c r="AE243" s="188" t="s">
        <v>318</v>
      </c>
      <c r="AF243" s="188" t="s">
        <v>318</v>
      </c>
      <c r="AG243" s="188" t="s">
        <v>318</v>
      </c>
      <c r="AH243" s="107">
        <f t="shared" si="45"/>
        <v>0</v>
      </c>
    </row>
    <row r="244" spans="1:34" ht="15">
      <c r="A244" s="363" t="s">
        <v>154</v>
      </c>
      <c r="B244" s="53">
        <f t="shared" si="44"/>
        <v>0</v>
      </c>
      <c r="C244" s="188" t="s">
        <v>318</v>
      </c>
      <c r="D244" s="188" t="s">
        <v>318</v>
      </c>
      <c r="E244" s="188" t="s">
        <v>318</v>
      </c>
      <c r="F244" s="188" t="s">
        <v>318</v>
      </c>
      <c r="G244" s="188" t="s">
        <v>318</v>
      </c>
      <c r="H244" s="188" t="s">
        <v>318</v>
      </c>
      <c r="I244" s="188" t="s">
        <v>318</v>
      </c>
      <c r="J244" s="188" t="s">
        <v>318</v>
      </c>
      <c r="K244" s="188" t="s">
        <v>318</v>
      </c>
      <c r="L244" s="188" t="s">
        <v>318</v>
      </c>
      <c r="M244" s="188" t="s">
        <v>318</v>
      </c>
      <c r="N244" s="188" t="s">
        <v>318</v>
      </c>
      <c r="O244" s="188" t="s">
        <v>318</v>
      </c>
      <c r="P244" s="188" t="s">
        <v>318</v>
      </c>
      <c r="Q244" s="188" t="s">
        <v>318</v>
      </c>
      <c r="R244" s="188" t="s">
        <v>318</v>
      </c>
      <c r="S244" s="188" t="s">
        <v>318</v>
      </c>
      <c r="T244" s="188" t="s">
        <v>318</v>
      </c>
      <c r="U244" s="188" t="s">
        <v>318</v>
      </c>
      <c r="V244" s="188" t="s">
        <v>318</v>
      </c>
      <c r="W244" s="188" t="s">
        <v>318</v>
      </c>
      <c r="X244" s="53"/>
      <c r="Y244" s="53"/>
      <c r="Z244" s="53"/>
      <c r="AA244" s="53"/>
      <c r="AB244" s="53"/>
      <c r="AC244" s="53"/>
      <c r="AD244" s="53"/>
      <c r="AE244" s="107"/>
      <c r="AF244" s="53"/>
      <c r="AG244" s="107"/>
      <c r="AH244" s="107">
        <f t="shared" si="45"/>
        <v>0</v>
      </c>
    </row>
    <row r="245" spans="1:34" ht="15">
      <c r="A245" s="363" t="s">
        <v>155</v>
      </c>
      <c r="B245" s="53">
        <f t="shared" si="44"/>
        <v>0</v>
      </c>
      <c r="C245" s="103"/>
      <c r="D245" s="53"/>
      <c r="E245" s="53"/>
      <c r="F245" s="53"/>
      <c r="G245" s="53"/>
      <c r="H245" s="53"/>
      <c r="I245" s="53"/>
      <c r="J245" s="53"/>
      <c r="K245" s="53"/>
      <c r="L245" s="53"/>
      <c r="M245" s="53"/>
      <c r="N245" s="53"/>
      <c r="O245" s="53"/>
      <c r="P245" s="53"/>
      <c r="Q245" s="53"/>
      <c r="R245" s="53"/>
      <c r="S245" s="53"/>
      <c r="T245" s="53"/>
      <c r="U245" s="53"/>
      <c r="V245" s="53"/>
      <c r="W245" s="53"/>
      <c r="X245" s="53"/>
      <c r="Y245" s="53"/>
      <c r="Z245" s="53"/>
      <c r="AA245" s="53"/>
      <c r="AB245" s="53"/>
      <c r="AC245" s="53"/>
      <c r="AD245" s="53"/>
      <c r="AE245" s="107"/>
      <c r="AF245" s="53"/>
      <c r="AG245" s="107"/>
      <c r="AH245" s="107">
        <f t="shared" si="45"/>
        <v>0</v>
      </c>
    </row>
    <row r="246" spans="1:34" ht="15">
      <c r="A246" s="363" t="s">
        <v>156</v>
      </c>
      <c r="B246" s="53">
        <f t="shared" si="44"/>
        <v>0</v>
      </c>
      <c r="C246" s="103"/>
      <c r="D246" s="53"/>
      <c r="E246" s="53"/>
      <c r="F246" s="53"/>
      <c r="G246" s="53"/>
      <c r="H246" s="53"/>
      <c r="I246" s="53"/>
      <c r="J246" s="53"/>
      <c r="K246" s="53"/>
      <c r="L246" s="53"/>
      <c r="M246" s="53"/>
      <c r="N246" s="53"/>
      <c r="O246" s="53"/>
      <c r="P246" s="3027">
        <v>0</v>
      </c>
      <c r="Q246" s="3027">
        <v>0</v>
      </c>
      <c r="R246" s="3027">
        <v>0</v>
      </c>
      <c r="S246" s="3027">
        <v>0</v>
      </c>
      <c r="T246" s="3027">
        <v>0</v>
      </c>
      <c r="U246" s="3027">
        <v>0</v>
      </c>
      <c r="V246" s="3027">
        <v>0</v>
      </c>
      <c r="W246" s="3027">
        <v>0</v>
      </c>
      <c r="X246" s="3027">
        <v>0</v>
      </c>
      <c r="Y246" s="3027">
        <v>0</v>
      </c>
      <c r="Z246" s="3027">
        <v>0</v>
      </c>
      <c r="AA246" s="3027">
        <v>0</v>
      </c>
      <c r="AB246" s="3027">
        <v>0</v>
      </c>
      <c r="AC246" s="3027">
        <v>0</v>
      </c>
      <c r="AD246" s="3027">
        <v>0</v>
      </c>
      <c r="AE246" s="3027">
        <v>0</v>
      </c>
      <c r="AF246" s="3027">
        <v>0</v>
      </c>
      <c r="AG246" s="3027">
        <v>0</v>
      </c>
      <c r="AH246" s="107">
        <f t="shared" si="45"/>
        <v>0</v>
      </c>
    </row>
    <row r="247" spans="1:34" ht="15">
      <c r="A247" s="199" t="s">
        <v>144</v>
      </c>
      <c r="B247" s="200">
        <f>SUM(B235:B246)</f>
        <v>0</v>
      </c>
      <c r="C247" s="100">
        <f>SUM(C235:C245)</f>
        <v>0</v>
      </c>
      <c r="D247" s="107">
        <f>SUM(D235:D245)</f>
        <v>0</v>
      </c>
      <c r="E247" s="107">
        <v>0</v>
      </c>
      <c r="F247" s="107">
        <f t="shared" ref="F247:AC247" si="46">SUM(F235:F245)</f>
        <v>0</v>
      </c>
      <c r="G247" s="107">
        <f t="shared" si="46"/>
        <v>0</v>
      </c>
      <c r="H247" s="107">
        <f t="shared" si="46"/>
        <v>0</v>
      </c>
      <c r="I247" s="107">
        <f t="shared" si="46"/>
        <v>0</v>
      </c>
      <c r="J247" s="107">
        <f t="shared" si="46"/>
        <v>0</v>
      </c>
      <c r="K247" s="107">
        <f t="shared" si="46"/>
        <v>0</v>
      </c>
      <c r="L247" s="107">
        <f t="shared" si="46"/>
        <v>0</v>
      </c>
      <c r="M247" s="107">
        <f t="shared" si="46"/>
        <v>0</v>
      </c>
      <c r="N247" s="107">
        <f t="shared" si="46"/>
        <v>0</v>
      </c>
      <c r="O247" s="107">
        <f t="shared" si="46"/>
        <v>0</v>
      </c>
      <c r="P247" s="107">
        <f t="shared" si="46"/>
        <v>0</v>
      </c>
      <c r="Q247" s="107">
        <f t="shared" si="46"/>
        <v>0</v>
      </c>
      <c r="R247" s="107">
        <f t="shared" si="46"/>
        <v>0</v>
      </c>
      <c r="S247" s="107">
        <f t="shared" si="46"/>
        <v>0</v>
      </c>
      <c r="T247" s="107">
        <f t="shared" si="46"/>
        <v>0</v>
      </c>
      <c r="U247" s="107">
        <f t="shared" si="46"/>
        <v>0</v>
      </c>
      <c r="V247" s="107">
        <f t="shared" si="46"/>
        <v>0</v>
      </c>
      <c r="W247" s="107">
        <f t="shared" si="46"/>
        <v>0</v>
      </c>
      <c r="X247" s="107">
        <f t="shared" si="46"/>
        <v>0</v>
      </c>
      <c r="Y247" s="107">
        <f t="shared" si="46"/>
        <v>0</v>
      </c>
      <c r="Z247" s="107">
        <f t="shared" si="46"/>
        <v>0</v>
      </c>
      <c r="AA247" s="107">
        <f t="shared" si="46"/>
        <v>0</v>
      </c>
      <c r="AB247" s="107">
        <f t="shared" si="46"/>
        <v>0</v>
      </c>
      <c r="AC247" s="107">
        <f t="shared" si="46"/>
        <v>0</v>
      </c>
      <c r="AD247" s="107">
        <v>0</v>
      </c>
      <c r="AE247" s="107">
        <f>SUM(AE235:AE245)</f>
        <v>0</v>
      </c>
      <c r="AF247" s="107">
        <f>SUM(AF235:AF245)</f>
        <v>0</v>
      </c>
      <c r="AG247" s="107">
        <f>SUM(AG235:AG245)</f>
        <v>0</v>
      </c>
      <c r="AH247" s="100">
        <f>SUM(AH235:AH245)</f>
        <v>0</v>
      </c>
    </row>
    <row r="248" spans="1:34" ht="5.0999999999999996" customHeight="1">
      <c r="A248" s="49"/>
      <c r="B248" s="49"/>
      <c r="C248" s="1"/>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
    </row>
    <row r="249" spans="1:34" ht="15">
      <c r="A249" s="3854" t="s">
        <v>295</v>
      </c>
      <c r="B249" s="3855"/>
      <c r="C249" s="3855"/>
      <c r="D249" s="3855"/>
      <c r="E249" s="3855"/>
      <c r="F249" s="3855"/>
      <c r="G249" s="3855"/>
      <c r="H249" s="3856"/>
      <c r="I249" s="3313"/>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row>
    <row r="250" spans="1:34" ht="15">
      <c r="A250" s="8" t="s">
        <v>142</v>
      </c>
      <c r="B250" s="8" t="s">
        <v>143</v>
      </c>
      <c r="C250" s="2907">
        <v>1</v>
      </c>
      <c r="D250" s="73">
        <v>2</v>
      </c>
      <c r="E250" s="73">
        <v>3</v>
      </c>
      <c r="F250" s="73">
        <v>4</v>
      </c>
      <c r="G250" s="73">
        <v>5</v>
      </c>
      <c r="H250" s="73">
        <v>6</v>
      </c>
      <c r="I250" s="73">
        <v>7</v>
      </c>
      <c r="J250" s="73">
        <v>8</v>
      </c>
      <c r="K250" s="73">
        <v>9</v>
      </c>
      <c r="L250" s="73">
        <v>10</v>
      </c>
      <c r="M250" s="73">
        <v>11</v>
      </c>
      <c r="N250" s="73">
        <v>12</v>
      </c>
      <c r="O250" s="73">
        <v>13</v>
      </c>
      <c r="P250" s="73">
        <v>14</v>
      </c>
      <c r="Q250" s="73">
        <v>15</v>
      </c>
      <c r="R250" s="73">
        <v>16</v>
      </c>
      <c r="S250" s="73">
        <v>17</v>
      </c>
      <c r="T250" s="73">
        <v>18</v>
      </c>
      <c r="U250" s="73">
        <v>19</v>
      </c>
      <c r="V250" s="73">
        <v>20</v>
      </c>
      <c r="W250" s="73">
        <v>21</v>
      </c>
      <c r="X250" s="73">
        <v>22</v>
      </c>
      <c r="Y250" s="73">
        <v>23</v>
      </c>
      <c r="Z250" s="73">
        <v>24</v>
      </c>
      <c r="AA250" s="73">
        <v>25</v>
      </c>
      <c r="AB250" s="73">
        <v>26</v>
      </c>
      <c r="AC250" s="73">
        <v>27</v>
      </c>
      <c r="AD250" s="73">
        <v>28</v>
      </c>
      <c r="AE250" s="73">
        <v>29</v>
      </c>
      <c r="AF250" s="73">
        <v>30</v>
      </c>
      <c r="AG250" s="73">
        <v>31</v>
      </c>
      <c r="AH250" s="88" t="s">
        <v>144</v>
      </c>
    </row>
    <row r="251" spans="1:34" ht="15">
      <c r="A251" s="414" t="s">
        <v>145</v>
      </c>
      <c r="B251" s="53">
        <f t="shared" ref="B251:B262" si="47">+AH251</f>
        <v>0</v>
      </c>
      <c r="C251" s="188" t="s">
        <v>311</v>
      </c>
      <c r="D251" s="188" t="s">
        <v>311</v>
      </c>
      <c r="E251" s="188" t="s">
        <v>311</v>
      </c>
      <c r="F251" s="188" t="s">
        <v>311</v>
      </c>
      <c r="G251" s="188" t="s">
        <v>311</v>
      </c>
      <c r="H251" s="188" t="s">
        <v>311</v>
      </c>
      <c r="I251" s="188" t="s">
        <v>311</v>
      </c>
      <c r="J251" s="306"/>
      <c r="K251" s="306"/>
      <c r="L251" s="306"/>
      <c r="M251" s="306"/>
      <c r="N251" s="306"/>
      <c r="O251" s="306"/>
      <c r="P251" s="306"/>
      <c r="Q251" s="306"/>
      <c r="R251" s="306"/>
      <c r="S251" s="306"/>
      <c r="T251" s="306"/>
      <c r="U251" s="306"/>
      <c r="V251" s="306"/>
      <c r="W251" s="306"/>
      <c r="X251" s="306"/>
      <c r="Y251" s="306"/>
      <c r="Z251" s="306"/>
      <c r="AA251" s="306"/>
      <c r="AB251" s="306"/>
      <c r="AC251" s="306"/>
      <c r="AD251" s="306"/>
      <c r="AE251" s="306"/>
      <c r="AF251" s="306"/>
      <c r="AG251" s="306"/>
      <c r="AH251" s="107">
        <f>SUM(C251:AG251)</f>
        <v>0</v>
      </c>
    </row>
    <row r="252" spans="1:34" s="190" customFormat="1" ht="15">
      <c r="A252" s="414" t="s">
        <v>146</v>
      </c>
      <c r="B252" s="162">
        <f t="shared" si="47"/>
        <v>0</v>
      </c>
      <c r="C252" s="306"/>
      <c r="D252" s="306"/>
      <c r="E252" s="306"/>
      <c r="F252" s="306"/>
      <c r="G252" s="306"/>
      <c r="H252" s="306"/>
      <c r="I252" s="306"/>
      <c r="J252" s="306"/>
      <c r="K252" s="306"/>
      <c r="L252" s="306"/>
      <c r="M252" s="306"/>
      <c r="N252" s="306"/>
      <c r="O252" s="306"/>
      <c r="P252" s="306"/>
      <c r="Q252" s="306"/>
      <c r="R252" s="306"/>
      <c r="S252" s="306"/>
      <c r="T252" s="306"/>
      <c r="U252" s="306"/>
      <c r="V252" s="306"/>
      <c r="W252" s="306"/>
      <c r="X252" s="306"/>
      <c r="Y252" s="306"/>
      <c r="Z252" s="306"/>
      <c r="AA252" s="306"/>
      <c r="AB252" s="306"/>
      <c r="AC252" s="306"/>
      <c r="AD252" s="306"/>
      <c r="AE252" s="306"/>
      <c r="AF252" s="306"/>
      <c r="AG252" s="306"/>
      <c r="AH252" s="107">
        <f t="shared" ref="AH252:AH262" si="48">SUM(C252:AG252)</f>
        <v>0</v>
      </c>
    </row>
    <row r="253" spans="1:34" ht="15">
      <c r="A253" s="414" t="s">
        <v>147</v>
      </c>
      <c r="B253" s="53">
        <f t="shared" si="47"/>
        <v>0</v>
      </c>
      <c r="C253" s="306"/>
      <c r="D253" s="306"/>
      <c r="E253" s="306"/>
      <c r="F253" s="306"/>
      <c r="G253" s="306"/>
      <c r="H253" s="315"/>
      <c r="I253" s="315"/>
      <c r="J253" s="107"/>
      <c r="K253" s="107"/>
      <c r="L253" s="107"/>
      <c r="M253" s="107"/>
      <c r="N253" s="107"/>
      <c r="O253" s="107"/>
      <c r="P253" s="107"/>
      <c r="Q253" s="107"/>
      <c r="R253" s="107"/>
      <c r="S253" s="107"/>
      <c r="T253" s="107"/>
      <c r="U253" s="107"/>
      <c r="V253" s="107"/>
      <c r="W253" s="107"/>
      <c r="X253" s="107"/>
      <c r="Y253" s="107"/>
      <c r="Z253" s="107"/>
      <c r="AA253" s="107"/>
      <c r="AB253" s="107"/>
      <c r="AC253" s="188" t="s">
        <v>311</v>
      </c>
      <c r="AD253" s="188" t="s">
        <v>311</v>
      </c>
      <c r="AE253" s="188" t="s">
        <v>311</v>
      </c>
      <c r="AF253" s="188" t="s">
        <v>311</v>
      </c>
      <c r="AG253" s="188" t="s">
        <v>311</v>
      </c>
      <c r="AH253" s="107">
        <f t="shared" si="48"/>
        <v>0</v>
      </c>
    </row>
    <row r="254" spans="1:34" ht="15">
      <c r="A254" s="414" t="s">
        <v>148</v>
      </c>
      <c r="B254" s="53">
        <f t="shared" si="47"/>
        <v>0</v>
      </c>
      <c r="C254" s="188" t="s">
        <v>311</v>
      </c>
      <c r="D254" s="188" t="s">
        <v>311</v>
      </c>
      <c r="E254" s="188" t="s">
        <v>311</v>
      </c>
      <c r="F254" s="188" t="s">
        <v>311</v>
      </c>
      <c r="G254" s="188" t="s">
        <v>311</v>
      </c>
      <c r="H254" s="188" t="s">
        <v>311</v>
      </c>
      <c r="I254" s="188" t="s">
        <v>311</v>
      </c>
      <c r="J254" s="188" t="s">
        <v>311</v>
      </c>
      <c r="K254" s="188" t="s">
        <v>311</v>
      </c>
      <c r="L254" s="107"/>
      <c r="M254" s="107"/>
      <c r="N254" s="107"/>
      <c r="O254" s="107"/>
      <c r="P254" s="107"/>
      <c r="Q254" s="107"/>
      <c r="R254" s="107"/>
      <c r="S254" s="107"/>
      <c r="T254" s="107"/>
      <c r="U254" s="107"/>
      <c r="V254" s="107"/>
      <c r="W254" s="107"/>
      <c r="X254" s="107"/>
      <c r="Y254" s="107"/>
      <c r="Z254" s="107"/>
      <c r="AA254" s="107"/>
      <c r="AB254" s="107"/>
      <c r="AC254" s="107"/>
      <c r="AD254" s="107"/>
      <c r="AE254" s="107"/>
      <c r="AF254" s="107"/>
      <c r="AG254" s="107"/>
      <c r="AH254" s="107">
        <f t="shared" si="48"/>
        <v>0</v>
      </c>
    </row>
    <row r="255" spans="1:34" s="190" customFormat="1" ht="15">
      <c r="A255" s="375" t="s">
        <v>149</v>
      </c>
      <c r="B255" s="53">
        <f t="shared" si="47"/>
        <v>0</v>
      </c>
      <c r="C255" s="103"/>
      <c r="D255" s="53"/>
      <c r="E255" s="53"/>
      <c r="F255" s="53"/>
      <c r="G255" s="53"/>
      <c r="H255" s="53"/>
      <c r="I255" s="53"/>
      <c r="J255" s="107"/>
      <c r="K255" s="107"/>
      <c r="L255" s="107"/>
      <c r="M255" s="107"/>
      <c r="N255" s="107"/>
      <c r="O255" s="107"/>
      <c r="P255" s="107"/>
      <c r="Q255" s="107"/>
      <c r="R255" s="107"/>
      <c r="S255" s="107"/>
      <c r="T255" s="107"/>
      <c r="U255" s="107"/>
      <c r="V255" s="107"/>
      <c r="W255" s="107"/>
      <c r="X255" s="107"/>
      <c r="Y255" s="107"/>
      <c r="Z255" s="107"/>
      <c r="AA255" s="107"/>
      <c r="AB255" s="107"/>
      <c r="AC255" s="107"/>
      <c r="AD255" s="107"/>
      <c r="AE255" s="107"/>
      <c r="AF255" s="107"/>
      <c r="AG255" s="107"/>
      <c r="AH255" s="107">
        <f t="shared" si="48"/>
        <v>0</v>
      </c>
    </row>
    <row r="256" spans="1:34" ht="15">
      <c r="A256" s="375" t="s">
        <v>150</v>
      </c>
      <c r="B256" s="53">
        <f t="shared" si="47"/>
        <v>0</v>
      </c>
      <c r="C256" s="100"/>
      <c r="D256" s="107"/>
      <c r="E256" s="107"/>
      <c r="F256" s="107"/>
      <c r="G256" s="107"/>
      <c r="H256" s="188" t="s">
        <v>162</v>
      </c>
      <c r="I256" s="188" t="s">
        <v>162</v>
      </c>
      <c r="J256" s="188" t="s">
        <v>162</v>
      </c>
      <c r="K256" s="188" t="s">
        <v>162</v>
      </c>
      <c r="L256" s="188" t="s">
        <v>162</v>
      </c>
      <c r="M256" s="188" t="s">
        <v>162</v>
      </c>
      <c r="N256" s="188" t="s">
        <v>162</v>
      </c>
      <c r="O256" s="188" t="s">
        <v>162</v>
      </c>
      <c r="P256" s="188" t="s">
        <v>162</v>
      </c>
      <c r="Q256" s="188" t="s">
        <v>162</v>
      </c>
      <c r="R256" s="188" t="s">
        <v>162</v>
      </c>
      <c r="S256" s="188" t="s">
        <v>162</v>
      </c>
      <c r="T256" s="188" t="s">
        <v>162</v>
      </c>
      <c r="U256" s="188" t="s">
        <v>162</v>
      </c>
      <c r="V256" s="188" t="s">
        <v>162</v>
      </c>
      <c r="W256" s="188" t="s">
        <v>162</v>
      </c>
      <c r="X256" s="188" t="s">
        <v>162</v>
      </c>
      <c r="Y256" s="107"/>
      <c r="Z256" s="107"/>
      <c r="AA256" s="107"/>
      <c r="AB256" s="107"/>
      <c r="AC256" s="107"/>
      <c r="AD256" s="107"/>
      <c r="AE256" s="107"/>
      <c r="AF256" s="107"/>
      <c r="AG256" s="107"/>
      <c r="AH256" s="107">
        <f t="shared" si="48"/>
        <v>0</v>
      </c>
    </row>
    <row r="257" spans="1:34" ht="15">
      <c r="A257" s="375" t="s">
        <v>151</v>
      </c>
      <c r="B257" s="53">
        <f t="shared" si="47"/>
        <v>0</v>
      </c>
      <c r="C257" s="103"/>
      <c r="D257" s="107"/>
      <c r="E257" s="107"/>
      <c r="F257" s="107"/>
      <c r="G257" s="53"/>
      <c r="H257" s="53"/>
      <c r="I257" s="53"/>
      <c r="J257" s="111"/>
      <c r="K257" s="111"/>
      <c r="L257" s="107"/>
      <c r="M257" s="107"/>
      <c r="N257" s="107"/>
      <c r="O257" s="107"/>
      <c r="P257" s="107"/>
      <c r="Q257" s="107"/>
      <c r="R257" s="107"/>
      <c r="S257" s="107"/>
      <c r="T257" s="107"/>
      <c r="U257" s="107"/>
      <c r="V257" s="107"/>
      <c r="W257" s="107"/>
      <c r="X257" s="107"/>
      <c r="Y257" s="107"/>
      <c r="Z257" s="107"/>
      <c r="AA257" s="107"/>
      <c r="AB257" s="107"/>
      <c r="AC257" s="107"/>
      <c r="AD257" s="107"/>
      <c r="AE257" s="107"/>
      <c r="AF257" s="107"/>
      <c r="AG257" s="107"/>
      <c r="AH257" s="107">
        <f t="shared" si="48"/>
        <v>0</v>
      </c>
    </row>
    <row r="258" spans="1:34" s="190" customFormat="1" ht="15">
      <c r="A258" s="375" t="s">
        <v>152</v>
      </c>
      <c r="B258" s="53">
        <f t="shared" si="47"/>
        <v>0</v>
      </c>
      <c r="C258" s="103"/>
      <c r="D258" s="53"/>
      <c r="E258" s="53"/>
      <c r="F258" s="53"/>
      <c r="G258" s="53"/>
      <c r="H258" s="53"/>
      <c r="I258" s="53"/>
      <c r="J258" s="188" t="s">
        <v>318</v>
      </c>
      <c r="K258" s="188" t="s">
        <v>318</v>
      </c>
      <c r="L258" s="188" t="s">
        <v>318</v>
      </c>
      <c r="M258" s="188" t="s">
        <v>318</v>
      </c>
      <c r="N258" s="188" t="s">
        <v>318</v>
      </c>
      <c r="O258" s="188" t="s">
        <v>318</v>
      </c>
      <c r="P258" s="188" t="s">
        <v>318</v>
      </c>
      <c r="Q258" s="188" t="s">
        <v>318</v>
      </c>
      <c r="R258" s="188" t="s">
        <v>318</v>
      </c>
      <c r="S258" s="188" t="s">
        <v>318</v>
      </c>
      <c r="T258" s="188" t="s">
        <v>318</v>
      </c>
      <c r="U258" s="188" t="s">
        <v>318</v>
      </c>
      <c r="V258" s="188" t="s">
        <v>318</v>
      </c>
      <c r="W258" s="188" t="s">
        <v>318</v>
      </c>
      <c r="X258" s="188" t="s">
        <v>318</v>
      </c>
      <c r="Y258" s="188" t="s">
        <v>318</v>
      </c>
      <c r="Z258" s="188" t="s">
        <v>318</v>
      </c>
      <c r="AA258" s="188" t="s">
        <v>318</v>
      </c>
      <c r="AB258" s="188" t="s">
        <v>318</v>
      </c>
      <c r="AC258" s="188" t="s">
        <v>318</v>
      </c>
      <c r="AD258" s="188" t="s">
        <v>318</v>
      </c>
      <c r="AE258" s="188" t="s">
        <v>318</v>
      </c>
      <c r="AF258" s="188" t="s">
        <v>318</v>
      </c>
      <c r="AG258" s="188" t="s">
        <v>318</v>
      </c>
      <c r="AH258" s="107">
        <f t="shared" si="48"/>
        <v>0</v>
      </c>
    </row>
    <row r="259" spans="1:34" ht="15">
      <c r="A259" s="363" t="s">
        <v>153</v>
      </c>
      <c r="B259" s="53">
        <f t="shared" si="47"/>
        <v>0</v>
      </c>
      <c r="C259" s="188" t="s">
        <v>318</v>
      </c>
      <c r="D259" s="188" t="s">
        <v>318</v>
      </c>
      <c r="E259" s="188" t="s">
        <v>318</v>
      </c>
      <c r="F259" s="188" t="s">
        <v>318</v>
      </c>
      <c r="G259" s="188" t="s">
        <v>318</v>
      </c>
      <c r="H259" s="188" t="s">
        <v>318</v>
      </c>
      <c r="I259" s="188" t="s">
        <v>318</v>
      </c>
      <c r="J259" s="188" t="s">
        <v>318</v>
      </c>
      <c r="K259" s="188" t="s">
        <v>318</v>
      </c>
      <c r="L259" s="188" t="s">
        <v>318</v>
      </c>
      <c r="M259" s="188" t="s">
        <v>318</v>
      </c>
      <c r="N259" s="188" t="s">
        <v>318</v>
      </c>
      <c r="O259" s="188" t="s">
        <v>318</v>
      </c>
      <c r="P259" s="188" t="s">
        <v>318</v>
      </c>
      <c r="Q259" s="188" t="s">
        <v>318</v>
      </c>
      <c r="R259" s="188" t="s">
        <v>318</v>
      </c>
      <c r="S259" s="188" t="s">
        <v>318</v>
      </c>
      <c r="T259" s="188" t="s">
        <v>318</v>
      </c>
      <c r="U259" s="188" t="s">
        <v>318</v>
      </c>
      <c r="V259" s="188" t="s">
        <v>318</v>
      </c>
      <c r="W259" s="188" t="s">
        <v>318</v>
      </c>
      <c r="X259" s="188" t="s">
        <v>318</v>
      </c>
      <c r="Y259" s="188" t="s">
        <v>318</v>
      </c>
      <c r="Z259" s="188" t="s">
        <v>318</v>
      </c>
      <c r="AA259" s="188" t="s">
        <v>318</v>
      </c>
      <c r="AB259" s="188" t="s">
        <v>318</v>
      </c>
      <c r="AC259" s="188" t="s">
        <v>318</v>
      </c>
      <c r="AD259" s="188" t="s">
        <v>318</v>
      </c>
      <c r="AE259" s="188" t="s">
        <v>318</v>
      </c>
      <c r="AF259" s="188" t="s">
        <v>318</v>
      </c>
      <c r="AG259" s="188" t="s">
        <v>318</v>
      </c>
      <c r="AH259" s="107">
        <f t="shared" si="48"/>
        <v>0</v>
      </c>
    </row>
    <row r="260" spans="1:34" ht="15">
      <c r="A260" s="363" t="s">
        <v>154</v>
      </c>
      <c r="B260" s="53">
        <f t="shared" si="47"/>
        <v>0</v>
      </c>
      <c r="C260" s="188" t="s">
        <v>318</v>
      </c>
      <c r="D260" s="188" t="s">
        <v>318</v>
      </c>
      <c r="E260" s="188" t="s">
        <v>318</v>
      </c>
      <c r="F260" s="188" t="s">
        <v>318</v>
      </c>
      <c r="G260" s="188" t="s">
        <v>318</v>
      </c>
      <c r="H260" s="188" t="s">
        <v>318</v>
      </c>
      <c r="I260" s="188" t="s">
        <v>318</v>
      </c>
      <c r="J260" s="188" t="s">
        <v>318</v>
      </c>
      <c r="K260" s="188" t="s">
        <v>318</v>
      </c>
      <c r="L260" s="188" t="s">
        <v>318</v>
      </c>
      <c r="M260" s="188" t="s">
        <v>318</v>
      </c>
      <c r="N260" s="188" t="s">
        <v>318</v>
      </c>
      <c r="O260" s="188" t="s">
        <v>318</v>
      </c>
      <c r="P260" s="188" t="s">
        <v>318</v>
      </c>
      <c r="Q260" s="188" t="s">
        <v>318</v>
      </c>
      <c r="R260" s="188" t="s">
        <v>318</v>
      </c>
      <c r="S260" s="188" t="s">
        <v>318</v>
      </c>
      <c r="T260" s="188" t="s">
        <v>318</v>
      </c>
      <c r="U260" s="188" t="s">
        <v>318</v>
      </c>
      <c r="V260" s="188" t="s">
        <v>318</v>
      </c>
      <c r="W260" s="188" t="s">
        <v>318</v>
      </c>
      <c r="X260" s="53"/>
      <c r="Y260" s="53"/>
      <c r="Z260" s="53"/>
      <c r="AA260" s="53"/>
      <c r="AB260" s="53"/>
      <c r="AC260" s="53"/>
      <c r="AD260" s="53"/>
      <c r="AE260" s="107"/>
      <c r="AF260" s="53"/>
      <c r="AG260" s="107"/>
      <c r="AH260" s="107">
        <f t="shared" si="48"/>
        <v>0</v>
      </c>
    </row>
    <row r="261" spans="1:34" ht="15">
      <c r="A261" s="363" t="s">
        <v>155</v>
      </c>
      <c r="B261" s="53">
        <f t="shared" si="47"/>
        <v>0</v>
      </c>
      <c r="C261" s="103"/>
      <c r="D261" s="53"/>
      <c r="E261" s="53"/>
      <c r="F261" s="53"/>
      <c r="G261" s="53"/>
      <c r="H261" s="53"/>
      <c r="I261" s="53"/>
      <c r="J261" s="53"/>
      <c r="K261" s="53"/>
      <c r="L261" s="53"/>
      <c r="M261" s="53"/>
      <c r="N261" s="53"/>
      <c r="O261" s="53"/>
      <c r="P261" s="53"/>
      <c r="Q261" s="53"/>
      <c r="R261" s="53"/>
      <c r="S261" s="53"/>
      <c r="T261" s="53"/>
      <c r="U261" s="53"/>
      <c r="V261" s="53"/>
      <c r="W261" s="53"/>
      <c r="X261" s="53"/>
      <c r="Y261" s="53"/>
      <c r="Z261" s="53"/>
      <c r="AA261" s="53"/>
      <c r="AB261" s="53"/>
      <c r="AC261" s="53"/>
      <c r="AD261" s="53"/>
      <c r="AE261" s="107"/>
      <c r="AF261" s="53"/>
      <c r="AG261" s="107"/>
      <c r="AH261" s="107">
        <f t="shared" si="48"/>
        <v>0</v>
      </c>
    </row>
    <row r="262" spans="1:34" ht="15">
      <c r="A262" s="363" t="s">
        <v>156</v>
      </c>
      <c r="B262" s="53">
        <f t="shared" si="47"/>
        <v>0</v>
      </c>
      <c r="C262" s="103"/>
      <c r="D262" s="53"/>
      <c r="E262" s="53"/>
      <c r="F262" s="53"/>
      <c r="G262" s="53"/>
      <c r="H262" s="53"/>
      <c r="I262" s="53"/>
      <c r="J262" s="53"/>
      <c r="K262" s="53"/>
      <c r="L262" s="53"/>
      <c r="M262" s="53"/>
      <c r="N262" s="53"/>
      <c r="O262" s="53"/>
      <c r="P262" s="3027">
        <v>0</v>
      </c>
      <c r="Q262" s="3027">
        <v>0</v>
      </c>
      <c r="R262" s="3027">
        <v>0</v>
      </c>
      <c r="S262" s="3027">
        <v>0</v>
      </c>
      <c r="T262" s="3027">
        <v>0</v>
      </c>
      <c r="U262" s="3027">
        <v>0</v>
      </c>
      <c r="V262" s="3027">
        <v>0</v>
      </c>
      <c r="W262" s="3027">
        <v>0</v>
      </c>
      <c r="X262" s="3027">
        <v>0</v>
      </c>
      <c r="Y262" s="3027">
        <v>0</v>
      </c>
      <c r="Z262" s="3027">
        <v>0</v>
      </c>
      <c r="AA262" s="3027">
        <v>0</v>
      </c>
      <c r="AB262" s="3027">
        <v>0</v>
      </c>
      <c r="AC262" s="3027">
        <v>0</v>
      </c>
      <c r="AD262" s="3027">
        <v>0</v>
      </c>
      <c r="AE262" s="3027">
        <v>0</v>
      </c>
      <c r="AF262" s="3027">
        <v>0</v>
      </c>
      <c r="AG262" s="3027">
        <v>0</v>
      </c>
      <c r="AH262" s="107">
        <f t="shared" si="48"/>
        <v>0</v>
      </c>
    </row>
    <row r="263" spans="1:34" ht="15">
      <c r="A263" s="199" t="s">
        <v>144</v>
      </c>
      <c r="B263" s="232">
        <f>SUM(B251:B262)</f>
        <v>0</v>
      </c>
      <c r="C263" s="100">
        <f>SUM(C251:C261)</f>
        <v>0</v>
      </c>
      <c r="D263" s="107">
        <f>SUM(D251:D261)</f>
        <v>0</v>
      </c>
      <c r="E263" s="107">
        <v>0</v>
      </c>
      <c r="F263" s="107">
        <f t="shared" ref="F263:AC263" si="49">SUM(F251:F261)</f>
        <v>0</v>
      </c>
      <c r="G263" s="107">
        <f t="shared" si="49"/>
        <v>0</v>
      </c>
      <c r="H263" s="107">
        <f t="shared" si="49"/>
        <v>0</v>
      </c>
      <c r="I263" s="107">
        <f t="shared" si="49"/>
        <v>0</v>
      </c>
      <c r="J263" s="107">
        <f t="shared" si="49"/>
        <v>0</v>
      </c>
      <c r="K263" s="107">
        <f t="shared" si="49"/>
        <v>0</v>
      </c>
      <c r="L263" s="107">
        <f t="shared" si="49"/>
        <v>0</v>
      </c>
      <c r="M263" s="107">
        <f t="shared" si="49"/>
        <v>0</v>
      </c>
      <c r="N263" s="107">
        <f t="shared" si="49"/>
        <v>0</v>
      </c>
      <c r="O263" s="107">
        <f t="shared" si="49"/>
        <v>0</v>
      </c>
      <c r="P263" s="107">
        <f t="shared" si="49"/>
        <v>0</v>
      </c>
      <c r="Q263" s="107">
        <f t="shared" si="49"/>
        <v>0</v>
      </c>
      <c r="R263" s="107">
        <f t="shared" si="49"/>
        <v>0</v>
      </c>
      <c r="S263" s="107">
        <f t="shared" si="49"/>
        <v>0</v>
      </c>
      <c r="T263" s="107">
        <f t="shared" si="49"/>
        <v>0</v>
      </c>
      <c r="U263" s="107">
        <f t="shared" si="49"/>
        <v>0</v>
      </c>
      <c r="V263" s="107">
        <f t="shared" si="49"/>
        <v>0</v>
      </c>
      <c r="W263" s="107">
        <f t="shared" si="49"/>
        <v>0</v>
      </c>
      <c r="X263" s="107">
        <f t="shared" si="49"/>
        <v>0</v>
      </c>
      <c r="Y263" s="107">
        <f t="shared" si="49"/>
        <v>0</v>
      </c>
      <c r="Z263" s="107">
        <f t="shared" si="49"/>
        <v>0</v>
      </c>
      <c r="AA263" s="107">
        <f t="shared" si="49"/>
        <v>0</v>
      </c>
      <c r="AB263" s="107">
        <f t="shared" si="49"/>
        <v>0</v>
      </c>
      <c r="AC263" s="107">
        <f t="shared" si="49"/>
        <v>0</v>
      </c>
      <c r="AD263" s="107">
        <v>0</v>
      </c>
      <c r="AE263" s="107">
        <f>SUM(AE251:AE261)</f>
        <v>0</v>
      </c>
      <c r="AF263" s="107">
        <f>SUM(AF251:AF261)</f>
        <v>0</v>
      </c>
      <c r="AG263" s="107">
        <f>SUM(AG251:AG261)</f>
        <v>0</v>
      </c>
      <c r="AH263" s="100">
        <f>SUM(AH251:AH261)</f>
        <v>0</v>
      </c>
    </row>
    <row r="264" spans="1:34" ht="14.25" customHeight="1">
      <c r="A264" s="49"/>
      <c r="B264" s="49"/>
      <c r="C264" s="1"/>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
    </row>
    <row r="265" spans="1:34" ht="15">
      <c r="A265" s="3854" t="s">
        <v>409</v>
      </c>
      <c r="B265" s="3855"/>
      <c r="C265" s="3855"/>
      <c r="D265" s="3855"/>
      <c r="E265" s="3855"/>
      <c r="F265" s="3855"/>
      <c r="G265" s="3855"/>
      <c r="H265" s="3856"/>
      <c r="I265" s="3313"/>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row>
    <row r="266" spans="1:34" ht="15">
      <c r="A266" s="8" t="s">
        <v>142</v>
      </c>
      <c r="B266" s="8" t="s">
        <v>143</v>
      </c>
      <c r="C266" s="3521">
        <v>1</v>
      </c>
      <c r="D266" s="73">
        <v>2</v>
      </c>
      <c r="E266" s="73">
        <v>3</v>
      </c>
      <c r="F266" s="73">
        <v>4</v>
      </c>
      <c r="G266" s="73">
        <v>5</v>
      </c>
      <c r="H266" s="73">
        <v>6</v>
      </c>
      <c r="I266" s="73">
        <v>7</v>
      </c>
      <c r="J266" s="73">
        <v>8</v>
      </c>
      <c r="K266" s="73">
        <v>9</v>
      </c>
      <c r="L266" s="73">
        <v>10</v>
      </c>
      <c r="M266" s="73">
        <v>11</v>
      </c>
      <c r="N266" s="73">
        <v>12</v>
      </c>
      <c r="O266" s="73">
        <v>13</v>
      </c>
      <c r="P266" s="73">
        <v>14</v>
      </c>
      <c r="Q266" s="73">
        <v>15</v>
      </c>
      <c r="R266" s="73">
        <v>16</v>
      </c>
      <c r="S266" s="73">
        <v>17</v>
      </c>
      <c r="T266" s="73">
        <v>18</v>
      </c>
      <c r="U266" s="73">
        <v>19</v>
      </c>
      <c r="V266" s="73">
        <v>20</v>
      </c>
      <c r="W266" s="73">
        <v>21</v>
      </c>
      <c r="X266" s="73">
        <v>22</v>
      </c>
      <c r="Y266" s="73">
        <v>23</v>
      </c>
      <c r="Z266" s="73">
        <v>24</v>
      </c>
      <c r="AA266" s="73">
        <v>25</v>
      </c>
      <c r="AB266" s="73">
        <v>26</v>
      </c>
      <c r="AC266" s="73">
        <v>27</v>
      </c>
      <c r="AD266" s="73">
        <v>28</v>
      </c>
      <c r="AE266" s="73">
        <v>29</v>
      </c>
      <c r="AF266" s="73">
        <v>30</v>
      </c>
      <c r="AG266" s="73">
        <v>31</v>
      </c>
      <c r="AH266" s="88" t="s">
        <v>144</v>
      </c>
    </row>
    <row r="267" spans="1:34" ht="15">
      <c r="A267" s="414" t="s">
        <v>145</v>
      </c>
      <c r="B267" s="53">
        <f t="shared" ref="B267:B278" si="50">+AH267</f>
        <v>0</v>
      </c>
      <c r="C267" s="188" t="s">
        <v>311</v>
      </c>
      <c r="D267" s="188" t="s">
        <v>311</v>
      </c>
      <c r="E267" s="188" t="s">
        <v>311</v>
      </c>
      <c r="F267" s="188" t="s">
        <v>311</v>
      </c>
      <c r="G267" s="188" t="s">
        <v>311</v>
      </c>
      <c r="H267" s="188" t="s">
        <v>311</v>
      </c>
      <c r="I267" s="188" t="s">
        <v>311</v>
      </c>
      <c r="J267" s="306"/>
      <c r="K267" s="306"/>
      <c r="L267" s="306"/>
      <c r="M267" s="306"/>
      <c r="N267" s="306"/>
      <c r="O267" s="306"/>
      <c r="P267" s="306"/>
      <c r="Q267" s="306"/>
      <c r="R267" s="306"/>
      <c r="S267" s="306"/>
      <c r="T267" s="306"/>
      <c r="U267" s="306"/>
      <c r="V267" s="306"/>
      <c r="W267" s="306"/>
      <c r="X267" s="306"/>
      <c r="Y267" s="306"/>
      <c r="Z267" s="306"/>
      <c r="AA267" s="306"/>
      <c r="AB267" s="306"/>
      <c r="AC267" s="306"/>
      <c r="AD267" s="306"/>
      <c r="AE267" s="306"/>
      <c r="AF267" s="306"/>
      <c r="AG267" s="306"/>
      <c r="AH267" s="107">
        <f>SUM(C267:AG267)</f>
        <v>0</v>
      </c>
    </row>
    <row r="268" spans="1:34" ht="15">
      <c r="A268" s="414" t="s">
        <v>146</v>
      </c>
      <c r="B268" s="53">
        <f t="shared" si="50"/>
        <v>582.14499999999998</v>
      </c>
      <c r="C268" s="306"/>
      <c r="D268" s="306"/>
      <c r="E268" s="306"/>
      <c r="F268" s="306"/>
      <c r="G268" s="306"/>
      <c r="H268" s="306"/>
      <c r="I268" s="306"/>
      <c r="J268" s="306"/>
      <c r="K268" s="306"/>
      <c r="L268" s="306">
        <v>67.355000000000004</v>
      </c>
      <c r="M268" s="306"/>
      <c r="N268" s="306"/>
      <c r="O268" s="306">
        <v>58.04</v>
      </c>
      <c r="P268" s="306"/>
      <c r="Q268" s="306">
        <v>65.555000000000007</v>
      </c>
      <c r="R268" s="306"/>
      <c r="S268" s="306"/>
      <c r="T268" s="306"/>
      <c r="U268" s="306">
        <v>68.995000000000005</v>
      </c>
      <c r="V268" s="306"/>
      <c r="W268" s="306">
        <v>125.345</v>
      </c>
      <c r="X268" s="306"/>
      <c r="Y268" s="306">
        <v>64.78</v>
      </c>
      <c r="Z268" s="306"/>
      <c r="AA268" s="306"/>
      <c r="AB268" s="306">
        <v>62.645000000000003</v>
      </c>
      <c r="AC268" s="306"/>
      <c r="AD268" s="306"/>
      <c r="AE268" s="306">
        <v>69.430000000000007</v>
      </c>
      <c r="AF268" s="306"/>
      <c r="AG268" s="306"/>
      <c r="AH268" s="107">
        <f t="shared" ref="AH268:AH278" si="51">SUM(C268:AG268)</f>
        <v>582.14499999999998</v>
      </c>
    </row>
    <row r="269" spans="1:34" ht="15">
      <c r="A269" s="414" t="s">
        <v>147</v>
      </c>
      <c r="B269" s="53">
        <f t="shared" si="50"/>
        <v>1721.828</v>
      </c>
      <c r="C269" s="306"/>
      <c r="D269" s="306">
        <v>63.97</v>
      </c>
      <c r="E269" s="306"/>
      <c r="F269" s="306"/>
      <c r="G269" s="306">
        <v>59.634999999999998</v>
      </c>
      <c r="H269" s="315"/>
      <c r="I269" s="315"/>
      <c r="J269" s="107"/>
      <c r="K269" s="107">
        <v>115.205</v>
      </c>
      <c r="L269" s="107"/>
      <c r="M269" s="107">
        <v>134.18</v>
      </c>
      <c r="N269" s="107"/>
      <c r="O269" s="107">
        <v>63.664999999999999</v>
      </c>
      <c r="P269" s="107">
        <v>91.14</v>
      </c>
      <c r="Q269" s="107"/>
      <c r="R269" s="107">
        <v>97.724000000000004</v>
      </c>
      <c r="S269" s="107">
        <v>115.559</v>
      </c>
      <c r="T269" s="107">
        <v>68.13</v>
      </c>
      <c r="U269" s="107">
        <v>101.62</v>
      </c>
      <c r="V269" s="107">
        <v>67.954999999999998</v>
      </c>
      <c r="W269" s="107">
        <v>131.10499999999999</v>
      </c>
      <c r="X269" s="107"/>
      <c r="Y269" s="107">
        <v>121.6</v>
      </c>
      <c r="Z269" s="107">
        <v>126.03</v>
      </c>
      <c r="AA269" s="107">
        <v>133.21</v>
      </c>
      <c r="AB269" s="107">
        <v>70.905000000000001</v>
      </c>
      <c r="AC269" s="188">
        <v>39.094999999999999</v>
      </c>
      <c r="AD269" s="188">
        <v>121.1</v>
      </c>
      <c r="AE269" s="188" t="s">
        <v>311</v>
      </c>
      <c r="AF269" s="188" t="s">
        <v>311</v>
      </c>
      <c r="AG269" s="188" t="s">
        <v>311</v>
      </c>
      <c r="AH269" s="107">
        <f t="shared" si="51"/>
        <v>1721.828</v>
      </c>
    </row>
    <row r="270" spans="1:34" ht="15">
      <c r="A270" s="414" t="s">
        <v>148</v>
      </c>
      <c r="B270" s="53">
        <f t="shared" si="50"/>
        <v>1696.19</v>
      </c>
      <c r="C270" s="188" t="s">
        <v>311</v>
      </c>
      <c r="D270" s="188" t="s">
        <v>311</v>
      </c>
      <c r="E270" s="188" t="s">
        <v>311</v>
      </c>
      <c r="F270" s="188" t="s">
        <v>311</v>
      </c>
      <c r="G270" s="188" t="s">
        <v>311</v>
      </c>
      <c r="H270" s="188" t="s">
        <v>311</v>
      </c>
      <c r="I270" s="188" t="s">
        <v>311</v>
      </c>
      <c r="J270" s="188" t="s">
        <v>311</v>
      </c>
      <c r="K270" s="188" t="s">
        <v>311</v>
      </c>
      <c r="L270" s="107">
        <v>72.834999999999994</v>
      </c>
      <c r="M270" s="107"/>
      <c r="N270" s="107">
        <v>138.32</v>
      </c>
      <c r="O270" s="107"/>
      <c r="P270" s="107">
        <v>259.87900000000002</v>
      </c>
      <c r="Q270" s="107">
        <v>138.185</v>
      </c>
      <c r="R270" s="107">
        <v>137.51900000000001</v>
      </c>
      <c r="S270" s="107">
        <v>66.844999999999999</v>
      </c>
      <c r="T270" s="107"/>
      <c r="U270" s="107">
        <v>64.564999999999998</v>
      </c>
      <c r="V270" s="107">
        <v>125.545</v>
      </c>
      <c r="W270" s="107">
        <v>63.21</v>
      </c>
      <c r="X270" s="107">
        <v>203.54</v>
      </c>
      <c r="Y270" s="107">
        <v>136.315</v>
      </c>
      <c r="Z270" s="107">
        <v>66.125</v>
      </c>
      <c r="AA270" s="107"/>
      <c r="AB270" s="107">
        <v>65.03</v>
      </c>
      <c r="AC270" s="107">
        <v>90.977000000000004</v>
      </c>
      <c r="AD270" s="107">
        <v>67.3</v>
      </c>
      <c r="AE270" s="107"/>
      <c r="AF270" s="107"/>
      <c r="AG270" s="107"/>
      <c r="AH270" s="107">
        <f t="shared" si="51"/>
        <v>1696.19</v>
      </c>
    </row>
    <row r="271" spans="1:34" ht="15">
      <c r="A271" s="375" t="s">
        <v>149</v>
      </c>
      <c r="B271" s="53">
        <f t="shared" si="50"/>
        <v>1018.6750000000002</v>
      </c>
      <c r="C271" s="103"/>
      <c r="D271" s="53"/>
      <c r="E271" s="53"/>
      <c r="F271" s="53"/>
      <c r="G271" s="53">
        <v>137.36000000000001</v>
      </c>
      <c r="H271" s="53"/>
      <c r="I271" s="53">
        <v>135.82499999999999</v>
      </c>
      <c r="J271" s="107"/>
      <c r="K271" s="107">
        <v>124.605</v>
      </c>
      <c r="L271" s="107">
        <v>66.938999999999993</v>
      </c>
      <c r="M271" s="107"/>
      <c r="N271" s="107">
        <v>62.97</v>
      </c>
      <c r="O271" s="107">
        <v>86.647000000000006</v>
      </c>
      <c r="P271" s="107"/>
      <c r="Q271" s="107"/>
      <c r="R271" s="107"/>
      <c r="S271" s="107"/>
      <c r="T271" s="107"/>
      <c r="U271" s="107"/>
      <c r="V271" s="107">
        <v>64.724999999999994</v>
      </c>
      <c r="W271" s="107">
        <v>157.13999999999999</v>
      </c>
      <c r="X271" s="107">
        <v>10.01</v>
      </c>
      <c r="Y271" s="107">
        <v>3.66</v>
      </c>
      <c r="Z271" s="107"/>
      <c r="AA271" s="107"/>
      <c r="AB271" s="107"/>
      <c r="AC271" s="107"/>
      <c r="AD271" s="107"/>
      <c r="AE271" s="107"/>
      <c r="AF271" s="107">
        <v>58.883000000000003</v>
      </c>
      <c r="AG271" s="107">
        <v>109.911</v>
      </c>
      <c r="AH271" s="107">
        <f t="shared" si="51"/>
        <v>1018.6750000000002</v>
      </c>
    </row>
    <row r="272" spans="1:34" ht="15">
      <c r="A272" s="375" t="s">
        <v>150</v>
      </c>
      <c r="B272" s="53">
        <f t="shared" si="50"/>
        <v>206.34000000000003</v>
      </c>
      <c r="C272" s="100">
        <v>68.954999999999998</v>
      </c>
      <c r="D272" s="107"/>
      <c r="E272" s="107">
        <v>63.604999999999997</v>
      </c>
      <c r="F272" s="107">
        <v>4.5199999999999996</v>
      </c>
      <c r="G272" s="107"/>
      <c r="H272" s="188" t="s">
        <v>162</v>
      </c>
      <c r="I272" s="188" t="s">
        <v>162</v>
      </c>
      <c r="J272" s="188" t="s">
        <v>162</v>
      </c>
      <c r="K272" s="188" t="s">
        <v>162</v>
      </c>
      <c r="L272" s="188" t="s">
        <v>162</v>
      </c>
      <c r="M272" s="188" t="s">
        <v>162</v>
      </c>
      <c r="N272" s="188" t="s">
        <v>162</v>
      </c>
      <c r="O272" s="188" t="s">
        <v>162</v>
      </c>
      <c r="P272" s="188" t="s">
        <v>162</v>
      </c>
      <c r="Q272" s="188" t="s">
        <v>162</v>
      </c>
      <c r="R272" s="188" t="s">
        <v>162</v>
      </c>
      <c r="S272" s="188" t="s">
        <v>162</v>
      </c>
      <c r="T272" s="188" t="s">
        <v>162</v>
      </c>
      <c r="U272" s="188" t="s">
        <v>162</v>
      </c>
      <c r="V272" s="188" t="s">
        <v>162</v>
      </c>
      <c r="W272" s="188" t="s">
        <v>162</v>
      </c>
      <c r="X272" s="188" t="s">
        <v>162</v>
      </c>
      <c r="Y272" s="107"/>
      <c r="Z272" s="107"/>
      <c r="AA272" s="107">
        <v>69.260000000000005</v>
      </c>
      <c r="AB272" s="107"/>
      <c r="AC272" s="107"/>
      <c r="AD272" s="107"/>
      <c r="AE272" s="107"/>
      <c r="AF272" s="107"/>
      <c r="AG272" s="107"/>
      <c r="AH272" s="107">
        <f t="shared" si="51"/>
        <v>206.34000000000003</v>
      </c>
    </row>
    <row r="273" spans="1:34" ht="15">
      <c r="A273" s="375" t="s">
        <v>151</v>
      </c>
      <c r="B273" s="53">
        <f t="shared" si="50"/>
        <v>218.845</v>
      </c>
      <c r="C273" s="103"/>
      <c r="D273" s="107"/>
      <c r="E273" s="107">
        <v>80.135000000000005</v>
      </c>
      <c r="F273" s="107"/>
      <c r="G273" s="53"/>
      <c r="H273" s="53"/>
      <c r="I273" s="53"/>
      <c r="J273" s="111"/>
      <c r="K273" s="111"/>
      <c r="L273" s="107"/>
      <c r="M273" s="107"/>
      <c r="N273" s="107"/>
      <c r="O273" s="107"/>
      <c r="P273" s="107"/>
      <c r="Q273" s="107"/>
      <c r="R273" s="107"/>
      <c r="S273" s="107"/>
      <c r="T273" s="107"/>
      <c r="U273" s="107"/>
      <c r="V273" s="107"/>
      <c r="W273" s="107"/>
      <c r="X273" s="107"/>
      <c r="Y273" s="107"/>
      <c r="Z273" s="107"/>
      <c r="AA273" s="107"/>
      <c r="AB273" s="107">
        <v>30.5</v>
      </c>
      <c r="AC273" s="107">
        <v>15.605</v>
      </c>
      <c r="AD273" s="107"/>
      <c r="AE273" s="107"/>
      <c r="AF273" s="107">
        <v>27.454999999999998</v>
      </c>
      <c r="AG273" s="107">
        <v>65.150000000000006</v>
      </c>
      <c r="AH273" s="107">
        <f t="shared" si="51"/>
        <v>218.845</v>
      </c>
    </row>
    <row r="274" spans="1:34" ht="15">
      <c r="A274" s="375" t="s">
        <v>152</v>
      </c>
      <c r="B274" s="53">
        <f t="shared" si="50"/>
        <v>583.33000000000004</v>
      </c>
      <c r="C274" s="103"/>
      <c r="D274" s="53"/>
      <c r="E274" s="53">
        <v>130.77500000000001</v>
      </c>
      <c r="F274" s="53">
        <v>138.10499999999999</v>
      </c>
      <c r="G274" s="53">
        <v>82.564999999999998</v>
      </c>
      <c r="H274" s="53">
        <v>131.04</v>
      </c>
      <c r="I274" s="53">
        <v>100.845</v>
      </c>
      <c r="J274" s="188" t="s">
        <v>318</v>
      </c>
      <c r="K274" s="188" t="s">
        <v>318</v>
      </c>
      <c r="L274" s="188" t="s">
        <v>318</v>
      </c>
      <c r="M274" s="188" t="s">
        <v>318</v>
      </c>
      <c r="N274" s="188" t="s">
        <v>318</v>
      </c>
      <c r="O274" s="188" t="s">
        <v>318</v>
      </c>
      <c r="P274" s="188" t="s">
        <v>318</v>
      </c>
      <c r="Q274" s="188" t="s">
        <v>318</v>
      </c>
      <c r="R274" s="188" t="s">
        <v>318</v>
      </c>
      <c r="S274" s="188" t="s">
        <v>318</v>
      </c>
      <c r="T274" s="188" t="s">
        <v>318</v>
      </c>
      <c r="U274" s="188" t="s">
        <v>318</v>
      </c>
      <c r="V274" s="188" t="s">
        <v>318</v>
      </c>
      <c r="W274" s="188" t="s">
        <v>318</v>
      </c>
      <c r="X274" s="188" t="s">
        <v>318</v>
      </c>
      <c r="Y274" s="188" t="s">
        <v>318</v>
      </c>
      <c r="Z274" s="188" t="s">
        <v>318</v>
      </c>
      <c r="AA274" s="188" t="s">
        <v>318</v>
      </c>
      <c r="AB274" s="188" t="s">
        <v>318</v>
      </c>
      <c r="AC274" s="188" t="s">
        <v>318</v>
      </c>
      <c r="AD274" s="188" t="s">
        <v>318</v>
      </c>
      <c r="AE274" s="188" t="s">
        <v>318</v>
      </c>
      <c r="AF274" s="188" t="s">
        <v>318</v>
      </c>
      <c r="AG274" s="188" t="s">
        <v>318</v>
      </c>
      <c r="AH274" s="107">
        <f t="shared" si="51"/>
        <v>583.33000000000004</v>
      </c>
    </row>
    <row r="275" spans="1:34" ht="15">
      <c r="A275" s="363" t="s">
        <v>153</v>
      </c>
      <c r="B275" s="53">
        <f t="shared" si="50"/>
        <v>0</v>
      </c>
      <c r="C275" s="188" t="s">
        <v>318</v>
      </c>
      <c r="D275" s="188" t="s">
        <v>318</v>
      </c>
      <c r="E275" s="188" t="s">
        <v>318</v>
      </c>
      <c r="F275" s="188" t="s">
        <v>318</v>
      </c>
      <c r="G275" s="188" t="s">
        <v>318</v>
      </c>
      <c r="H275" s="188" t="s">
        <v>318</v>
      </c>
      <c r="I275" s="188" t="s">
        <v>318</v>
      </c>
      <c r="J275" s="188" t="s">
        <v>318</v>
      </c>
      <c r="K275" s="188" t="s">
        <v>318</v>
      </c>
      <c r="L275" s="188" t="s">
        <v>318</v>
      </c>
      <c r="M275" s="188" t="s">
        <v>318</v>
      </c>
      <c r="N275" s="188" t="s">
        <v>318</v>
      </c>
      <c r="O275" s="188" t="s">
        <v>318</v>
      </c>
      <c r="P275" s="188" t="s">
        <v>318</v>
      </c>
      <c r="Q275" s="188" t="s">
        <v>318</v>
      </c>
      <c r="R275" s="188" t="s">
        <v>318</v>
      </c>
      <c r="S275" s="188" t="s">
        <v>318</v>
      </c>
      <c r="T275" s="188" t="s">
        <v>318</v>
      </c>
      <c r="U275" s="188" t="s">
        <v>318</v>
      </c>
      <c r="V275" s="188" t="s">
        <v>318</v>
      </c>
      <c r="W275" s="188" t="s">
        <v>318</v>
      </c>
      <c r="X275" s="188" t="s">
        <v>318</v>
      </c>
      <c r="Y275" s="188" t="s">
        <v>318</v>
      </c>
      <c r="Z275" s="188" t="s">
        <v>318</v>
      </c>
      <c r="AA275" s="188" t="s">
        <v>318</v>
      </c>
      <c r="AB275" s="188" t="s">
        <v>318</v>
      </c>
      <c r="AC275" s="188" t="s">
        <v>318</v>
      </c>
      <c r="AD275" s="188" t="s">
        <v>318</v>
      </c>
      <c r="AE275" s="188" t="s">
        <v>318</v>
      </c>
      <c r="AF275" s="188" t="s">
        <v>318</v>
      </c>
      <c r="AG275" s="188" t="s">
        <v>318</v>
      </c>
      <c r="AH275" s="107">
        <f t="shared" si="51"/>
        <v>0</v>
      </c>
    </row>
    <row r="276" spans="1:34" ht="15">
      <c r="A276" s="363" t="s">
        <v>154</v>
      </c>
      <c r="B276" s="53">
        <f t="shared" si="50"/>
        <v>849.91700000000003</v>
      </c>
      <c r="C276" s="188" t="s">
        <v>318</v>
      </c>
      <c r="D276" s="188" t="s">
        <v>318</v>
      </c>
      <c r="E276" s="188" t="s">
        <v>318</v>
      </c>
      <c r="F276" s="188" t="s">
        <v>318</v>
      </c>
      <c r="G276" s="188" t="s">
        <v>318</v>
      </c>
      <c r="H276" s="188" t="s">
        <v>318</v>
      </c>
      <c r="I276" s="188" t="s">
        <v>318</v>
      </c>
      <c r="J276" s="188" t="s">
        <v>318</v>
      </c>
      <c r="K276" s="188" t="s">
        <v>318</v>
      </c>
      <c r="L276" s="188" t="s">
        <v>318</v>
      </c>
      <c r="M276" s="188" t="s">
        <v>318</v>
      </c>
      <c r="N276" s="188" t="s">
        <v>318</v>
      </c>
      <c r="O276" s="188" t="s">
        <v>318</v>
      </c>
      <c r="P276" s="188" t="s">
        <v>318</v>
      </c>
      <c r="Q276" s="188" t="s">
        <v>318</v>
      </c>
      <c r="R276" s="188" t="s">
        <v>318</v>
      </c>
      <c r="S276" s="188" t="s">
        <v>318</v>
      </c>
      <c r="T276" s="188" t="s">
        <v>318</v>
      </c>
      <c r="U276" s="188" t="s">
        <v>318</v>
      </c>
      <c r="V276" s="188" t="s">
        <v>318</v>
      </c>
      <c r="W276" s="188" t="s">
        <v>318</v>
      </c>
      <c r="X276" s="53">
        <v>68.790000000000006</v>
      </c>
      <c r="Y276" s="53">
        <v>53.66</v>
      </c>
      <c r="Z276" s="53">
        <v>140.67500000000001</v>
      </c>
      <c r="AA276" s="53">
        <v>93.385000000000005</v>
      </c>
      <c r="AB276" s="53"/>
      <c r="AC276" s="53">
        <v>102.17</v>
      </c>
      <c r="AD276" s="53">
        <v>80.53</v>
      </c>
      <c r="AE276" s="107">
        <v>131.83199999999999</v>
      </c>
      <c r="AF276" s="53">
        <v>65.239999999999995</v>
      </c>
      <c r="AG276" s="107">
        <v>113.63500000000001</v>
      </c>
      <c r="AH276" s="107">
        <f t="shared" si="51"/>
        <v>849.91700000000003</v>
      </c>
    </row>
    <row r="277" spans="1:34" ht="15">
      <c r="A277" s="363" t="s">
        <v>155</v>
      </c>
      <c r="B277" s="53">
        <f t="shared" si="50"/>
        <v>680.36199999999997</v>
      </c>
      <c r="C277" s="645">
        <v>60.905000000000001</v>
      </c>
      <c r="D277" s="162">
        <v>66.48</v>
      </c>
      <c r="E277" s="162">
        <v>46.94</v>
      </c>
      <c r="F277" s="162">
        <v>51.94</v>
      </c>
      <c r="G277" s="162">
        <v>61.994999999999997</v>
      </c>
      <c r="H277" s="162">
        <v>52.835000000000001</v>
      </c>
      <c r="I277" s="162">
        <v>10.654999999999999</v>
      </c>
      <c r="J277" s="162"/>
      <c r="K277" s="162">
        <v>49.905000000000001</v>
      </c>
      <c r="L277" s="162">
        <v>59.32</v>
      </c>
      <c r="M277" s="162"/>
      <c r="N277" s="162">
        <v>42.75</v>
      </c>
      <c r="O277" s="162"/>
      <c r="P277" s="162"/>
      <c r="Q277" s="162">
        <v>31.51</v>
      </c>
      <c r="R277" s="162"/>
      <c r="S277" s="162"/>
      <c r="T277" s="162"/>
      <c r="U277" s="162"/>
      <c r="V277" s="162"/>
      <c r="W277" s="162">
        <v>59.634999999999998</v>
      </c>
      <c r="X277" s="162"/>
      <c r="Y277" s="162">
        <v>21.977</v>
      </c>
      <c r="Z277" s="162">
        <v>63.515000000000001</v>
      </c>
      <c r="AA277" s="162"/>
      <c r="AB277" s="162"/>
      <c r="AC277" s="162"/>
      <c r="AD277" s="162"/>
      <c r="AE277" s="328"/>
      <c r="AF277" s="162"/>
      <c r="AG277" s="328"/>
      <c r="AH277" s="107">
        <f t="shared" si="51"/>
        <v>680.36199999999997</v>
      </c>
    </row>
    <row r="278" spans="1:34" ht="15">
      <c r="A278" s="363" t="s">
        <v>156</v>
      </c>
      <c r="B278" s="53">
        <f t="shared" si="50"/>
        <v>571.22499999999991</v>
      </c>
      <c r="C278" s="645"/>
      <c r="D278" s="162"/>
      <c r="E278" s="162"/>
      <c r="F278" s="162"/>
      <c r="G278" s="162"/>
      <c r="H278" s="162">
        <v>83.284999999999997</v>
      </c>
      <c r="I278" s="162"/>
      <c r="J278" s="162">
        <v>57.924999999999997</v>
      </c>
      <c r="K278" s="162">
        <v>50.35</v>
      </c>
      <c r="L278" s="162"/>
      <c r="M278" s="162">
        <v>40.950000000000003</v>
      </c>
      <c r="N278" s="162"/>
      <c r="O278" s="162"/>
      <c r="P278" s="162">
        <v>58.03</v>
      </c>
      <c r="Q278" s="3027">
        <v>17.829999999999998</v>
      </c>
      <c r="R278" s="3027">
        <v>0</v>
      </c>
      <c r="S278" s="3027">
        <v>45.994999999999997</v>
      </c>
      <c r="T278" s="3027">
        <v>0</v>
      </c>
      <c r="U278" s="3027">
        <v>0</v>
      </c>
      <c r="V278" s="3027">
        <v>0</v>
      </c>
      <c r="W278" s="3027">
        <v>117.41200000000001</v>
      </c>
      <c r="X278" s="3027">
        <v>0</v>
      </c>
      <c r="Y278" s="3027">
        <v>0</v>
      </c>
      <c r="Z278" s="3027">
        <v>66.984999999999999</v>
      </c>
      <c r="AA278" s="3027">
        <v>0</v>
      </c>
      <c r="AB278" s="3027">
        <v>0</v>
      </c>
      <c r="AC278" s="3027">
        <v>32.463000000000001</v>
      </c>
      <c r="AD278" s="3027">
        <v>0</v>
      </c>
      <c r="AE278" s="3027">
        <v>0</v>
      </c>
      <c r="AF278" s="3027">
        <v>0</v>
      </c>
      <c r="AG278" s="3027">
        <v>0</v>
      </c>
      <c r="AH278" s="107">
        <f t="shared" si="51"/>
        <v>571.22499999999991</v>
      </c>
    </row>
    <row r="279" spans="1:34" ht="15">
      <c r="A279" s="199" t="s">
        <v>144</v>
      </c>
      <c r="B279" s="232">
        <f>SUM(B267:B278)</f>
        <v>8128.857</v>
      </c>
      <c r="C279" s="100">
        <f>SUM(C267:C277)</f>
        <v>129.86000000000001</v>
      </c>
      <c r="D279" s="107">
        <f>SUM(D267:D277)</f>
        <v>130.44999999999999</v>
      </c>
      <c r="E279" s="107">
        <v>0</v>
      </c>
      <c r="F279" s="107">
        <f t="shared" ref="F279:AC279" si="52">SUM(F267:F277)</f>
        <v>194.565</v>
      </c>
      <c r="G279" s="107">
        <f t="shared" si="52"/>
        <v>341.55500000000001</v>
      </c>
      <c r="H279" s="107">
        <f t="shared" si="52"/>
        <v>183.875</v>
      </c>
      <c r="I279" s="107">
        <f t="shared" si="52"/>
        <v>247.32499999999999</v>
      </c>
      <c r="J279" s="107">
        <f t="shared" si="52"/>
        <v>0</v>
      </c>
      <c r="K279" s="107">
        <f t="shared" si="52"/>
        <v>289.71500000000003</v>
      </c>
      <c r="L279" s="107">
        <f t="shared" si="52"/>
        <v>266.44900000000001</v>
      </c>
      <c r="M279" s="107">
        <f t="shared" si="52"/>
        <v>134.18</v>
      </c>
      <c r="N279" s="107">
        <f t="shared" si="52"/>
        <v>244.04</v>
      </c>
      <c r="O279" s="107">
        <f t="shared" si="52"/>
        <v>208.352</v>
      </c>
      <c r="P279" s="107">
        <f t="shared" si="52"/>
        <v>351.01900000000001</v>
      </c>
      <c r="Q279" s="107">
        <f t="shared" si="52"/>
        <v>235.25</v>
      </c>
      <c r="R279" s="107">
        <f t="shared" si="52"/>
        <v>235.24299999999999</v>
      </c>
      <c r="S279" s="107">
        <f t="shared" si="52"/>
        <v>182.404</v>
      </c>
      <c r="T279" s="107">
        <f t="shared" si="52"/>
        <v>68.13</v>
      </c>
      <c r="U279" s="107">
        <f t="shared" si="52"/>
        <v>235.18</v>
      </c>
      <c r="V279" s="107">
        <f t="shared" si="52"/>
        <v>258.22500000000002</v>
      </c>
      <c r="W279" s="107">
        <f t="shared" si="52"/>
        <v>536.43499999999995</v>
      </c>
      <c r="X279" s="107">
        <f t="shared" si="52"/>
        <v>282.33999999999997</v>
      </c>
      <c r="Y279" s="107">
        <f t="shared" si="52"/>
        <v>401.99199999999996</v>
      </c>
      <c r="Z279" s="107">
        <f t="shared" si="52"/>
        <v>396.34500000000003</v>
      </c>
      <c r="AA279" s="107">
        <f t="shared" si="52"/>
        <v>295.85500000000002</v>
      </c>
      <c r="AB279" s="107">
        <f t="shared" si="52"/>
        <v>229.08</v>
      </c>
      <c r="AC279" s="107">
        <f t="shared" si="52"/>
        <v>247.84699999999998</v>
      </c>
      <c r="AD279" s="107">
        <v>0</v>
      </c>
      <c r="AE279" s="107">
        <f>SUM(AE267:AE277)</f>
        <v>201.262</v>
      </c>
      <c r="AF279" s="107">
        <f>SUM(AF267:AF277)</f>
        <v>151.57799999999997</v>
      </c>
      <c r="AG279" s="107">
        <f>SUM(AG267:AG277)</f>
        <v>288.69600000000003</v>
      </c>
      <c r="AH279" s="100">
        <f>SUM(AH267:AH277)</f>
        <v>7557.6320000000005</v>
      </c>
    </row>
    <row r="280" spans="1:34" ht="14.25" customHeight="1">
      <c r="A280" s="49"/>
      <c r="B280" s="49"/>
      <c r="C280" s="1"/>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
    </row>
    <row r="281" spans="1:34" ht="15">
      <c r="A281" s="3854" t="s">
        <v>410</v>
      </c>
      <c r="B281" s="3855"/>
      <c r="C281" s="3855"/>
      <c r="D281" s="3855"/>
      <c r="E281" s="3855"/>
      <c r="F281" s="3855"/>
      <c r="G281" s="3855"/>
      <c r="H281" s="3856"/>
      <c r="I281" s="3313"/>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c r="AG281" s="14"/>
      <c r="AH281" s="14"/>
    </row>
    <row r="282" spans="1:34" ht="15">
      <c r="A282" s="8" t="s">
        <v>142</v>
      </c>
      <c r="B282" s="8" t="s">
        <v>143</v>
      </c>
      <c r="C282" s="2907">
        <v>1</v>
      </c>
      <c r="D282" s="73">
        <v>2</v>
      </c>
      <c r="E282" s="73">
        <v>3</v>
      </c>
      <c r="F282" s="73">
        <v>4</v>
      </c>
      <c r="G282" s="73">
        <v>5</v>
      </c>
      <c r="H282" s="73">
        <v>6</v>
      </c>
      <c r="I282" s="73">
        <v>7</v>
      </c>
      <c r="J282" s="73">
        <v>8</v>
      </c>
      <c r="K282" s="73">
        <v>9</v>
      </c>
      <c r="L282" s="73">
        <v>10</v>
      </c>
      <c r="M282" s="73">
        <v>11</v>
      </c>
      <c r="N282" s="73">
        <v>12</v>
      </c>
      <c r="O282" s="73">
        <v>13</v>
      </c>
      <c r="P282" s="73">
        <v>14</v>
      </c>
      <c r="Q282" s="73">
        <v>15</v>
      </c>
      <c r="R282" s="73">
        <v>16</v>
      </c>
      <c r="S282" s="73">
        <v>17</v>
      </c>
      <c r="T282" s="73">
        <v>18</v>
      </c>
      <c r="U282" s="73">
        <v>19</v>
      </c>
      <c r="V282" s="73">
        <v>20</v>
      </c>
      <c r="W282" s="73">
        <v>21</v>
      </c>
      <c r="X282" s="73">
        <v>22</v>
      </c>
      <c r="Y282" s="73">
        <v>23</v>
      </c>
      <c r="Z282" s="73">
        <v>24</v>
      </c>
      <c r="AA282" s="73">
        <v>25</v>
      </c>
      <c r="AB282" s="73">
        <v>26</v>
      </c>
      <c r="AC282" s="73">
        <v>27</v>
      </c>
      <c r="AD282" s="73">
        <v>28</v>
      </c>
      <c r="AE282" s="73">
        <v>29</v>
      </c>
      <c r="AF282" s="73">
        <v>30</v>
      </c>
      <c r="AG282" s="73">
        <v>31</v>
      </c>
      <c r="AH282" s="88" t="s">
        <v>144</v>
      </c>
    </row>
    <row r="283" spans="1:34" ht="15">
      <c r="A283" s="414" t="s">
        <v>145</v>
      </c>
      <c r="B283" s="53">
        <f t="shared" ref="B283:B294" si="53">+AH283</f>
        <v>0</v>
      </c>
      <c r="C283" s="188" t="s">
        <v>311</v>
      </c>
      <c r="D283" s="188" t="s">
        <v>311</v>
      </c>
      <c r="E283" s="188" t="s">
        <v>311</v>
      </c>
      <c r="F283" s="188" t="s">
        <v>311</v>
      </c>
      <c r="G283" s="188" t="s">
        <v>311</v>
      </c>
      <c r="H283" s="188" t="s">
        <v>311</v>
      </c>
      <c r="I283" s="188" t="s">
        <v>311</v>
      </c>
      <c r="J283" s="306"/>
      <c r="K283" s="306"/>
      <c r="L283" s="306"/>
      <c r="M283" s="306"/>
      <c r="N283" s="306"/>
      <c r="O283" s="306"/>
      <c r="P283" s="306"/>
      <c r="Q283" s="306"/>
      <c r="R283" s="306"/>
      <c r="S283" s="306"/>
      <c r="T283" s="306"/>
      <c r="U283" s="306"/>
      <c r="V283" s="306"/>
      <c r="W283" s="306"/>
      <c r="X283" s="306"/>
      <c r="Y283" s="306"/>
      <c r="Z283" s="306"/>
      <c r="AA283" s="306"/>
      <c r="AB283" s="306"/>
      <c r="AC283" s="306"/>
      <c r="AD283" s="306"/>
      <c r="AE283" s="306"/>
      <c r="AF283" s="306"/>
      <c r="AG283" s="306"/>
      <c r="AH283" s="107">
        <f>SUM(C283:AG283)</f>
        <v>0</v>
      </c>
    </row>
    <row r="284" spans="1:34" ht="15">
      <c r="A284" s="414" t="s">
        <v>146</v>
      </c>
      <c r="B284" s="306">
        <f t="shared" si="53"/>
        <v>3335.3670000000006</v>
      </c>
      <c r="C284" s="306"/>
      <c r="D284" s="306"/>
      <c r="E284" s="306"/>
      <c r="F284" s="306"/>
      <c r="G284" s="306"/>
      <c r="H284" s="306"/>
      <c r="I284" s="306"/>
      <c r="J284" s="306">
        <v>180.5</v>
      </c>
      <c r="K284" s="306">
        <v>121.41</v>
      </c>
      <c r="L284" s="306">
        <v>185.68</v>
      </c>
      <c r="M284" s="306">
        <v>235.37</v>
      </c>
      <c r="N284" s="306">
        <v>148.37</v>
      </c>
      <c r="O284" s="306">
        <v>188.18</v>
      </c>
      <c r="P284" s="306">
        <v>197.76</v>
      </c>
      <c r="Q284" s="306">
        <v>187.54</v>
      </c>
      <c r="R284" s="306">
        <v>205.56</v>
      </c>
      <c r="S284" s="306"/>
      <c r="T284" s="306">
        <v>140.11000000000001</v>
      </c>
      <c r="U284" s="306">
        <v>189.66</v>
      </c>
      <c r="V284" s="306">
        <v>190.7</v>
      </c>
      <c r="W284" s="306">
        <v>165.9</v>
      </c>
      <c r="X284" s="306">
        <v>184.64</v>
      </c>
      <c r="Y284" s="306">
        <v>177.8</v>
      </c>
      <c r="Z284" s="306">
        <v>181.59</v>
      </c>
      <c r="AA284" s="306">
        <v>148.797</v>
      </c>
      <c r="AB284" s="306">
        <v>125.07</v>
      </c>
      <c r="AC284" s="306"/>
      <c r="AD284" s="306"/>
      <c r="AE284" s="306">
        <v>180.73</v>
      </c>
      <c r="AF284" s="306"/>
      <c r="AG284" s="306"/>
      <c r="AH284" s="107">
        <f t="shared" ref="AH284:AH294" si="54">SUM(C284:AG284)</f>
        <v>3335.3670000000006</v>
      </c>
    </row>
    <row r="285" spans="1:34" ht="15">
      <c r="A285" s="414" t="s">
        <v>147</v>
      </c>
      <c r="B285" s="306">
        <f t="shared" si="53"/>
        <v>2903.2829999999994</v>
      </c>
      <c r="C285" s="306">
        <v>184.22</v>
      </c>
      <c r="D285" s="306">
        <v>170.75</v>
      </c>
      <c r="E285" s="306">
        <v>176.1</v>
      </c>
      <c r="F285" s="306"/>
      <c r="G285" s="306">
        <v>188.48</v>
      </c>
      <c r="H285" s="315">
        <v>122.75999999999999</v>
      </c>
      <c r="I285" s="315"/>
      <c r="J285" s="107"/>
      <c r="K285" s="107"/>
      <c r="L285" s="107">
        <v>129.18</v>
      </c>
      <c r="M285" s="107">
        <v>122.22999999999999</v>
      </c>
      <c r="N285" s="107">
        <v>179.28</v>
      </c>
      <c r="O285" s="107">
        <v>220.10899999999998</v>
      </c>
      <c r="P285" s="107">
        <v>186.73</v>
      </c>
      <c r="Q285" s="107">
        <v>132.11000000000001</v>
      </c>
      <c r="R285" s="107">
        <v>127.994</v>
      </c>
      <c r="S285" s="107"/>
      <c r="T285" s="107"/>
      <c r="U285" s="107">
        <v>124.73</v>
      </c>
      <c r="V285" s="107">
        <v>123.95</v>
      </c>
      <c r="W285" s="107">
        <v>68.28</v>
      </c>
      <c r="X285" s="107">
        <v>148.5</v>
      </c>
      <c r="Y285" s="107">
        <v>207.37</v>
      </c>
      <c r="Z285" s="107">
        <v>137.68</v>
      </c>
      <c r="AA285" s="107">
        <v>60.9</v>
      </c>
      <c r="AB285" s="107">
        <v>67.45</v>
      </c>
      <c r="AC285" s="188">
        <v>24.48</v>
      </c>
      <c r="AD285" s="188" t="s">
        <v>318</v>
      </c>
      <c r="AE285" s="188" t="s">
        <v>311</v>
      </c>
      <c r="AF285" s="188" t="s">
        <v>311</v>
      </c>
      <c r="AG285" s="188" t="s">
        <v>311</v>
      </c>
      <c r="AH285" s="107">
        <f t="shared" si="54"/>
        <v>2903.2829999999994</v>
      </c>
    </row>
    <row r="286" spans="1:34" ht="15">
      <c r="A286" s="414" t="s">
        <v>148</v>
      </c>
      <c r="B286" s="306">
        <f t="shared" si="53"/>
        <v>504.86999999999995</v>
      </c>
      <c r="C286" s="188" t="s">
        <v>311</v>
      </c>
      <c r="D286" s="188" t="s">
        <v>311</v>
      </c>
      <c r="E286" s="188" t="s">
        <v>311</v>
      </c>
      <c r="F286" s="188" t="s">
        <v>311</v>
      </c>
      <c r="G286" s="188" t="s">
        <v>311</v>
      </c>
      <c r="H286" s="188" t="s">
        <v>311</v>
      </c>
      <c r="I286" s="188" t="s">
        <v>311</v>
      </c>
      <c r="J286" s="188" t="s">
        <v>311</v>
      </c>
      <c r="K286" s="188" t="s">
        <v>311</v>
      </c>
      <c r="L286" s="107"/>
      <c r="M286" s="107"/>
      <c r="N286" s="107"/>
      <c r="O286" s="107"/>
      <c r="P286" s="107"/>
      <c r="Q286" s="107"/>
      <c r="R286" s="107"/>
      <c r="S286" s="107"/>
      <c r="T286" s="107"/>
      <c r="U286" s="107"/>
      <c r="V286" s="107"/>
      <c r="W286" s="107"/>
      <c r="X286" s="107"/>
      <c r="Y286" s="107"/>
      <c r="Z286" s="107">
        <v>64.5</v>
      </c>
      <c r="AA286" s="107">
        <v>124.7</v>
      </c>
      <c r="AB286" s="107">
        <v>130.31</v>
      </c>
      <c r="AC286" s="107">
        <v>123.03</v>
      </c>
      <c r="AD286" s="107">
        <v>62.33</v>
      </c>
      <c r="AE286" s="107"/>
      <c r="AF286" s="107"/>
      <c r="AG286" s="107"/>
      <c r="AH286" s="107">
        <f t="shared" si="54"/>
        <v>504.86999999999995</v>
      </c>
    </row>
    <row r="287" spans="1:34" ht="15">
      <c r="A287" s="375" t="s">
        <v>149</v>
      </c>
      <c r="B287" s="306">
        <f t="shared" si="53"/>
        <v>1287.883</v>
      </c>
      <c r="C287" s="103"/>
      <c r="D287" s="53"/>
      <c r="E287" s="53"/>
      <c r="F287" s="53">
        <v>187.65</v>
      </c>
      <c r="G287" s="53">
        <v>123.83</v>
      </c>
      <c r="H287" s="53"/>
      <c r="I287" s="53">
        <v>66.040000000000006</v>
      </c>
      <c r="J287" s="107">
        <v>117.22</v>
      </c>
      <c r="K287" s="107">
        <v>106.46</v>
      </c>
      <c r="L287" s="107">
        <v>20.440000000000001</v>
      </c>
      <c r="M287" s="107">
        <v>66.06</v>
      </c>
      <c r="N287" s="107">
        <v>90.56</v>
      </c>
      <c r="O287" s="107">
        <v>38.56</v>
      </c>
      <c r="P287" s="107"/>
      <c r="Q287" s="107"/>
      <c r="R287" s="107"/>
      <c r="S287" s="107"/>
      <c r="T287" s="107"/>
      <c r="U287" s="107"/>
      <c r="V287" s="107"/>
      <c r="W287" s="107">
        <v>124.87</v>
      </c>
      <c r="X287" s="107">
        <v>25.77</v>
      </c>
      <c r="Y287" s="107"/>
      <c r="Z287" s="107"/>
      <c r="AA287" s="107"/>
      <c r="AB287" s="107"/>
      <c r="AC287" s="107"/>
      <c r="AD287" s="107"/>
      <c r="AE287" s="107"/>
      <c r="AF287" s="107">
        <v>120.983</v>
      </c>
      <c r="AG287" s="107">
        <v>199.44</v>
      </c>
      <c r="AH287" s="107">
        <f t="shared" si="54"/>
        <v>1287.883</v>
      </c>
    </row>
    <row r="288" spans="1:34" ht="15">
      <c r="A288" s="375" t="s">
        <v>150</v>
      </c>
      <c r="B288" s="306">
        <f t="shared" si="53"/>
        <v>177.02</v>
      </c>
      <c r="C288" s="100">
        <v>53.28</v>
      </c>
      <c r="D288" s="107">
        <v>39.78</v>
      </c>
      <c r="E288" s="107">
        <v>8.31</v>
      </c>
      <c r="F288" s="107">
        <v>75.650000000000006</v>
      </c>
      <c r="G288" s="107"/>
      <c r="H288" s="188" t="s">
        <v>162</v>
      </c>
      <c r="I288" s="188" t="s">
        <v>162</v>
      </c>
      <c r="J288" s="188" t="s">
        <v>162</v>
      </c>
      <c r="K288" s="188" t="s">
        <v>162</v>
      </c>
      <c r="L288" s="188" t="s">
        <v>162</v>
      </c>
      <c r="M288" s="188" t="s">
        <v>162</v>
      </c>
      <c r="N288" s="188" t="s">
        <v>162</v>
      </c>
      <c r="O288" s="188" t="s">
        <v>162</v>
      </c>
      <c r="P288" s="188" t="s">
        <v>162</v>
      </c>
      <c r="Q288" s="188" t="s">
        <v>162</v>
      </c>
      <c r="R288" s="188" t="s">
        <v>162</v>
      </c>
      <c r="S288" s="188" t="s">
        <v>162</v>
      </c>
      <c r="T288" s="188" t="s">
        <v>162</v>
      </c>
      <c r="U288" s="188" t="s">
        <v>162</v>
      </c>
      <c r="V288" s="188" t="s">
        <v>162</v>
      </c>
      <c r="W288" s="188" t="s">
        <v>162</v>
      </c>
      <c r="X288" s="188" t="s">
        <v>162</v>
      </c>
      <c r="Y288" s="107"/>
      <c r="Z288" s="107"/>
      <c r="AA288" s="107"/>
      <c r="AB288" s="107"/>
      <c r="AC288" s="107"/>
      <c r="AD288" s="107"/>
      <c r="AE288" s="107"/>
      <c r="AF288" s="107"/>
      <c r="AG288" s="107"/>
      <c r="AH288" s="107">
        <f t="shared" si="54"/>
        <v>177.02</v>
      </c>
    </row>
    <row r="289" spans="1:34" ht="15">
      <c r="A289" s="375" t="s">
        <v>151</v>
      </c>
      <c r="B289" s="53">
        <f t="shared" si="53"/>
        <v>69.72</v>
      </c>
      <c r="C289" s="103"/>
      <c r="D289" s="107"/>
      <c r="E289" s="107">
        <v>69.72</v>
      </c>
      <c r="F289" s="107"/>
      <c r="G289" s="53"/>
      <c r="H289" s="53"/>
      <c r="I289" s="53"/>
      <c r="J289" s="111"/>
      <c r="K289" s="111"/>
      <c r="L289" s="107"/>
      <c r="M289" s="107"/>
      <c r="N289" s="107"/>
      <c r="O289" s="107"/>
      <c r="P289" s="107"/>
      <c r="Q289" s="107"/>
      <c r="R289" s="107"/>
      <c r="S289" s="107"/>
      <c r="T289" s="107"/>
      <c r="U289" s="107"/>
      <c r="V289" s="107"/>
      <c r="W289" s="107"/>
      <c r="X289" s="107"/>
      <c r="Y289" s="107"/>
      <c r="Z289" s="107"/>
      <c r="AA289" s="107"/>
      <c r="AB289" s="107"/>
      <c r="AC289" s="107"/>
      <c r="AD289" s="107"/>
      <c r="AE289" s="107"/>
      <c r="AF289" s="107"/>
      <c r="AG289" s="107"/>
      <c r="AH289" s="107">
        <f t="shared" si="54"/>
        <v>69.72</v>
      </c>
    </row>
    <row r="290" spans="1:34" ht="15">
      <c r="A290" s="375" t="s">
        <v>152</v>
      </c>
      <c r="B290" s="53">
        <f t="shared" si="53"/>
        <v>642.04000000000008</v>
      </c>
      <c r="C290" s="103"/>
      <c r="D290" s="53"/>
      <c r="E290" s="53">
        <v>139.49</v>
      </c>
      <c r="F290" s="53">
        <v>57.8</v>
      </c>
      <c r="G290" s="53">
        <v>234.42</v>
      </c>
      <c r="H290" s="53">
        <v>119.83</v>
      </c>
      <c r="I290" s="53">
        <v>37.86</v>
      </c>
      <c r="J290" s="1900">
        <v>52.64</v>
      </c>
      <c r="K290" s="188" t="s">
        <v>318</v>
      </c>
      <c r="L290" s="188" t="s">
        <v>318</v>
      </c>
      <c r="M290" s="188" t="s">
        <v>318</v>
      </c>
      <c r="N290" s="188" t="s">
        <v>318</v>
      </c>
      <c r="O290" s="188" t="s">
        <v>318</v>
      </c>
      <c r="P290" s="188" t="s">
        <v>318</v>
      </c>
      <c r="Q290" s="188" t="s">
        <v>318</v>
      </c>
      <c r="R290" s="188" t="s">
        <v>318</v>
      </c>
      <c r="S290" s="188" t="s">
        <v>318</v>
      </c>
      <c r="T290" s="188" t="s">
        <v>318</v>
      </c>
      <c r="U290" s="188" t="s">
        <v>318</v>
      </c>
      <c r="V290" s="188" t="s">
        <v>318</v>
      </c>
      <c r="W290" s="188" t="s">
        <v>318</v>
      </c>
      <c r="X290" s="188" t="s">
        <v>318</v>
      </c>
      <c r="Y290" s="188" t="s">
        <v>318</v>
      </c>
      <c r="Z290" s="188" t="s">
        <v>318</v>
      </c>
      <c r="AA290" s="188" t="s">
        <v>318</v>
      </c>
      <c r="AB290" s="188" t="s">
        <v>318</v>
      </c>
      <c r="AC290" s="188" t="s">
        <v>318</v>
      </c>
      <c r="AD290" s="188" t="s">
        <v>318</v>
      </c>
      <c r="AE290" s="188" t="s">
        <v>318</v>
      </c>
      <c r="AF290" s="188" t="s">
        <v>318</v>
      </c>
      <c r="AG290" s="188" t="s">
        <v>318</v>
      </c>
      <c r="AH290" s="107">
        <f t="shared" si="54"/>
        <v>642.04000000000008</v>
      </c>
    </row>
    <row r="291" spans="1:34" ht="15">
      <c r="A291" s="363" t="s">
        <v>153</v>
      </c>
      <c r="B291" s="53">
        <f t="shared" si="53"/>
        <v>0</v>
      </c>
      <c r="C291" s="188" t="s">
        <v>318</v>
      </c>
      <c r="D291" s="188" t="s">
        <v>318</v>
      </c>
      <c r="E291" s="188" t="s">
        <v>318</v>
      </c>
      <c r="F291" s="188" t="s">
        <v>318</v>
      </c>
      <c r="G291" s="188" t="s">
        <v>318</v>
      </c>
      <c r="H291" s="188" t="s">
        <v>318</v>
      </c>
      <c r="I291" s="188" t="s">
        <v>318</v>
      </c>
      <c r="J291" s="188" t="s">
        <v>318</v>
      </c>
      <c r="K291" s="188" t="s">
        <v>318</v>
      </c>
      <c r="L291" s="188" t="s">
        <v>318</v>
      </c>
      <c r="M291" s="188" t="s">
        <v>318</v>
      </c>
      <c r="N291" s="188" t="s">
        <v>318</v>
      </c>
      <c r="O291" s="188" t="s">
        <v>318</v>
      </c>
      <c r="P291" s="188" t="s">
        <v>318</v>
      </c>
      <c r="Q291" s="188" t="s">
        <v>318</v>
      </c>
      <c r="R291" s="188" t="s">
        <v>318</v>
      </c>
      <c r="S291" s="188" t="s">
        <v>318</v>
      </c>
      <c r="T291" s="188" t="s">
        <v>318</v>
      </c>
      <c r="U291" s="188" t="s">
        <v>318</v>
      </c>
      <c r="V291" s="188" t="s">
        <v>318</v>
      </c>
      <c r="W291" s="188" t="s">
        <v>318</v>
      </c>
      <c r="X291" s="188" t="s">
        <v>318</v>
      </c>
      <c r="Y291" s="188" t="s">
        <v>318</v>
      </c>
      <c r="Z291" s="188" t="s">
        <v>318</v>
      </c>
      <c r="AA291" s="188" t="s">
        <v>318</v>
      </c>
      <c r="AB291" s="188" t="s">
        <v>318</v>
      </c>
      <c r="AC291" s="188" t="s">
        <v>318</v>
      </c>
      <c r="AD291" s="188" t="s">
        <v>318</v>
      </c>
      <c r="AE291" s="188" t="s">
        <v>318</v>
      </c>
      <c r="AF291" s="188" t="s">
        <v>318</v>
      </c>
      <c r="AG291" s="188" t="s">
        <v>318</v>
      </c>
      <c r="AH291" s="107">
        <f t="shared" si="54"/>
        <v>0</v>
      </c>
    </row>
    <row r="292" spans="1:34" ht="15">
      <c r="A292" s="363" t="s">
        <v>154</v>
      </c>
      <c r="B292" s="53">
        <f t="shared" si="53"/>
        <v>978.05899999999997</v>
      </c>
      <c r="C292" s="188" t="s">
        <v>318</v>
      </c>
      <c r="D292" s="188" t="s">
        <v>318</v>
      </c>
      <c r="E292" s="188" t="s">
        <v>318</v>
      </c>
      <c r="F292" s="188" t="s">
        <v>318</v>
      </c>
      <c r="G292" s="188" t="s">
        <v>318</v>
      </c>
      <c r="H292" s="188" t="s">
        <v>318</v>
      </c>
      <c r="I292" s="188" t="s">
        <v>318</v>
      </c>
      <c r="J292" s="188" t="s">
        <v>318</v>
      </c>
      <c r="K292" s="188" t="s">
        <v>318</v>
      </c>
      <c r="L292" s="188" t="s">
        <v>318</v>
      </c>
      <c r="M292" s="188" t="s">
        <v>318</v>
      </c>
      <c r="N292" s="188" t="s">
        <v>318</v>
      </c>
      <c r="O292" s="188" t="s">
        <v>318</v>
      </c>
      <c r="P292" s="188" t="s">
        <v>318</v>
      </c>
      <c r="Q292" s="188" t="s">
        <v>318</v>
      </c>
      <c r="R292" s="188" t="s">
        <v>318</v>
      </c>
      <c r="S292" s="188" t="s">
        <v>318</v>
      </c>
      <c r="T292" s="188" t="s">
        <v>318</v>
      </c>
      <c r="U292" s="188" t="s">
        <v>318</v>
      </c>
      <c r="V292" s="188" t="s">
        <v>318</v>
      </c>
      <c r="W292" s="188" t="s">
        <v>318</v>
      </c>
      <c r="X292" s="53">
        <v>129.24</v>
      </c>
      <c r="Y292" s="53">
        <v>176.48</v>
      </c>
      <c r="Z292" s="53">
        <v>57.53</v>
      </c>
      <c r="AA292" s="53">
        <v>61.561</v>
      </c>
      <c r="AB292" s="53"/>
      <c r="AC292" s="53">
        <v>104.33</v>
      </c>
      <c r="AD292" s="53">
        <v>160.35</v>
      </c>
      <c r="AE292" s="107">
        <v>123.86</v>
      </c>
      <c r="AF292" s="53">
        <v>158.43799999999999</v>
      </c>
      <c r="AG292" s="107">
        <v>6.27</v>
      </c>
      <c r="AH292" s="107">
        <f t="shared" si="54"/>
        <v>978.05899999999997</v>
      </c>
    </row>
    <row r="293" spans="1:34" ht="15">
      <c r="A293" s="363" t="s">
        <v>155</v>
      </c>
      <c r="B293" s="53">
        <f t="shared" si="53"/>
        <v>1747.16</v>
      </c>
      <c r="C293" s="103">
        <v>96.581000000000003</v>
      </c>
      <c r="D293" s="53">
        <v>26.69</v>
      </c>
      <c r="E293" s="53">
        <v>154.94</v>
      </c>
      <c r="F293" s="53">
        <v>145.62</v>
      </c>
      <c r="G293" s="53">
        <v>67.34</v>
      </c>
      <c r="H293" s="53">
        <v>9.51</v>
      </c>
      <c r="I293" s="53">
        <v>22.23</v>
      </c>
      <c r="J293" s="53"/>
      <c r="K293" s="53">
        <v>193.36</v>
      </c>
      <c r="L293" s="53">
        <v>200.06</v>
      </c>
      <c r="M293" s="53">
        <v>127.258</v>
      </c>
      <c r="N293" s="53">
        <v>16.72</v>
      </c>
      <c r="O293" s="53"/>
      <c r="P293" s="53"/>
      <c r="Q293" s="53"/>
      <c r="R293" s="53">
        <v>48.25</v>
      </c>
      <c r="S293" s="53"/>
      <c r="T293" s="53"/>
      <c r="U293" s="53"/>
      <c r="V293" s="53"/>
      <c r="W293" s="53">
        <v>9.2910000000000004</v>
      </c>
      <c r="X293" s="53">
        <v>95.17</v>
      </c>
      <c r="Y293" s="53">
        <v>111.73</v>
      </c>
      <c r="Z293" s="53">
        <v>125.08</v>
      </c>
      <c r="AA293" s="53"/>
      <c r="AB293" s="53"/>
      <c r="AC293" s="53"/>
      <c r="AD293" s="53"/>
      <c r="AE293" s="107">
        <v>128.58000000000001</v>
      </c>
      <c r="AF293" s="53">
        <v>168.75</v>
      </c>
      <c r="AG293" s="107"/>
      <c r="AH293" s="107">
        <f t="shared" si="54"/>
        <v>1747.16</v>
      </c>
    </row>
    <row r="294" spans="1:34" ht="15">
      <c r="A294" s="363" t="s">
        <v>156</v>
      </c>
      <c r="B294" s="53">
        <f t="shared" si="53"/>
        <v>1187.8719999999998</v>
      </c>
      <c r="C294" s="103"/>
      <c r="D294" s="53"/>
      <c r="E294" s="53"/>
      <c r="F294" s="53">
        <v>85.44</v>
      </c>
      <c r="G294" s="53">
        <v>59.58</v>
      </c>
      <c r="H294" s="53"/>
      <c r="I294" s="53"/>
      <c r="J294" s="53">
        <v>94.52</v>
      </c>
      <c r="K294" s="53"/>
      <c r="L294" s="53"/>
      <c r="M294" s="53">
        <v>37.17</v>
      </c>
      <c r="N294" s="53"/>
      <c r="O294" s="53"/>
      <c r="P294" s="3027">
        <v>34.03</v>
      </c>
      <c r="Q294" s="3027">
        <v>122.67</v>
      </c>
      <c r="R294" s="3027">
        <v>0</v>
      </c>
      <c r="S294" s="3027">
        <v>56.11</v>
      </c>
      <c r="T294" s="3027">
        <v>0</v>
      </c>
      <c r="U294" s="3027">
        <v>0</v>
      </c>
      <c r="V294" s="3027">
        <v>56.33</v>
      </c>
      <c r="W294" s="3027">
        <v>104.44</v>
      </c>
      <c r="X294" s="3027">
        <v>0</v>
      </c>
      <c r="Y294" s="3027">
        <v>0</v>
      </c>
      <c r="Z294" s="3027">
        <v>0</v>
      </c>
      <c r="AA294" s="3027">
        <v>0</v>
      </c>
      <c r="AB294" s="3027">
        <v>152.52000000000001</v>
      </c>
      <c r="AC294" s="3027">
        <v>41.381999999999998</v>
      </c>
      <c r="AD294" s="3027">
        <v>138.86000000000001</v>
      </c>
      <c r="AE294" s="3027">
        <v>72.52</v>
      </c>
      <c r="AF294" s="3027">
        <v>132.30000000000001</v>
      </c>
      <c r="AG294" s="3027">
        <v>0</v>
      </c>
      <c r="AH294" s="107">
        <f t="shared" si="54"/>
        <v>1187.8719999999998</v>
      </c>
    </row>
    <row r="295" spans="1:34" ht="15">
      <c r="A295" s="199" t="s">
        <v>144</v>
      </c>
      <c r="B295" s="232">
        <f>SUM(B283:B294)</f>
        <v>12833.273999999998</v>
      </c>
      <c r="C295" s="100">
        <f>SUM(C283:C293)</f>
        <v>334.08100000000002</v>
      </c>
      <c r="D295" s="107">
        <f>SUM(D283:D293)</f>
        <v>237.22</v>
      </c>
      <c r="E295" s="107">
        <v>0</v>
      </c>
      <c r="F295" s="107">
        <f t="shared" ref="F295:AC295" si="55">SUM(F283:F293)</f>
        <v>466.72</v>
      </c>
      <c r="G295" s="107">
        <f t="shared" si="55"/>
        <v>614.07000000000005</v>
      </c>
      <c r="H295" s="107">
        <f t="shared" si="55"/>
        <v>252.09999999999997</v>
      </c>
      <c r="I295" s="107">
        <f t="shared" si="55"/>
        <v>126.13000000000001</v>
      </c>
      <c r="J295" s="107">
        <f t="shared" si="55"/>
        <v>350.36</v>
      </c>
      <c r="K295" s="107">
        <f t="shared" si="55"/>
        <v>421.23</v>
      </c>
      <c r="L295" s="107">
        <f t="shared" si="55"/>
        <v>535.36</v>
      </c>
      <c r="M295" s="107">
        <f t="shared" si="55"/>
        <v>550.91800000000001</v>
      </c>
      <c r="N295" s="107">
        <f t="shared" si="55"/>
        <v>434.92999999999995</v>
      </c>
      <c r="O295" s="107">
        <f t="shared" si="55"/>
        <v>446.84899999999999</v>
      </c>
      <c r="P295" s="107">
        <f t="shared" si="55"/>
        <v>384.49</v>
      </c>
      <c r="Q295" s="107">
        <f t="shared" si="55"/>
        <v>319.64999999999998</v>
      </c>
      <c r="R295" s="107">
        <f t="shared" si="55"/>
        <v>381.80399999999997</v>
      </c>
      <c r="S295" s="107">
        <f t="shared" si="55"/>
        <v>0</v>
      </c>
      <c r="T295" s="107">
        <f t="shared" si="55"/>
        <v>140.11000000000001</v>
      </c>
      <c r="U295" s="107">
        <f t="shared" si="55"/>
        <v>314.39</v>
      </c>
      <c r="V295" s="107">
        <f t="shared" si="55"/>
        <v>314.64999999999998</v>
      </c>
      <c r="W295" s="107">
        <f t="shared" si="55"/>
        <v>368.34100000000001</v>
      </c>
      <c r="X295" s="107">
        <f t="shared" si="55"/>
        <v>583.31999999999994</v>
      </c>
      <c r="Y295" s="107">
        <f t="shared" si="55"/>
        <v>673.38</v>
      </c>
      <c r="Z295" s="107">
        <f t="shared" si="55"/>
        <v>566.38</v>
      </c>
      <c r="AA295" s="107">
        <f t="shared" si="55"/>
        <v>395.95799999999997</v>
      </c>
      <c r="AB295" s="107">
        <f t="shared" si="55"/>
        <v>322.83</v>
      </c>
      <c r="AC295" s="107">
        <f t="shared" si="55"/>
        <v>251.83999999999997</v>
      </c>
      <c r="AD295" s="107">
        <v>0</v>
      </c>
      <c r="AE295" s="107">
        <f>SUM(AE283:AE293)</f>
        <v>433.16999999999996</v>
      </c>
      <c r="AF295" s="107">
        <f>SUM(AF283:AF293)</f>
        <v>448.17099999999999</v>
      </c>
      <c r="AG295" s="107">
        <f>SUM(AG283:AG293)</f>
        <v>205.71</v>
      </c>
      <c r="AH295" s="100">
        <f>SUM(AH283:AH293)</f>
        <v>11645.401999999998</v>
      </c>
    </row>
    <row r="296" spans="1:34" ht="14.25" customHeight="1">
      <c r="A296" s="49"/>
      <c r="B296" s="49"/>
      <c r="C296" s="1"/>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c r="AG296" s="14"/>
      <c r="AH296" s="1"/>
    </row>
    <row r="297" spans="1:34" ht="15">
      <c r="A297" s="3854" t="s">
        <v>411</v>
      </c>
      <c r="B297" s="3855"/>
      <c r="C297" s="3855"/>
      <c r="D297" s="3855"/>
      <c r="E297" s="3855"/>
      <c r="F297" s="3855"/>
      <c r="G297" s="3855"/>
      <c r="H297" s="3856"/>
      <c r="I297" s="3313"/>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row>
    <row r="298" spans="1:34" ht="15">
      <c r="A298" s="8" t="s">
        <v>142</v>
      </c>
      <c r="B298" s="8" t="s">
        <v>143</v>
      </c>
      <c r="C298" s="2907">
        <v>1</v>
      </c>
      <c r="D298" s="73">
        <v>2</v>
      </c>
      <c r="E298" s="73">
        <v>3</v>
      </c>
      <c r="F298" s="73">
        <v>4</v>
      </c>
      <c r="G298" s="73">
        <v>5</v>
      </c>
      <c r="H298" s="73">
        <v>6</v>
      </c>
      <c r="I298" s="73">
        <v>7</v>
      </c>
      <c r="J298" s="73">
        <v>8</v>
      </c>
      <c r="K298" s="73">
        <v>9</v>
      </c>
      <c r="L298" s="73">
        <v>10</v>
      </c>
      <c r="M298" s="73">
        <v>11</v>
      </c>
      <c r="N298" s="73">
        <v>12</v>
      </c>
      <c r="O298" s="73">
        <v>13</v>
      </c>
      <c r="P298" s="73">
        <v>14</v>
      </c>
      <c r="Q298" s="73">
        <v>15</v>
      </c>
      <c r="R298" s="73">
        <v>16</v>
      </c>
      <c r="S298" s="73">
        <v>17</v>
      </c>
      <c r="T298" s="73">
        <v>18</v>
      </c>
      <c r="U298" s="73">
        <v>19</v>
      </c>
      <c r="V298" s="73">
        <v>20</v>
      </c>
      <c r="W298" s="73">
        <v>21</v>
      </c>
      <c r="X298" s="73">
        <v>22</v>
      </c>
      <c r="Y298" s="73">
        <v>23</v>
      </c>
      <c r="Z298" s="73">
        <v>24</v>
      </c>
      <c r="AA298" s="73">
        <v>25</v>
      </c>
      <c r="AB298" s="73">
        <v>26</v>
      </c>
      <c r="AC298" s="73">
        <v>27</v>
      </c>
      <c r="AD298" s="73">
        <v>28</v>
      </c>
      <c r="AE298" s="73">
        <v>29</v>
      </c>
      <c r="AF298" s="73">
        <v>30</v>
      </c>
      <c r="AG298" s="73">
        <v>31</v>
      </c>
      <c r="AH298" s="88" t="s">
        <v>144</v>
      </c>
    </row>
    <row r="299" spans="1:34" ht="15">
      <c r="A299" s="414" t="s">
        <v>145</v>
      </c>
      <c r="B299" s="53">
        <f t="shared" ref="B299:B310" si="56">+AH299</f>
        <v>0</v>
      </c>
      <c r="C299" s="188" t="s">
        <v>311</v>
      </c>
      <c r="D299" s="188" t="s">
        <v>311</v>
      </c>
      <c r="E299" s="188" t="s">
        <v>311</v>
      </c>
      <c r="F299" s="188" t="s">
        <v>311</v>
      </c>
      <c r="G299" s="188" t="s">
        <v>311</v>
      </c>
      <c r="H299" s="188" t="s">
        <v>311</v>
      </c>
      <c r="I299" s="188" t="s">
        <v>311</v>
      </c>
      <c r="J299" s="306"/>
      <c r="K299" s="306"/>
      <c r="L299" s="306"/>
      <c r="M299" s="306"/>
      <c r="N299" s="306"/>
      <c r="O299" s="306"/>
      <c r="P299" s="306"/>
      <c r="Q299" s="306"/>
      <c r="R299" s="306"/>
      <c r="S299" s="306"/>
      <c r="T299" s="306"/>
      <c r="U299" s="306"/>
      <c r="V299" s="306"/>
      <c r="W299" s="306"/>
      <c r="X299" s="306"/>
      <c r="Y299" s="306"/>
      <c r="Z299" s="306"/>
      <c r="AA299" s="306"/>
      <c r="AB299" s="306"/>
      <c r="AC299" s="306"/>
      <c r="AD299" s="306"/>
      <c r="AE299" s="306"/>
      <c r="AF299" s="306"/>
      <c r="AG299" s="306"/>
      <c r="AH299" s="107">
        <f>SUM(C299:AG299)</f>
        <v>0</v>
      </c>
    </row>
    <row r="300" spans="1:34" ht="15">
      <c r="A300" s="414" t="s">
        <v>146</v>
      </c>
      <c r="B300" s="53">
        <f t="shared" si="56"/>
        <v>0</v>
      </c>
      <c r="C300" s="306"/>
      <c r="D300" s="306"/>
      <c r="E300" s="306"/>
      <c r="F300" s="306"/>
      <c r="G300" s="306"/>
      <c r="H300" s="306"/>
      <c r="I300" s="306"/>
      <c r="J300" s="306"/>
      <c r="K300" s="306"/>
      <c r="L300" s="306"/>
      <c r="M300" s="306"/>
      <c r="N300" s="306"/>
      <c r="O300" s="306"/>
      <c r="P300" s="306"/>
      <c r="Q300" s="306"/>
      <c r="R300" s="306"/>
      <c r="S300" s="306"/>
      <c r="T300" s="306"/>
      <c r="U300" s="306"/>
      <c r="V300" s="306"/>
      <c r="W300" s="306"/>
      <c r="X300" s="306"/>
      <c r="Y300" s="306"/>
      <c r="Z300" s="306"/>
      <c r="AA300" s="306"/>
      <c r="AB300" s="306"/>
      <c r="AC300" s="306"/>
      <c r="AD300" s="306"/>
      <c r="AE300" s="306"/>
      <c r="AF300" s="306"/>
      <c r="AG300" s="306"/>
      <c r="AH300" s="107">
        <f t="shared" ref="AH300:AH310" si="57">SUM(C300:AG300)</f>
        <v>0</v>
      </c>
    </row>
    <row r="301" spans="1:34" ht="15">
      <c r="A301" s="414" t="s">
        <v>147</v>
      </c>
      <c r="B301" s="53">
        <f t="shared" si="56"/>
        <v>0</v>
      </c>
      <c r="C301" s="306"/>
      <c r="D301" s="306"/>
      <c r="E301" s="306"/>
      <c r="F301" s="306"/>
      <c r="G301" s="306"/>
      <c r="H301" s="315"/>
      <c r="I301" s="315"/>
      <c r="J301" s="107"/>
      <c r="K301" s="107"/>
      <c r="L301" s="107"/>
      <c r="M301" s="107"/>
      <c r="N301" s="107"/>
      <c r="O301" s="107"/>
      <c r="P301" s="107"/>
      <c r="Q301" s="107"/>
      <c r="R301" s="107"/>
      <c r="S301" s="107"/>
      <c r="T301" s="107"/>
      <c r="U301" s="107"/>
      <c r="V301" s="107"/>
      <c r="W301" s="107"/>
      <c r="X301" s="107"/>
      <c r="Y301" s="107"/>
      <c r="Z301" s="107"/>
      <c r="AA301" s="107"/>
      <c r="AB301" s="107"/>
      <c r="AC301" s="188" t="s">
        <v>311</v>
      </c>
      <c r="AD301" s="188" t="s">
        <v>311</v>
      </c>
      <c r="AE301" s="188" t="s">
        <v>311</v>
      </c>
      <c r="AF301" s="188" t="s">
        <v>311</v>
      </c>
      <c r="AG301" s="188" t="s">
        <v>311</v>
      </c>
      <c r="AH301" s="107">
        <f t="shared" si="57"/>
        <v>0</v>
      </c>
    </row>
    <row r="302" spans="1:34" ht="15">
      <c r="A302" s="414" t="s">
        <v>148</v>
      </c>
      <c r="B302" s="53">
        <f t="shared" si="56"/>
        <v>1.7000000000000001E-2</v>
      </c>
      <c r="C302" s="188" t="s">
        <v>311</v>
      </c>
      <c r="D302" s="188" t="s">
        <v>311</v>
      </c>
      <c r="E302" s="188" t="s">
        <v>311</v>
      </c>
      <c r="F302" s="188" t="s">
        <v>311</v>
      </c>
      <c r="G302" s="188" t="s">
        <v>311</v>
      </c>
      <c r="H302" s="188" t="s">
        <v>311</v>
      </c>
      <c r="I302" s="188" t="s">
        <v>311</v>
      </c>
      <c r="J302" s="188" t="s">
        <v>311</v>
      </c>
      <c r="K302" s="188" t="s">
        <v>311</v>
      </c>
      <c r="L302" s="107"/>
      <c r="M302" s="107"/>
      <c r="N302" s="107"/>
      <c r="O302" s="107"/>
      <c r="P302" s="107"/>
      <c r="Q302" s="107">
        <v>7.0000000000000001E-3</v>
      </c>
      <c r="R302" s="107"/>
      <c r="S302" s="107"/>
      <c r="T302" s="107"/>
      <c r="U302" s="107"/>
      <c r="V302" s="107"/>
      <c r="W302" s="107"/>
      <c r="X302" s="107"/>
      <c r="Y302" s="107"/>
      <c r="Z302" s="107"/>
      <c r="AA302" s="107"/>
      <c r="AB302" s="107"/>
      <c r="AC302" s="107"/>
      <c r="AD302" s="107"/>
      <c r="AE302" s="107"/>
      <c r="AF302" s="107">
        <v>0.01</v>
      </c>
      <c r="AG302" s="107"/>
      <c r="AH302" s="107">
        <f t="shared" si="57"/>
        <v>1.7000000000000001E-2</v>
      </c>
    </row>
    <row r="303" spans="1:34" ht="15">
      <c r="A303" s="375" t="s">
        <v>149</v>
      </c>
      <c r="B303" s="53">
        <f t="shared" si="56"/>
        <v>0</v>
      </c>
      <c r="C303" s="103"/>
      <c r="D303" s="53"/>
      <c r="E303" s="53"/>
      <c r="F303" s="53"/>
      <c r="G303" s="53"/>
      <c r="H303" s="53"/>
      <c r="I303" s="53"/>
      <c r="J303" s="107"/>
      <c r="K303" s="107"/>
      <c r="L303" s="107"/>
      <c r="M303" s="107"/>
      <c r="N303" s="107"/>
      <c r="O303" s="107"/>
      <c r="P303" s="107"/>
      <c r="Q303" s="107"/>
      <c r="R303" s="107"/>
      <c r="S303" s="107"/>
      <c r="T303" s="107"/>
      <c r="U303" s="107"/>
      <c r="V303" s="107"/>
      <c r="W303" s="107"/>
      <c r="X303" s="107"/>
      <c r="Y303" s="107"/>
      <c r="Z303" s="107"/>
      <c r="AA303" s="107"/>
      <c r="AB303" s="107"/>
      <c r="AC303" s="107"/>
      <c r="AD303" s="107"/>
      <c r="AE303" s="107"/>
      <c r="AF303" s="107"/>
      <c r="AG303" s="107"/>
      <c r="AH303" s="107">
        <f t="shared" si="57"/>
        <v>0</v>
      </c>
    </row>
    <row r="304" spans="1:34" ht="15">
      <c r="A304" s="375" t="s">
        <v>150</v>
      </c>
      <c r="B304" s="53">
        <f t="shared" si="56"/>
        <v>0</v>
      </c>
      <c r="C304" s="100"/>
      <c r="D304" s="107"/>
      <c r="E304" s="107"/>
      <c r="F304" s="107"/>
      <c r="G304" s="107"/>
      <c r="H304" s="188" t="s">
        <v>162</v>
      </c>
      <c r="I304" s="188" t="s">
        <v>162</v>
      </c>
      <c r="J304" s="188" t="s">
        <v>162</v>
      </c>
      <c r="K304" s="188" t="s">
        <v>162</v>
      </c>
      <c r="L304" s="188" t="s">
        <v>162</v>
      </c>
      <c r="M304" s="188" t="s">
        <v>162</v>
      </c>
      <c r="N304" s="188" t="s">
        <v>162</v>
      </c>
      <c r="O304" s="188" t="s">
        <v>162</v>
      </c>
      <c r="P304" s="188" t="s">
        <v>162</v>
      </c>
      <c r="Q304" s="188" t="s">
        <v>162</v>
      </c>
      <c r="R304" s="188" t="s">
        <v>162</v>
      </c>
      <c r="S304" s="188" t="s">
        <v>162</v>
      </c>
      <c r="T304" s="188" t="s">
        <v>162</v>
      </c>
      <c r="U304" s="188" t="s">
        <v>162</v>
      </c>
      <c r="V304" s="188" t="s">
        <v>162</v>
      </c>
      <c r="W304" s="188" t="s">
        <v>162</v>
      </c>
      <c r="X304" s="188" t="s">
        <v>162</v>
      </c>
      <c r="Y304" s="107"/>
      <c r="Z304" s="107"/>
      <c r="AA304" s="107"/>
      <c r="AB304" s="107"/>
      <c r="AC304" s="107"/>
      <c r="AD304" s="107"/>
      <c r="AE304" s="107"/>
      <c r="AF304" s="107"/>
      <c r="AG304" s="107"/>
      <c r="AH304" s="107">
        <f t="shared" si="57"/>
        <v>0</v>
      </c>
    </row>
    <row r="305" spans="1:34" ht="15">
      <c r="A305" s="375" t="s">
        <v>151</v>
      </c>
      <c r="B305" s="53">
        <f t="shared" si="56"/>
        <v>0</v>
      </c>
      <c r="C305" s="103"/>
      <c r="D305" s="107"/>
      <c r="E305" s="107"/>
      <c r="F305" s="107"/>
      <c r="G305" s="53"/>
      <c r="H305" s="53"/>
      <c r="I305" s="53"/>
      <c r="J305" s="111"/>
      <c r="K305" s="111"/>
      <c r="L305" s="107"/>
      <c r="M305" s="107"/>
      <c r="N305" s="107"/>
      <c r="O305" s="107"/>
      <c r="P305" s="107"/>
      <c r="Q305" s="107"/>
      <c r="R305" s="107"/>
      <c r="S305" s="107"/>
      <c r="T305" s="107"/>
      <c r="U305" s="107"/>
      <c r="V305" s="107"/>
      <c r="W305" s="107"/>
      <c r="X305" s="107"/>
      <c r="Y305" s="107"/>
      <c r="Z305" s="107"/>
      <c r="AA305" s="107"/>
      <c r="AB305" s="107"/>
      <c r="AC305" s="107"/>
      <c r="AD305" s="107"/>
      <c r="AE305" s="107"/>
      <c r="AF305" s="107"/>
      <c r="AG305" s="107"/>
      <c r="AH305" s="107">
        <f t="shared" si="57"/>
        <v>0</v>
      </c>
    </row>
    <row r="306" spans="1:34" ht="15">
      <c r="A306" s="375" t="s">
        <v>152</v>
      </c>
      <c r="B306" s="53">
        <f t="shared" si="56"/>
        <v>0</v>
      </c>
      <c r="C306" s="103"/>
      <c r="D306" s="53"/>
      <c r="E306" s="53"/>
      <c r="F306" s="53"/>
      <c r="G306" s="53"/>
      <c r="H306" s="53"/>
      <c r="I306" s="53"/>
      <c r="J306" s="1898" t="s">
        <v>318</v>
      </c>
      <c r="K306" s="1898" t="s">
        <v>318</v>
      </c>
      <c r="L306" s="1898" t="s">
        <v>318</v>
      </c>
      <c r="M306" s="188" t="s">
        <v>318</v>
      </c>
      <c r="N306" s="188" t="s">
        <v>318</v>
      </c>
      <c r="O306" s="188" t="s">
        <v>318</v>
      </c>
      <c r="P306" s="188" t="s">
        <v>318</v>
      </c>
      <c r="Q306" s="188" t="s">
        <v>318</v>
      </c>
      <c r="R306" s="188" t="s">
        <v>318</v>
      </c>
      <c r="S306" s="188" t="s">
        <v>318</v>
      </c>
      <c r="T306" s="188" t="s">
        <v>318</v>
      </c>
      <c r="U306" s="188" t="s">
        <v>318</v>
      </c>
      <c r="V306" s="188" t="s">
        <v>318</v>
      </c>
      <c r="W306" s="188" t="s">
        <v>318</v>
      </c>
      <c r="X306" s="188" t="s">
        <v>318</v>
      </c>
      <c r="Y306" s="188" t="s">
        <v>318</v>
      </c>
      <c r="Z306" s="188" t="s">
        <v>318</v>
      </c>
      <c r="AA306" s="188" t="s">
        <v>318</v>
      </c>
      <c r="AB306" s="188" t="s">
        <v>318</v>
      </c>
      <c r="AC306" s="188" t="s">
        <v>318</v>
      </c>
      <c r="AD306" s="188" t="s">
        <v>318</v>
      </c>
      <c r="AE306" s="188" t="s">
        <v>318</v>
      </c>
      <c r="AF306" s="188" t="s">
        <v>318</v>
      </c>
      <c r="AG306" s="188" t="s">
        <v>318</v>
      </c>
      <c r="AH306" s="107">
        <f t="shared" si="57"/>
        <v>0</v>
      </c>
    </row>
    <row r="307" spans="1:34" ht="15">
      <c r="A307" s="363" t="s">
        <v>153</v>
      </c>
      <c r="B307" s="53">
        <f t="shared" si="56"/>
        <v>0</v>
      </c>
      <c r="C307" s="188" t="s">
        <v>318</v>
      </c>
      <c r="D307" s="188" t="s">
        <v>318</v>
      </c>
      <c r="E307" s="188" t="s">
        <v>318</v>
      </c>
      <c r="F307" s="188" t="s">
        <v>318</v>
      </c>
      <c r="G307" s="188" t="s">
        <v>318</v>
      </c>
      <c r="H307" s="188" t="s">
        <v>318</v>
      </c>
      <c r="I307" s="188" t="s">
        <v>318</v>
      </c>
      <c r="J307" s="1898" t="s">
        <v>318</v>
      </c>
      <c r="K307" s="1898" t="s">
        <v>318</v>
      </c>
      <c r="L307" s="1898" t="s">
        <v>318</v>
      </c>
      <c r="M307" s="188" t="s">
        <v>318</v>
      </c>
      <c r="N307" s="188" t="s">
        <v>318</v>
      </c>
      <c r="O307" s="188" t="s">
        <v>318</v>
      </c>
      <c r="P307" s="188" t="s">
        <v>318</v>
      </c>
      <c r="Q307" s="188" t="s">
        <v>318</v>
      </c>
      <c r="R307" s="188" t="s">
        <v>318</v>
      </c>
      <c r="S307" s="188" t="s">
        <v>318</v>
      </c>
      <c r="T307" s="188" t="s">
        <v>318</v>
      </c>
      <c r="U307" s="188" t="s">
        <v>318</v>
      </c>
      <c r="V307" s="188" t="s">
        <v>318</v>
      </c>
      <c r="W307" s="188" t="s">
        <v>318</v>
      </c>
      <c r="X307" s="188" t="s">
        <v>318</v>
      </c>
      <c r="Y307" s="188" t="s">
        <v>318</v>
      </c>
      <c r="Z307" s="188" t="s">
        <v>318</v>
      </c>
      <c r="AA307" s="188" t="s">
        <v>318</v>
      </c>
      <c r="AB307" s="188" t="s">
        <v>318</v>
      </c>
      <c r="AC307" s="188" t="s">
        <v>318</v>
      </c>
      <c r="AD307" s="188" t="s">
        <v>318</v>
      </c>
      <c r="AE307" s="188" t="s">
        <v>318</v>
      </c>
      <c r="AF307" s="188" t="s">
        <v>318</v>
      </c>
      <c r="AG307" s="188" t="s">
        <v>318</v>
      </c>
      <c r="AH307" s="107">
        <f t="shared" si="57"/>
        <v>0</v>
      </c>
    </row>
    <row r="308" spans="1:34" ht="15">
      <c r="A308" s="363" t="s">
        <v>154</v>
      </c>
      <c r="B308" s="53">
        <f t="shared" si="56"/>
        <v>0</v>
      </c>
      <c r="C308" s="188" t="s">
        <v>318</v>
      </c>
      <c r="D308" s="188" t="s">
        <v>318</v>
      </c>
      <c r="E308" s="188" t="s">
        <v>318</v>
      </c>
      <c r="F308" s="188" t="s">
        <v>318</v>
      </c>
      <c r="G308" s="188" t="s">
        <v>318</v>
      </c>
      <c r="H308" s="188" t="s">
        <v>318</v>
      </c>
      <c r="I308" s="188" t="s">
        <v>318</v>
      </c>
      <c r="J308" s="1898" t="s">
        <v>318</v>
      </c>
      <c r="K308" s="1898" t="s">
        <v>318</v>
      </c>
      <c r="L308" s="1898" t="s">
        <v>318</v>
      </c>
      <c r="M308" s="188" t="s">
        <v>318</v>
      </c>
      <c r="N308" s="188" t="s">
        <v>318</v>
      </c>
      <c r="O308" s="188" t="s">
        <v>318</v>
      </c>
      <c r="P308" s="188" t="s">
        <v>318</v>
      </c>
      <c r="Q308" s="188" t="s">
        <v>318</v>
      </c>
      <c r="R308" s="188" t="s">
        <v>318</v>
      </c>
      <c r="S308" s="188" t="s">
        <v>318</v>
      </c>
      <c r="T308" s="188" t="s">
        <v>318</v>
      </c>
      <c r="U308" s="188" t="s">
        <v>318</v>
      </c>
      <c r="V308" s="188" t="s">
        <v>318</v>
      </c>
      <c r="W308" s="188" t="s">
        <v>318</v>
      </c>
      <c r="X308" s="53"/>
      <c r="Y308" s="53"/>
      <c r="Z308" s="53"/>
      <c r="AA308" s="53"/>
      <c r="AB308" s="53"/>
      <c r="AC308" s="53"/>
      <c r="AD308" s="53"/>
      <c r="AE308" s="107"/>
      <c r="AF308" s="53"/>
      <c r="AG308" s="107"/>
      <c r="AH308" s="107">
        <f t="shared" si="57"/>
        <v>0</v>
      </c>
    </row>
    <row r="309" spans="1:34" ht="15">
      <c r="A309" s="363" t="s">
        <v>155</v>
      </c>
      <c r="B309" s="53">
        <f t="shared" si="56"/>
        <v>0</v>
      </c>
      <c r="C309" s="103"/>
      <c r="D309" s="53"/>
      <c r="E309" s="53"/>
      <c r="F309" s="53"/>
      <c r="G309" s="53"/>
      <c r="H309" s="53"/>
      <c r="I309" s="53"/>
      <c r="J309" s="53"/>
      <c r="K309" s="53"/>
      <c r="L309" s="53"/>
      <c r="M309" s="53"/>
      <c r="N309" s="53"/>
      <c r="O309" s="53"/>
      <c r="P309" s="53"/>
      <c r="Q309" s="53"/>
      <c r="R309" s="53"/>
      <c r="S309" s="53"/>
      <c r="T309" s="53"/>
      <c r="U309" s="53"/>
      <c r="V309" s="53"/>
      <c r="W309" s="53"/>
      <c r="X309" s="53"/>
      <c r="Y309" s="53"/>
      <c r="Z309" s="53"/>
      <c r="AA309" s="53"/>
      <c r="AB309" s="53"/>
      <c r="AC309" s="53"/>
      <c r="AD309" s="53"/>
      <c r="AE309" s="107"/>
      <c r="AF309" s="53"/>
      <c r="AG309" s="107"/>
      <c r="AH309" s="107">
        <f t="shared" si="57"/>
        <v>0</v>
      </c>
    </row>
    <row r="310" spans="1:34" ht="15">
      <c r="A310" s="363" t="s">
        <v>156</v>
      </c>
      <c r="B310" s="53">
        <f t="shared" si="56"/>
        <v>0</v>
      </c>
      <c r="C310" s="103"/>
      <c r="D310" s="53"/>
      <c r="E310" s="53"/>
      <c r="F310" s="53"/>
      <c r="G310" s="53"/>
      <c r="H310" s="53"/>
      <c r="I310" s="53"/>
      <c r="J310" s="53"/>
      <c r="K310" s="53"/>
      <c r="L310" s="53"/>
      <c r="M310" s="53"/>
      <c r="N310" s="53"/>
      <c r="O310" s="53"/>
      <c r="P310" s="3027">
        <v>0</v>
      </c>
      <c r="Q310" s="3027">
        <v>0</v>
      </c>
      <c r="R310" s="3027">
        <v>0</v>
      </c>
      <c r="S310" s="3027">
        <v>0</v>
      </c>
      <c r="T310" s="3027">
        <v>0</v>
      </c>
      <c r="U310" s="3027">
        <v>0</v>
      </c>
      <c r="V310" s="3027">
        <v>0</v>
      </c>
      <c r="W310" s="3027">
        <v>0</v>
      </c>
      <c r="X310" s="3027">
        <v>0</v>
      </c>
      <c r="Y310" s="3027">
        <v>0</v>
      </c>
      <c r="Z310" s="3027">
        <v>0</v>
      </c>
      <c r="AA310" s="3027">
        <v>0</v>
      </c>
      <c r="AB310" s="3027">
        <v>0</v>
      </c>
      <c r="AC310" s="3027">
        <v>0</v>
      </c>
      <c r="AD310" s="3027">
        <v>0</v>
      </c>
      <c r="AE310" s="3027">
        <v>0</v>
      </c>
      <c r="AF310" s="3027">
        <v>0</v>
      </c>
      <c r="AG310" s="3027">
        <v>0</v>
      </c>
      <c r="AH310" s="107">
        <f t="shared" si="57"/>
        <v>0</v>
      </c>
    </row>
    <row r="311" spans="1:34" ht="15">
      <c r="A311" s="199" t="s">
        <v>144</v>
      </c>
      <c r="B311" s="232">
        <f>SUM(B299:B310)</f>
        <v>1.7000000000000001E-2</v>
      </c>
      <c r="C311" s="100">
        <f>SUM(C299:C309)</f>
        <v>0</v>
      </c>
      <c r="D311" s="107">
        <f>SUM(D299:D309)</f>
        <v>0</v>
      </c>
      <c r="E311" s="107">
        <v>0</v>
      </c>
      <c r="F311" s="107">
        <f t="shared" ref="F311:AC311" si="58">SUM(F299:F309)</f>
        <v>0</v>
      </c>
      <c r="G311" s="107">
        <f t="shared" si="58"/>
        <v>0</v>
      </c>
      <c r="H311" s="107">
        <f t="shared" si="58"/>
        <v>0</v>
      </c>
      <c r="I311" s="107">
        <f t="shared" si="58"/>
        <v>0</v>
      </c>
      <c r="J311" s="107">
        <f t="shared" si="58"/>
        <v>0</v>
      </c>
      <c r="K311" s="107">
        <f t="shared" si="58"/>
        <v>0</v>
      </c>
      <c r="L311" s="107">
        <f t="shared" si="58"/>
        <v>0</v>
      </c>
      <c r="M311" s="107">
        <f t="shared" si="58"/>
        <v>0</v>
      </c>
      <c r="N311" s="107">
        <f t="shared" si="58"/>
        <v>0</v>
      </c>
      <c r="O311" s="107">
        <f t="shared" si="58"/>
        <v>0</v>
      </c>
      <c r="P311" s="107">
        <f t="shared" si="58"/>
        <v>0</v>
      </c>
      <c r="Q311" s="107">
        <f t="shared" si="58"/>
        <v>7.0000000000000001E-3</v>
      </c>
      <c r="R311" s="107">
        <f t="shared" si="58"/>
        <v>0</v>
      </c>
      <c r="S311" s="107">
        <f t="shared" si="58"/>
        <v>0</v>
      </c>
      <c r="T311" s="107">
        <f t="shared" si="58"/>
        <v>0</v>
      </c>
      <c r="U311" s="107">
        <f t="shared" si="58"/>
        <v>0</v>
      </c>
      <c r="V311" s="107">
        <f t="shared" si="58"/>
        <v>0</v>
      </c>
      <c r="W311" s="107">
        <f t="shared" si="58"/>
        <v>0</v>
      </c>
      <c r="X311" s="107">
        <f t="shared" si="58"/>
        <v>0</v>
      </c>
      <c r="Y311" s="107">
        <f t="shared" si="58"/>
        <v>0</v>
      </c>
      <c r="Z311" s="107">
        <f t="shared" si="58"/>
        <v>0</v>
      </c>
      <c r="AA311" s="107">
        <f t="shared" si="58"/>
        <v>0</v>
      </c>
      <c r="AB311" s="107">
        <f t="shared" si="58"/>
        <v>0</v>
      </c>
      <c r="AC311" s="107">
        <f t="shared" si="58"/>
        <v>0</v>
      </c>
      <c r="AD311" s="107">
        <v>0</v>
      </c>
      <c r="AE311" s="107">
        <f>SUM(AE299:AE309)</f>
        <v>0</v>
      </c>
      <c r="AF311" s="107">
        <f>SUM(AF299:AF309)</f>
        <v>0.01</v>
      </c>
      <c r="AG311" s="107">
        <f>SUM(AG299:AG309)</f>
        <v>0</v>
      </c>
      <c r="AH311" s="100">
        <f>SUM(AH299:AH309)</f>
        <v>1.7000000000000001E-2</v>
      </c>
    </row>
    <row r="312" spans="1:34" ht="14.25" customHeight="1">
      <c r="A312" s="49"/>
      <c r="B312" s="49"/>
      <c r="C312" s="1"/>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c r="AG312" s="14"/>
      <c r="AH312" s="1"/>
    </row>
    <row r="313" spans="1:34" ht="15">
      <c r="A313" s="3854" t="s">
        <v>413</v>
      </c>
      <c r="B313" s="3855"/>
      <c r="C313" s="3855"/>
      <c r="D313" s="3855"/>
      <c r="E313" s="3855"/>
      <c r="F313" s="3855"/>
      <c r="G313" s="3855"/>
      <c r="H313" s="3856"/>
      <c r="I313" s="3313"/>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c r="AG313" s="14"/>
      <c r="AH313" s="14"/>
    </row>
    <row r="314" spans="1:34" ht="15">
      <c r="A314" s="8" t="s">
        <v>142</v>
      </c>
      <c r="B314" s="8" t="s">
        <v>143</v>
      </c>
      <c r="C314" s="2907">
        <v>1</v>
      </c>
      <c r="D314" s="73">
        <v>2</v>
      </c>
      <c r="E314" s="73">
        <v>3</v>
      </c>
      <c r="F314" s="73">
        <v>4</v>
      </c>
      <c r="G314" s="73">
        <v>5</v>
      </c>
      <c r="H314" s="73">
        <v>6</v>
      </c>
      <c r="I314" s="73">
        <v>7</v>
      </c>
      <c r="J314" s="73">
        <v>8</v>
      </c>
      <c r="K314" s="73">
        <v>9</v>
      </c>
      <c r="L314" s="73">
        <v>10</v>
      </c>
      <c r="M314" s="73">
        <v>11</v>
      </c>
      <c r="N314" s="73">
        <v>12</v>
      </c>
      <c r="O314" s="73">
        <v>13</v>
      </c>
      <c r="P314" s="73">
        <v>14</v>
      </c>
      <c r="Q314" s="73">
        <v>15</v>
      </c>
      <c r="R314" s="73">
        <v>16</v>
      </c>
      <c r="S314" s="73">
        <v>17</v>
      </c>
      <c r="T314" s="73">
        <v>18</v>
      </c>
      <c r="U314" s="73">
        <v>19</v>
      </c>
      <c r="V314" s="73">
        <v>20</v>
      </c>
      <c r="W314" s="73">
        <v>21</v>
      </c>
      <c r="X314" s="73">
        <v>22</v>
      </c>
      <c r="Y314" s="73">
        <v>23</v>
      </c>
      <c r="Z314" s="73">
        <v>24</v>
      </c>
      <c r="AA314" s="73">
        <v>25</v>
      </c>
      <c r="AB314" s="73">
        <v>26</v>
      </c>
      <c r="AC314" s="73">
        <v>27</v>
      </c>
      <c r="AD314" s="73">
        <v>28</v>
      </c>
      <c r="AE314" s="73">
        <v>29</v>
      </c>
      <c r="AF314" s="73">
        <v>30</v>
      </c>
      <c r="AG314" s="73">
        <v>31</v>
      </c>
      <c r="AH314" s="88" t="s">
        <v>144</v>
      </c>
    </row>
    <row r="315" spans="1:34" ht="15">
      <c r="A315" s="414" t="s">
        <v>145</v>
      </c>
      <c r="B315" s="53">
        <f t="shared" ref="B315:B326" si="59">+AH315</f>
        <v>0</v>
      </c>
      <c r="C315" s="188" t="s">
        <v>311</v>
      </c>
      <c r="D315" s="188" t="s">
        <v>311</v>
      </c>
      <c r="E315" s="188" t="s">
        <v>311</v>
      </c>
      <c r="F315" s="188" t="s">
        <v>311</v>
      </c>
      <c r="G315" s="188" t="s">
        <v>311</v>
      </c>
      <c r="H315" s="188" t="s">
        <v>311</v>
      </c>
      <c r="I315" s="188" t="s">
        <v>311</v>
      </c>
      <c r="J315" s="306"/>
      <c r="K315" s="306"/>
      <c r="L315" s="306"/>
      <c r="M315" s="306"/>
      <c r="N315" s="306"/>
      <c r="O315" s="306"/>
      <c r="P315" s="306"/>
      <c r="Q315" s="306"/>
      <c r="R315" s="306"/>
      <c r="S315" s="306"/>
      <c r="T315" s="306"/>
      <c r="U315" s="306"/>
      <c r="V315" s="306"/>
      <c r="W315" s="306"/>
      <c r="X315" s="306"/>
      <c r="Y315" s="306"/>
      <c r="Z315" s="306"/>
      <c r="AA315" s="306"/>
      <c r="AB315" s="306"/>
      <c r="AC315" s="306"/>
      <c r="AD315" s="306"/>
      <c r="AE315" s="306"/>
      <c r="AF315" s="306"/>
      <c r="AG315" s="306"/>
      <c r="AH315" s="107">
        <f>SUM(C315:AG315)</f>
        <v>0</v>
      </c>
    </row>
    <row r="316" spans="1:34" ht="15">
      <c r="A316" s="414" t="s">
        <v>146</v>
      </c>
      <c r="B316" s="53">
        <f t="shared" si="59"/>
        <v>0</v>
      </c>
      <c r="C316" s="306"/>
      <c r="D316" s="306"/>
      <c r="E316" s="306"/>
      <c r="F316" s="306"/>
      <c r="G316" s="306"/>
      <c r="H316" s="306"/>
      <c r="I316" s="306"/>
      <c r="J316" s="306"/>
      <c r="K316" s="306"/>
      <c r="L316" s="306"/>
      <c r="M316" s="306"/>
      <c r="N316" s="306"/>
      <c r="O316" s="306"/>
      <c r="P316" s="306"/>
      <c r="Q316" s="306"/>
      <c r="R316" s="306"/>
      <c r="S316" s="306"/>
      <c r="T316" s="306"/>
      <c r="U316" s="306"/>
      <c r="V316" s="306"/>
      <c r="W316" s="306"/>
      <c r="X316" s="306"/>
      <c r="Y316" s="306"/>
      <c r="Z316" s="306"/>
      <c r="AA316" s="306"/>
      <c r="AB316" s="306"/>
      <c r="AC316" s="306"/>
      <c r="AD316" s="306"/>
      <c r="AE316" s="306"/>
      <c r="AF316" s="306"/>
      <c r="AG316" s="306"/>
      <c r="AH316" s="107">
        <f t="shared" ref="AH316:AH326" si="60">SUM(C316:AG316)</f>
        <v>0</v>
      </c>
    </row>
    <row r="317" spans="1:34" ht="15">
      <c r="A317" s="414" t="s">
        <v>147</v>
      </c>
      <c r="B317" s="53">
        <f t="shared" si="59"/>
        <v>0</v>
      </c>
      <c r="C317" s="306"/>
      <c r="D317" s="306"/>
      <c r="E317" s="306"/>
      <c r="F317" s="306"/>
      <c r="G317" s="306"/>
      <c r="H317" s="315"/>
      <c r="I317" s="315"/>
      <c r="J317" s="107"/>
      <c r="K317" s="107"/>
      <c r="L317" s="107"/>
      <c r="M317" s="107"/>
      <c r="N317" s="107"/>
      <c r="O317" s="107"/>
      <c r="P317" s="107"/>
      <c r="Q317" s="107"/>
      <c r="R317" s="107"/>
      <c r="S317" s="107"/>
      <c r="T317" s="107"/>
      <c r="U317" s="107"/>
      <c r="V317" s="107"/>
      <c r="W317" s="107"/>
      <c r="X317" s="107"/>
      <c r="Y317" s="107"/>
      <c r="Z317" s="107"/>
      <c r="AA317" s="107"/>
      <c r="AB317" s="107"/>
      <c r="AC317" s="188" t="s">
        <v>311</v>
      </c>
      <c r="AD317" s="188" t="s">
        <v>311</v>
      </c>
      <c r="AE317" s="188" t="s">
        <v>311</v>
      </c>
      <c r="AF317" s="188" t="s">
        <v>311</v>
      </c>
      <c r="AG317" s="188" t="s">
        <v>311</v>
      </c>
      <c r="AH317" s="107">
        <f t="shared" si="60"/>
        <v>0</v>
      </c>
    </row>
    <row r="318" spans="1:34" ht="15">
      <c r="A318" s="414" t="s">
        <v>148</v>
      </c>
      <c r="B318" s="53">
        <f t="shared" si="59"/>
        <v>0</v>
      </c>
      <c r="C318" s="188" t="s">
        <v>311</v>
      </c>
      <c r="D318" s="188" t="s">
        <v>311</v>
      </c>
      <c r="E318" s="188" t="s">
        <v>311</v>
      </c>
      <c r="F318" s="188" t="s">
        <v>311</v>
      </c>
      <c r="G318" s="188" t="s">
        <v>311</v>
      </c>
      <c r="H318" s="188" t="s">
        <v>311</v>
      </c>
      <c r="I318" s="188" t="s">
        <v>311</v>
      </c>
      <c r="J318" s="188" t="s">
        <v>311</v>
      </c>
      <c r="K318" s="188" t="s">
        <v>311</v>
      </c>
      <c r="L318" s="107"/>
      <c r="M318" s="107"/>
      <c r="N318" s="107"/>
      <c r="O318" s="107"/>
      <c r="P318" s="107"/>
      <c r="Q318" s="107"/>
      <c r="R318" s="107"/>
      <c r="S318" s="107"/>
      <c r="T318" s="107"/>
      <c r="U318" s="107"/>
      <c r="V318" s="107"/>
      <c r="W318" s="107"/>
      <c r="X318" s="107"/>
      <c r="Y318" s="107"/>
      <c r="Z318" s="107"/>
      <c r="AA318" s="107"/>
      <c r="AB318" s="107"/>
      <c r="AC318" s="107"/>
      <c r="AD318" s="107"/>
      <c r="AE318" s="107"/>
      <c r="AF318" s="107"/>
      <c r="AG318" s="107"/>
      <c r="AH318" s="107">
        <f t="shared" si="60"/>
        <v>0</v>
      </c>
    </row>
    <row r="319" spans="1:34" ht="15">
      <c r="A319" s="375" t="s">
        <v>149</v>
      </c>
      <c r="B319" s="53">
        <f t="shared" si="59"/>
        <v>0</v>
      </c>
      <c r="C319" s="103"/>
      <c r="D319" s="53"/>
      <c r="E319" s="53"/>
      <c r="F319" s="53"/>
      <c r="G319" s="53"/>
      <c r="H319" s="53"/>
      <c r="I319" s="53"/>
      <c r="J319" s="107"/>
      <c r="K319" s="107"/>
      <c r="L319" s="107"/>
      <c r="M319" s="107"/>
      <c r="N319" s="107"/>
      <c r="O319" s="107"/>
      <c r="P319" s="107"/>
      <c r="Q319" s="107"/>
      <c r="R319" s="107"/>
      <c r="S319" s="107"/>
      <c r="T319" s="107"/>
      <c r="U319" s="107"/>
      <c r="V319" s="107"/>
      <c r="W319" s="107"/>
      <c r="X319" s="107"/>
      <c r="Y319" s="107"/>
      <c r="Z319" s="107"/>
      <c r="AA319" s="107"/>
      <c r="AB319" s="107"/>
      <c r="AC319" s="107"/>
      <c r="AD319" s="107"/>
      <c r="AE319" s="107"/>
      <c r="AF319" s="107"/>
      <c r="AG319" s="107"/>
      <c r="AH319" s="107">
        <f t="shared" si="60"/>
        <v>0</v>
      </c>
    </row>
    <row r="320" spans="1:34" ht="15">
      <c r="A320" s="375" t="s">
        <v>150</v>
      </c>
      <c r="B320" s="53">
        <f t="shared" si="59"/>
        <v>0</v>
      </c>
      <c r="C320" s="100"/>
      <c r="D320" s="107"/>
      <c r="E320" s="107"/>
      <c r="F320" s="107"/>
      <c r="G320" s="107"/>
      <c r="H320" s="188" t="s">
        <v>162</v>
      </c>
      <c r="I320" s="188" t="s">
        <v>162</v>
      </c>
      <c r="J320" s="188" t="s">
        <v>162</v>
      </c>
      <c r="K320" s="188" t="s">
        <v>162</v>
      </c>
      <c r="L320" s="188" t="s">
        <v>162</v>
      </c>
      <c r="M320" s="188" t="s">
        <v>162</v>
      </c>
      <c r="N320" s="188" t="s">
        <v>162</v>
      </c>
      <c r="O320" s="188" t="s">
        <v>162</v>
      </c>
      <c r="P320" s="188" t="s">
        <v>162</v>
      </c>
      <c r="Q320" s="188" t="s">
        <v>162</v>
      </c>
      <c r="R320" s="188" t="s">
        <v>162</v>
      </c>
      <c r="S320" s="188" t="s">
        <v>162</v>
      </c>
      <c r="T320" s="188" t="s">
        <v>162</v>
      </c>
      <c r="U320" s="188" t="s">
        <v>162</v>
      </c>
      <c r="V320" s="188" t="s">
        <v>162</v>
      </c>
      <c r="W320" s="188" t="s">
        <v>162</v>
      </c>
      <c r="X320" s="188" t="s">
        <v>162</v>
      </c>
      <c r="Y320" s="107"/>
      <c r="Z320" s="107"/>
      <c r="AA320" s="107"/>
      <c r="AB320" s="107"/>
      <c r="AC320" s="107"/>
      <c r="AD320" s="107"/>
      <c r="AE320" s="107"/>
      <c r="AF320" s="107"/>
      <c r="AG320" s="107"/>
      <c r="AH320" s="107">
        <f t="shared" si="60"/>
        <v>0</v>
      </c>
    </row>
    <row r="321" spans="1:34" ht="15">
      <c r="A321" s="375" t="s">
        <v>151</v>
      </c>
      <c r="B321" s="53">
        <f t="shared" si="59"/>
        <v>0</v>
      </c>
      <c r="C321" s="103"/>
      <c r="D321" s="107"/>
      <c r="E321" s="107"/>
      <c r="F321" s="107"/>
      <c r="G321" s="53"/>
      <c r="H321" s="53"/>
      <c r="I321" s="53"/>
      <c r="J321" s="111"/>
      <c r="K321" s="111"/>
      <c r="L321" s="107"/>
      <c r="M321" s="107"/>
      <c r="N321" s="107"/>
      <c r="O321" s="107"/>
      <c r="P321" s="107"/>
      <c r="Q321" s="107"/>
      <c r="R321" s="107"/>
      <c r="S321" s="107"/>
      <c r="T321" s="107"/>
      <c r="U321" s="107"/>
      <c r="V321" s="107"/>
      <c r="W321" s="107"/>
      <c r="X321" s="107"/>
      <c r="Y321" s="107"/>
      <c r="Z321" s="107"/>
      <c r="AA321" s="107"/>
      <c r="AB321" s="107"/>
      <c r="AC321" s="107"/>
      <c r="AD321" s="107"/>
      <c r="AE321" s="107"/>
      <c r="AF321" s="107"/>
      <c r="AG321" s="107"/>
      <c r="AH321" s="107">
        <f t="shared" si="60"/>
        <v>0</v>
      </c>
    </row>
    <row r="322" spans="1:34" ht="15">
      <c r="A322" s="375" t="s">
        <v>152</v>
      </c>
      <c r="B322" s="53">
        <f t="shared" si="59"/>
        <v>0</v>
      </c>
      <c r="C322" s="103"/>
      <c r="D322" s="53"/>
      <c r="E322" s="53"/>
      <c r="F322" s="53"/>
      <c r="G322" s="53"/>
      <c r="H322" s="53"/>
      <c r="I322" s="53"/>
      <c r="J322" s="1898" t="s">
        <v>318</v>
      </c>
      <c r="K322" s="1898" t="s">
        <v>318</v>
      </c>
      <c r="L322" s="1898" t="s">
        <v>318</v>
      </c>
      <c r="M322" s="188" t="s">
        <v>318</v>
      </c>
      <c r="N322" s="188" t="s">
        <v>318</v>
      </c>
      <c r="O322" s="188" t="s">
        <v>318</v>
      </c>
      <c r="P322" s="188" t="s">
        <v>318</v>
      </c>
      <c r="Q322" s="188" t="s">
        <v>318</v>
      </c>
      <c r="R322" s="188" t="s">
        <v>318</v>
      </c>
      <c r="S322" s="188" t="s">
        <v>318</v>
      </c>
      <c r="T322" s="188" t="s">
        <v>318</v>
      </c>
      <c r="U322" s="188" t="s">
        <v>318</v>
      </c>
      <c r="V322" s="188" t="s">
        <v>318</v>
      </c>
      <c r="W322" s="188" t="s">
        <v>318</v>
      </c>
      <c r="X322" s="188" t="s">
        <v>318</v>
      </c>
      <c r="Y322" s="188" t="s">
        <v>318</v>
      </c>
      <c r="Z322" s="188" t="s">
        <v>318</v>
      </c>
      <c r="AA322" s="188" t="s">
        <v>318</v>
      </c>
      <c r="AB322" s="188" t="s">
        <v>318</v>
      </c>
      <c r="AC322" s="188" t="s">
        <v>318</v>
      </c>
      <c r="AD322" s="188" t="s">
        <v>318</v>
      </c>
      <c r="AE322" s="188" t="s">
        <v>318</v>
      </c>
      <c r="AF322" s="188" t="s">
        <v>318</v>
      </c>
      <c r="AG322" s="188" t="s">
        <v>318</v>
      </c>
      <c r="AH322" s="107">
        <f t="shared" si="60"/>
        <v>0</v>
      </c>
    </row>
    <row r="323" spans="1:34" ht="15">
      <c r="A323" s="363" t="s">
        <v>153</v>
      </c>
      <c r="B323" s="53">
        <f t="shared" si="59"/>
        <v>0</v>
      </c>
      <c r="C323" s="188" t="s">
        <v>318</v>
      </c>
      <c r="D323" s="188" t="s">
        <v>318</v>
      </c>
      <c r="E323" s="188" t="s">
        <v>318</v>
      </c>
      <c r="F323" s="188" t="s">
        <v>318</v>
      </c>
      <c r="G323" s="188" t="s">
        <v>318</v>
      </c>
      <c r="H323" s="188" t="s">
        <v>318</v>
      </c>
      <c r="I323" s="188" t="s">
        <v>318</v>
      </c>
      <c r="J323" s="1898" t="s">
        <v>318</v>
      </c>
      <c r="K323" s="1898" t="s">
        <v>318</v>
      </c>
      <c r="L323" s="1898" t="s">
        <v>318</v>
      </c>
      <c r="M323" s="188" t="s">
        <v>318</v>
      </c>
      <c r="N323" s="188" t="s">
        <v>318</v>
      </c>
      <c r="O323" s="188" t="s">
        <v>318</v>
      </c>
      <c r="P323" s="188" t="s">
        <v>318</v>
      </c>
      <c r="Q323" s="188" t="s">
        <v>318</v>
      </c>
      <c r="R323" s="188" t="s">
        <v>318</v>
      </c>
      <c r="S323" s="188" t="s">
        <v>318</v>
      </c>
      <c r="T323" s="188" t="s">
        <v>318</v>
      </c>
      <c r="U323" s="188" t="s">
        <v>318</v>
      </c>
      <c r="V323" s="188" t="s">
        <v>318</v>
      </c>
      <c r="W323" s="188" t="s">
        <v>318</v>
      </c>
      <c r="X323" s="188" t="s">
        <v>318</v>
      </c>
      <c r="Y323" s="188" t="s">
        <v>318</v>
      </c>
      <c r="Z323" s="188" t="s">
        <v>318</v>
      </c>
      <c r="AA323" s="188" t="s">
        <v>318</v>
      </c>
      <c r="AB323" s="188" t="s">
        <v>318</v>
      </c>
      <c r="AC323" s="188" t="s">
        <v>318</v>
      </c>
      <c r="AD323" s="188" t="s">
        <v>318</v>
      </c>
      <c r="AE323" s="188" t="s">
        <v>318</v>
      </c>
      <c r="AF323" s="188" t="s">
        <v>318</v>
      </c>
      <c r="AG323" s="188" t="s">
        <v>318</v>
      </c>
      <c r="AH323" s="107">
        <f t="shared" si="60"/>
        <v>0</v>
      </c>
    </row>
    <row r="324" spans="1:34" ht="15">
      <c r="A324" s="363" t="s">
        <v>154</v>
      </c>
      <c r="B324" s="53">
        <f t="shared" si="59"/>
        <v>0</v>
      </c>
      <c r="C324" s="188" t="s">
        <v>318</v>
      </c>
      <c r="D324" s="188" t="s">
        <v>318</v>
      </c>
      <c r="E324" s="188" t="s">
        <v>318</v>
      </c>
      <c r="F324" s="188" t="s">
        <v>318</v>
      </c>
      <c r="G324" s="188" t="s">
        <v>318</v>
      </c>
      <c r="H324" s="188" t="s">
        <v>318</v>
      </c>
      <c r="I324" s="188" t="s">
        <v>318</v>
      </c>
      <c r="J324" s="1898" t="s">
        <v>318</v>
      </c>
      <c r="K324" s="1898" t="s">
        <v>318</v>
      </c>
      <c r="L324" s="1898" t="s">
        <v>318</v>
      </c>
      <c r="M324" s="188" t="s">
        <v>318</v>
      </c>
      <c r="N324" s="188" t="s">
        <v>318</v>
      </c>
      <c r="O324" s="188" t="s">
        <v>318</v>
      </c>
      <c r="P324" s="188" t="s">
        <v>318</v>
      </c>
      <c r="Q324" s="188" t="s">
        <v>318</v>
      </c>
      <c r="R324" s="188" t="s">
        <v>318</v>
      </c>
      <c r="S324" s="188" t="s">
        <v>318</v>
      </c>
      <c r="T324" s="188" t="s">
        <v>318</v>
      </c>
      <c r="U324" s="188" t="s">
        <v>318</v>
      </c>
      <c r="V324" s="188" t="s">
        <v>318</v>
      </c>
      <c r="W324" s="188" t="s">
        <v>318</v>
      </c>
      <c r="X324" s="53"/>
      <c r="Y324" s="53"/>
      <c r="Z324" s="53"/>
      <c r="AA324" s="53"/>
      <c r="AB324" s="53"/>
      <c r="AC324" s="53"/>
      <c r="AD324" s="53"/>
      <c r="AE324" s="107"/>
      <c r="AF324" s="53"/>
      <c r="AG324" s="107"/>
      <c r="AH324" s="107">
        <f t="shared" si="60"/>
        <v>0</v>
      </c>
    </row>
    <row r="325" spans="1:34" ht="15">
      <c r="A325" s="363" t="s">
        <v>155</v>
      </c>
      <c r="B325" s="53">
        <f t="shared" si="59"/>
        <v>0</v>
      </c>
      <c r="C325" s="103"/>
      <c r="D325" s="53"/>
      <c r="E325" s="53"/>
      <c r="F325" s="53"/>
      <c r="G325" s="53"/>
      <c r="H325" s="53"/>
      <c r="I325" s="53"/>
      <c r="J325" s="53"/>
      <c r="K325" s="53"/>
      <c r="L325" s="53"/>
      <c r="M325" s="53"/>
      <c r="N325" s="53"/>
      <c r="O325" s="53"/>
      <c r="P325" s="53"/>
      <c r="Q325" s="53"/>
      <c r="R325" s="53"/>
      <c r="S325" s="53"/>
      <c r="T325" s="53"/>
      <c r="U325" s="53"/>
      <c r="V325" s="53"/>
      <c r="W325" s="53"/>
      <c r="X325" s="53"/>
      <c r="Y325" s="53"/>
      <c r="Z325" s="53"/>
      <c r="AA325" s="53"/>
      <c r="AB325" s="53"/>
      <c r="AC325" s="53"/>
      <c r="AD325" s="53"/>
      <c r="AE325" s="107"/>
      <c r="AF325" s="53"/>
      <c r="AG325" s="107"/>
      <c r="AH325" s="107">
        <f t="shared" si="60"/>
        <v>0</v>
      </c>
    </row>
    <row r="326" spans="1:34" ht="15">
      <c r="A326" s="363" t="s">
        <v>156</v>
      </c>
      <c r="B326" s="53">
        <f t="shared" si="59"/>
        <v>0</v>
      </c>
      <c r="C326" s="103"/>
      <c r="D326" s="53"/>
      <c r="E326" s="53"/>
      <c r="F326" s="53"/>
      <c r="G326" s="53"/>
      <c r="H326" s="53"/>
      <c r="I326" s="53"/>
      <c r="J326" s="53"/>
      <c r="K326" s="53"/>
      <c r="L326" s="53"/>
      <c r="M326" s="53"/>
      <c r="N326" s="53"/>
      <c r="O326" s="53"/>
      <c r="P326" s="3027">
        <v>0</v>
      </c>
      <c r="Q326" s="3027">
        <v>0</v>
      </c>
      <c r="R326" s="3027">
        <v>0</v>
      </c>
      <c r="S326" s="3027">
        <v>0</v>
      </c>
      <c r="T326" s="3027">
        <v>0</v>
      </c>
      <c r="U326" s="3027">
        <v>0</v>
      </c>
      <c r="V326" s="3027">
        <v>0</v>
      </c>
      <c r="W326" s="3027">
        <v>0</v>
      </c>
      <c r="X326" s="3027">
        <v>0</v>
      </c>
      <c r="Y326" s="3027">
        <v>0</v>
      </c>
      <c r="Z326" s="3027">
        <v>0</v>
      </c>
      <c r="AA326" s="3027">
        <v>0</v>
      </c>
      <c r="AB326" s="3027">
        <v>0</v>
      </c>
      <c r="AC326" s="3027">
        <v>0</v>
      </c>
      <c r="AD326" s="3027">
        <v>0</v>
      </c>
      <c r="AE326" s="3027">
        <v>0</v>
      </c>
      <c r="AF326" s="3027">
        <v>0</v>
      </c>
      <c r="AG326" s="3027">
        <v>0</v>
      </c>
      <c r="AH326" s="107">
        <f t="shared" si="60"/>
        <v>0</v>
      </c>
    </row>
    <row r="327" spans="1:34" ht="15">
      <c r="A327" s="199" t="s">
        <v>144</v>
      </c>
      <c r="B327" s="232">
        <f>SUM(B315:B326)</f>
        <v>0</v>
      </c>
      <c r="C327" s="100">
        <f>SUM(C315:C325)</f>
        <v>0</v>
      </c>
      <c r="D327" s="107">
        <f>SUM(D315:D325)</f>
        <v>0</v>
      </c>
      <c r="E327" s="107">
        <v>0</v>
      </c>
      <c r="F327" s="107">
        <f t="shared" ref="F327:AC327" si="61">SUM(F315:F325)</f>
        <v>0</v>
      </c>
      <c r="G327" s="107">
        <f t="shared" si="61"/>
        <v>0</v>
      </c>
      <c r="H327" s="107">
        <f t="shared" si="61"/>
        <v>0</v>
      </c>
      <c r="I327" s="107">
        <f t="shared" si="61"/>
        <v>0</v>
      </c>
      <c r="J327" s="107">
        <f t="shared" si="61"/>
        <v>0</v>
      </c>
      <c r="K327" s="107">
        <f t="shared" si="61"/>
        <v>0</v>
      </c>
      <c r="L327" s="107">
        <f t="shared" si="61"/>
        <v>0</v>
      </c>
      <c r="M327" s="107">
        <f t="shared" si="61"/>
        <v>0</v>
      </c>
      <c r="N327" s="107">
        <f t="shared" si="61"/>
        <v>0</v>
      </c>
      <c r="O327" s="107">
        <f t="shared" si="61"/>
        <v>0</v>
      </c>
      <c r="P327" s="107">
        <f t="shared" si="61"/>
        <v>0</v>
      </c>
      <c r="Q327" s="107">
        <f t="shared" si="61"/>
        <v>0</v>
      </c>
      <c r="R327" s="107">
        <f t="shared" si="61"/>
        <v>0</v>
      </c>
      <c r="S327" s="107">
        <f t="shared" si="61"/>
        <v>0</v>
      </c>
      <c r="T327" s="107">
        <f t="shared" si="61"/>
        <v>0</v>
      </c>
      <c r="U327" s="107">
        <f t="shared" si="61"/>
        <v>0</v>
      </c>
      <c r="V327" s="107">
        <f t="shared" si="61"/>
        <v>0</v>
      </c>
      <c r="W327" s="107">
        <f t="shared" si="61"/>
        <v>0</v>
      </c>
      <c r="X327" s="107">
        <f t="shared" si="61"/>
        <v>0</v>
      </c>
      <c r="Y327" s="107">
        <f t="shared" si="61"/>
        <v>0</v>
      </c>
      <c r="Z327" s="107">
        <f t="shared" si="61"/>
        <v>0</v>
      </c>
      <c r="AA327" s="107">
        <f t="shared" si="61"/>
        <v>0</v>
      </c>
      <c r="AB327" s="107">
        <f t="shared" si="61"/>
        <v>0</v>
      </c>
      <c r="AC327" s="107">
        <f t="shared" si="61"/>
        <v>0</v>
      </c>
      <c r="AD327" s="107">
        <v>0</v>
      </c>
      <c r="AE327" s="107">
        <f>SUM(AE315:AE325)</f>
        <v>0</v>
      </c>
      <c r="AF327" s="107">
        <f>SUM(AF315:AF325)</f>
        <v>0</v>
      </c>
      <c r="AG327" s="107">
        <f>SUM(AG315:AG325)</f>
        <v>0</v>
      </c>
      <c r="AH327" s="100">
        <f>SUM(AH315:AH325)</f>
        <v>0</v>
      </c>
    </row>
    <row r="328" spans="1:34" ht="14.25" customHeight="1">
      <c r="A328" s="49"/>
      <c r="B328" s="49"/>
      <c r="C328" s="1"/>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c r="AG328" s="14"/>
      <c r="AH328" s="1"/>
    </row>
    <row r="329" spans="1:34" ht="15">
      <c r="A329" s="3854" t="s">
        <v>119</v>
      </c>
      <c r="B329" s="3855"/>
      <c r="C329" s="3855"/>
      <c r="D329" s="3855"/>
      <c r="E329" s="3855"/>
      <c r="F329" s="3855"/>
      <c r="G329" s="3855"/>
      <c r="H329" s="3856"/>
      <c r="I329" s="3313"/>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c r="AG329" s="14"/>
      <c r="AH329" s="14"/>
    </row>
    <row r="330" spans="1:34" ht="15">
      <c r="A330" s="8" t="s">
        <v>142</v>
      </c>
      <c r="B330" s="8" t="s">
        <v>143</v>
      </c>
      <c r="C330" s="2907">
        <v>1</v>
      </c>
      <c r="D330" s="73">
        <v>2</v>
      </c>
      <c r="E330" s="73">
        <v>3</v>
      </c>
      <c r="F330" s="73">
        <v>4</v>
      </c>
      <c r="G330" s="73">
        <v>5</v>
      </c>
      <c r="H330" s="73">
        <v>6</v>
      </c>
      <c r="I330" s="73">
        <v>7</v>
      </c>
      <c r="J330" s="73">
        <v>8</v>
      </c>
      <c r="K330" s="73">
        <v>9</v>
      </c>
      <c r="L330" s="73">
        <v>10</v>
      </c>
      <c r="M330" s="73">
        <v>11</v>
      </c>
      <c r="N330" s="73">
        <v>12</v>
      </c>
      <c r="O330" s="73">
        <v>13</v>
      </c>
      <c r="P330" s="73">
        <v>14</v>
      </c>
      <c r="Q330" s="73">
        <v>15</v>
      </c>
      <c r="R330" s="73">
        <v>16</v>
      </c>
      <c r="S330" s="73">
        <v>17</v>
      </c>
      <c r="T330" s="73">
        <v>18</v>
      </c>
      <c r="U330" s="73">
        <v>19</v>
      </c>
      <c r="V330" s="73">
        <v>20</v>
      </c>
      <c r="W330" s="73">
        <v>21</v>
      </c>
      <c r="X330" s="73">
        <v>22</v>
      </c>
      <c r="Y330" s="73">
        <v>23</v>
      </c>
      <c r="Z330" s="73">
        <v>24</v>
      </c>
      <c r="AA330" s="73">
        <v>25</v>
      </c>
      <c r="AB330" s="73">
        <v>26</v>
      </c>
      <c r="AC330" s="73">
        <v>27</v>
      </c>
      <c r="AD330" s="73">
        <v>28</v>
      </c>
      <c r="AE330" s="73">
        <v>29</v>
      </c>
      <c r="AF330" s="73">
        <v>30</v>
      </c>
      <c r="AG330" s="73">
        <v>31</v>
      </c>
      <c r="AH330" s="88" t="s">
        <v>144</v>
      </c>
    </row>
    <row r="331" spans="1:34" ht="15">
      <c r="A331" s="414" t="s">
        <v>145</v>
      </c>
      <c r="B331" s="53">
        <f t="shared" ref="B331:B342" si="62">+AH331</f>
        <v>0</v>
      </c>
      <c r="C331" s="188" t="s">
        <v>311</v>
      </c>
      <c r="D331" s="188" t="s">
        <v>311</v>
      </c>
      <c r="E331" s="188" t="s">
        <v>311</v>
      </c>
      <c r="F331" s="188" t="s">
        <v>311</v>
      </c>
      <c r="G331" s="188" t="s">
        <v>311</v>
      </c>
      <c r="H331" s="188" t="s">
        <v>311</v>
      </c>
      <c r="I331" s="188" t="s">
        <v>311</v>
      </c>
      <c r="J331" s="306"/>
      <c r="K331" s="306"/>
      <c r="L331" s="306"/>
      <c r="M331" s="306"/>
      <c r="N331" s="306"/>
      <c r="O331" s="306"/>
      <c r="P331" s="306"/>
      <c r="Q331" s="306"/>
      <c r="R331" s="306"/>
      <c r="S331" s="306"/>
      <c r="T331" s="306"/>
      <c r="U331" s="306"/>
      <c r="V331" s="306"/>
      <c r="W331" s="306"/>
      <c r="X331" s="306"/>
      <c r="Y331" s="306"/>
      <c r="Z331" s="306"/>
      <c r="AA331" s="306"/>
      <c r="AB331" s="306"/>
      <c r="AC331" s="306"/>
      <c r="AD331" s="306"/>
      <c r="AE331" s="306"/>
      <c r="AF331" s="306"/>
      <c r="AG331" s="306"/>
      <c r="AH331" s="107">
        <f>SUM(C331:AG331)</f>
        <v>0</v>
      </c>
    </row>
    <row r="332" spans="1:34" ht="15">
      <c r="A332" s="414" t="s">
        <v>146</v>
      </c>
      <c r="B332" s="53">
        <f t="shared" si="62"/>
        <v>0</v>
      </c>
      <c r="C332" s="306"/>
      <c r="D332" s="306"/>
      <c r="E332" s="306"/>
      <c r="F332" s="306"/>
      <c r="G332" s="306"/>
      <c r="H332" s="306"/>
      <c r="I332" s="306"/>
      <c r="J332" s="306"/>
      <c r="K332" s="306"/>
      <c r="L332" s="306"/>
      <c r="M332" s="306"/>
      <c r="N332" s="306"/>
      <c r="O332" s="306"/>
      <c r="P332" s="306"/>
      <c r="Q332" s="306"/>
      <c r="R332" s="306"/>
      <c r="S332" s="306"/>
      <c r="T332" s="306"/>
      <c r="U332" s="306"/>
      <c r="V332" s="306"/>
      <c r="W332" s="306"/>
      <c r="X332" s="306"/>
      <c r="Y332" s="306"/>
      <c r="Z332" s="306"/>
      <c r="AA332" s="306"/>
      <c r="AB332" s="306"/>
      <c r="AC332" s="306"/>
      <c r="AD332" s="306"/>
      <c r="AE332" s="306"/>
      <c r="AF332" s="306"/>
      <c r="AG332" s="306"/>
      <c r="AH332" s="107">
        <f t="shared" ref="AH332:AH342" si="63">SUM(C332:AG332)</f>
        <v>0</v>
      </c>
    </row>
    <row r="333" spans="1:34" ht="15">
      <c r="A333" s="414" t="s">
        <v>147</v>
      </c>
      <c r="B333" s="53">
        <f t="shared" si="62"/>
        <v>0</v>
      </c>
      <c r="C333" s="306"/>
      <c r="D333" s="306"/>
      <c r="E333" s="306"/>
      <c r="F333" s="306"/>
      <c r="G333" s="306"/>
      <c r="H333" s="315"/>
      <c r="I333" s="315"/>
      <c r="J333" s="107"/>
      <c r="K333" s="107"/>
      <c r="L333" s="107"/>
      <c r="M333" s="107"/>
      <c r="N333" s="107"/>
      <c r="O333" s="107"/>
      <c r="P333" s="107"/>
      <c r="Q333" s="107"/>
      <c r="R333" s="107"/>
      <c r="S333" s="107"/>
      <c r="T333" s="107"/>
      <c r="U333" s="107"/>
      <c r="V333" s="107"/>
      <c r="W333" s="107"/>
      <c r="X333" s="107"/>
      <c r="Y333" s="107"/>
      <c r="Z333" s="107"/>
      <c r="AA333" s="107"/>
      <c r="AB333" s="107"/>
      <c r="AC333" s="188"/>
      <c r="AD333" s="188"/>
      <c r="AE333" s="188"/>
      <c r="AF333" s="188"/>
      <c r="AG333" s="188"/>
      <c r="AH333" s="107">
        <f t="shared" si="63"/>
        <v>0</v>
      </c>
    </row>
    <row r="334" spans="1:34" ht="15">
      <c r="A334" s="414" t="s">
        <v>148</v>
      </c>
      <c r="B334" s="53">
        <f t="shared" si="62"/>
        <v>0</v>
      </c>
      <c r="C334" s="188" t="s">
        <v>311</v>
      </c>
      <c r="D334" s="188" t="s">
        <v>311</v>
      </c>
      <c r="E334" s="188" t="s">
        <v>311</v>
      </c>
      <c r="F334" s="188" t="s">
        <v>311</v>
      </c>
      <c r="G334" s="188" t="s">
        <v>311</v>
      </c>
      <c r="H334" s="188" t="s">
        <v>311</v>
      </c>
      <c r="I334" s="188" t="s">
        <v>311</v>
      </c>
      <c r="J334" s="188" t="s">
        <v>311</v>
      </c>
      <c r="K334" s="188" t="s">
        <v>311</v>
      </c>
      <c r="L334" s="107"/>
      <c r="M334" s="107"/>
      <c r="N334" s="107"/>
      <c r="O334" s="107"/>
      <c r="P334" s="107"/>
      <c r="Q334" s="107"/>
      <c r="R334" s="107"/>
      <c r="S334" s="107"/>
      <c r="T334" s="107"/>
      <c r="U334" s="107"/>
      <c r="V334" s="107"/>
      <c r="W334" s="107"/>
      <c r="X334" s="107"/>
      <c r="Y334" s="107"/>
      <c r="Z334" s="107"/>
      <c r="AA334" s="107"/>
      <c r="AB334" s="107"/>
      <c r="AC334" s="107"/>
      <c r="AD334" s="107"/>
      <c r="AE334" s="107"/>
      <c r="AF334" s="107"/>
      <c r="AG334" s="107"/>
      <c r="AH334" s="107">
        <f t="shared" si="63"/>
        <v>0</v>
      </c>
    </row>
    <row r="335" spans="1:34" ht="15">
      <c r="A335" s="375" t="s">
        <v>149</v>
      </c>
      <c r="B335" s="53">
        <f t="shared" si="62"/>
        <v>0</v>
      </c>
      <c r="C335" s="103"/>
      <c r="D335" s="53"/>
      <c r="E335" s="53"/>
      <c r="F335" s="53"/>
      <c r="G335" s="53"/>
      <c r="H335" s="53"/>
      <c r="I335" s="53"/>
      <c r="J335" s="107"/>
      <c r="K335" s="107"/>
      <c r="L335" s="107"/>
      <c r="M335" s="107"/>
      <c r="N335" s="107"/>
      <c r="O335" s="107"/>
      <c r="P335" s="107"/>
      <c r="Q335" s="107"/>
      <c r="R335" s="107"/>
      <c r="S335" s="107"/>
      <c r="T335" s="107"/>
      <c r="U335" s="107"/>
      <c r="V335" s="107"/>
      <c r="W335" s="107"/>
      <c r="X335" s="107"/>
      <c r="Y335" s="107"/>
      <c r="Z335" s="107"/>
      <c r="AA335" s="107"/>
      <c r="AB335" s="107"/>
      <c r="AC335" s="107"/>
      <c r="AD335" s="107"/>
      <c r="AE335" s="107"/>
      <c r="AF335" s="107"/>
      <c r="AG335" s="107"/>
      <c r="AH335" s="107">
        <f t="shared" si="63"/>
        <v>0</v>
      </c>
    </row>
    <row r="336" spans="1:34" ht="15">
      <c r="A336" s="375" t="s">
        <v>150</v>
      </c>
      <c r="B336" s="53">
        <f t="shared" si="62"/>
        <v>0</v>
      </c>
      <c r="C336" s="100"/>
      <c r="D336" s="107"/>
      <c r="E336" s="107"/>
      <c r="F336" s="107"/>
      <c r="G336" s="107"/>
      <c r="H336" s="188" t="s">
        <v>162</v>
      </c>
      <c r="I336" s="188" t="s">
        <v>162</v>
      </c>
      <c r="J336" s="188" t="s">
        <v>162</v>
      </c>
      <c r="K336" s="188" t="s">
        <v>162</v>
      </c>
      <c r="L336" s="188" t="s">
        <v>162</v>
      </c>
      <c r="M336" s="188" t="s">
        <v>162</v>
      </c>
      <c r="N336" s="188" t="s">
        <v>162</v>
      </c>
      <c r="O336" s="188" t="s">
        <v>162</v>
      </c>
      <c r="P336" s="188" t="s">
        <v>162</v>
      </c>
      <c r="Q336" s="188" t="s">
        <v>162</v>
      </c>
      <c r="R336" s="188" t="s">
        <v>162</v>
      </c>
      <c r="S336" s="188" t="s">
        <v>162</v>
      </c>
      <c r="T336" s="188" t="s">
        <v>162</v>
      </c>
      <c r="U336" s="188" t="s">
        <v>162</v>
      </c>
      <c r="V336" s="188" t="s">
        <v>162</v>
      </c>
      <c r="W336" s="188" t="s">
        <v>162</v>
      </c>
      <c r="X336" s="188" t="s">
        <v>162</v>
      </c>
      <c r="Y336" s="107"/>
      <c r="Z336" s="107"/>
      <c r="AA336" s="107"/>
      <c r="AB336" s="107"/>
      <c r="AC336" s="107"/>
      <c r="AD336" s="107"/>
      <c r="AE336" s="107"/>
      <c r="AF336" s="107"/>
      <c r="AG336" s="107"/>
      <c r="AH336" s="107">
        <f t="shared" si="63"/>
        <v>0</v>
      </c>
    </row>
    <row r="337" spans="1:34" ht="15">
      <c r="A337" s="375" t="s">
        <v>151</v>
      </c>
      <c r="B337" s="53">
        <f t="shared" si="62"/>
        <v>0</v>
      </c>
      <c r="C337" s="103"/>
      <c r="D337" s="107"/>
      <c r="E337" s="107"/>
      <c r="F337" s="107"/>
      <c r="G337" s="53"/>
      <c r="H337" s="53"/>
      <c r="I337" s="53"/>
      <c r="J337" s="111"/>
      <c r="K337" s="111"/>
      <c r="L337" s="107"/>
      <c r="M337" s="107"/>
      <c r="N337" s="107"/>
      <c r="O337" s="107"/>
      <c r="P337" s="107"/>
      <c r="Q337" s="107"/>
      <c r="R337" s="107"/>
      <c r="S337" s="107"/>
      <c r="T337" s="107"/>
      <c r="U337" s="107"/>
      <c r="V337" s="107"/>
      <c r="W337" s="107"/>
      <c r="X337" s="107"/>
      <c r="Y337" s="107"/>
      <c r="Z337" s="107"/>
      <c r="AA337" s="107"/>
      <c r="AB337" s="107"/>
      <c r="AC337" s="107"/>
      <c r="AD337" s="107"/>
      <c r="AE337" s="107"/>
      <c r="AF337" s="107"/>
      <c r="AG337" s="107"/>
      <c r="AH337" s="107">
        <f t="shared" si="63"/>
        <v>0</v>
      </c>
    </row>
    <row r="338" spans="1:34" ht="15">
      <c r="A338" s="375" t="s">
        <v>152</v>
      </c>
      <c r="B338" s="53">
        <f t="shared" si="62"/>
        <v>0.16</v>
      </c>
      <c r="C338" s="103"/>
      <c r="D338" s="53"/>
      <c r="E338" s="53"/>
      <c r="F338" s="53"/>
      <c r="G338" s="53"/>
      <c r="H338" s="53"/>
      <c r="I338" s="53">
        <v>0.16</v>
      </c>
      <c r="J338" s="1898" t="s">
        <v>318</v>
      </c>
      <c r="K338" s="1898" t="s">
        <v>318</v>
      </c>
      <c r="L338" s="1898" t="s">
        <v>318</v>
      </c>
      <c r="M338" s="188" t="s">
        <v>318</v>
      </c>
      <c r="N338" s="188" t="s">
        <v>318</v>
      </c>
      <c r="O338" s="188" t="s">
        <v>318</v>
      </c>
      <c r="P338" s="188" t="s">
        <v>318</v>
      </c>
      <c r="Q338" s="188" t="s">
        <v>318</v>
      </c>
      <c r="R338" s="188" t="s">
        <v>318</v>
      </c>
      <c r="S338" s="188" t="s">
        <v>318</v>
      </c>
      <c r="T338" s="188" t="s">
        <v>318</v>
      </c>
      <c r="U338" s="188" t="s">
        <v>318</v>
      </c>
      <c r="V338" s="188" t="s">
        <v>318</v>
      </c>
      <c r="W338" s="188" t="s">
        <v>318</v>
      </c>
      <c r="X338" s="188" t="s">
        <v>318</v>
      </c>
      <c r="Y338" s="188" t="s">
        <v>318</v>
      </c>
      <c r="Z338" s="188" t="s">
        <v>318</v>
      </c>
      <c r="AA338" s="188" t="s">
        <v>318</v>
      </c>
      <c r="AB338" s="188" t="s">
        <v>318</v>
      </c>
      <c r="AC338" s="188" t="s">
        <v>318</v>
      </c>
      <c r="AD338" s="188" t="s">
        <v>318</v>
      </c>
      <c r="AE338" s="188" t="s">
        <v>318</v>
      </c>
      <c r="AF338" s="188" t="s">
        <v>318</v>
      </c>
      <c r="AG338" s="188" t="s">
        <v>318</v>
      </c>
      <c r="AH338" s="107">
        <f t="shared" si="63"/>
        <v>0.16</v>
      </c>
    </row>
    <row r="339" spans="1:34" ht="15">
      <c r="A339" s="363" t="s">
        <v>153</v>
      </c>
      <c r="B339" s="53">
        <f t="shared" si="62"/>
        <v>0</v>
      </c>
      <c r="C339" s="188" t="s">
        <v>318</v>
      </c>
      <c r="D339" s="188" t="s">
        <v>318</v>
      </c>
      <c r="E339" s="188" t="s">
        <v>318</v>
      </c>
      <c r="F339" s="188" t="s">
        <v>318</v>
      </c>
      <c r="G339" s="188" t="s">
        <v>318</v>
      </c>
      <c r="H339" s="188" t="s">
        <v>318</v>
      </c>
      <c r="I339" s="188" t="s">
        <v>318</v>
      </c>
      <c r="J339" s="1898" t="s">
        <v>318</v>
      </c>
      <c r="K339" s="1898" t="s">
        <v>318</v>
      </c>
      <c r="L339" s="1898" t="s">
        <v>318</v>
      </c>
      <c r="M339" s="188" t="s">
        <v>318</v>
      </c>
      <c r="N339" s="188" t="s">
        <v>318</v>
      </c>
      <c r="O339" s="188" t="s">
        <v>318</v>
      </c>
      <c r="P339" s="188" t="s">
        <v>318</v>
      </c>
      <c r="Q339" s="188" t="s">
        <v>318</v>
      </c>
      <c r="R339" s="188" t="s">
        <v>318</v>
      </c>
      <c r="S339" s="188" t="s">
        <v>318</v>
      </c>
      <c r="T339" s="188" t="s">
        <v>318</v>
      </c>
      <c r="U339" s="188" t="s">
        <v>318</v>
      </c>
      <c r="V339" s="188" t="s">
        <v>318</v>
      </c>
      <c r="W339" s="188" t="s">
        <v>318</v>
      </c>
      <c r="X339" s="188" t="s">
        <v>318</v>
      </c>
      <c r="Y339" s="188" t="s">
        <v>318</v>
      </c>
      <c r="Z339" s="188" t="s">
        <v>318</v>
      </c>
      <c r="AA339" s="188" t="s">
        <v>318</v>
      </c>
      <c r="AB339" s="188" t="s">
        <v>318</v>
      </c>
      <c r="AC339" s="188" t="s">
        <v>318</v>
      </c>
      <c r="AD339" s="188" t="s">
        <v>318</v>
      </c>
      <c r="AE339" s="188" t="s">
        <v>318</v>
      </c>
      <c r="AF339" s="188" t="s">
        <v>318</v>
      </c>
      <c r="AG339" s="188" t="s">
        <v>318</v>
      </c>
      <c r="AH339" s="107">
        <f t="shared" si="63"/>
        <v>0</v>
      </c>
    </row>
    <row r="340" spans="1:34" ht="15">
      <c r="A340" s="363" t="s">
        <v>154</v>
      </c>
      <c r="B340" s="53">
        <f t="shared" si="62"/>
        <v>0</v>
      </c>
      <c r="C340" s="188" t="s">
        <v>318</v>
      </c>
      <c r="D340" s="188" t="s">
        <v>318</v>
      </c>
      <c r="E340" s="188" t="s">
        <v>318</v>
      </c>
      <c r="F340" s="188" t="s">
        <v>318</v>
      </c>
      <c r="G340" s="188" t="s">
        <v>318</v>
      </c>
      <c r="H340" s="188" t="s">
        <v>318</v>
      </c>
      <c r="I340" s="188" t="s">
        <v>318</v>
      </c>
      <c r="J340" s="1898" t="s">
        <v>318</v>
      </c>
      <c r="K340" s="1898" t="s">
        <v>318</v>
      </c>
      <c r="L340" s="1898" t="s">
        <v>318</v>
      </c>
      <c r="M340" s="188" t="s">
        <v>318</v>
      </c>
      <c r="N340" s="188" t="s">
        <v>318</v>
      </c>
      <c r="O340" s="188" t="s">
        <v>318</v>
      </c>
      <c r="P340" s="188" t="s">
        <v>318</v>
      </c>
      <c r="Q340" s="188" t="s">
        <v>318</v>
      </c>
      <c r="R340" s="188" t="s">
        <v>318</v>
      </c>
      <c r="S340" s="188" t="s">
        <v>318</v>
      </c>
      <c r="T340" s="188" t="s">
        <v>318</v>
      </c>
      <c r="U340" s="188" t="s">
        <v>318</v>
      </c>
      <c r="V340" s="188" t="s">
        <v>318</v>
      </c>
      <c r="W340" s="188" t="s">
        <v>318</v>
      </c>
      <c r="X340" s="53"/>
      <c r="Y340" s="53"/>
      <c r="Z340" s="53"/>
      <c r="AA340" s="53"/>
      <c r="AB340" s="53"/>
      <c r="AC340" s="53"/>
      <c r="AD340" s="53"/>
      <c r="AE340" s="107"/>
      <c r="AF340" s="53"/>
      <c r="AG340" s="107"/>
      <c r="AH340" s="107">
        <f t="shared" si="63"/>
        <v>0</v>
      </c>
    </row>
    <row r="341" spans="1:34" ht="15">
      <c r="A341" s="363" t="s">
        <v>155</v>
      </c>
      <c r="B341" s="53">
        <f t="shared" si="62"/>
        <v>0</v>
      </c>
      <c r="C341" s="103"/>
      <c r="D341" s="53"/>
      <c r="E341" s="53"/>
      <c r="F341" s="53"/>
      <c r="G341" s="53"/>
      <c r="H341" s="53"/>
      <c r="I341" s="53"/>
      <c r="J341" s="53"/>
      <c r="K341" s="53"/>
      <c r="L341" s="53"/>
      <c r="M341" s="53"/>
      <c r="N341" s="53"/>
      <c r="O341" s="53"/>
      <c r="P341" s="53"/>
      <c r="Q341" s="53"/>
      <c r="R341" s="53"/>
      <c r="S341" s="53"/>
      <c r="T341" s="53"/>
      <c r="U341" s="53"/>
      <c r="V341" s="53"/>
      <c r="W341" s="53"/>
      <c r="X341" s="53"/>
      <c r="Y341" s="53"/>
      <c r="Z341" s="53"/>
      <c r="AA341" s="53"/>
      <c r="AB341" s="53"/>
      <c r="AC341" s="53"/>
      <c r="AD341" s="53"/>
      <c r="AE341" s="107"/>
      <c r="AF341" s="53"/>
      <c r="AG341" s="107"/>
      <c r="AH341" s="107">
        <f t="shared" si="63"/>
        <v>0</v>
      </c>
    </row>
    <row r="342" spans="1:34" ht="15">
      <c r="A342" s="363" t="s">
        <v>156</v>
      </c>
      <c r="B342" s="53">
        <f t="shared" si="62"/>
        <v>0</v>
      </c>
      <c r="C342" s="103"/>
      <c r="D342" s="53"/>
      <c r="E342" s="53"/>
      <c r="F342" s="53"/>
      <c r="G342" s="53"/>
      <c r="H342" s="53"/>
      <c r="I342" s="53"/>
      <c r="J342" s="53"/>
      <c r="K342" s="53"/>
      <c r="L342" s="53"/>
      <c r="M342" s="53"/>
      <c r="N342" s="53"/>
      <c r="O342" s="53"/>
      <c r="P342" s="3027">
        <v>0</v>
      </c>
      <c r="Q342" s="3027">
        <v>0</v>
      </c>
      <c r="R342" s="3027">
        <v>0</v>
      </c>
      <c r="S342" s="3027">
        <v>0</v>
      </c>
      <c r="T342" s="3027">
        <v>0</v>
      </c>
      <c r="U342" s="3027">
        <v>0</v>
      </c>
      <c r="V342" s="3027">
        <v>0</v>
      </c>
      <c r="W342" s="3027">
        <v>0</v>
      </c>
      <c r="X342" s="3027">
        <v>0</v>
      </c>
      <c r="Y342" s="3027">
        <v>0</v>
      </c>
      <c r="Z342" s="3027">
        <v>0</v>
      </c>
      <c r="AA342" s="3027">
        <v>0</v>
      </c>
      <c r="AB342" s="3027">
        <v>0</v>
      </c>
      <c r="AC342" s="3027">
        <v>0</v>
      </c>
      <c r="AD342" s="3027">
        <v>0</v>
      </c>
      <c r="AE342" s="3027">
        <v>0</v>
      </c>
      <c r="AF342" s="3027">
        <v>0</v>
      </c>
      <c r="AG342" s="3027">
        <v>0</v>
      </c>
      <c r="AH342" s="107">
        <f t="shared" si="63"/>
        <v>0</v>
      </c>
    </row>
    <row r="343" spans="1:34" ht="15">
      <c r="A343" s="199" t="s">
        <v>144</v>
      </c>
      <c r="B343" s="232">
        <f>SUM(B331:B342)</f>
        <v>0.16</v>
      </c>
      <c r="C343" s="100">
        <f>SUM(C331:C341)</f>
        <v>0</v>
      </c>
      <c r="D343" s="107">
        <f>SUM(D331:D341)</f>
        <v>0</v>
      </c>
      <c r="E343" s="107">
        <v>0</v>
      </c>
      <c r="F343" s="107">
        <f t="shared" ref="F343:AC343" si="64">SUM(F331:F341)</f>
        <v>0</v>
      </c>
      <c r="G343" s="107">
        <f t="shared" si="64"/>
        <v>0</v>
      </c>
      <c r="H343" s="107">
        <f t="shared" si="64"/>
        <v>0</v>
      </c>
      <c r="I343" s="107">
        <f t="shared" si="64"/>
        <v>0.16</v>
      </c>
      <c r="J343" s="107">
        <f t="shared" si="64"/>
        <v>0</v>
      </c>
      <c r="K343" s="107">
        <f t="shared" si="64"/>
        <v>0</v>
      </c>
      <c r="L343" s="107">
        <f t="shared" si="64"/>
        <v>0</v>
      </c>
      <c r="M343" s="107">
        <f t="shared" si="64"/>
        <v>0</v>
      </c>
      <c r="N343" s="107">
        <f t="shared" si="64"/>
        <v>0</v>
      </c>
      <c r="O343" s="107">
        <f t="shared" si="64"/>
        <v>0</v>
      </c>
      <c r="P343" s="107">
        <f t="shared" si="64"/>
        <v>0</v>
      </c>
      <c r="Q343" s="107">
        <f t="shared" si="64"/>
        <v>0</v>
      </c>
      <c r="R343" s="107">
        <f t="shared" si="64"/>
        <v>0</v>
      </c>
      <c r="S343" s="107">
        <f t="shared" si="64"/>
        <v>0</v>
      </c>
      <c r="T343" s="107">
        <f t="shared" si="64"/>
        <v>0</v>
      </c>
      <c r="U343" s="107">
        <f t="shared" si="64"/>
        <v>0</v>
      </c>
      <c r="V343" s="107">
        <f t="shared" si="64"/>
        <v>0</v>
      </c>
      <c r="W343" s="107">
        <f t="shared" si="64"/>
        <v>0</v>
      </c>
      <c r="X343" s="107">
        <f t="shared" si="64"/>
        <v>0</v>
      </c>
      <c r="Y343" s="107">
        <f t="shared" si="64"/>
        <v>0</v>
      </c>
      <c r="Z343" s="107">
        <f t="shared" si="64"/>
        <v>0</v>
      </c>
      <c r="AA343" s="107">
        <f t="shared" si="64"/>
        <v>0</v>
      </c>
      <c r="AB343" s="107">
        <f t="shared" si="64"/>
        <v>0</v>
      </c>
      <c r="AC343" s="107">
        <f t="shared" si="64"/>
        <v>0</v>
      </c>
      <c r="AD343" s="107">
        <v>0</v>
      </c>
      <c r="AE343" s="107">
        <f>SUM(AE331:AE341)</f>
        <v>0</v>
      </c>
      <c r="AF343" s="107">
        <f>SUM(AF331:AF341)</f>
        <v>0</v>
      </c>
      <c r="AG343" s="107">
        <f>SUM(AG331:AG341)</f>
        <v>0</v>
      </c>
      <c r="AH343" s="100">
        <f>SUM(AH331:AH341)</f>
        <v>0.16</v>
      </c>
    </row>
    <row r="344" spans="1:34" ht="15">
      <c r="A344" s="113"/>
      <c r="B344" s="113"/>
      <c r="C344" s="114"/>
      <c r="D344" s="114"/>
      <c r="E344" s="114"/>
      <c r="F344" s="114"/>
      <c r="G344" s="114"/>
      <c r="H344" s="114"/>
      <c r="I344" s="114"/>
      <c r="J344" s="114"/>
      <c r="K344" s="114"/>
      <c r="L344" s="114"/>
      <c r="M344" s="114"/>
      <c r="N344" s="114"/>
      <c r="O344" s="114"/>
      <c r="P344" s="114"/>
      <c r="Q344" s="114"/>
      <c r="R344" s="114"/>
      <c r="S344" s="114"/>
      <c r="T344" s="114"/>
      <c r="U344" s="114"/>
      <c r="V344" s="114"/>
      <c r="W344" s="114"/>
      <c r="X344" s="114"/>
      <c r="Y344" s="114"/>
      <c r="Z344" s="114"/>
      <c r="AA344" s="114"/>
      <c r="AB344" s="114"/>
      <c r="AC344" s="114"/>
      <c r="AD344" s="114"/>
      <c r="AE344" s="114"/>
      <c r="AF344" s="114"/>
      <c r="AG344" s="114"/>
      <c r="AH344" s="114"/>
    </row>
    <row r="345" spans="1:34" ht="15">
      <c r="A345" s="3873" t="s">
        <v>120</v>
      </c>
      <c r="B345" s="3874"/>
      <c r="C345" s="3874"/>
      <c r="D345" s="3874"/>
      <c r="E345" s="3874"/>
      <c r="F345" s="3874"/>
      <c r="G345" s="3874"/>
      <c r="H345" s="3874"/>
      <c r="I345" s="3874"/>
      <c r="J345" s="3874"/>
      <c r="K345" s="3874"/>
      <c r="L345" s="3874"/>
      <c r="M345" s="3874"/>
      <c r="N345" s="3874"/>
      <c r="O345" s="3874"/>
      <c r="P345" s="3874"/>
      <c r="Q345" s="3874"/>
      <c r="R345" s="3875"/>
      <c r="S345" s="14"/>
      <c r="T345" s="14"/>
      <c r="U345" s="14"/>
      <c r="V345" s="14"/>
      <c r="W345" s="14"/>
      <c r="X345" s="14"/>
      <c r="Y345" s="14"/>
      <c r="Z345" s="14"/>
      <c r="AA345" s="14"/>
      <c r="AB345" s="14"/>
      <c r="AC345" s="14"/>
      <c r="AD345" s="14"/>
      <c r="AE345" s="14"/>
      <c r="AF345" s="14"/>
      <c r="AG345" s="14"/>
      <c r="AH345" s="14"/>
    </row>
    <row r="346" spans="1:34" ht="5.0999999999999996" customHeight="1">
      <c r="A346" s="104"/>
      <c r="B346" s="174"/>
      <c r="C346" s="104"/>
      <c r="D346" s="104"/>
      <c r="E346" s="104"/>
      <c r="F346" s="104"/>
      <c r="G346" s="104"/>
      <c r="H346" s="104"/>
      <c r="I346" s="104"/>
      <c r="J346" s="104"/>
      <c r="K346" s="104"/>
      <c r="L346" s="104"/>
      <c r="M346" s="104"/>
      <c r="N346" s="104"/>
      <c r="O346" s="104"/>
      <c r="P346" s="104"/>
      <c r="Q346" s="104"/>
      <c r="R346" s="104"/>
      <c r="S346" s="14"/>
      <c r="T346" s="14"/>
      <c r="U346" s="14"/>
      <c r="V346" s="14"/>
      <c r="W346" s="14"/>
      <c r="X346" s="14"/>
      <c r="Y346" s="14"/>
      <c r="Z346" s="14"/>
      <c r="AA346" s="14"/>
      <c r="AB346" s="14"/>
      <c r="AC346" s="14"/>
      <c r="AD346" s="14"/>
      <c r="AE346" s="14"/>
      <c r="AF346" s="14"/>
      <c r="AG346" s="14"/>
      <c r="AH346" s="14"/>
    </row>
    <row r="347" spans="1:34" ht="15">
      <c r="A347" s="3854" t="s">
        <v>121</v>
      </c>
      <c r="B347" s="3855"/>
      <c r="C347" s="3855"/>
      <c r="D347" s="3855"/>
      <c r="E347" s="3855"/>
      <c r="F347" s="3855"/>
      <c r="G347" s="3855"/>
      <c r="H347" s="3856"/>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row>
    <row r="348" spans="1:34" ht="15">
      <c r="A348" s="8" t="s">
        <v>161</v>
      </c>
      <c r="B348" s="172" t="s">
        <v>143</v>
      </c>
      <c r="C348" s="2907">
        <v>1</v>
      </c>
      <c r="D348" s="73">
        <v>2</v>
      </c>
      <c r="E348" s="73">
        <v>3</v>
      </c>
      <c r="F348" s="73">
        <v>4</v>
      </c>
      <c r="G348" s="73">
        <v>5</v>
      </c>
      <c r="H348" s="73">
        <v>6</v>
      </c>
      <c r="I348" s="73">
        <v>7</v>
      </c>
      <c r="J348" s="73">
        <v>8</v>
      </c>
      <c r="K348" s="73">
        <v>9</v>
      </c>
      <c r="L348" s="73">
        <v>10</v>
      </c>
      <c r="M348" s="73">
        <v>11</v>
      </c>
      <c r="N348" s="73">
        <v>12</v>
      </c>
      <c r="O348" s="73">
        <v>13</v>
      </c>
      <c r="P348" s="73">
        <v>14</v>
      </c>
      <c r="Q348" s="73">
        <v>15</v>
      </c>
      <c r="R348" s="73">
        <v>16</v>
      </c>
      <c r="S348" s="73">
        <v>17</v>
      </c>
      <c r="T348" s="73">
        <v>18</v>
      </c>
      <c r="U348" s="73">
        <v>19</v>
      </c>
      <c r="V348" s="73">
        <v>20</v>
      </c>
      <c r="W348" s="73">
        <v>21</v>
      </c>
      <c r="X348" s="73">
        <v>22</v>
      </c>
      <c r="Y348" s="73">
        <v>23</v>
      </c>
      <c r="Z348" s="73">
        <v>24</v>
      </c>
      <c r="AA348" s="73">
        <v>25</v>
      </c>
      <c r="AB348" s="73">
        <v>26</v>
      </c>
      <c r="AC348" s="73">
        <v>27</v>
      </c>
      <c r="AD348" s="73">
        <v>28</v>
      </c>
      <c r="AE348" s="73">
        <v>29</v>
      </c>
      <c r="AF348" s="73">
        <v>30</v>
      </c>
      <c r="AG348" s="73">
        <v>31</v>
      </c>
      <c r="AH348" s="88" t="s">
        <v>144</v>
      </c>
    </row>
    <row r="349" spans="1:34" ht="15">
      <c r="A349" s="73" t="s">
        <v>145</v>
      </c>
      <c r="B349" s="313">
        <f t="shared" ref="B349:B360" si="65">+AH349</f>
        <v>0</v>
      </c>
      <c r="C349" s="188" t="s">
        <v>311</v>
      </c>
      <c r="D349" s="188" t="s">
        <v>311</v>
      </c>
      <c r="E349" s="188" t="s">
        <v>311</v>
      </c>
      <c r="F349" s="188" t="s">
        <v>311</v>
      </c>
      <c r="G349" s="188" t="s">
        <v>311</v>
      </c>
      <c r="H349" s="188" t="s">
        <v>311</v>
      </c>
      <c r="I349" s="188" t="s">
        <v>311</v>
      </c>
      <c r="J349" s="188" t="s">
        <v>311</v>
      </c>
      <c r="K349" s="188" t="s">
        <v>311</v>
      </c>
      <c r="L349" s="188" t="s">
        <v>311</v>
      </c>
      <c r="M349" s="188" t="s">
        <v>311</v>
      </c>
      <c r="N349" s="188" t="s">
        <v>311</v>
      </c>
      <c r="O349" s="188" t="s">
        <v>311</v>
      </c>
      <c r="P349" s="188" t="s">
        <v>311</v>
      </c>
      <c r="Q349" s="188" t="s">
        <v>311</v>
      </c>
      <c r="R349" s="188" t="s">
        <v>311</v>
      </c>
      <c r="S349" s="188" t="s">
        <v>311</v>
      </c>
      <c r="T349" s="188" t="s">
        <v>311</v>
      </c>
      <c r="U349" s="188" t="s">
        <v>311</v>
      </c>
      <c r="V349" s="188" t="s">
        <v>311</v>
      </c>
      <c r="W349" s="188" t="s">
        <v>311</v>
      </c>
      <c r="X349" s="188" t="s">
        <v>311</v>
      </c>
      <c r="Y349" s="188" t="s">
        <v>311</v>
      </c>
      <c r="Z349" s="188" t="s">
        <v>311</v>
      </c>
      <c r="AA349" s="188" t="s">
        <v>311</v>
      </c>
      <c r="AB349" s="188" t="s">
        <v>311</v>
      </c>
      <c r="AC349" s="188" t="s">
        <v>311</v>
      </c>
      <c r="AD349" s="188" t="s">
        <v>311</v>
      </c>
      <c r="AE349" s="188" t="s">
        <v>311</v>
      </c>
      <c r="AF349" s="188" t="s">
        <v>311</v>
      </c>
      <c r="AG349" s="188" t="s">
        <v>311</v>
      </c>
      <c r="AH349" s="107">
        <f t="shared" ref="AH349:AH360" si="66">SUM(C349:AG349)</f>
        <v>0</v>
      </c>
    </row>
    <row r="350" spans="1:34" ht="15">
      <c r="A350" s="73" t="s">
        <v>146</v>
      </c>
      <c r="B350" s="313">
        <f t="shared" si="65"/>
        <v>0</v>
      </c>
      <c r="C350" s="188" t="s">
        <v>311</v>
      </c>
      <c r="D350" s="188" t="s">
        <v>311</v>
      </c>
      <c r="E350" s="188" t="s">
        <v>311</v>
      </c>
      <c r="F350" s="188" t="s">
        <v>311</v>
      </c>
      <c r="G350" s="188" t="s">
        <v>311</v>
      </c>
      <c r="H350" s="188" t="s">
        <v>311</v>
      </c>
      <c r="I350" s="188" t="s">
        <v>311</v>
      </c>
      <c r="J350" s="306"/>
      <c r="K350" s="306"/>
      <c r="L350" s="306"/>
      <c r="M350" s="306"/>
      <c r="N350" s="306"/>
      <c r="O350" s="306"/>
      <c r="P350" s="306"/>
      <c r="Q350" s="306"/>
      <c r="R350" s="306"/>
      <c r="S350" s="306"/>
      <c r="T350" s="306"/>
      <c r="U350" s="306"/>
      <c r="V350" s="306"/>
      <c r="W350" s="306"/>
      <c r="X350" s="306"/>
      <c r="Y350" s="306"/>
      <c r="Z350" s="306"/>
      <c r="AA350" s="306"/>
      <c r="AB350" s="306"/>
      <c r="AC350" s="306"/>
      <c r="AD350" s="306"/>
      <c r="AE350" s="306"/>
      <c r="AF350" s="306"/>
      <c r="AG350" s="306"/>
      <c r="AH350" s="107">
        <f t="shared" si="66"/>
        <v>0</v>
      </c>
    </row>
    <row r="351" spans="1:34" ht="15">
      <c r="A351" s="73" t="s">
        <v>147</v>
      </c>
      <c r="B351" s="313">
        <f t="shared" si="65"/>
        <v>0</v>
      </c>
      <c r="C351" s="306"/>
      <c r="D351" s="306"/>
      <c r="E351" s="306"/>
      <c r="F351" s="306"/>
      <c r="G351" s="306"/>
      <c r="H351" s="315"/>
      <c r="I351" s="107"/>
      <c r="J351" s="107"/>
      <c r="K351" s="107"/>
      <c r="L351" s="107"/>
      <c r="M351" s="107"/>
      <c r="N351" s="107"/>
      <c r="O351" s="107"/>
      <c r="P351" s="107"/>
      <c r="Q351" s="107"/>
      <c r="R351" s="107"/>
      <c r="S351" s="107"/>
      <c r="T351" s="107"/>
      <c r="U351" s="107"/>
      <c r="V351" s="107"/>
      <c r="W351" s="107"/>
      <c r="X351" s="107"/>
      <c r="Y351" s="107"/>
      <c r="Z351" s="107"/>
      <c r="AA351" s="107"/>
      <c r="AB351" s="107"/>
      <c r="AC351" s="107"/>
      <c r="AD351" s="107"/>
      <c r="AE351" s="107"/>
      <c r="AF351" s="107"/>
      <c r="AG351" s="107"/>
      <c r="AH351" s="107">
        <f t="shared" si="66"/>
        <v>0</v>
      </c>
    </row>
    <row r="352" spans="1:34" ht="15">
      <c r="A352" s="73" t="s">
        <v>148</v>
      </c>
      <c r="B352" s="313">
        <f t="shared" si="65"/>
        <v>0</v>
      </c>
      <c r="C352" s="103"/>
      <c r="D352" s="107"/>
      <c r="E352" s="107"/>
      <c r="F352" s="107"/>
      <c r="G352" s="53"/>
      <c r="H352" s="53"/>
      <c r="I352" s="53"/>
      <c r="J352" s="107"/>
      <c r="K352" s="107"/>
      <c r="L352" s="107"/>
      <c r="M352" s="107"/>
      <c r="N352" s="107"/>
      <c r="O352" s="107"/>
      <c r="P352" s="107"/>
      <c r="Q352" s="107"/>
      <c r="R352" s="107"/>
      <c r="S352" s="107"/>
      <c r="T352" s="107"/>
      <c r="U352" s="107"/>
      <c r="V352" s="107"/>
      <c r="W352" s="107"/>
      <c r="X352" s="107"/>
      <c r="Y352" s="107"/>
      <c r="Z352" s="107"/>
      <c r="AA352" s="107"/>
      <c r="AB352" s="107"/>
      <c r="AC352" s="107"/>
      <c r="AD352" s="107"/>
      <c r="AE352" s="107"/>
      <c r="AF352" s="107"/>
      <c r="AG352" s="107"/>
      <c r="AH352" s="107">
        <f t="shared" si="66"/>
        <v>0</v>
      </c>
    </row>
    <row r="353" spans="1:34" ht="15">
      <c r="A353" s="73" t="s">
        <v>149</v>
      </c>
      <c r="B353" s="313">
        <f t="shared" si="65"/>
        <v>0</v>
      </c>
      <c r="C353" s="103"/>
      <c r="D353" s="53"/>
      <c r="E353" s="53"/>
      <c r="F353" s="53"/>
      <c r="G353" s="53"/>
      <c r="H353" s="53"/>
      <c r="I353" s="53"/>
      <c r="J353" s="107"/>
      <c r="K353" s="107"/>
      <c r="L353" s="107"/>
      <c r="M353" s="107"/>
      <c r="N353" s="107"/>
      <c r="O353" s="107"/>
      <c r="P353" s="107"/>
      <c r="Q353" s="107"/>
      <c r="R353" s="107"/>
      <c r="S353" s="107"/>
      <c r="T353" s="107"/>
      <c r="U353" s="107"/>
      <c r="V353" s="107"/>
      <c r="W353" s="107"/>
      <c r="X353" s="107"/>
      <c r="Y353" s="107"/>
      <c r="Z353" s="107"/>
      <c r="AA353" s="107"/>
      <c r="AB353" s="107"/>
      <c r="AC353" s="107"/>
      <c r="AD353" s="107"/>
      <c r="AE353" s="107"/>
      <c r="AF353" s="107"/>
      <c r="AG353" s="107"/>
      <c r="AH353" s="107">
        <f t="shared" si="66"/>
        <v>0</v>
      </c>
    </row>
    <row r="354" spans="1:34" ht="15">
      <c r="A354" s="73" t="s">
        <v>150</v>
      </c>
      <c r="B354" s="313">
        <f t="shared" si="65"/>
        <v>9.3490000000000002</v>
      </c>
      <c r="C354" s="100"/>
      <c r="D354" s="107"/>
      <c r="E354" s="107"/>
      <c r="F354" s="107"/>
      <c r="G354" s="107"/>
      <c r="H354" s="107"/>
      <c r="I354" s="107"/>
      <c r="J354" s="107"/>
      <c r="K354" s="107"/>
      <c r="L354" s="107"/>
      <c r="M354" s="107"/>
      <c r="N354" s="107"/>
      <c r="O354" s="107"/>
      <c r="P354" s="107"/>
      <c r="Q354" s="107"/>
      <c r="R354" s="107"/>
      <c r="S354" s="107"/>
      <c r="T354" s="107"/>
      <c r="U354" s="107"/>
      <c r="V354" s="107">
        <v>2.0529999999999999</v>
      </c>
      <c r="W354" s="107"/>
      <c r="X354" s="107"/>
      <c r="Y354" s="107"/>
      <c r="Z354" s="107"/>
      <c r="AA354" s="107">
        <v>2.5219999999999998</v>
      </c>
      <c r="AB354" s="107"/>
      <c r="AC354" s="107">
        <v>4.774</v>
      </c>
      <c r="AD354" s="107"/>
      <c r="AE354" s="107"/>
      <c r="AF354" s="107"/>
      <c r="AG354" s="107"/>
      <c r="AH354" s="107">
        <f t="shared" si="66"/>
        <v>9.3490000000000002</v>
      </c>
    </row>
    <row r="355" spans="1:34" ht="15">
      <c r="A355" s="73" t="s">
        <v>151</v>
      </c>
      <c r="B355" s="70">
        <f t="shared" si="65"/>
        <v>0</v>
      </c>
      <c r="C355" s="103"/>
      <c r="D355" s="107"/>
      <c r="E355" s="107"/>
      <c r="F355" s="107"/>
      <c r="G355" s="53"/>
      <c r="H355" s="53"/>
      <c r="I355" s="53"/>
      <c r="J355" s="111"/>
      <c r="K355" s="111"/>
      <c r="L355" s="107"/>
      <c r="M355" s="107"/>
      <c r="N355" s="107"/>
      <c r="O355" s="107"/>
      <c r="P355" s="107"/>
      <c r="Q355" s="107"/>
      <c r="R355" s="107"/>
      <c r="S355" s="107"/>
      <c r="T355" s="107"/>
      <c r="U355" s="107"/>
      <c r="V355" s="107"/>
      <c r="W355" s="107"/>
      <c r="X355" s="107"/>
      <c r="Y355" s="107"/>
      <c r="Z355" s="107"/>
      <c r="AA355" s="107"/>
      <c r="AB355" s="107"/>
      <c r="AC355" s="107"/>
      <c r="AD355" s="107"/>
      <c r="AE355" s="107"/>
      <c r="AF355" s="107"/>
      <c r="AG355" s="107"/>
      <c r="AH355" s="107">
        <f t="shared" si="66"/>
        <v>0</v>
      </c>
    </row>
    <row r="356" spans="1:34" ht="15">
      <c r="A356" s="73" t="s">
        <v>152</v>
      </c>
      <c r="B356" s="319">
        <f t="shared" si="65"/>
        <v>0</v>
      </c>
      <c r="C356" s="103"/>
      <c r="D356" s="53"/>
      <c r="E356" s="53"/>
      <c r="F356" s="53"/>
      <c r="G356" s="53"/>
      <c r="H356" s="53"/>
      <c r="I356" s="53"/>
      <c r="J356" s="111"/>
      <c r="K356" s="111"/>
      <c r="L356" s="107"/>
      <c r="M356" s="107"/>
      <c r="N356" s="107"/>
      <c r="O356" s="107"/>
      <c r="P356" s="107"/>
      <c r="Q356" s="107"/>
      <c r="R356" s="107"/>
      <c r="S356" s="107"/>
      <c r="T356" s="107"/>
      <c r="U356" s="107"/>
      <c r="V356" s="107"/>
      <c r="W356" s="107"/>
      <c r="X356" s="107"/>
      <c r="Y356" s="107"/>
      <c r="Z356" s="107"/>
      <c r="AA356" s="107"/>
      <c r="AB356" s="107"/>
      <c r="AC356" s="107"/>
      <c r="AD356" s="107"/>
      <c r="AE356" s="107"/>
      <c r="AF356" s="107"/>
      <c r="AG356" s="107"/>
      <c r="AH356" s="107">
        <f t="shared" si="66"/>
        <v>0</v>
      </c>
    </row>
    <row r="357" spans="1:34" ht="15">
      <c r="A357" s="73" t="s">
        <v>153</v>
      </c>
      <c r="B357" s="319">
        <f t="shared" si="65"/>
        <v>0</v>
      </c>
      <c r="C357" s="100"/>
      <c r="D357" s="107"/>
      <c r="E357" s="107"/>
      <c r="F357" s="107"/>
      <c r="G357" s="107"/>
      <c r="H357" s="107"/>
      <c r="I357" s="107"/>
      <c r="J357" s="111"/>
      <c r="K357" s="111"/>
      <c r="L357" s="53"/>
      <c r="M357" s="53"/>
      <c r="N357" s="53"/>
      <c r="O357" s="53"/>
      <c r="P357" s="53"/>
      <c r="Q357" s="306"/>
      <c r="R357" s="306"/>
      <c r="S357" s="306"/>
      <c r="T357" s="306"/>
      <c r="U357" s="306"/>
      <c r="V357" s="306"/>
      <c r="W357" s="306"/>
      <c r="X357" s="306"/>
      <c r="Y357" s="306"/>
      <c r="Z357" s="306"/>
      <c r="AA357" s="306"/>
      <c r="AB357" s="306"/>
      <c r="AC357" s="306"/>
      <c r="AD357" s="306"/>
      <c r="AE357" s="306"/>
      <c r="AF357" s="306"/>
      <c r="AG357" s="306"/>
      <c r="AH357" s="107">
        <f t="shared" si="66"/>
        <v>0</v>
      </c>
    </row>
    <row r="358" spans="1:34" ht="15">
      <c r="A358" s="73" t="s">
        <v>154</v>
      </c>
      <c r="B358" s="319">
        <f t="shared" si="65"/>
        <v>0</v>
      </c>
      <c r="C358" s="103"/>
      <c r="D358" s="2503" t="s">
        <v>318</v>
      </c>
      <c r="E358" s="2503" t="s">
        <v>318</v>
      </c>
      <c r="F358" s="2503" t="s">
        <v>318</v>
      </c>
      <c r="G358" s="2503" t="s">
        <v>318</v>
      </c>
      <c r="H358" s="2503" t="s">
        <v>318</v>
      </c>
      <c r="I358" s="2503" t="s">
        <v>318</v>
      </c>
      <c r="J358" s="2503" t="s">
        <v>318</v>
      </c>
      <c r="K358" s="2503" t="s">
        <v>318</v>
      </c>
      <c r="L358" s="2503" t="s">
        <v>318</v>
      </c>
      <c r="M358" s="2503" t="s">
        <v>318</v>
      </c>
      <c r="N358" s="2503" t="s">
        <v>318</v>
      </c>
      <c r="O358" s="2503" t="s">
        <v>318</v>
      </c>
      <c r="P358" s="2503" t="s">
        <v>318</v>
      </c>
      <c r="Q358" s="2503" t="s">
        <v>318</v>
      </c>
      <c r="R358" s="2503" t="s">
        <v>318</v>
      </c>
      <c r="S358" s="2503" t="s">
        <v>318</v>
      </c>
      <c r="T358" s="2503" t="s">
        <v>318</v>
      </c>
      <c r="U358" s="2503" t="s">
        <v>318</v>
      </c>
      <c r="V358" s="2503" t="s">
        <v>318</v>
      </c>
      <c r="W358" s="2503" t="s">
        <v>318</v>
      </c>
      <c r="X358" s="2503" t="s">
        <v>318</v>
      </c>
      <c r="Y358" s="2503" t="s">
        <v>318</v>
      </c>
      <c r="Z358" s="2503" t="s">
        <v>318</v>
      </c>
      <c r="AA358" s="2503" t="s">
        <v>318</v>
      </c>
      <c r="AB358" s="2503" t="s">
        <v>318</v>
      </c>
      <c r="AC358" s="2503" t="s">
        <v>318</v>
      </c>
      <c r="AD358" s="2503" t="s">
        <v>318</v>
      </c>
      <c r="AE358" s="2503" t="s">
        <v>318</v>
      </c>
      <c r="AF358" s="2503" t="s">
        <v>318</v>
      </c>
      <c r="AG358" s="2503" t="s">
        <v>318</v>
      </c>
      <c r="AH358" s="107">
        <f t="shared" si="66"/>
        <v>0</v>
      </c>
    </row>
    <row r="359" spans="1:34" ht="15">
      <c r="A359" s="73" t="s">
        <v>155</v>
      </c>
      <c r="B359" s="70">
        <f t="shared" si="65"/>
        <v>0</v>
      </c>
      <c r="C359" s="188" t="s">
        <v>318</v>
      </c>
      <c r="D359" s="188" t="s">
        <v>318</v>
      </c>
      <c r="E359" s="188" t="s">
        <v>318</v>
      </c>
      <c r="F359" s="188" t="s">
        <v>318</v>
      </c>
      <c r="G359" s="188" t="s">
        <v>318</v>
      </c>
      <c r="H359" s="188" t="s">
        <v>318</v>
      </c>
      <c r="I359" s="188" t="s">
        <v>318</v>
      </c>
      <c r="J359" s="188" t="s">
        <v>318</v>
      </c>
      <c r="K359" s="188" t="s">
        <v>318</v>
      </c>
      <c r="L359" s="188" t="s">
        <v>318</v>
      </c>
      <c r="M359" s="188" t="s">
        <v>318</v>
      </c>
      <c r="N359" s="188" t="s">
        <v>318</v>
      </c>
      <c r="O359" s="188" t="s">
        <v>318</v>
      </c>
      <c r="P359" s="188" t="s">
        <v>318</v>
      </c>
      <c r="Q359" s="188" t="s">
        <v>318</v>
      </c>
      <c r="R359" s="53"/>
      <c r="S359" s="53"/>
      <c r="T359" s="53"/>
      <c r="U359" s="53"/>
      <c r="V359" s="53"/>
      <c r="W359" s="53"/>
      <c r="X359" s="53"/>
      <c r="Y359" s="53"/>
      <c r="Z359" s="53"/>
      <c r="AA359" s="53"/>
      <c r="AB359" s="53"/>
      <c r="AC359" s="53"/>
      <c r="AD359" s="53"/>
      <c r="AE359" s="107"/>
      <c r="AF359" s="53"/>
      <c r="AG359" s="107"/>
      <c r="AH359" s="107">
        <f t="shared" si="66"/>
        <v>0</v>
      </c>
    </row>
    <row r="360" spans="1:34" ht="15">
      <c r="A360" s="73" t="s">
        <v>156</v>
      </c>
      <c r="B360" s="70">
        <f t="shared" si="65"/>
        <v>0</v>
      </c>
      <c r="C360" s="103"/>
      <c r="D360" s="53"/>
      <c r="E360" s="53"/>
      <c r="F360" s="53"/>
      <c r="G360" s="53"/>
      <c r="H360" s="53"/>
      <c r="I360" s="53"/>
      <c r="J360" s="53"/>
      <c r="K360" s="53"/>
      <c r="L360" s="53"/>
      <c r="M360" s="53"/>
      <c r="N360" s="53"/>
      <c r="O360" s="53"/>
      <c r="P360" s="53"/>
      <c r="Q360" s="53"/>
      <c r="R360" s="53"/>
      <c r="S360" s="53"/>
      <c r="T360" s="53"/>
      <c r="U360" s="53"/>
      <c r="V360" s="53"/>
      <c r="W360" s="53"/>
      <c r="X360" s="53"/>
      <c r="Y360" s="53"/>
      <c r="Z360" s="53"/>
      <c r="AA360" s="53"/>
      <c r="AB360" s="53"/>
      <c r="AC360" s="53"/>
      <c r="AD360" s="53"/>
      <c r="AE360" s="107"/>
      <c r="AF360" s="53"/>
      <c r="AG360" s="107"/>
      <c r="AH360" s="107">
        <f t="shared" si="66"/>
        <v>0</v>
      </c>
    </row>
    <row r="361" spans="1:34" ht="15">
      <c r="A361" s="199" t="s">
        <v>144</v>
      </c>
      <c r="B361" s="201">
        <f>SUM(B349:B360)</f>
        <v>9.3490000000000002</v>
      </c>
      <c r="C361" s="100">
        <f>SUM(C349:C359)</f>
        <v>0</v>
      </c>
      <c r="D361" s="107">
        <f>SUM(D349:D359)</f>
        <v>0</v>
      </c>
      <c r="E361" s="107">
        <v>0</v>
      </c>
      <c r="F361" s="107">
        <f t="shared" ref="F361:AC361" si="67">SUM(F349:F359)</f>
        <v>0</v>
      </c>
      <c r="G361" s="107">
        <f t="shared" si="67"/>
        <v>0</v>
      </c>
      <c r="H361" s="107">
        <f t="shared" si="67"/>
        <v>0</v>
      </c>
      <c r="I361" s="107">
        <f t="shared" si="67"/>
        <v>0</v>
      </c>
      <c r="J361" s="107">
        <f t="shared" si="67"/>
        <v>0</v>
      </c>
      <c r="K361" s="107">
        <f t="shared" si="67"/>
        <v>0</v>
      </c>
      <c r="L361" s="107">
        <f t="shared" si="67"/>
        <v>0</v>
      </c>
      <c r="M361" s="107">
        <f t="shared" si="67"/>
        <v>0</v>
      </c>
      <c r="N361" s="107">
        <f t="shared" si="67"/>
        <v>0</v>
      </c>
      <c r="O361" s="107">
        <f t="shared" si="67"/>
        <v>0</v>
      </c>
      <c r="P361" s="107">
        <f t="shared" si="67"/>
        <v>0</v>
      </c>
      <c r="Q361" s="107">
        <f t="shared" si="67"/>
        <v>0</v>
      </c>
      <c r="R361" s="107">
        <f t="shared" si="67"/>
        <v>0</v>
      </c>
      <c r="S361" s="107">
        <f t="shared" si="67"/>
        <v>0</v>
      </c>
      <c r="T361" s="107">
        <f t="shared" si="67"/>
        <v>0</v>
      </c>
      <c r="U361" s="107">
        <f t="shared" si="67"/>
        <v>0</v>
      </c>
      <c r="V361" s="107">
        <f t="shared" si="67"/>
        <v>2.0529999999999999</v>
      </c>
      <c r="W361" s="107">
        <f t="shared" si="67"/>
        <v>0</v>
      </c>
      <c r="X361" s="107">
        <f t="shared" si="67"/>
        <v>0</v>
      </c>
      <c r="Y361" s="107">
        <f t="shared" si="67"/>
        <v>0</v>
      </c>
      <c r="Z361" s="107">
        <f t="shared" si="67"/>
        <v>0</v>
      </c>
      <c r="AA361" s="107">
        <f t="shared" si="67"/>
        <v>2.5219999999999998</v>
      </c>
      <c r="AB361" s="107">
        <f t="shared" si="67"/>
        <v>0</v>
      </c>
      <c r="AC361" s="107">
        <f t="shared" si="67"/>
        <v>4.774</v>
      </c>
      <c r="AD361" s="107">
        <v>0</v>
      </c>
      <c r="AE361" s="107">
        <f>SUM(AE349:AE359)</f>
        <v>0</v>
      </c>
      <c r="AF361" s="107">
        <f>SUM(AF349:AF359)</f>
        <v>0</v>
      </c>
      <c r="AG361" s="107">
        <f>SUM(AG349:AG359)</f>
        <v>0</v>
      </c>
      <c r="AH361" s="100">
        <f>SUM(AH349:AH359)</f>
        <v>9.3490000000000002</v>
      </c>
    </row>
    <row r="362" spans="1:34" ht="5.0999999999999996" customHeight="1">
      <c r="A362" s="49"/>
      <c r="B362" s="170"/>
      <c r="C362" s="1"/>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c r="AG362" s="14"/>
      <c r="AH362" s="1"/>
    </row>
    <row r="363" spans="1:34" ht="15">
      <c r="A363" s="3854" t="s">
        <v>122</v>
      </c>
      <c r="B363" s="3855"/>
      <c r="C363" s="3855"/>
      <c r="D363" s="3855"/>
      <c r="E363" s="3855"/>
      <c r="F363" s="3855"/>
      <c r="G363" s="3855"/>
      <c r="H363" s="3856"/>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c r="AG363" s="14"/>
      <c r="AH363" s="14"/>
    </row>
    <row r="364" spans="1:34" ht="15">
      <c r="A364" s="8" t="s">
        <v>161</v>
      </c>
      <c r="B364" s="172" t="s">
        <v>143</v>
      </c>
      <c r="C364" s="2907">
        <v>1</v>
      </c>
      <c r="D364" s="73">
        <v>2</v>
      </c>
      <c r="E364" s="73">
        <v>3</v>
      </c>
      <c r="F364" s="73">
        <v>4</v>
      </c>
      <c r="G364" s="73">
        <v>5</v>
      </c>
      <c r="H364" s="73">
        <v>6</v>
      </c>
      <c r="I364" s="73">
        <v>7</v>
      </c>
      <c r="J364" s="73">
        <v>8</v>
      </c>
      <c r="K364" s="73">
        <v>9</v>
      </c>
      <c r="L364" s="73">
        <v>10</v>
      </c>
      <c r="M364" s="73">
        <v>11</v>
      </c>
      <c r="N364" s="73">
        <v>12</v>
      </c>
      <c r="O364" s="73">
        <v>13</v>
      </c>
      <c r="P364" s="73">
        <v>14</v>
      </c>
      <c r="Q364" s="73">
        <v>15</v>
      </c>
      <c r="R364" s="73">
        <v>16</v>
      </c>
      <c r="S364" s="73">
        <v>17</v>
      </c>
      <c r="T364" s="73">
        <v>18</v>
      </c>
      <c r="U364" s="73">
        <v>19</v>
      </c>
      <c r="V364" s="73">
        <v>20</v>
      </c>
      <c r="W364" s="73">
        <v>21</v>
      </c>
      <c r="X364" s="73">
        <v>22</v>
      </c>
      <c r="Y364" s="73">
        <v>23</v>
      </c>
      <c r="Z364" s="73">
        <v>24</v>
      </c>
      <c r="AA364" s="73">
        <v>25</v>
      </c>
      <c r="AB364" s="73">
        <v>26</v>
      </c>
      <c r="AC364" s="73">
        <v>27</v>
      </c>
      <c r="AD364" s="73">
        <v>28</v>
      </c>
      <c r="AE364" s="73">
        <v>29</v>
      </c>
      <c r="AF364" s="73">
        <v>30</v>
      </c>
      <c r="AG364" s="73">
        <v>31</v>
      </c>
      <c r="AH364" s="88" t="s">
        <v>144</v>
      </c>
    </row>
    <row r="365" spans="1:34" ht="15">
      <c r="A365" s="73" t="s">
        <v>145</v>
      </c>
      <c r="B365" s="1081">
        <f t="shared" ref="B365:B376" si="68">+AH365</f>
        <v>0</v>
      </c>
      <c r="C365" s="188" t="s">
        <v>311</v>
      </c>
      <c r="D365" s="188" t="s">
        <v>311</v>
      </c>
      <c r="E365" s="188" t="s">
        <v>311</v>
      </c>
      <c r="F365" s="188" t="s">
        <v>311</v>
      </c>
      <c r="G365" s="188" t="s">
        <v>311</v>
      </c>
      <c r="H365" s="188" t="s">
        <v>311</v>
      </c>
      <c r="I365" s="188" t="s">
        <v>311</v>
      </c>
      <c r="J365" s="188" t="s">
        <v>311</v>
      </c>
      <c r="K365" s="188" t="s">
        <v>311</v>
      </c>
      <c r="L365" s="188" t="s">
        <v>311</v>
      </c>
      <c r="M365" s="188" t="s">
        <v>311</v>
      </c>
      <c r="N365" s="188" t="s">
        <v>311</v>
      </c>
      <c r="O365" s="188" t="s">
        <v>311</v>
      </c>
      <c r="P365" s="188" t="s">
        <v>311</v>
      </c>
      <c r="Q365" s="188" t="s">
        <v>311</v>
      </c>
      <c r="R365" s="188" t="s">
        <v>311</v>
      </c>
      <c r="S365" s="188" t="s">
        <v>311</v>
      </c>
      <c r="T365" s="188" t="s">
        <v>311</v>
      </c>
      <c r="U365" s="188" t="s">
        <v>311</v>
      </c>
      <c r="V365" s="188" t="s">
        <v>311</v>
      </c>
      <c r="W365" s="188" t="s">
        <v>311</v>
      </c>
      <c r="X365" s="188" t="s">
        <v>311</v>
      </c>
      <c r="Y365" s="188" t="s">
        <v>311</v>
      </c>
      <c r="Z365" s="188" t="s">
        <v>311</v>
      </c>
      <c r="AA365" s="188" t="s">
        <v>311</v>
      </c>
      <c r="AB365" s="188" t="s">
        <v>311</v>
      </c>
      <c r="AC365" s="188" t="s">
        <v>311</v>
      </c>
      <c r="AD365" s="188" t="s">
        <v>311</v>
      </c>
      <c r="AE365" s="188" t="s">
        <v>311</v>
      </c>
      <c r="AF365" s="188" t="s">
        <v>311</v>
      </c>
      <c r="AG365" s="188" t="s">
        <v>311</v>
      </c>
      <c r="AH365" s="107">
        <f>SUM(C365:AG365)</f>
        <v>0</v>
      </c>
    </row>
    <row r="366" spans="1:34" ht="15">
      <c r="A366" s="73" t="s">
        <v>146</v>
      </c>
      <c r="B366" s="1081">
        <f t="shared" si="68"/>
        <v>1245.5839999999998</v>
      </c>
      <c r="C366" s="188" t="s">
        <v>311</v>
      </c>
      <c r="D366" s="188" t="s">
        <v>311</v>
      </c>
      <c r="E366" s="188" t="s">
        <v>311</v>
      </c>
      <c r="F366" s="188" t="s">
        <v>311</v>
      </c>
      <c r="G366" s="188" t="s">
        <v>311</v>
      </c>
      <c r="H366" s="188" t="s">
        <v>311</v>
      </c>
      <c r="I366" s="188" t="s">
        <v>311</v>
      </c>
      <c r="J366" s="306"/>
      <c r="K366" s="306"/>
      <c r="L366" s="306"/>
      <c r="M366" s="306"/>
      <c r="N366" s="306"/>
      <c r="O366" s="306"/>
      <c r="P366" s="306"/>
      <c r="Q366" s="306">
        <v>304.49799999999999</v>
      </c>
      <c r="R366" s="306">
        <v>13.433</v>
      </c>
      <c r="S366" s="306">
        <v>43.786000000000001</v>
      </c>
      <c r="T366" s="306"/>
      <c r="U366" s="306"/>
      <c r="V366" s="306">
        <v>0.16</v>
      </c>
      <c r="W366" s="306">
        <v>81.759</v>
      </c>
      <c r="X366" s="306">
        <v>33.960999999999999</v>
      </c>
      <c r="Y366" s="306">
        <v>48.517000000000003</v>
      </c>
      <c r="Z366" s="306">
        <v>171.07900000000001</v>
      </c>
      <c r="AA366" s="306">
        <v>52.271000000000001</v>
      </c>
      <c r="AB366" s="306"/>
      <c r="AC366" s="306">
        <v>44.375999999999998</v>
      </c>
      <c r="AD366" s="306">
        <v>78.706999999999994</v>
      </c>
      <c r="AE366" s="306">
        <v>373.03699999999998</v>
      </c>
      <c r="AF366" s="306"/>
      <c r="AG366" s="306"/>
      <c r="AH366" s="328">
        <f t="shared" ref="AH366:AH375" si="69">SUM(C366:AG366)</f>
        <v>1245.5839999999998</v>
      </c>
    </row>
    <row r="367" spans="1:34" s="312" customFormat="1" ht="15">
      <c r="A367" s="314" t="s">
        <v>147</v>
      </c>
      <c r="B367" s="1081">
        <f t="shared" si="68"/>
        <v>3290.9420000000005</v>
      </c>
      <c r="C367" s="306">
        <v>203.36</v>
      </c>
      <c r="D367" s="306">
        <v>17.425999999999998</v>
      </c>
      <c r="E367" s="306">
        <v>104.363</v>
      </c>
      <c r="F367" s="329"/>
      <c r="G367" s="329">
        <v>26.343</v>
      </c>
      <c r="H367" s="670">
        <v>107.71599999999999</v>
      </c>
      <c r="I367" s="670">
        <v>89.89</v>
      </c>
      <c r="J367" s="670">
        <v>8.4700000000000006</v>
      </c>
      <c r="K367" s="670">
        <v>12.397</v>
      </c>
      <c r="L367" s="670">
        <v>122.468</v>
      </c>
      <c r="M367" s="670"/>
      <c r="N367" s="670"/>
      <c r="O367" s="670">
        <v>4.984</v>
      </c>
      <c r="P367" s="670">
        <v>84.783000000000001</v>
      </c>
      <c r="Q367" s="670">
        <v>124.358</v>
      </c>
      <c r="R367" s="670">
        <v>96.33</v>
      </c>
      <c r="S367" s="670">
        <v>57.920999999999999</v>
      </c>
      <c r="T367" s="670"/>
      <c r="U367" s="670"/>
      <c r="V367" s="670">
        <v>0.72599999999999998</v>
      </c>
      <c r="W367" s="670">
        <v>105.25</v>
      </c>
      <c r="X367" s="670">
        <v>278.08199999999999</v>
      </c>
      <c r="Y367" s="670">
        <v>596.88099999999997</v>
      </c>
      <c r="Z367" s="670">
        <v>36.319000000000003</v>
      </c>
      <c r="AA367" s="670"/>
      <c r="AB367" s="670">
        <v>182.47399999999999</v>
      </c>
      <c r="AC367" s="670">
        <v>3.9260000000000002</v>
      </c>
      <c r="AD367" s="670">
        <v>311.15199999999999</v>
      </c>
      <c r="AE367" s="670">
        <v>464.16399999999999</v>
      </c>
      <c r="AF367" s="670"/>
      <c r="AG367" s="670">
        <v>251.15899999999999</v>
      </c>
      <c r="AH367" s="107">
        <f t="shared" si="69"/>
        <v>3290.9420000000005</v>
      </c>
    </row>
    <row r="368" spans="1:34" ht="15">
      <c r="A368" s="73" t="s">
        <v>148</v>
      </c>
      <c r="B368" s="1081">
        <f t="shared" si="68"/>
        <v>2046.8309999999999</v>
      </c>
      <c r="C368" s="645"/>
      <c r="D368" s="328">
        <v>17.157</v>
      </c>
      <c r="E368" s="328">
        <v>72.421999999999997</v>
      </c>
      <c r="F368" s="328">
        <v>104.372</v>
      </c>
      <c r="G368" s="162">
        <v>33.658999999999999</v>
      </c>
      <c r="H368" s="162"/>
      <c r="I368" s="162"/>
      <c r="J368" s="328"/>
      <c r="K368" s="328"/>
      <c r="L368" s="328"/>
      <c r="M368" s="328">
        <v>70.783000000000001</v>
      </c>
      <c r="N368" s="328">
        <v>45.667999999999999</v>
      </c>
      <c r="O368" s="328">
        <v>171.72800000000001</v>
      </c>
      <c r="P368" s="328">
        <v>43.277999999999999</v>
      </c>
      <c r="Q368" s="328">
        <v>12.276</v>
      </c>
      <c r="R368" s="328">
        <v>47.415999999999997</v>
      </c>
      <c r="S368" s="328">
        <v>84.703000000000003</v>
      </c>
      <c r="T368" s="328">
        <v>40.058</v>
      </c>
      <c r="U368" s="328">
        <v>179.583</v>
      </c>
      <c r="V368" s="328">
        <v>45.819000000000003</v>
      </c>
      <c r="W368" s="328">
        <v>156.714</v>
      </c>
      <c r="X368" s="328"/>
      <c r="Y368" s="328">
        <v>74.353999999999999</v>
      </c>
      <c r="Z368" s="328">
        <v>8.0630000000000006</v>
      </c>
      <c r="AA368" s="328">
        <v>330.99599999999998</v>
      </c>
      <c r="AB368" s="328">
        <v>102.33199999999999</v>
      </c>
      <c r="AC368" s="328">
        <v>405.45</v>
      </c>
      <c r="AD368" s="328"/>
      <c r="AE368" s="328"/>
      <c r="AF368" s="328"/>
      <c r="AG368" s="328"/>
      <c r="AH368" s="107">
        <f>SUM(C368:AG368)</f>
        <v>2046.8309999999999</v>
      </c>
    </row>
    <row r="369" spans="1:34" s="312" customFormat="1" ht="15">
      <c r="A369" s="314" t="s">
        <v>149</v>
      </c>
      <c r="B369" s="1081">
        <f t="shared" si="68"/>
        <v>156.85899999999998</v>
      </c>
      <c r="C369" s="103"/>
      <c r="D369" s="53"/>
      <c r="E369" s="53"/>
      <c r="F369" s="53"/>
      <c r="G369" s="53">
        <v>111.447</v>
      </c>
      <c r="H369" s="53"/>
      <c r="I369" s="53"/>
      <c r="J369" s="107"/>
      <c r="K369" s="107"/>
      <c r="L369" s="107"/>
      <c r="M369" s="107"/>
      <c r="N369" s="107"/>
      <c r="O369" s="107"/>
      <c r="P369" s="107">
        <v>43.497999999999998</v>
      </c>
      <c r="Q369" s="107">
        <v>1.9139999999999999</v>
      </c>
      <c r="R369" s="107"/>
      <c r="S369" s="107"/>
      <c r="T369" s="107"/>
      <c r="U369" s="107"/>
      <c r="V369" s="107"/>
      <c r="W369" s="107"/>
      <c r="X369" s="107"/>
      <c r="Y369" s="107"/>
      <c r="Z369" s="107"/>
      <c r="AA369" s="107"/>
      <c r="AB369" s="107"/>
      <c r="AC369" s="107"/>
      <c r="AD369" s="107"/>
      <c r="AE369" s="107"/>
      <c r="AF369" s="107"/>
      <c r="AG369" s="107"/>
      <c r="AH369" s="315">
        <f t="shared" si="69"/>
        <v>156.85899999999998</v>
      </c>
    </row>
    <row r="370" spans="1:34" ht="15">
      <c r="A370" s="73" t="s">
        <v>150</v>
      </c>
      <c r="B370" s="1081">
        <f t="shared" si="68"/>
        <v>272.72200000000009</v>
      </c>
      <c r="C370" s="100"/>
      <c r="D370" s="107"/>
      <c r="E370" s="107"/>
      <c r="F370" s="107"/>
      <c r="G370" s="107"/>
      <c r="H370" s="107"/>
      <c r="I370" s="107"/>
      <c r="J370" s="107"/>
      <c r="K370" s="107">
        <v>5.3019999999999996</v>
      </c>
      <c r="L370" s="107"/>
      <c r="M370" s="107">
        <v>28.757999999999999</v>
      </c>
      <c r="N370" s="107">
        <v>9.9740000000000002</v>
      </c>
      <c r="O370" s="107">
        <v>53.1</v>
      </c>
      <c r="P370" s="107">
        <v>12.632999999999999</v>
      </c>
      <c r="Q370" s="107">
        <v>47.902000000000001</v>
      </c>
      <c r="R370" s="107">
        <v>16.152000000000001</v>
      </c>
      <c r="S370" s="107"/>
      <c r="T370" s="107">
        <v>12.613</v>
      </c>
      <c r="U370" s="107">
        <v>74.213999999999999</v>
      </c>
      <c r="V370" s="107">
        <v>7.1189999999999998</v>
      </c>
      <c r="W370" s="107">
        <v>0.19400000000000001</v>
      </c>
      <c r="X370" s="107"/>
      <c r="Y370" s="107"/>
      <c r="Z370" s="107"/>
      <c r="AA370" s="107">
        <v>4.7610000000000001</v>
      </c>
      <c r="AB370" s="107"/>
      <c r="AC370" s="107"/>
      <c r="AD370" s="107"/>
      <c r="AE370" s="107"/>
      <c r="AF370" s="107"/>
      <c r="AG370" s="107"/>
      <c r="AH370" s="107">
        <f t="shared" si="69"/>
        <v>272.72200000000009</v>
      </c>
    </row>
    <row r="371" spans="1:34" s="312" customFormat="1" ht="15">
      <c r="A371" s="314" t="s">
        <v>151</v>
      </c>
      <c r="B371" s="3025">
        <f t="shared" si="68"/>
        <v>5.0629999999999997</v>
      </c>
      <c r="C371" s="103"/>
      <c r="D371" s="107"/>
      <c r="E371" s="107">
        <v>1.542</v>
      </c>
      <c r="F371" s="107"/>
      <c r="G371" s="53"/>
      <c r="H371" s="53"/>
      <c r="I371" s="53"/>
      <c r="J371" s="111"/>
      <c r="K371" s="111">
        <v>3.5209999999999999</v>
      </c>
      <c r="L371" s="107"/>
      <c r="M371" s="107"/>
      <c r="N371" s="107"/>
      <c r="O371" s="107"/>
      <c r="P371" s="107"/>
      <c r="Q371" s="107"/>
      <c r="R371" s="107"/>
      <c r="S371" s="107"/>
      <c r="T371" s="107"/>
      <c r="U371" s="107"/>
      <c r="V371" s="107"/>
      <c r="W371" s="107"/>
      <c r="X371" s="107"/>
      <c r="Y371" s="107"/>
      <c r="Z371" s="107"/>
      <c r="AA371" s="107"/>
      <c r="AB371" s="107"/>
      <c r="AC371" s="107"/>
      <c r="AD371" s="107"/>
      <c r="AE371" s="107"/>
      <c r="AF371" s="107"/>
      <c r="AG371" s="107"/>
      <c r="AH371" s="107">
        <f t="shared" si="69"/>
        <v>5.0629999999999997</v>
      </c>
    </row>
    <row r="372" spans="1:34" s="312" customFormat="1" ht="15">
      <c r="A372" s="314" t="s">
        <v>152</v>
      </c>
      <c r="B372" s="3025">
        <f t="shared" si="68"/>
        <v>0</v>
      </c>
      <c r="C372" s="103"/>
      <c r="D372" s="53"/>
      <c r="E372" s="53"/>
      <c r="F372" s="53"/>
      <c r="G372" s="53"/>
      <c r="H372" s="53"/>
      <c r="I372" s="53"/>
      <c r="J372" s="111"/>
      <c r="K372" s="111"/>
      <c r="L372" s="107"/>
      <c r="M372" s="107"/>
      <c r="N372" s="107"/>
      <c r="O372" s="107"/>
      <c r="P372" s="107"/>
      <c r="Q372" s="107"/>
      <c r="R372" s="107"/>
      <c r="S372" s="107"/>
      <c r="T372" s="107"/>
      <c r="U372" s="107"/>
      <c r="V372" s="107"/>
      <c r="W372" s="107"/>
      <c r="X372" s="107"/>
      <c r="Y372" s="107"/>
      <c r="Z372" s="107"/>
      <c r="AA372" s="107"/>
      <c r="AB372" s="107"/>
      <c r="AC372" s="107"/>
      <c r="AD372" s="107"/>
      <c r="AE372" s="107"/>
      <c r="AF372" s="107"/>
      <c r="AG372" s="107"/>
      <c r="AH372" s="107">
        <f t="shared" si="69"/>
        <v>0</v>
      </c>
    </row>
    <row r="373" spans="1:34" ht="15">
      <c r="A373" s="73" t="s">
        <v>153</v>
      </c>
      <c r="B373" s="3025">
        <f t="shared" si="68"/>
        <v>0</v>
      </c>
      <c r="C373" s="100"/>
      <c r="D373" s="107"/>
      <c r="E373" s="107"/>
      <c r="F373" s="107"/>
      <c r="G373" s="107"/>
      <c r="H373" s="107"/>
      <c r="I373" s="107"/>
      <c r="J373" s="111"/>
      <c r="K373" s="111"/>
      <c r="L373" s="53"/>
      <c r="M373" s="53"/>
      <c r="N373" s="53"/>
      <c r="O373" s="53"/>
      <c r="P373" s="53"/>
      <c r="Q373" s="53"/>
      <c r="R373" s="53"/>
      <c r="S373" s="53"/>
      <c r="T373" s="53"/>
      <c r="U373" s="53"/>
      <c r="V373" s="53"/>
      <c r="W373" s="53"/>
      <c r="X373" s="53"/>
      <c r="Y373" s="53"/>
      <c r="Z373" s="53"/>
      <c r="AA373" s="53"/>
      <c r="AB373" s="53"/>
      <c r="AC373" s="53"/>
      <c r="AD373" s="53"/>
      <c r="AE373" s="53"/>
      <c r="AF373" s="53"/>
      <c r="AG373" s="53"/>
      <c r="AH373" s="107">
        <f t="shared" si="69"/>
        <v>0</v>
      </c>
    </row>
    <row r="374" spans="1:34" ht="15">
      <c r="A374" s="73" t="s">
        <v>154</v>
      </c>
      <c r="B374" s="3025">
        <f t="shared" si="68"/>
        <v>0</v>
      </c>
      <c r="C374" s="103"/>
      <c r="D374" s="2503" t="s">
        <v>318</v>
      </c>
      <c r="E374" s="2503" t="s">
        <v>318</v>
      </c>
      <c r="F374" s="2503" t="s">
        <v>318</v>
      </c>
      <c r="G374" s="2503" t="s">
        <v>318</v>
      </c>
      <c r="H374" s="2503" t="s">
        <v>318</v>
      </c>
      <c r="I374" s="2503" t="s">
        <v>318</v>
      </c>
      <c r="J374" s="2503" t="s">
        <v>318</v>
      </c>
      <c r="K374" s="2503" t="s">
        <v>318</v>
      </c>
      <c r="L374" s="2503" t="s">
        <v>318</v>
      </c>
      <c r="M374" s="2503" t="s">
        <v>318</v>
      </c>
      <c r="N374" s="2503" t="s">
        <v>318</v>
      </c>
      <c r="O374" s="2503" t="s">
        <v>318</v>
      </c>
      <c r="P374" s="2503" t="s">
        <v>318</v>
      </c>
      <c r="Q374" s="2503" t="s">
        <v>318</v>
      </c>
      <c r="R374" s="2503" t="s">
        <v>318</v>
      </c>
      <c r="S374" s="2503" t="s">
        <v>318</v>
      </c>
      <c r="T374" s="2503" t="s">
        <v>318</v>
      </c>
      <c r="U374" s="2503" t="s">
        <v>318</v>
      </c>
      <c r="V374" s="2503" t="s">
        <v>318</v>
      </c>
      <c r="W374" s="2503" t="s">
        <v>318</v>
      </c>
      <c r="X374" s="2503" t="s">
        <v>318</v>
      </c>
      <c r="Y374" s="2503" t="s">
        <v>318</v>
      </c>
      <c r="Z374" s="2503" t="s">
        <v>318</v>
      </c>
      <c r="AA374" s="2503" t="s">
        <v>318</v>
      </c>
      <c r="AB374" s="2503" t="s">
        <v>318</v>
      </c>
      <c r="AC374" s="2503" t="s">
        <v>318</v>
      </c>
      <c r="AD374" s="2503" t="s">
        <v>318</v>
      </c>
      <c r="AE374" s="2503" t="s">
        <v>318</v>
      </c>
      <c r="AF374" s="2503" t="s">
        <v>318</v>
      </c>
      <c r="AG374" s="2503" t="s">
        <v>318</v>
      </c>
      <c r="AH374" s="107">
        <f t="shared" si="69"/>
        <v>0</v>
      </c>
    </row>
    <row r="375" spans="1:34" ht="15">
      <c r="A375" s="73" t="s">
        <v>155</v>
      </c>
      <c r="B375" s="3025">
        <f t="shared" si="68"/>
        <v>0</v>
      </c>
      <c r="C375" s="188" t="s">
        <v>318</v>
      </c>
      <c r="D375" s="188" t="s">
        <v>318</v>
      </c>
      <c r="E375" s="188" t="s">
        <v>318</v>
      </c>
      <c r="F375" s="188" t="s">
        <v>318</v>
      </c>
      <c r="G375" s="188" t="s">
        <v>318</v>
      </c>
      <c r="H375" s="188" t="s">
        <v>318</v>
      </c>
      <c r="I375" s="188" t="s">
        <v>318</v>
      </c>
      <c r="J375" s="188" t="s">
        <v>318</v>
      </c>
      <c r="K375" s="188" t="s">
        <v>318</v>
      </c>
      <c r="L375" s="188" t="s">
        <v>318</v>
      </c>
      <c r="M375" s="188" t="s">
        <v>318</v>
      </c>
      <c r="N375" s="188" t="s">
        <v>318</v>
      </c>
      <c r="O375" s="188" t="s">
        <v>318</v>
      </c>
      <c r="P375" s="188" t="s">
        <v>318</v>
      </c>
      <c r="Q375" s="188" t="s">
        <v>318</v>
      </c>
      <c r="R375" s="53"/>
      <c r="S375" s="53"/>
      <c r="T375" s="53"/>
      <c r="U375" s="53"/>
      <c r="V375" s="53"/>
      <c r="W375" s="53"/>
      <c r="X375" s="53"/>
      <c r="Y375" s="53"/>
      <c r="Z375" s="53"/>
      <c r="AA375" s="53"/>
      <c r="AB375" s="53"/>
      <c r="AC375" s="53"/>
      <c r="AD375" s="53"/>
      <c r="AE375" s="107"/>
      <c r="AF375" s="53"/>
      <c r="AG375" s="107"/>
      <c r="AH375" s="107">
        <f t="shared" si="69"/>
        <v>0</v>
      </c>
    </row>
    <row r="376" spans="1:34" ht="15">
      <c r="A376" s="73" t="s">
        <v>156</v>
      </c>
      <c r="B376" s="3025">
        <f t="shared" si="68"/>
        <v>0</v>
      </c>
      <c r="C376" s="103"/>
      <c r="D376" s="53"/>
      <c r="E376" s="53"/>
      <c r="F376" s="53"/>
      <c r="G376" s="53"/>
      <c r="H376" s="53"/>
      <c r="I376" s="53"/>
      <c r="J376" s="53"/>
      <c r="K376" s="53"/>
      <c r="L376" s="53"/>
      <c r="M376" s="53"/>
      <c r="N376" s="53"/>
      <c r="O376" s="53"/>
      <c r="P376" s="53"/>
      <c r="Q376" s="53"/>
      <c r="R376" s="53"/>
      <c r="S376" s="53"/>
      <c r="T376" s="53"/>
      <c r="U376" s="53"/>
      <c r="V376" s="53"/>
      <c r="W376" s="53"/>
      <c r="X376" s="53"/>
      <c r="Y376" s="53"/>
      <c r="Z376" s="53"/>
      <c r="AA376" s="53"/>
      <c r="AB376" s="53"/>
      <c r="AC376" s="53"/>
      <c r="AD376" s="53"/>
      <c r="AE376" s="107"/>
      <c r="AF376" s="53"/>
      <c r="AG376" s="107"/>
      <c r="AH376" s="107">
        <f>SUM(C376:AG376)</f>
        <v>0</v>
      </c>
    </row>
    <row r="377" spans="1:34" ht="15">
      <c r="A377" s="199" t="s">
        <v>144</v>
      </c>
      <c r="B377" s="229">
        <f>SUM(B365:B376)</f>
        <v>7018.0010000000002</v>
      </c>
      <c r="C377" s="100">
        <f>SUM(C365:C375)</f>
        <v>203.36</v>
      </c>
      <c r="D377" s="107">
        <f>SUM(D365:D375)</f>
        <v>34.582999999999998</v>
      </c>
      <c r="E377" s="107">
        <v>0</v>
      </c>
      <c r="F377" s="107">
        <f t="shared" ref="F377:AC377" si="70">SUM(F365:F375)</f>
        <v>104.372</v>
      </c>
      <c r="G377" s="107">
        <f t="shared" si="70"/>
        <v>171.44900000000001</v>
      </c>
      <c r="H377" s="107">
        <f t="shared" si="70"/>
        <v>107.71599999999999</v>
      </c>
      <c r="I377" s="107">
        <f t="shared" si="70"/>
        <v>89.89</v>
      </c>
      <c r="J377" s="107">
        <f t="shared" si="70"/>
        <v>8.4700000000000006</v>
      </c>
      <c r="K377" s="107">
        <f t="shared" si="70"/>
        <v>21.22</v>
      </c>
      <c r="L377" s="107">
        <f t="shared" si="70"/>
        <v>122.468</v>
      </c>
      <c r="M377" s="107">
        <f t="shared" si="70"/>
        <v>99.540999999999997</v>
      </c>
      <c r="N377" s="107">
        <f t="shared" si="70"/>
        <v>55.641999999999996</v>
      </c>
      <c r="O377" s="107">
        <f t="shared" si="70"/>
        <v>229.81200000000001</v>
      </c>
      <c r="P377" s="107">
        <f t="shared" si="70"/>
        <v>184.19200000000001</v>
      </c>
      <c r="Q377" s="107">
        <f t="shared" si="70"/>
        <v>490.94799999999998</v>
      </c>
      <c r="R377" s="107">
        <f t="shared" si="70"/>
        <v>173.33100000000002</v>
      </c>
      <c r="S377" s="107">
        <f t="shared" si="70"/>
        <v>186.41</v>
      </c>
      <c r="T377" s="107">
        <f t="shared" si="70"/>
        <v>52.670999999999999</v>
      </c>
      <c r="U377" s="107">
        <f t="shared" si="70"/>
        <v>253.797</v>
      </c>
      <c r="V377" s="107">
        <f t="shared" si="70"/>
        <v>53.824000000000005</v>
      </c>
      <c r="W377" s="107">
        <f t="shared" si="70"/>
        <v>343.91700000000003</v>
      </c>
      <c r="X377" s="107">
        <f t="shared" si="70"/>
        <v>312.04300000000001</v>
      </c>
      <c r="Y377" s="107">
        <f t="shared" si="70"/>
        <v>719.75200000000007</v>
      </c>
      <c r="Z377" s="107">
        <f t="shared" si="70"/>
        <v>215.46100000000001</v>
      </c>
      <c r="AA377" s="107">
        <f t="shared" si="70"/>
        <v>388.02800000000002</v>
      </c>
      <c r="AB377" s="107">
        <f t="shared" si="70"/>
        <v>284.80599999999998</v>
      </c>
      <c r="AC377" s="107">
        <f t="shared" si="70"/>
        <v>453.75200000000001</v>
      </c>
      <c r="AD377" s="107">
        <v>0</v>
      </c>
      <c r="AE377" s="107">
        <f>SUM(AE365:AE375)</f>
        <v>837.20100000000002</v>
      </c>
      <c r="AF377" s="107">
        <f>SUM(AF365:AF375)</f>
        <v>0</v>
      </c>
      <c r="AG377" s="107">
        <f>SUM(AG365:AG375)</f>
        <v>251.15899999999999</v>
      </c>
      <c r="AH377" s="100">
        <f>SUM(AH365:AH375)</f>
        <v>7018.0010000000002</v>
      </c>
    </row>
    <row r="378" spans="1:34" ht="5.0999999999999996" customHeight="1">
      <c r="A378" s="49"/>
      <c r="B378" s="170"/>
      <c r="C378" s="1"/>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c r="AG378" s="14"/>
      <c r="AH378" s="1"/>
    </row>
    <row r="379" spans="1:34" ht="15">
      <c r="A379" s="3854" t="s">
        <v>123</v>
      </c>
      <c r="B379" s="3855"/>
      <c r="C379" s="3855"/>
      <c r="D379" s="3855"/>
      <c r="E379" s="3855"/>
      <c r="F379" s="3855"/>
      <c r="G379" s="3855"/>
      <c r="H379" s="3856"/>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c r="AG379" s="14"/>
      <c r="AH379" s="14"/>
    </row>
    <row r="380" spans="1:34" ht="15">
      <c r="A380" s="8" t="s">
        <v>161</v>
      </c>
      <c r="B380" s="172" t="s">
        <v>143</v>
      </c>
      <c r="C380" s="2907">
        <v>1</v>
      </c>
      <c r="D380" s="73">
        <v>2</v>
      </c>
      <c r="E380" s="73">
        <v>3</v>
      </c>
      <c r="F380" s="73">
        <v>4</v>
      </c>
      <c r="G380" s="73">
        <v>5</v>
      </c>
      <c r="H380" s="73">
        <v>6</v>
      </c>
      <c r="I380" s="73">
        <v>7</v>
      </c>
      <c r="J380" s="73">
        <v>8</v>
      </c>
      <c r="K380" s="73">
        <v>9</v>
      </c>
      <c r="L380" s="73">
        <v>10</v>
      </c>
      <c r="M380" s="73">
        <v>11</v>
      </c>
      <c r="N380" s="73">
        <v>12</v>
      </c>
      <c r="O380" s="73">
        <v>13</v>
      </c>
      <c r="P380" s="73">
        <v>14</v>
      </c>
      <c r="Q380" s="73">
        <v>15</v>
      </c>
      <c r="R380" s="73">
        <v>16</v>
      </c>
      <c r="S380" s="73">
        <v>17</v>
      </c>
      <c r="T380" s="73">
        <v>18</v>
      </c>
      <c r="U380" s="73">
        <v>19</v>
      </c>
      <c r="V380" s="73">
        <v>20</v>
      </c>
      <c r="W380" s="73">
        <v>21</v>
      </c>
      <c r="X380" s="73">
        <v>22</v>
      </c>
      <c r="Y380" s="73">
        <v>23</v>
      </c>
      <c r="Z380" s="73">
        <v>24</v>
      </c>
      <c r="AA380" s="73">
        <v>25</v>
      </c>
      <c r="AB380" s="73">
        <v>26</v>
      </c>
      <c r="AC380" s="73">
        <v>27</v>
      </c>
      <c r="AD380" s="73">
        <v>28</v>
      </c>
      <c r="AE380" s="73">
        <v>29</v>
      </c>
      <c r="AF380" s="73">
        <v>30</v>
      </c>
      <c r="AG380" s="73">
        <v>31</v>
      </c>
      <c r="AH380" s="88" t="s">
        <v>144</v>
      </c>
    </row>
    <row r="381" spans="1:34" ht="15">
      <c r="A381" s="73" t="s">
        <v>145</v>
      </c>
      <c r="B381" s="313">
        <f t="shared" ref="B381:B392" si="71">+AH381</f>
        <v>0</v>
      </c>
      <c r="C381" s="188" t="s">
        <v>311</v>
      </c>
      <c r="D381" s="188" t="s">
        <v>311</v>
      </c>
      <c r="E381" s="188" t="s">
        <v>311</v>
      </c>
      <c r="F381" s="188" t="s">
        <v>311</v>
      </c>
      <c r="G381" s="188" t="s">
        <v>311</v>
      </c>
      <c r="H381" s="188" t="s">
        <v>311</v>
      </c>
      <c r="I381" s="188" t="s">
        <v>311</v>
      </c>
      <c r="J381" s="188" t="s">
        <v>311</v>
      </c>
      <c r="K381" s="188" t="s">
        <v>311</v>
      </c>
      <c r="L381" s="188" t="s">
        <v>311</v>
      </c>
      <c r="M381" s="188" t="s">
        <v>311</v>
      </c>
      <c r="N381" s="188" t="s">
        <v>311</v>
      </c>
      <c r="O381" s="188" t="s">
        <v>311</v>
      </c>
      <c r="P381" s="188" t="s">
        <v>311</v>
      </c>
      <c r="Q381" s="188" t="s">
        <v>311</v>
      </c>
      <c r="R381" s="188" t="s">
        <v>311</v>
      </c>
      <c r="S381" s="188" t="s">
        <v>311</v>
      </c>
      <c r="T381" s="188" t="s">
        <v>311</v>
      </c>
      <c r="U381" s="188" t="s">
        <v>311</v>
      </c>
      <c r="V381" s="188" t="s">
        <v>311</v>
      </c>
      <c r="W381" s="188" t="s">
        <v>311</v>
      </c>
      <c r="X381" s="188" t="s">
        <v>311</v>
      </c>
      <c r="Y381" s="188" t="s">
        <v>311</v>
      </c>
      <c r="Z381" s="188" t="s">
        <v>311</v>
      </c>
      <c r="AA381" s="188" t="s">
        <v>311</v>
      </c>
      <c r="AB381" s="188" t="s">
        <v>311</v>
      </c>
      <c r="AC381" s="188" t="s">
        <v>311</v>
      </c>
      <c r="AD381" s="188" t="s">
        <v>311</v>
      </c>
      <c r="AE381" s="188" t="s">
        <v>311</v>
      </c>
      <c r="AF381" s="188" t="s">
        <v>311</v>
      </c>
      <c r="AG381" s="188" t="s">
        <v>311</v>
      </c>
      <c r="AH381" s="107">
        <f>SUM(C381:AG381)</f>
        <v>0</v>
      </c>
    </row>
    <row r="382" spans="1:34" ht="15">
      <c r="A382" s="73" t="s">
        <v>146</v>
      </c>
      <c r="B382" s="313">
        <f t="shared" si="71"/>
        <v>65.442000000000007</v>
      </c>
      <c r="C382" s="188" t="s">
        <v>311</v>
      </c>
      <c r="D382" s="188" t="s">
        <v>311</v>
      </c>
      <c r="E382" s="188" t="s">
        <v>311</v>
      </c>
      <c r="F382" s="188" t="s">
        <v>311</v>
      </c>
      <c r="G382" s="188" t="s">
        <v>311</v>
      </c>
      <c r="H382" s="188" t="s">
        <v>311</v>
      </c>
      <c r="I382" s="188" t="s">
        <v>311</v>
      </c>
      <c r="J382" s="306"/>
      <c r="K382" s="306"/>
      <c r="L382" s="306"/>
      <c r="M382" s="306"/>
      <c r="N382" s="306"/>
      <c r="O382" s="306"/>
      <c r="P382" s="306"/>
      <c r="Q382" s="306">
        <v>24.417000000000002</v>
      </c>
      <c r="R382" s="306"/>
      <c r="S382" s="306"/>
      <c r="T382" s="306"/>
      <c r="U382" s="306"/>
      <c r="V382" s="306"/>
      <c r="W382" s="306"/>
      <c r="X382" s="306">
        <v>0.22500000000000001</v>
      </c>
      <c r="Y382" s="306">
        <v>5.5060000000000002</v>
      </c>
      <c r="Z382" s="306">
        <v>2.8380000000000001</v>
      </c>
      <c r="AA382" s="306">
        <v>4.1520000000000001</v>
      </c>
      <c r="AB382" s="306"/>
      <c r="AC382" s="306">
        <v>8.2579999999999991</v>
      </c>
      <c r="AD382" s="306"/>
      <c r="AE382" s="306">
        <v>20.045999999999999</v>
      </c>
      <c r="AF382" s="306"/>
      <c r="AG382" s="306"/>
      <c r="AH382" s="107">
        <f t="shared" ref="AH382:AH392" si="72">SUM(C382:AG382)</f>
        <v>65.442000000000007</v>
      </c>
    </row>
    <row r="383" spans="1:34" ht="15">
      <c r="A383" s="73" t="s">
        <v>147</v>
      </c>
      <c r="B383" s="313">
        <f t="shared" si="71"/>
        <v>473.59</v>
      </c>
      <c r="C383" s="306">
        <v>5.2320000000000002</v>
      </c>
      <c r="D383" s="306">
        <v>8.1839999999999993</v>
      </c>
      <c r="E383" s="306">
        <v>0.63600000000000001</v>
      </c>
      <c r="F383" s="306"/>
      <c r="G383" s="306"/>
      <c r="H383" s="315">
        <v>3.11</v>
      </c>
      <c r="I383" s="107">
        <v>1.232</v>
      </c>
      <c r="J383" s="107">
        <v>1.887</v>
      </c>
      <c r="K383" s="107"/>
      <c r="L383" s="107"/>
      <c r="M383" s="107"/>
      <c r="N383" s="107">
        <v>1.0269999999999999</v>
      </c>
      <c r="O383" s="107">
        <v>8.8140000000000001</v>
      </c>
      <c r="P383" s="107"/>
      <c r="Q383" s="107"/>
      <c r="R383" s="107">
        <v>3.48</v>
      </c>
      <c r="S383" s="107"/>
      <c r="T383" s="107"/>
      <c r="U383" s="107"/>
      <c r="V383" s="107"/>
      <c r="W383" s="107"/>
      <c r="X383" s="107">
        <v>139.779</v>
      </c>
      <c r="Y383" s="107">
        <v>53.356000000000002</v>
      </c>
      <c r="Z383" s="107">
        <v>13.599</v>
      </c>
      <c r="AA383" s="107"/>
      <c r="AB383" s="107"/>
      <c r="AC383" s="107"/>
      <c r="AD383" s="107">
        <v>45.024999999999999</v>
      </c>
      <c r="AE383" s="107">
        <v>119.187</v>
      </c>
      <c r="AF383" s="107">
        <v>29.481999999999999</v>
      </c>
      <c r="AG383" s="107">
        <v>39.56</v>
      </c>
      <c r="AH383" s="107">
        <f t="shared" si="72"/>
        <v>473.59</v>
      </c>
    </row>
    <row r="384" spans="1:34" s="312" customFormat="1" ht="15">
      <c r="A384" s="314" t="s">
        <v>148</v>
      </c>
      <c r="B384" s="1081">
        <f t="shared" si="71"/>
        <v>493.11499999999995</v>
      </c>
      <c r="C384" s="645">
        <v>1.5740000000000001</v>
      </c>
      <c r="D384" s="328"/>
      <c r="E384" s="328"/>
      <c r="F384" s="328"/>
      <c r="G384" s="162"/>
      <c r="H384" s="162"/>
      <c r="I384" s="162"/>
      <c r="J384" s="328"/>
      <c r="K384" s="328"/>
      <c r="L384" s="328"/>
      <c r="M384" s="328">
        <v>2.9550000000000001</v>
      </c>
      <c r="N384" s="328">
        <v>27.975999999999999</v>
      </c>
      <c r="O384" s="328">
        <v>40.079000000000001</v>
      </c>
      <c r="P384" s="328"/>
      <c r="Q384" s="328">
        <v>42.917000000000002</v>
      </c>
      <c r="R384" s="328"/>
      <c r="S384" s="328">
        <v>47.511000000000003</v>
      </c>
      <c r="T384" s="328"/>
      <c r="U384" s="328">
        <v>45.530999999999999</v>
      </c>
      <c r="V384" s="328"/>
      <c r="W384" s="328">
        <v>76.156999999999996</v>
      </c>
      <c r="X384" s="328"/>
      <c r="Y384" s="328">
        <v>55.575000000000003</v>
      </c>
      <c r="Z384" s="328">
        <v>51.762</v>
      </c>
      <c r="AA384" s="328">
        <v>35.613</v>
      </c>
      <c r="AB384" s="328">
        <v>16.106999999999999</v>
      </c>
      <c r="AC384" s="328">
        <v>17.803000000000001</v>
      </c>
      <c r="AD384" s="328">
        <v>31.555</v>
      </c>
      <c r="AE384" s="328"/>
      <c r="AF384" s="328"/>
      <c r="AG384" s="328"/>
      <c r="AH384" s="670">
        <f t="shared" si="72"/>
        <v>493.11499999999995</v>
      </c>
    </row>
    <row r="385" spans="1:34" ht="15">
      <c r="A385" s="73" t="s">
        <v>149</v>
      </c>
      <c r="B385" s="313">
        <f t="shared" si="71"/>
        <v>95.164999999999992</v>
      </c>
      <c r="C385" s="103"/>
      <c r="D385" s="53"/>
      <c r="E385" s="53"/>
      <c r="F385" s="53"/>
      <c r="G385" s="53"/>
      <c r="H385" s="53"/>
      <c r="I385" s="53"/>
      <c r="J385" s="107"/>
      <c r="K385" s="107">
        <v>48.195999999999998</v>
      </c>
      <c r="L385" s="107"/>
      <c r="M385" s="107"/>
      <c r="N385" s="107"/>
      <c r="O385" s="107"/>
      <c r="P385" s="107">
        <v>44.978999999999999</v>
      </c>
      <c r="Q385" s="107">
        <v>1.99</v>
      </c>
      <c r="R385" s="107"/>
      <c r="S385" s="107"/>
      <c r="T385" s="107"/>
      <c r="U385" s="107"/>
      <c r="V385" s="107"/>
      <c r="W385" s="107"/>
      <c r="X385" s="107"/>
      <c r="Y385" s="107"/>
      <c r="Z385" s="107"/>
      <c r="AA385" s="107"/>
      <c r="AB385" s="107"/>
      <c r="AC385" s="107"/>
      <c r="AD385" s="107"/>
      <c r="AE385" s="107"/>
      <c r="AF385" s="107"/>
      <c r="AG385" s="107"/>
      <c r="AH385" s="107">
        <f t="shared" si="72"/>
        <v>95.164999999999992</v>
      </c>
    </row>
    <row r="386" spans="1:34" ht="15">
      <c r="A386" s="73" t="s">
        <v>150</v>
      </c>
      <c r="B386" s="313">
        <f t="shared" si="71"/>
        <v>56.96</v>
      </c>
      <c r="C386" s="100"/>
      <c r="D386" s="107"/>
      <c r="E386" s="107"/>
      <c r="F386" s="107"/>
      <c r="G386" s="107"/>
      <c r="H386" s="107"/>
      <c r="I386" s="107"/>
      <c r="J386" s="107"/>
      <c r="K386" s="107">
        <v>53.118000000000002</v>
      </c>
      <c r="L386" s="107">
        <v>3.117</v>
      </c>
      <c r="M386" s="107">
        <v>0.72499999999999998</v>
      </c>
      <c r="N386" s="107"/>
      <c r="O386" s="107"/>
      <c r="P386" s="107"/>
      <c r="Q386" s="107"/>
      <c r="R386" s="107"/>
      <c r="S386" s="107"/>
      <c r="T386" s="107"/>
      <c r="U386" s="107"/>
      <c r="V386" s="107"/>
      <c r="W386" s="107"/>
      <c r="X386" s="107"/>
      <c r="Y386" s="107"/>
      <c r="Z386" s="107"/>
      <c r="AA386" s="107"/>
      <c r="AB386" s="107"/>
      <c r="AC386" s="107"/>
      <c r="AD386" s="107"/>
      <c r="AE386" s="107"/>
      <c r="AF386" s="107"/>
      <c r="AG386" s="107"/>
      <c r="AH386" s="107">
        <f t="shared" si="72"/>
        <v>56.96</v>
      </c>
    </row>
    <row r="387" spans="1:34" ht="15">
      <c r="A387" s="73" t="s">
        <v>151</v>
      </c>
      <c r="B387" s="319">
        <f t="shared" si="71"/>
        <v>0</v>
      </c>
      <c r="C387" s="103"/>
      <c r="D387" s="107"/>
      <c r="E387" s="107"/>
      <c r="F387" s="107"/>
      <c r="G387" s="53"/>
      <c r="H387" s="53"/>
      <c r="I387" s="53"/>
      <c r="J387" s="111"/>
      <c r="K387" s="111"/>
      <c r="L387" s="107"/>
      <c r="M387" s="107"/>
      <c r="N387" s="107"/>
      <c r="O387" s="107"/>
      <c r="P387" s="107"/>
      <c r="Q387" s="107"/>
      <c r="R387" s="107"/>
      <c r="S387" s="107"/>
      <c r="T387" s="107"/>
      <c r="U387" s="107"/>
      <c r="V387" s="107"/>
      <c r="W387" s="107"/>
      <c r="X387" s="107"/>
      <c r="Y387" s="107"/>
      <c r="Z387" s="107"/>
      <c r="AA387" s="107"/>
      <c r="AB387" s="107"/>
      <c r="AC387" s="107"/>
      <c r="AD387" s="107"/>
      <c r="AE387" s="107"/>
      <c r="AF387" s="107"/>
      <c r="AG387" s="107"/>
      <c r="AH387" s="107">
        <f t="shared" si="72"/>
        <v>0</v>
      </c>
    </row>
    <row r="388" spans="1:34" s="312" customFormat="1" ht="15">
      <c r="A388" s="314" t="s">
        <v>152</v>
      </c>
      <c r="B388" s="319">
        <f t="shared" si="71"/>
        <v>0</v>
      </c>
      <c r="C388" s="103"/>
      <c r="D388" s="53"/>
      <c r="E388" s="53"/>
      <c r="F388" s="53"/>
      <c r="G388" s="53"/>
      <c r="H388" s="53"/>
      <c r="I388" s="53"/>
      <c r="J388" s="111"/>
      <c r="K388" s="111"/>
      <c r="L388" s="107"/>
      <c r="M388" s="107"/>
      <c r="N388" s="107"/>
      <c r="O388" s="107"/>
      <c r="P388" s="107"/>
      <c r="Q388" s="107"/>
      <c r="R388" s="107"/>
      <c r="S388" s="107"/>
      <c r="T388" s="107"/>
      <c r="U388" s="107"/>
      <c r="V388" s="107"/>
      <c r="W388" s="107"/>
      <c r="X388" s="107"/>
      <c r="Y388" s="107"/>
      <c r="Z388" s="107"/>
      <c r="AA388" s="107"/>
      <c r="AB388" s="107"/>
      <c r="AC388" s="107"/>
      <c r="AD388" s="107"/>
      <c r="AE388" s="107"/>
      <c r="AF388" s="107"/>
      <c r="AG388" s="107"/>
      <c r="AH388" s="315">
        <f t="shared" si="72"/>
        <v>0</v>
      </c>
    </row>
    <row r="389" spans="1:34" ht="15">
      <c r="A389" s="73" t="s">
        <v>153</v>
      </c>
      <c r="B389" s="319">
        <f t="shared" si="71"/>
        <v>0</v>
      </c>
      <c r="C389" s="100"/>
      <c r="D389" s="107"/>
      <c r="E389" s="107"/>
      <c r="F389" s="107"/>
      <c r="G389" s="107"/>
      <c r="H389" s="107"/>
      <c r="I389" s="107"/>
      <c r="J389" s="111"/>
      <c r="K389" s="111"/>
      <c r="L389" s="53"/>
      <c r="M389" s="53"/>
      <c r="N389" s="53"/>
      <c r="O389" s="53"/>
      <c r="P389" s="53"/>
      <c r="Q389" s="53"/>
      <c r="R389" s="53"/>
      <c r="S389" s="53"/>
      <c r="T389" s="53"/>
      <c r="U389" s="53"/>
      <c r="V389" s="53"/>
      <c r="W389" s="53"/>
      <c r="X389" s="53"/>
      <c r="Y389" s="53"/>
      <c r="Z389" s="53"/>
      <c r="AA389" s="53"/>
      <c r="AB389" s="53"/>
      <c r="AC389" s="53"/>
      <c r="AD389" s="53"/>
      <c r="AE389" s="53"/>
      <c r="AF389" s="53"/>
      <c r="AG389" s="53"/>
      <c r="AH389" s="107">
        <f t="shared" si="72"/>
        <v>0</v>
      </c>
    </row>
    <row r="390" spans="1:34" ht="15">
      <c r="A390" s="73" t="s">
        <v>154</v>
      </c>
      <c r="B390" s="319">
        <f t="shared" si="71"/>
        <v>0</v>
      </c>
      <c r="C390" s="103"/>
      <c r="D390" s="2503" t="s">
        <v>318</v>
      </c>
      <c r="E390" s="2503" t="s">
        <v>318</v>
      </c>
      <c r="F390" s="2503" t="s">
        <v>318</v>
      </c>
      <c r="G390" s="2503" t="s">
        <v>318</v>
      </c>
      <c r="H390" s="2503" t="s">
        <v>318</v>
      </c>
      <c r="I390" s="2503" t="s">
        <v>318</v>
      </c>
      <c r="J390" s="2503" t="s">
        <v>318</v>
      </c>
      <c r="K390" s="2503" t="s">
        <v>318</v>
      </c>
      <c r="L390" s="2503" t="s">
        <v>318</v>
      </c>
      <c r="M390" s="2503" t="s">
        <v>318</v>
      </c>
      <c r="N390" s="2503" t="s">
        <v>318</v>
      </c>
      <c r="O390" s="2503" t="s">
        <v>318</v>
      </c>
      <c r="P390" s="2503" t="s">
        <v>318</v>
      </c>
      <c r="Q390" s="2503" t="s">
        <v>318</v>
      </c>
      <c r="R390" s="2503" t="s">
        <v>318</v>
      </c>
      <c r="S390" s="2503" t="s">
        <v>318</v>
      </c>
      <c r="T390" s="2503" t="s">
        <v>318</v>
      </c>
      <c r="U390" s="2503" t="s">
        <v>318</v>
      </c>
      <c r="V390" s="2503" t="s">
        <v>318</v>
      </c>
      <c r="W390" s="2503" t="s">
        <v>318</v>
      </c>
      <c r="X390" s="2503" t="s">
        <v>318</v>
      </c>
      <c r="Y390" s="2503" t="s">
        <v>318</v>
      </c>
      <c r="Z390" s="2503" t="s">
        <v>318</v>
      </c>
      <c r="AA390" s="2503" t="s">
        <v>318</v>
      </c>
      <c r="AB390" s="2503" t="s">
        <v>318</v>
      </c>
      <c r="AC390" s="2503" t="s">
        <v>318</v>
      </c>
      <c r="AD390" s="2503" t="s">
        <v>318</v>
      </c>
      <c r="AE390" s="2503" t="s">
        <v>318</v>
      </c>
      <c r="AF390" s="2503" t="s">
        <v>318</v>
      </c>
      <c r="AG390" s="2503" t="s">
        <v>318</v>
      </c>
      <c r="AH390" s="107">
        <f t="shared" si="72"/>
        <v>0</v>
      </c>
    </row>
    <row r="391" spans="1:34" ht="15">
      <c r="A391" s="73" t="s">
        <v>155</v>
      </c>
      <c r="B391" s="70">
        <f t="shared" si="71"/>
        <v>0</v>
      </c>
      <c r="C391" s="188" t="s">
        <v>318</v>
      </c>
      <c r="D391" s="188" t="s">
        <v>318</v>
      </c>
      <c r="E391" s="188" t="s">
        <v>318</v>
      </c>
      <c r="F391" s="188" t="s">
        <v>318</v>
      </c>
      <c r="G391" s="188" t="s">
        <v>318</v>
      </c>
      <c r="H391" s="188" t="s">
        <v>318</v>
      </c>
      <c r="I391" s="188" t="s">
        <v>318</v>
      </c>
      <c r="J391" s="188" t="s">
        <v>318</v>
      </c>
      <c r="K391" s="188" t="s">
        <v>318</v>
      </c>
      <c r="L391" s="188" t="s">
        <v>318</v>
      </c>
      <c r="M391" s="188" t="s">
        <v>318</v>
      </c>
      <c r="N391" s="188" t="s">
        <v>318</v>
      </c>
      <c r="O391" s="188" t="s">
        <v>318</v>
      </c>
      <c r="P391" s="188" t="s">
        <v>318</v>
      </c>
      <c r="Q391" s="188" t="s">
        <v>318</v>
      </c>
      <c r="R391" s="53"/>
      <c r="S391" s="53"/>
      <c r="T391" s="53"/>
      <c r="U391" s="53"/>
      <c r="V391" s="53"/>
      <c r="W391" s="53"/>
      <c r="X391" s="53"/>
      <c r="Y391" s="53"/>
      <c r="Z391" s="53"/>
      <c r="AA391" s="53"/>
      <c r="AB391" s="53"/>
      <c r="AC391" s="53"/>
      <c r="AD391" s="53"/>
      <c r="AE391" s="107"/>
      <c r="AF391" s="53"/>
      <c r="AG391" s="107"/>
      <c r="AH391" s="107">
        <f t="shared" si="72"/>
        <v>0</v>
      </c>
    </row>
    <row r="392" spans="1:34" ht="15">
      <c r="A392" s="73" t="s">
        <v>156</v>
      </c>
      <c r="B392" s="70">
        <f t="shared" si="71"/>
        <v>0</v>
      </c>
      <c r="C392" s="103"/>
      <c r="D392" s="53"/>
      <c r="E392" s="53"/>
      <c r="F392" s="53"/>
      <c r="G392" s="53"/>
      <c r="H392" s="53"/>
      <c r="I392" s="53"/>
      <c r="J392" s="53"/>
      <c r="K392" s="53"/>
      <c r="L392" s="53"/>
      <c r="M392" s="53"/>
      <c r="N392" s="53"/>
      <c r="O392" s="53"/>
      <c r="P392" s="53"/>
      <c r="Q392" s="53"/>
      <c r="R392" s="53"/>
      <c r="S392" s="53"/>
      <c r="T392" s="53"/>
      <c r="U392" s="53"/>
      <c r="V392" s="53"/>
      <c r="W392" s="53"/>
      <c r="X392" s="53"/>
      <c r="Y392" s="53"/>
      <c r="Z392" s="53"/>
      <c r="AA392" s="53"/>
      <c r="AB392" s="53"/>
      <c r="AC392" s="53"/>
      <c r="AD392" s="53"/>
      <c r="AE392" s="107"/>
      <c r="AF392" s="53"/>
      <c r="AG392" s="107"/>
      <c r="AH392" s="107">
        <f t="shared" si="72"/>
        <v>0</v>
      </c>
    </row>
    <row r="393" spans="1:34" ht="15">
      <c r="A393" s="199" t="s">
        <v>144</v>
      </c>
      <c r="B393" s="229">
        <f>SUM(B381:B392)</f>
        <v>1184.2719999999999</v>
      </c>
      <c r="C393" s="100">
        <f>SUM(C381:C391)</f>
        <v>6.806</v>
      </c>
      <c r="D393" s="107">
        <f>SUM(D381:D391)</f>
        <v>8.1839999999999993</v>
      </c>
      <c r="E393" s="107">
        <v>0</v>
      </c>
      <c r="F393" s="107">
        <f t="shared" ref="F393:AC393" si="73">SUM(F381:F391)</f>
        <v>0</v>
      </c>
      <c r="G393" s="107">
        <f t="shared" si="73"/>
        <v>0</v>
      </c>
      <c r="H393" s="107">
        <f t="shared" si="73"/>
        <v>3.11</v>
      </c>
      <c r="I393" s="107">
        <f t="shared" si="73"/>
        <v>1.232</v>
      </c>
      <c r="J393" s="107">
        <f t="shared" si="73"/>
        <v>1.887</v>
      </c>
      <c r="K393" s="107">
        <f t="shared" si="73"/>
        <v>101.31399999999999</v>
      </c>
      <c r="L393" s="107">
        <f t="shared" si="73"/>
        <v>3.117</v>
      </c>
      <c r="M393" s="107">
        <f t="shared" si="73"/>
        <v>3.68</v>
      </c>
      <c r="N393" s="107">
        <f t="shared" si="73"/>
        <v>29.003</v>
      </c>
      <c r="O393" s="107">
        <f t="shared" si="73"/>
        <v>48.893000000000001</v>
      </c>
      <c r="P393" s="107">
        <f t="shared" si="73"/>
        <v>44.978999999999999</v>
      </c>
      <c r="Q393" s="107">
        <f t="shared" si="73"/>
        <v>69.323999999999998</v>
      </c>
      <c r="R393" s="107">
        <f t="shared" si="73"/>
        <v>3.48</v>
      </c>
      <c r="S393" s="107">
        <f t="shared" si="73"/>
        <v>47.511000000000003</v>
      </c>
      <c r="T393" s="107">
        <f t="shared" si="73"/>
        <v>0</v>
      </c>
      <c r="U393" s="107">
        <f t="shared" si="73"/>
        <v>45.530999999999999</v>
      </c>
      <c r="V393" s="107">
        <f t="shared" si="73"/>
        <v>0</v>
      </c>
      <c r="W393" s="107">
        <f t="shared" si="73"/>
        <v>76.156999999999996</v>
      </c>
      <c r="X393" s="107">
        <f t="shared" si="73"/>
        <v>140.00399999999999</v>
      </c>
      <c r="Y393" s="107">
        <f t="shared" si="73"/>
        <v>114.43700000000001</v>
      </c>
      <c r="Z393" s="107">
        <f t="shared" si="73"/>
        <v>68.198999999999998</v>
      </c>
      <c r="AA393" s="107">
        <f t="shared" si="73"/>
        <v>39.765000000000001</v>
      </c>
      <c r="AB393" s="107">
        <f t="shared" si="73"/>
        <v>16.106999999999999</v>
      </c>
      <c r="AC393" s="107">
        <f t="shared" si="73"/>
        <v>26.061</v>
      </c>
      <c r="AD393" s="107">
        <v>0</v>
      </c>
      <c r="AE393" s="107">
        <f>SUM(AE381:AE391)</f>
        <v>139.233</v>
      </c>
      <c r="AF393" s="107">
        <f>SUM(AF381:AF391)</f>
        <v>29.481999999999999</v>
      </c>
      <c r="AG393" s="107">
        <f>SUM(AG381:AG391)</f>
        <v>39.56</v>
      </c>
      <c r="AH393" s="100">
        <f>SUM(AH381:AH391)</f>
        <v>1184.2719999999999</v>
      </c>
    </row>
    <row r="394" spans="1:34" ht="5.0999999999999996" customHeight="1">
      <c r="A394" s="49"/>
      <c r="B394" s="170"/>
      <c r="C394" s="1"/>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c r="AG394" s="14"/>
      <c r="AH394" s="1"/>
    </row>
    <row r="395" spans="1:34" ht="15">
      <c r="A395" s="3854" t="s">
        <v>274</v>
      </c>
      <c r="B395" s="3855"/>
      <c r="C395" s="3855"/>
      <c r="D395" s="3855"/>
      <c r="E395" s="3855"/>
      <c r="F395" s="3855"/>
      <c r="G395" s="3855"/>
      <c r="H395" s="3856"/>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c r="AG395" s="14"/>
      <c r="AH395" s="14"/>
    </row>
    <row r="396" spans="1:34" ht="15">
      <c r="A396" s="8" t="s">
        <v>161</v>
      </c>
      <c r="B396" s="172" t="s">
        <v>143</v>
      </c>
      <c r="C396" s="2907">
        <v>1</v>
      </c>
      <c r="D396" s="73">
        <v>2</v>
      </c>
      <c r="E396" s="73">
        <v>3</v>
      </c>
      <c r="F396" s="73">
        <v>4</v>
      </c>
      <c r="G396" s="73">
        <v>5</v>
      </c>
      <c r="H396" s="73">
        <v>6</v>
      </c>
      <c r="I396" s="73">
        <v>7</v>
      </c>
      <c r="J396" s="73">
        <v>8</v>
      </c>
      <c r="K396" s="73">
        <v>9</v>
      </c>
      <c r="L396" s="73">
        <v>10</v>
      </c>
      <c r="M396" s="73">
        <v>11</v>
      </c>
      <c r="N396" s="73">
        <v>12</v>
      </c>
      <c r="O396" s="73">
        <v>13</v>
      </c>
      <c r="P396" s="73">
        <v>14</v>
      </c>
      <c r="Q396" s="73">
        <v>15</v>
      </c>
      <c r="R396" s="73">
        <v>16</v>
      </c>
      <c r="S396" s="73">
        <v>17</v>
      </c>
      <c r="T396" s="73">
        <v>18</v>
      </c>
      <c r="U396" s="73">
        <v>19</v>
      </c>
      <c r="V396" s="73">
        <v>20</v>
      </c>
      <c r="W396" s="73">
        <v>21</v>
      </c>
      <c r="X396" s="73">
        <v>22</v>
      </c>
      <c r="Y396" s="73">
        <v>23</v>
      </c>
      <c r="Z396" s="73">
        <v>24</v>
      </c>
      <c r="AA396" s="73">
        <v>25</v>
      </c>
      <c r="AB396" s="73">
        <v>26</v>
      </c>
      <c r="AC396" s="73">
        <v>27</v>
      </c>
      <c r="AD396" s="73">
        <v>28</v>
      </c>
      <c r="AE396" s="73">
        <v>29</v>
      </c>
      <c r="AF396" s="73">
        <v>30</v>
      </c>
      <c r="AG396" s="73">
        <v>31</v>
      </c>
      <c r="AH396" s="88" t="s">
        <v>144</v>
      </c>
    </row>
    <row r="397" spans="1:34" ht="15">
      <c r="A397" s="73" t="s">
        <v>145</v>
      </c>
      <c r="B397" s="313">
        <f t="shared" ref="B397:B408" si="74">+AH397</f>
        <v>0</v>
      </c>
      <c r="C397" s="188" t="s">
        <v>311</v>
      </c>
      <c r="D397" s="188" t="s">
        <v>311</v>
      </c>
      <c r="E397" s="188" t="s">
        <v>311</v>
      </c>
      <c r="F397" s="188" t="s">
        <v>311</v>
      </c>
      <c r="G397" s="188" t="s">
        <v>311</v>
      </c>
      <c r="H397" s="188" t="s">
        <v>311</v>
      </c>
      <c r="I397" s="188" t="s">
        <v>311</v>
      </c>
      <c r="J397" s="188" t="s">
        <v>311</v>
      </c>
      <c r="K397" s="188" t="s">
        <v>311</v>
      </c>
      <c r="L397" s="188" t="s">
        <v>311</v>
      </c>
      <c r="M397" s="188" t="s">
        <v>311</v>
      </c>
      <c r="N397" s="188" t="s">
        <v>311</v>
      </c>
      <c r="O397" s="188" t="s">
        <v>311</v>
      </c>
      <c r="P397" s="188" t="s">
        <v>311</v>
      </c>
      <c r="Q397" s="188" t="s">
        <v>311</v>
      </c>
      <c r="R397" s="188" t="s">
        <v>311</v>
      </c>
      <c r="S397" s="188" t="s">
        <v>311</v>
      </c>
      <c r="T397" s="188" t="s">
        <v>311</v>
      </c>
      <c r="U397" s="188" t="s">
        <v>311</v>
      </c>
      <c r="V397" s="188" t="s">
        <v>311</v>
      </c>
      <c r="W397" s="188" t="s">
        <v>311</v>
      </c>
      <c r="X397" s="188" t="s">
        <v>311</v>
      </c>
      <c r="Y397" s="188" t="s">
        <v>311</v>
      </c>
      <c r="Z397" s="188" t="s">
        <v>311</v>
      </c>
      <c r="AA397" s="188" t="s">
        <v>311</v>
      </c>
      <c r="AB397" s="188" t="s">
        <v>311</v>
      </c>
      <c r="AC397" s="188" t="s">
        <v>311</v>
      </c>
      <c r="AD397" s="188" t="s">
        <v>311</v>
      </c>
      <c r="AE397" s="188" t="s">
        <v>311</v>
      </c>
      <c r="AF397" s="188" t="s">
        <v>311</v>
      </c>
      <c r="AG397" s="188" t="s">
        <v>311</v>
      </c>
      <c r="AH397" s="107">
        <f t="shared" ref="AH397:AH408" si="75">SUM(C397:AG397)</f>
        <v>0</v>
      </c>
    </row>
    <row r="398" spans="1:34" ht="15">
      <c r="A398" s="73" t="s">
        <v>146</v>
      </c>
      <c r="B398" s="313">
        <f t="shared" si="74"/>
        <v>0</v>
      </c>
      <c r="C398" s="188" t="s">
        <v>311</v>
      </c>
      <c r="D398" s="188" t="s">
        <v>311</v>
      </c>
      <c r="E398" s="188" t="s">
        <v>311</v>
      </c>
      <c r="F398" s="188" t="s">
        <v>311</v>
      </c>
      <c r="G398" s="188" t="s">
        <v>311</v>
      </c>
      <c r="H398" s="188" t="s">
        <v>311</v>
      </c>
      <c r="I398" s="188" t="s">
        <v>311</v>
      </c>
      <c r="J398" s="306"/>
      <c r="K398" s="306"/>
      <c r="L398" s="306"/>
      <c r="M398" s="306"/>
      <c r="N398" s="306"/>
      <c r="O398" s="306"/>
      <c r="P398" s="306"/>
      <c r="Q398" s="306"/>
      <c r="R398" s="306"/>
      <c r="S398" s="306"/>
      <c r="T398" s="306"/>
      <c r="U398" s="306"/>
      <c r="V398" s="306"/>
      <c r="W398" s="306"/>
      <c r="X398" s="306"/>
      <c r="Y398" s="306"/>
      <c r="Z398" s="306"/>
      <c r="AA398" s="306"/>
      <c r="AB398" s="306"/>
      <c r="AC398" s="306"/>
      <c r="AD398" s="306"/>
      <c r="AE398" s="306"/>
      <c r="AF398" s="306"/>
      <c r="AG398" s="306"/>
      <c r="AH398" s="107">
        <f t="shared" si="75"/>
        <v>0</v>
      </c>
    </row>
    <row r="399" spans="1:34" ht="15">
      <c r="A399" s="73" t="s">
        <v>147</v>
      </c>
      <c r="B399" s="313">
        <f t="shared" si="74"/>
        <v>0</v>
      </c>
      <c r="C399" s="306"/>
      <c r="D399" s="306"/>
      <c r="E399" s="306"/>
      <c r="F399" s="306"/>
      <c r="G399" s="306"/>
      <c r="H399" s="315"/>
      <c r="I399" s="107"/>
      <c r="J399" s="107"/>
      <c r="K399" s="107"/>
      <c r="L399" s="107"/>
      <c r="M399" s="107"/>
      <c r="N399" s="107"/>
      <c r="O399" s="107"/>
      <c r="P399" s="107"/>
      <c r="Q399" s="107"/>
      <c r="R399" s="107"/>
      <c r="S399" s="107"/>
      <c r="T399" s="107"/>
      <c r="U399" s="107"/>
      <c r="V399" s="107"/>
      <c r="W399" s="107"/>
      <c r="X399" s="107"/>
      <c r="Y399" s="107"/>
      <c r="Z399" s="107"/>
      <c r="AA399" s="107"/>
      <c r="AB399" s="107"/>
      <c r="AC399" s="107"/>
      <c r="AD399" s="107"/>
      <c r="AE399" s="107"/>
      <c r="AF399" s="107"/>
      <c r="AG399" s="107"/>
      <c r="AH399" s="107">
        <f t="shared" si="75"/>
        <v>0</v>
      </c>
    </row>
    <row r="400" spans="1:34" s="294" customFormat="1" ht="15">
      <c r="A400" s="314" t="s">
        <v>148</v>
      </c>
      <c r="B400" s="313">
        <f t="shared" si="74"/>
        <v>0</v>
      </c>
      <c r="C400" s="103"/>
      <c r="D400" s="107"/>
      <c r="E400" s="107"/>
      <c r="F400" s="107"/>
      <c r="G400" s="53"/>
      <c r="H400" s="53"/>
      <c r="I400" s="53"/>
      <c r="J400" s="107"/>
      <c r="K400" s="107"/>
      <c r="L400" s="107"/>
      <c r="M400" s="107"/>
      <c r="N400" s="107"/>
      <c r="O400" s="107"/>
      <c r="P400" s="107"/>
      <c r="Q400" s="107"/>
      <c r="R400" s="107"/>
      <c r="S400" s="107"/>
      <c r="T400" s="107"/>
      <c r="U400" s="107"/>
      <c r="V400" s="107"/>
      <c r="W400" s="107"/>
      <c r="X400" s="107"/>
      <c r="Y400" s="107"/>
      <c r="Z400" s="107"/>
      <c r="AA400" s="107"/>
      <c r="AB400" s="107"/>
      <c r="AC400" s="107"/>
      <c r="AD400" s="107"/>
      <c r="AE400" s="107"/>
      <c r="AF400" s="107"/>
      <c r="AG400" s="107"/>
      <c r="AH400" s="293">
        <f t="shared" si="75"/>
        <v>0</v>
      </c>
    </row>
    <row r="401" spans="1:34" ht="15">
      <c r="A401" s="73" t="s">
        <v>149</v>
      </c>
      <c r="B401" s="313">
        <f t="shared" si="74"/>
        <v>0</v>
      </c>
      <c r="C401" s="103"/>
      <c r="D401" s="53"/>
      <c r="E401" s="53"/>
      <c r="F401" s="53"/>
      <c r="G401" s="53"/>
      <c r="H401" s="53"/>
      <c r="I401" s="53"/>
      <c r="J401" s="107"/>
      <c r="K401" s="107"/>
      <c r="L401" s="107"/>
      <c r="M401" s="107"/>
      <c r="N401" s="107"/>
      <c r="O401" s="107"/>
      <c r="P401" s="107"/>
      <c r="Q401" s="107"/>
      <c r="R401" s="107"/>
      <c r="S401" s="107"/>
      <c r="T401" s="107"/>
      <c r="U401" s="107"/>
      <c r="V401" s="107"/>
      <c r="W401" s="107"/>
      <c r="X401" s="107"/>
      <c r="Y401" s="107"/>
      <c r="Z401" s="107"/>
      <c r="AA401" s="107"/>
      <c r="AB401" s="107"/>
      <c r="AC401" s="107"/>
      <c r="AD401" s="107"/>
      <c r="AE401" s="107"/>
      <c r="AF401" s="107"/>
      <c r="AG401" s="107"/>
      <c r="AH401" s="107">
        <f t="shared" si="75"/>
        <v>0</v>
      </c>
    </row>
    <row r="402" spans="1:34" ht="15">
      <c r="A402" s="73" t="s">
        <v>150</v>
      </c>
      <c r="B402" s="313">
        <f t="shared" si="74"/>
        <v>0</v>
      </c>
      <c r="C402" s="100"/>
      <c r="D402" s="107"/>
      <c r="E402" s="107"/>
      <c r="F402" s="107"/>
      <c r="G402" s="107"/>
      <c r="H402" s="107"/>
      <c r="I402" s="107"/>
      <c r="J402" s="107"/>
      <c r="K402" s="107"/>
      <c r="L402" s="107"/>
      <c r="M402" s="107"/>
      <c r="N402" s="107"/>
      <c r="O402" s="107"/>
      <c r="P402" s="107"/>
      <c r="Q402" s="107"/>
      <c r="R402" s="107"/>
      <c r="S402" s="107"/>
      <c r="T402" s="107"/>
      <c r="U402" s="107"/>
      <c r="V402" s="107"/>
      <c r="W402" s="107"/>
      <c r="X402" s="107"/>
      <c r="Y402" s="107"/>
      <c r="Z402" s="107"/>
      <c r="AA402" s="107"/>
      <c r="AB402" s="107"/>
      <c r="AC402" s="107"/>
      <c r="AD402" s="107"/>
      <c r="AE402" s="107"/>
      <c r="AF402" s="107"/>
      <c r="AG402" s="107"/>
      <c r="AH402" s="107">
        <f t="shared" si="75"/>
        <v>0</v>
      </c>
    </row>
    <row r="403" spans="1:34" ht="15">
      <c r="A403" s="73" t="s">
        <v>151</v>
      </c>
      <c r="B403" s="319">
        <f t="shared" si="74"/>
        <v>0</v>
      </c>
      <c r="C403" s="103"/>
      <c r="D403" s="107"/>
      <c r="E403" s="107"/>
      <c r="F403" s="107"/>
      <c r="G403" s="53"/>
      <c r="H403" s="53"/>
      <c r="I403" s="53"/>
      <c r="J403" s="111"/>
      <c r="K403" s="111"/>
      <c r="L403" s="107"/>
      <c r="M403" s="107"/>
      <c r="N403" s="107"/>
      <c r="O403" s="107"/>
      <c r="P403" s="107"/>
      <c r="Q403" s="107"/>
      <c r="R403" s="107"/>
      <c r="S403" s="107"/>
      <c r="T403" s="107"/>
      <c r="U403" s="107"/>
      <c r="V403" s="107"/>
      <c r="W403" s="107"/>
      <c r="X403" s="107"/>
      <c r="Y403" s="107"/>
      <c r="Z403" s="107"/>
      <c r="AA403" s="107"/>
      <c r="AB403" s="107"/>
      <c r="AC403" s="107"/>
      <c r="AD403" s="107"/>
      <c r="AE403" s="107"/>
      <c r="AF403" s="107"/>
      <c r="AG403" s="107"/>
      <c r="AH403" s="107">
        <f t="shared" si="75"/>
        <v>0</v>
      </c>
    </row>
    <row r="404" spans="1:34" ht="15">
      <c r="A404" s="73" t="s">
        <v>152</v>
      </c>
      <c r="B404" s="319">
        <f t="shared" si="74"/>
        <v>0</v>
      </c>
      <c r="C404" s="103"/>
      <c r="D404" s="53"/>
      <c r="E404" s="53"/>
      <c r="F404" s="53"/>
      <c r="G404" s="53"/>
      <c r="H404" s="53"/>
      <c r="I404" s="53"/>
      <c r="J404" s="111"/>
      <c r="K404" s="111"/>
      <c r="L404" s="107"/>
      <c r="M404" s="107"/>
      <c r="N404" s="107"/>
      <c r="O404" s="107"/>
      <c r="P404" s="107"/>
      <c r="Q404" s="107"/>
      <c r="R404" s="107"/>
      <c r="S404" s="107"/>
      <c r="T404" s="107"/>
      <c r="U404" s="107"/>
      <c r="V404" s="107"/>
      <c r="W404" s="107"/>
      <c r="X404" s="107"/>
      <c r="Y404" s="107"/>
      <c r="Z404" s="107"/>
      <c r="AA404" s="107"/>
      <c r="AB404" s="107"/>
      <c r="AC404" s="107"/>
      <c r="AD404" s="107"/>
      <c r="AE404" s="107"/>
      <c r="AF404" s="107"/>
      <c r="AG404" s="107"/>
      <c r="AH404" s="107">
        <f t="shared" si="75"/>
        <v>0</v>
      </c>
    </row>
    <row r="405" spans="1:34" ht="15">
      <c r="A405" s="73" t="s">
        <v>153</v>
      </c>
      <c r="B405" s="319">
        <f t="shared" si="74"/>
        <v>0</v>
      </c>
      <c r="C405" s="100"/>
      <c r="D405" s="107"/>
      <c r="E405" s="107"/>
      <c r="F405" s="107"/>
      <c r="G405" s="107"/>
      <c r="H405" s="107"/>
      <c r="I405" s="107"/>
      <c r="J405" s="111"/>
      <c r="K405" s="111"/>
      <c r="L405" s="53"/>
      <c r="M405" s="53"/>
      <c r="N405" s="53"/>
      <c r="O405" s="53"/>
      <c r="P405" s="53"/>
      <c r="Q405" s="53"/>
      <c r="R405" s="53"/>
      <c r="S405" s="53"/>
      <c r="T405" s="53"/>
      <c r="U405" s="53"/>
      <c r="V405" s="53"/>
      <c r="W405" s="53"/>
      <c r="X405" s="53"/>
      <c r="Y405" s="53"/>
      <c r="Z405" s="53"/>
      <c r="AA405" s="53"/>
      <c r="AB405" s="53"/>
      <c r="AC405" s="53"/>
      <c r="AD405" s="53"/>
      <c r="AE405" s="53"/>
      <c r="AF405" s="53"/>
      <c r="AG405" s="53"/>
      <c r="AH405" s="107">
        <f t="shared" si="75"/>
        <v>0</v>
      </c>
    </row>
    <row r="406" spans="1:34" ht="15">
      <c r="A406" s="73" t="s">
        <v>154</v>
      </c>
      <c r="B406" s="319">
        <f t="shared" si="74"/>
        <v>0</v>
      </c>
      <c r="C406" s="103"/>
      <c r="D406" s="2503" t="s">
        <v>318</v>
      </c>
      <c r="E406" s="2503" t="s">
        <v>318</v>
      </c>
      <c r="F406" s="2503" t="s">
        <v>318</v>
      </c>
      <c r="G406" s="2503" t="s">
        <v>318</v>
      </c>
      <c r="H406" s="2503" t="s">
        <v>318</v>
      </c>
      <c r="I406" s="2503" t="s">
        <v>318</v>
      </c>
      <c r="J406" s="2503" t="s">
        <v>318</v>
      </c>
      <c r="K406" s="2503" t="s">
        <v>318</v>
      </c>
      <c r="L406" s="2503" t="s">
        <v>318</v>
      </c>
      <c r="M406" s="2503" t="s">
        <v>318</v>
      </c>
      <c r="N406" s="2503" t="s">
        <v>318</v>
      </c>
      <c r="O406" s="2503" t="s">
        <v>318</v>
      </c>
      <c r="P406" s="2503" t="s">
        <v>318</v>
      </c>
      <c r="Q406" s="2503" t="s">
        <v>318</v>
      </c>
      <c r="R406" s="2503" t="s">
        <v>318</v>
      </c>
      <c r="S406" s="2503" t="s">
        <v>318</v>
      </c>
      <c r="T406" s="2503" t="s">
        <v>318</v>
      </c>
      <c r="U406" s="2503" t="s">
        <v>318</v>
      </c>
      <c r="V406" s="2503" t="s">
        <v>318</v>
      </c>
      <c r="W406" s="2503" t="s">
        <v>318</v>
      </c>
      <c r="X406" s="2503" t="s">
        <v>318</v>
      </c>
      <c r="Y406" s="2503" t="s">
        <v>318</v>
      </c>
      <c r="Z406" s="2503" t="s">
        <v>318</v>
      </c>
      <c r="AA406" s="2503" t="s">
        <v>318</v>
      </c>
      <c r="AB406" s="2503" t="s">
        <v>318</v>
      </c>
      <c r="AC406" s="2503" t="s">
        <v>318</v>
      </c>
      <c r="AD406" s="2503" t="s">
        <v>318</v>
      </c>
      <c r="AE406" s="2503" t="s">
        <v>318</v>
      </c>
      <c r="AF406" s="2503" t="s">
        <v>318</v>
      </c>
      <c r="AG406" s="2503" t="s">
        <v>318</v>
      </c>
      <c r="AH406" s="107">
        <f t="shared" si="75"/>
        <v>0</v>
      </c>
    </row>
    <row r="407" spans="1:34" ht="15">
      <c r="A407" s="73" t="s">
        <v>155</v>
      </c>
      <c r="B407" s="70">
        <f t="shared" si="74"/>
        <v>0</v>
      </c>
      <c r="C407" s="188" t="s">
        <v>318</v>
      </c>
      <c r="D407" s="188" t="s">
        <v>318</v>
      </c>
      <c r="E407" s="188" t="s">
        <v>318</v>
      </c>
      <c r="F407" s="188" t="s">
        <v>318</v>
      </c>
      <c r="G407" s="188" t="s">
        <v>318</v>
      </c>
      <c r="H407" s="188" t="s">
        <v>318</v>
      </c>
      <c r="I407" s="188" t="s">
        <v>318</v>
      </c>
      <c r="J407" s="188" t="s">
        <v>318</v>
      </c>
      <c r="K407" s="188" t="s">
        <v>318</v>
      </c>
      <c r="L407" s="188" t="s">
        <v>318</v>
      </c>
      <c r="M407" s="188" t="s">
        <v>318</v>
      </c>
      <c r="N407" s="188" t="s">
        <v>318</v>
      </c>
      <c r="O407" s="188" t="s">
        <v>318</v>
      </c>
      <c r="P407" s="188" t="s">
        <v>318</v>
      </c>
      <c r="Q407" s="188" t="s">
        <v>318</v>
      </c>
      <c r="R407" s="53"/>
      <c r="S407" s="53"/>
      <c r="T407" s="53"/>
      <c r="U407" s="53"/>
      <c r="V407" s="53"/>
      <c r="W407" s="53"/>
      <c r="X407" s="53"/>
      <c r="Y407" s="53"/>
      <c r="Z407" s="53"/>
      <c r="AA407" s="53"/>
      <c r="AB407" s="53"/>
      <c r="AC407" s="53"/>
      <c r="AD407" s="53"/>
      <c r="AE407" s="107"/>
      <c r="AF407" s="53"/>
      <c r="AG407" s="107"/>
      <c r="AH407" s="107">
        <f t="shared" si="75"/>
        <v>0</v>
      </c>
    </row>
    <row r="408" spans="1:34" ht="15">
      <c r="A408" s="73" t="s">
        <v>156</v>
      </c>
      <c r="B408" s="70">
        <f t="shared" si="74"/>
        <v>0</v>
      </c>
      <c r="C408" s="103"/>
      <c r="D408" s="53"/>
      <c r="E408" s="53"/>
      <c r="F408" s="53"/>
      <c r="G408" s="53"/>
      <c r="H408" s="53"/>
      <c r="I408" s="53"/>
      <c r="J408" s="53"/>
      <c r="K408" s="53"/>
      <c r="L408" s="53"/>
      <c r="M408" s="53"/>
      <c r="N408" s="53"/>
      <c r="O408" s="53"/>
      <c r="P408" s="53"/>
      <c r="Q408" s="53"/>
      <c r="R408" s="53"/>
      <c r="S408" s="53"/>
      <c r="T408" s="53"/>
      <c r="U408" s="53"/>
      <c r="V408" s="53"/>
      <c r="W408" s="53"/>
      <c r="X408" s="53"/>
      <c r="Y408" s="53"/>
      <c r="Z408" s="53"/>
      <c r="AA408" s="53"/>
      <c r="AB408" s="53"/>
      <c r="AC408" s="53"/>
      <c r="AD408" s="53"/>
      <c r="AE408" s="107"/>
      <c r="AF408" s="53"/>
      <c r="AG408" s="107"/>
      <c r="AH408" s="107">
        <f t="shared" si="75"/>
        <v>0</v>
      </c>
    </row>
    <row r="409" spans="1:34" ht="15">
      <c r="A409" s="199" t="s">
        <v>144</v>
      </c>
      <c r="B409" s="201">
        <f>SUM(B397:B408)</f>
        <v>0</v>
      </c>
      <c r="C409" s="100">
        <f>SUM(C397:C407)</f>
        <v>0</v>
      </c>
      <c r="D409" s="107">
        <f>SUM(D397:D407)</f>
        <v>0</v>
      </c>
      <c r="E409" s="107">
        <v>0</v>
      </c>
      <c r="F409" s="107">
        <f t="shared" ref="F409:AC409" si="76">SUM(F397:F407)</f>
        <v>0</v>
      </c>
      <c r="G409" s="107">
        <f t="shared" si="76"/>
        <v>0</v>
      </c>
      <c r="H409" s="107">
        <f t="shared" si="76"/>
        <v>0</v>
      </c>
      <c r="I409" s="107">
        <f t="shared" si="76"/>
        <v>0</v>
      </c>
      <c r="J409" s="107">
        <f t="shared" si="76"/>
        <v>0</v>
      </c>
      <c r="K409" s="107">
        <f t="shared" si="76"/>
        <v>0</v>
      </c>
      <c r="L409" s="107">
        <f t="shared" si="76"/>
        <v>0</v>
      </c>
      <c r="M409" s="107">
        <f t="shared" si="76"/>
        <v>0</v>
      </c>
      <c r="N409" s="107">
        <f t="shared" si="76"/>
        <v>0</v>
      </c>
      <c r="O409" s="107">
        <f t="shared" si="76"/>
        <v>0</v>
      </c>
      <c r="P409" s="107">
        <f t="shared" si="76"/>
        <v>0</v>
      </c>
      <c r="Q409" s="107">
        <f t="shared" si="76"/>
        <v>0</v>
      </c>
      <c r="R409" s="107">
        <f t="shared" si="76"/>
        <v>0</v>
      </c>
      <c r="S409" s="107">
        <f t="shared" si="76"/>
        <v>0</v>
      </c>
      <c r="T409" s="107">
        <f t="shared" si="76"/>
        <v>0</v>
      </c>
      <c r="U409" s="107">
        <f t="shared" si="76"/>
        <v>0</v>
      </c>
      <c r="V409" s="107">
        <f t="shared" si="76"/>
        <v>0</v>
      </c>
      <c r="W409" s="107">
        <f t="shared" si="76"/>
        <v>0</v>
      </c>
      <c r="X409" s="107">
        <f t="shared" si="76"/>
        <v>0</v>
      </c>
      <c r="Y409" s="107">
        <f t="shared" si="76"/>
        <v>0</v>
      </c>
      <c r="Z409" s="107">
        <f t="shared" si="76"/>
        <v>0</v>
      </c>
      <c r="AA409" s="107">
        <f t="shared" si="76"/>
        <v>0</v>
      </c>
      <c r="AB409" s="107">
        <f t="shared" si="76"/>
        <v>0</v>
      </c>
      <c r="AC409" s="107">
        <f t="shared" si="76"/>
        <v>0</v>
      </c>
      <c r="AD409" s="107">
        <v>0</v>
      </c>
      <c r="AE409" s="107">
        <f>SUM(AE397:AE407)</f>
        <v>0</v>
      </c>
      <c r="AF409" s="107">
        <f>SUM(AF397:AF407)</f>
        <v>0</v>
      </c>
      <c r="AG409" s="107">
        <f>SUM(AG397:AG407)</f>
        <v>0</v>
      </c>
      <c r="AH409" s="100">
        <f>SUM(AH397:AH407)</f>
        <v>0</v>
      </c>
    </row>
    <row r="410" spans="1:34" ht="5.0999999999999996" customHeight="1">
      <c r="A410" s="49"/>
      <c r="B410" s="170"/>
      <c r="C410" s="1"/>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c r="AG410" s="14"/>
      <c r="AH410" s="1"/>
    </row>
    <row r="411" spans="1:34" ht="15">
      <c r="A411" s="3854" t="s">
        <v>276</v>
      </c>
      <c r="B411" s="3855"/>
      <c r="C411" s="3855"/>
      <c r="D411" s="3855"/>
      <c r="E411" s="3855"/>
      <c r="F411" s="3855"/>
      <c r="G411" s="3855"/>
      <c r="H411" s="3856"/>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c r="AG411" s="14"/>
      <c r="AH411" s="14"/>
    </row>
    <row r="412" spans="1:34" ht="15">
      <c r="A412" s="8" t="s">
        <v>161</v>
      </c>
      <c r="B412" s="172" t="s">
        <v>143</v>
      </c>
      <c r="C412" s="2907">
        <v>1</v>
      </c>
      <c r="D412" s="73">
        <v>2</v>
      </c>
      <c r="E412" s="73">
        <v>3</v>
      </c>
      <c r="F412" s="73">
        <v>4</v>
      </c>
      <c r="G412" s="73">
        <v>5</v>
      </c>
      <c r="H412" s="73">
        <v>6</v>
      </c>
      <c r="I412" s="73">
        <v>7</v>
      </c>
      <c r="J412" s="73">
        <v>8</v>
      </c>
      <c r="K412" s="73">
        <v>9</v>
      </c>
      <c r="L412" s="73">
        <v>10</v>
      </c>
      <c r="M412" s="73">
        <v>11</v>
      </c>
      <c r="N412" s="73">
        <v>12</v>
      </c>
      <c r="O412" s="73">
        <v>13</v>
      </c>
      <c r="P412" s="73">
        <v>14</v>
      </c>
      <c r="Q412" s="73">
        <v>15</v>
      </c>
      <c r="R412" s="73">
        <v>16</v>
      </c>
      <c r="S412" s="73">
        <v>17</v>
      </c>
      <c r="T412" s="73">
        <v>18</v>
      </c>
      <c r="U412" s="73">
        <v>19</v>
      </c>
      <c r="V412" s="73">
        <v>20</v>
      </c>
      <c r="W412" s="73">
        <v>21</v>
      </c>
      <c r="X412" s="73">
        <v>22</v>
      </c>
      <c r="Y412" s="73">
        <v>23</v>
      </c>
      <c r="Z412" s="73">
        <v>24</v>
      </c>
      <c r="AA412" s="73">
        <v>25</v>
      </c>
      <c r="AB412" s="73">
        <v>26</v>
      </c>
      <c r="AC412" s="73">
        <v>27</v>
      </c>
      <c r="AD412" s="73">
        <v>28</v>
      </c>
      <c r="AE412" s="73">
        <v>29</v>
      </c>
      <c r="AF412" s="73">
        <v>30</v>
      </c>
      <c r="AG412" s="73">
        <v>31</v>
      </c>
      <c r="AH412" s="88" t="s">
        <v>144</v>
      </c>
    </row>
    <row r="413" spans="1:34" ht="15">
      <c r="A413" s="73" t="s">
        <v>145</v>
      </c>
      <c r="B413" s="313">
        <f t="shared" ref="B413:B424" si="77">+AH413</f>
        <v>0</v>
      </c>
      <c r="C413" s="188" t="s">
        <v>311</v>
      </c>
      <c r="D413" s="188" t="s">
        <v>311</v>
      </c>
      <c r="E413" s="188" t="s">
        <v>311</v>
      </c>
      <c r="F413" s="188" t="s">
        <v>311</v>
      </c>
      <c r="G413" s="188" t="s">
        <v>311</v>
      </c>
      <c r="H413" s="188" t="s">
        <v>311</v>
      </c>
      <c r="I413" s="188" t="s">
        <v>311</v>
      </c>
      <c r="J413" s="188" t="s">
        <v>311</v>
      </c>
      <c r="K413" s="188" t="s">
        <v>311</v>
      </c>
      <c r="L413" s="188" t="s">
        <v>311</v>
      </c>
      <c r="M413" s="188" t="s">
        <v>311</v>
      </c>
      <c r="N413" s="188" t="s">
        <v>311</v>
      </c>
      <c r="O413" s="188" t="s">
        <v>311</v>
      </c>
      <c r="P413" s="188" t="s">
        <v>311</v>
      </c>
      <c r="Q413" s="188" t="s">
        <v>311</v>
      </c>
      <c r="R413" s="188" t="s">
        <v>311</v>
      </c>
      <c r="S413" s="188" t="s">
        <v>311</v>
      </c>
      <c r="T413" s="188" t="s">
        <v>311</v>
      </c>
      <c r="U413" s="188" t="s">
        <v>311</v>
      </c>
      <c r="V413" s="188" t="s">
        <v>311</v>
      </c>
      <c r="W413" s="188" t="s">
        <v>311</v>
      </c>
      <c r="X413" s="188" t="s">
        <v>311</v>
      </c>
      <c r="Y413" s="188" t="s">
        <v>311</v>
      </c>
      <c r="Z413" s="188" t="s">
        <v>311</v>
      </c>
      <c r="AA413" s="188" t="s">
        <v>311</v>
      </c>
      <c r="AB413" s="188" t="s">
        <v>311</v>
      </c>
      <c r="AC413" s="188" t="s">
        <v>311</v>
      </c>
      <c r="AD413" s="188" t="s">
        <v>311</v>
      </c>
      <c r="AE413" s="188" t="s">
        <v>311</v>
      </c>
      <c r="AF413" s="188" t="s">
        <v>311</v>
      </c>
      <c r="AG413" s="188" t="s">
        <v>311</v>
      </c>
      <c r="AH413" s="107">
        <f>SUM(C413:AG413)</f>
        <v>0</v>
      </c>
    </row>
    <row r="414" spans="1:34" ht="15">
      <c r="A414" s="73" t="s">
        <v>146</v>
      </c>
      <c r="B414" s="313">
        <f t="shared" si="77"/>
        <v>0</v>
      </c>
      <c r="C414" s="188" t="s">
        <v>311</v>
      </c>
      <c r="D414" s="188" t="s">
        <v>311</v>
      </c>
      <c r="E414" s="188" t="s">
        <v>311</v>
      </c>
      <c r="F414" s="188" t="s">
        <v>311</v>
      </c>
      <c r="G414" s="188" t="s">
        <v>311</v>
      </c>
      <c r="H414" s="188" t="s">
        <v>311</v>
      </c>
      <c r="I414" s="188" t="s">
        <v>311</v>
      </c>
      <c r="J414" s="306"/>
      <c r="K414" s="306"/>
      <c r="L414" s="306"/>
      <c r="M414" s="306"/>
      <c r="N414" s="306"/>
      <c r="O414" s="306"/>
      <c r="P414" s="306"/>
      <c r="Q414" s="306"/>
      <c r="R414" s="306"/>
      <c r="S414" s="306"/>
      <c r="T414" s="306"/>
      <c r="U414" s="306"/>
      <c r="V414" s="306"/>
      <c r="W414" s="306"/>
      <c r="X414" s="306"/>
      <c r="Y414" s="306"/>
      <c r="Z414" s="306"/>
      <c r="AA414" s="306"/>
      <c r="AB414" s="306"/>
      <c r="AC414" s="306"/>
      <c r="AD414" s="306"/>
      <c r="AE414" s="306"/>
      <c r="AF414" s="306"/>
      <c r="AG414" s="306"/>
      <c r="AH414" s="107">
        <f t="shared" ref="AH414:AH424" si="78">SUM(C414:AG414)</f>
        <v>0</v>
      </c>
    </row>
    <row r="415" spans="1:34" ht="15">
      <c r="A415" s="73" t="s">
        <v>147</v>
      </c>
      <c r="B415" s="313">
        <f t="shared" si="77"/>
        <v>0</v>
      </c>
      <c r="C415" s="306"/>
      <c r="D415" s="306"/>
      <c r="E415" s="306"/>
      <c r="F415" s="306"/>
      <c r="G415" s="306"/>
      <c r="H415" s="315"/>
      <c r="I415" s="107"/>
      <c r="J415" s="107"/>
      <c r="K415" s="107"/>
      <c r="L415" s="107"/>
      <c r="M415" s="107"/>
      <c r="N415" s="107"/>
      <c r="O415" s="107"/>
      <c r="P415" s="107"/>
      <c r="Q415" s="107"/>
      <c r="R415" s="107"/>
      <c r="S415" s="107"/>
      <c r="T415" s="107"/>
      <c r="U415" s="107"/>
      <c r="V415" s="107"/>
      <c r="W415" s="107"/>
      <c r="X415" s="107"/>
      <c r="Y415" s="107"/>
      <c r="Z415" s="107"/>
      <c r="AA415" s="107"/>
      <c r="AB415" s="107"/>
      <c r="AC415" s="107"/>
      <c r="AD415" s="107"/>
      <c r="AE415" s="107"/>
      <c r="AF415" s="107"/>
      <c r="AG415" s="107"/>
      <c r="AH415" s="107">
        <f t="shared" si="78"/>
        <v>0</v>
      </c>
    </row>
    <row r="416" spans="1:34" ht="15">
      <c r="A416" s="73" t="s">
        <v>148</v>
      </c>
      <c r="B416" s="313">
        <f t="shared" si="77"/>
        <v>0</v>
      </c>
      <c r="C416" s="103"/>
      <c r="D416" s="107"/>
      <c r="E416" s="107"/>
      <c r="F416" s="107"/>
      <c r="G416" s="53"/>
      <c r="H416" s="53"/>
      <c r="I416" s="53"/>
      <c r="J416" s="107"/>
      <c r="K416" s="107"/>
      <c r="L416" s="107"/>
      <c r="M416" s="107"/>
      <c r="N416" s="107"/>
      <c r="O416" s="107"/>
      <c r="P416" s="107"/>
      <c r="Q416" s="107"/>
      <c r="R416" s="107"/>
      <c r="S416" s="107"/>
      <c r="T416" s="107"/>
      <c r="U416" s="107"/>
      <c r="V416" s="107"/>
      <c r="W416" s="107"/>
      <c r="X416" s="107"/>
      <c r="Y416" s="107"/>
      <c r="Z416" s="107"/>
      <c r="AA416" s="107"/>
      <c r="AB416" s="107"/>
      <c r="AC416" s="107"/>
      <c r="AD416" s="107"/>
      <c r="AE416" s="107"/>
      <c r="AF416" s="107"/>
      <c r="AG416" s="107"/>
      <c r="AH416" s="107">
        <f t="shared" si="78"/>
        <v>0</v>
      </c>
    </row>
    <row r="417" spans="1:34" ht="15">
      <c r="A417" s="73" t="s">
        <v>149</v>
      </c>
      <c r="B417" s="313">
        <f t="shared" si="77"/>
        <v>0</v>
      </c>
      <c r="C417" s="103"/>
      <c r="D417" s="53"/>
      <c r="E417" s="53"/>
      <c r="F417" s="53"/>
      <c r="G417" s="53"/>
      <c r="H417" s="53"/>
      <c r="I417" s="53"/>
      <c r="J417" s="107"/>
      <c r="K417" s="107"/>
      <c r="L417" s="107"/>
      <c r="M417" s="107"/>
      <c r="N417" s="107"/>
      <c r="O417" s="107"/>
      <c r="P417" s="107"/>
      <c r="Q417" s="107"/>
      <c r="R417" s="107"/>
      <c r="S417" s="107"/>
      <c r="T417" s="107"/>
      <c r="U417" s="107"/>
      <c r="V417" s="107"/>
      <c r="W417" s="107"/>
      <c r="X417" s="107"/>
      <c r="Y417" s="107"/>
      <c r="Z417" s="107"/>
      <c r="AA417" s="107"/>
      <c r="AB417" s="107"/>
      <c r="AC417" s="107"/>
      <c r="AD417" s="107"/>
      <c r="AE417" s="107"/>
      <c r="AF417" s="107"/>
      <c r="AG417" s="107"/>
      <c r="AH417" s="107">
        <f t="shared" si="78"/>
        <v>0</v>
      </c>
    </row>
    <row r="418" spans="1:34" ht="15">
      <c r="A418" s="73" t="s">
        <v>150</v>
      </c>
      <c r="B418" s="313">
        <f t="shared" si="77"/>
        <v>0</v>
      </c>
      <c r="C418" s="100"/>
      <c r="D418" s="107"/>
      <c r="E418" s="107"/>
      <c r="F418" s="107"/>
      <c r="G418" s="107"/>
      <c r="H418" s="107"/>
      <c r="I418" s="107"/>
      <c r="J418" s="107"/>
      <c r="K418" s="107"/>
      <c r="L418" s="107"/>
      <c r="M418" s="107"/>
      <c r="N418" s="107"/>
      <c r="O418" s="107"/>
      <c r="P418" s="107"/>
      <c r="Q418" s="107"/>
      <c r="R418" s="107"/>
      <c r="S418" s="107"/>
      <c r="T418" s="107"/>
      <c r="U418" s="107"/>
      <c r="V418" s="107"/>
      <c r="W418" s="107"/>
      <c r="X418" s="107"/>
      <c r="Y418" s="107"/>
      <c r="Z418" s="107"/>
      <c r="AA418" s="107"/>
      <c r="AB418" s="107"/>
      <c r="AC418" s="107"/>
      <c r="AD418" s="107"/>
      <c r="AE418" s="107"/>
      <c r="AF418" s="107"/>
      <c r="AG418" s="107"/>
      <c r="AH418" s="107">
        <f t="shared" si="78"/>
        <v>0</v>
      </c>
    </row>
    <row r="419" spans="1:34" ht="15">
      <c r="A419" s="73" t="s">
        <v>151</v>
      </c>
      <c r="B419" s="319">
        <f t="shared" si="77"/>
        <v>0</v>
      </c>
      <c r="C419" s="103"/>
      <c r="D419" s="107"/>
      <c r="E419" s="107"/>
      <c r="F419" s="107"/>
      <c r="G419" s="53"/>
      <c r="H419" s="53"/>
      <c r="I419" s="53"/>
      <c r="J419" s="111"/>
      <c r="K419" s="111"/>
      <c r="L419" s="107"/>
      <c r="M419" s="107"/>
      <c r="N419" s="107"/>
      <c r="O419" s="107"/>
      <c r="P419" s="107"/>
      <c r="Q419" s="107"/>
      <c r="R419" s="107"/>
      <c r="S419" s="107"/>
      <c r="T419" s="107"/>
      <c r="U419" s="107"/>
      <c r="V419" s="107"/>
      <c r="W419" s="107"/>
      <c r="X419" s="107"/>
      <c r="Y419" s="107"/>
      <c r="Z419" s="107"/>
      <c r="AA419" s="107"/>
      <c r="AB419" s="107"/>
      <c r="AC419" s="107"/>
      <c r="AD419" s="107"/>
      <c r="AE419" s="107"/>
      <c r="AF419" s="107"/>
      <c r="AG419" s="107"/>
      <c r="AH419" s="107">
        <f t="shared" si="78"/>
        <v>0</v>
      </c>
    </row>
    <row r="420" spans="1:34" ht="15">
      <c r="A420" s="73" t="s">
        <v>152</v>
      </c>
      <c r="B420" s="319">
        <f t="shared" si="77"/>
        <v>0</v>
      </c>
      <c r="C420" s="103"/>
      <c r="D420" s="53"/>
      <c r="E420" s="53"/>
      <c r="F420" s="53"/>
      <c r="G420" s="53"/>
      <c r="H420" s="53"/>
      <c r="I420" s="53"/>
      <c r="J420" s="111"/>
      <c r="K420" s="111"/>
      <c r="L420" s="107"/>
      <c r="M420" s="107"/>
      <c r="N420" s="107"/>
      <c r="O420" s="107"/>
      <c r="P420" s="107"/>
      <c r="Q420" s="107"/>
      <c r="R420" s="107"/>
      <c r="S420" s="107"/>
      <c r="T420" s="107"/>
      <c r="U420" s="107"/>
      <c r="V420" s="107"/>
      <c r="W420" s="107"/>
      <c r="X420" s="107"/>
      <c r="Y420" s="107"/>
      <c r="Z420" s="107"/>
      <c r="AA420" s="107"/>
      <c r="AB420" s="107"/>
      <c r="AC420" s="107"/>
      <c r="AD420" s="107"/>
      <c r="AE420" s="107"/>
      <c r="AF420" s="107"/>
      <c r="AG420" s="107"/>
      <c r="AH420" s="107">
        <f t="shared" si="78"/>
        <v>0</v>
      </c>
    </row>
    <row r="421" spans="1:34" ht="15">
      <c r="A421" s="73" t="s">
        <v>153</v>
      </c>
      <c r="B421" s="319">
        <f t="shared" si="77"/>
        <v>0</v>
      </c>
      <c r="C421" s="100"/>
      <c r="D421" s="107"/>
      <c r="E421" s="107"/>
      <c r="F421" s="107"/>
      <c r="G421" s="107"/>
      <c r="H421" s="107"/>
      <c r="I421" s="107"/>
      <c r="J421" s="111"/>
      <c r="K421" s="111"/>
      <c r="L421" s="53"/>
      <c r="M421" s="53"/>
      <c r="N421" s="53"/>
      <c r="O421" s="53"/>
      <c r="P421" s="53"/>
      <c r="Q421" s="53"/>
      <c r="R421" s="53"/>
      <c r="S421" s="53"/>
      <c r="T421" s="53"/>
      <c r="U421" s="53"/>
      <c r="V421" s="53"/>
      <c r="W421" s="53"/>
      <c r="X421" s="53"/>
      <c r="Y421" s="53"/>
      <c r="Z421" s="53"/>
      <c r="AA421" s="53"/>
      <c r="AB421" s="53"/>
      <c r="AC421" s="53"/>
      <c r="AD421" s="53"/>
      <c r="AE421" s="53"/>
      <c r="AF421" s="53"/>
      <c r="AG421" s="53"/>
      <c r="AH421" s="107">
        <f t="shared" si="78"/>
        <v>0</v>
      </c>
    </row>
    <row r="422" spans="1:34" ht="15">
      <c r="A422" s="73" t="s">
        <v>154</v>
      </c>
      <c r="B422" s="70">
        <f t="shared" si="77"/>
        <v>0</v>
      </c>
      <c r="C422" s="103"/>
      <c r="D422" s="2503" t="s">
        <v>318</v>
      </c>
      <c r="E422" s="2503" t="s">
        <v>318</v>
      </c>
      <c r="F422" s="2503" t="s">
        <v>318</v>
      </c>
      <c r="G422" s="2503" t="s">
        <v>318</v>
      </c>
      <c r="H422" s="2503" t="s">
        <v>318</v>
      </c>
      <c r="I422" s="2503" t="s">
        <v>318</v>
      </c>
      <c r="J422" s="2503" t="s">
        <v>318</v>
      </c>
      <c r="K422" s="2503" t="s">
        <v>318</v>
      </c>
      <c r="L422" s="2503" t="s">
        <v>318</v>
      </c>
      <c r="M422" s="2503" t="s">
        <v>318</v>
      </c>
      <c r="N422" s="2503" t="s">
        <v>318</v>
      </c>
      <c r="O422" s="2503" t="s">
        <v>318</v>
      </c>
      <c r="P422" s="2503" t="s">
        <v>318</v>
      </c>
      <c r="Q422" s="2503" t="s">
        <v>318</v>
      </c>
      <c r="R422" s="2503" t="s">
        <v>318</v>
      </c>
      <c r="S422" s="2503" t="s">
        <v>318</v>
      </c>
      <c r="T422" s="2503" t="s">
        <v>318</v>
      </c>
      <c r="U422" s="2503" t="s">
        <v>318</v>
      </c>
      <c r="V422" s="2503" t="s">
        <v>318</v>
      </c>
      <c r="W422" s="2503" t="s">
        <v>318</v>
      </c>
      <c r="X422" s="2503" t="s">
        <v>318</v>
      </c>
      <c r="Y422" s="2503" t="s">
        <v>318</v>
      </c>
      <c r="Z422" s="2503" t="s">
        <v>318</v>
      </c>
      <c r="AA422" s="2503" t="s">
        <v>318</v>
      </c>
      <c r="AB422" s="2503" t="s">
        <v>318</v>
      </c>
      <c r="AC422" s="2503" t="s">
        <v>318</v>
      </c>
      <c r="AD422" s="2503" t="s">
        <v>318</v>
      </c>
      <c r="AE422" s="2503" t="s">
        <v>318</v>
      </c>
      <c r="AF422" s="2503" t="s">
        <v>318</v>
      </c>
      <c r="AG422" s="2503" t="s">
        <v>318</v>
      </c>
      <c r="AH422" s="107">
        <f t="shared" si="78"/>
        <v>0</v>
      </c>
    </row>
    <row r="423" spans="1:34" ht="15">
      <c r="A423" s="73" t="s">
        <v>155</v>
      </c>
      <c r="B423" s="70">
        <f t="shared" si="77"/>
        <v>0</v>
      </c>
      <c r="C423" s="188" t="s">
        <v>318</v>
      </c>
      <c r="D423" s="188" t="s">
        <v>318</v>
      </c>
      <c r="E423" s="188" t="s">
        <v>318</v>
      </c>
      <c r="F423" s="188" t="s">
        <v>318</v>
      </c>
      <c r="G423" s="188" t="s">
        <v>318</v>
      </c>
      <c r="H423" s="188" t="s">
        <v>318</v>
      </c>
      <c r="I423" s="188" t="s">
        <v>318</v>
      </c>
      <c r="J423" s="188" t="s">
        <v>318</v>
      </c>
      <c r="K423" s="188" t="s">
        <v>318</v>
      </c>
      <c r="L423" s="188" t="s">
        <v>318</v>
      </c>
      <c r="M423" s="188" t="s">
        <v>318</v>
      </c>
      <c r="N423" s="188" t="s">
        <v>318</v>
      </c>
      <c r="O423" s="188" t="s">
        <v>318</v>
      </c>
      <c r="P423" s="188" t="s">
        <v>318</v>
      </c>
      <c r="Q423" s="188" t="s">
        <v>318</v>
      </c>
      <c r="R423" s="53"/>
      <c r="S423" s="53"/>
      <c r="T423" s="53"/>
      <c r="U423" s="53"/>
      <c r="V423" s="53"/>
      <c r="W423" s="53"/>
      <c r="X423" s="53"/>
      <c r="Y423" s="53"/>
      <c r="Z423" s="53"/>
      <c r="AA423" s="53"/>
      <c r="AB423" s="53"/>
      <c r="AC423" s="53"/>
      <c r="AD423" s="53"/>
      <c r="AE423" s="107"/>
      <c r="AF423" s="53"/>
      <c r="AG423" s="107"/>
      <c r="AH423" s="107">
        <f t="shared" si="78"/>
        <v>0</v>
      </c>
    </row>
    <row r="424" spans="1:34" ht="15">
      <c r="A424" s="73" t="s">
        <v>156</v>
      </c>
      <c r="B424" s="70">
        <f t="shared" si="77"/>
        <v>0</v>
      </c>
      <c r="C424" s="103"/>
      <c r="D424" s="53"/>
      <c r="E424" s="53"/>
      <c r="F424" s="53"/>
      <c r="G424" s="53"/>
      <c r="H424" s="53"/>
      <c r="I424" s="53"/>
      <c r="J424" s="53"/>
      <c r="K424" s="53"/>
      <c r="L424" s="53"/>
      <c r="M424" s="53"/>
      <c r="N424" s="53"/>
      <c r="O424" s="53"/>
      <c r="P424" s="53"/>
      <c r="Q424" s="53"/>
      <c r="R424" s="53"/>
      <c r="S424" s="53"/>
      <c r="T424" s="53"/>
      <c r="U424" s="53"/>
      <c r="V424" s="53"/>
      <c r="W424" s="53"/>
      <c r="X424" s="53"/>
      <c r="Y424" s="53"/>
      <c r="Z424" s="53"/>
      <c r="AA424" s="53"/>
      <c r="AB424" s="53"/>
      <c r="AC424" s="53"/>
      <c r="AD424" s="53"/>
      <c r="AE424" s="107"/>
      <c r="AF424" s="53"/>
      <c r="AG424" s="107"/>
      <c r="AH424" s="107">
        <f t="shared" si="78"/>
        <v>0</v>
      </c>
    </row>
    <row r="425" spans="1:34" ht="15">
      <c r="A425" s="199" t="s">
        <v>144</v>
      </c>
      <c r="B425" s="229">
        <f>SUM(B413:B424)</f>
        <v>0</v>
      </c>
      <c r="C425" s="100">
        <f>SUM(C413:C423)</f>
        <v>0</v>
      </c>
      <c r="D425" s="107">
        <f>SUM(D413:D423)</f>
        <v>0</v>
      </c>
      <c r="E425" s="107">
        <v>0</v>
      </c>
      <c r="F425" s="107">
        <f t="shared" ref="F425:AC425" si="79">SUM(F413:F423)</f>
        <v>0</v>
      </c>
      <c r="G425" s="107">
        <f t="shared" si="79"/>
        <v>0</v>
      </c>
      <c r="H425" s="107">
        <f t="shared" si="79"/>
        <v>0</v>
      </c>
      <c r="I425" s="107">
        <f t="shared" si="79"/>
        <v>0</v>
      </c>
      <c r="J425" s="107">
        <f t="shared" si="79"/>
        <v>0</v>
      </c>
      <c r="K425" s="107">
        <f t="shared" si="79"/>
        <v>0</v>
      </c>
      <c r="L425" s="107">
        <f t="shared" si="79"/>
        <v>0</v>
      </c>
      <c r="M425" s="107">
        <f t="shared" si="79"/>
        <v>0</v>
      </c>
      <c r="N425" s="107">
        <f t="shared" si="79"/>
        <v>0</v>
      </c>
      <c r="O425" s="107">
        <f t="shared" si="79"/>
        <v>0</v>
      </c>
      <c r="P425" s="107">
        <f t="shared" si="79"/>
        <v>0</v>
      </c>
      <c r="Q425" s="107">
        <f t="shared" si="79"/>
        <v>0</v>
      </c>
      <c r="R425" s="107">
        <f t="shared" si="79"/>
        <v>0</v>
      </c>
      <c r="S425" s="107">
        <f t="shared" si="79"/>
        <v>0</v>
      </c>
      <c r="T425" s="107">
        <f t="shared" si="79"/>
        <v>0</v>
      </c>
      <c r="U425" s="107">
        <f t="shared" si="79"/>
        <v>0</v>
      </c>
      <c r="V425" s="107">
        <f t="shared" si="79"/>
        <v>0</v>
      </c>
      <c r="W425" s="107">
        <f t="shared" si="79"/>
        <v>0</v>
      </c>
      <c r="X425" s="107">
        <f t="shared" si="79"/>
        <v>0</v>
      </c>
      <c r="Y425" s="107">
        <f t="shared" si="79"/>
        <v>0</v>
      </c>
      <c r="Z425" s="107">
        <f t="shared" si="79"/>
        <v>0</v>
      </c>
      <c r="AA425" s="107">
        <f t="shared" si="79"/>
        <v>0</v>
      </c>
      <c r="AB425" s="107">
        <f t="shared" si="79"/>
        <v>0</v>
      </c>
      <c r="AC425" s="107">
        <f t="shared" si="79"/>
        <v>0</v>
      </c>
      <c r="AD425" s="107">
        <v>0</v>
      </c>
      <c r="AE425" s="107">
        <f>SUM(AE413:AE423)</f>
        <v>0</v>
      </c>
      <c r="AF425" s="107">
        <f>SUM(AF413:AF423)</f>
        <v>0</v>
      </c>
      <c r="AG425" s="107">
        <f>SUM(AG413:AG423)</f>
        <v>0</v>
      </c>
      <c r="AH425" s="100">
        <f>SUM(AH413:AH423)</f>
        <v>0</v>
      </c>
    </row>
    <row r="426" spans="1:34" ht="5.0999999999999996" customHeight="1">
      <c r="A426" s="49"/>
      <c r="B426" s="49"/>
      <c r="C426" s="1"/>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c r="AG426" s="14"/>
      <c r="AH426" s="1"/>
    </row>
    <row r="427" spans="1:34" ht="15">
      <c r="A427" s="3854" t="s">
        <v>124</v>
      </c>
      <c r="B427" s="3855"/>
      <c r="C427" s="3855"/>
      <c r="D427" s="3855"/>
      <c r="E427" s="3855"/>
      <c r="F427" s="3855"/>
      <c r="G427" s="3855"/>
      <c r="H427" s="3856"/>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c r="AG427" s="14"/>
      <c r="AH427" s="14"/>
    </row>
    <row r="428" spans="1:34" ht="15">
      <c r="A428" s="8" t="s">
        <v>161</v>
      </c>
      <c r="B428" s="314" t="s">
        <v>143</v>
      </c>
      <c r="C428" s="2907">
        <v>1</v>
      </c>
      <c r="D428" s="73">
        <v>2</v>
      </c>
      <c r="E428" s="73">
        <v>3</v>
      </c>
      <c r="F428" s="73">
        <v>4</v>
      </c>
      <c r="G428" s="73">
        <v>5</v>
      </c>
      <c r="H428" s="73">
        <v>6</v>
      </c>
      <c r="I428" s="73">
        <v>7</v>
      </c>
      <c r="J428" s="73">
        <v>8</v>
      </c>
      <c r="K428" s="73">
        <v>9</v>
      </c>
      <c r="L428" s="73">
        <v>10</v>
      </c>
      <c r="M428" s="73">
        <v>11</v>
      </c>
      <c r="N428" s="73">
        <v>12</v>
      </c>
      <c r="O428" s="73">
        <v>13</v>
      </c>
      <c r="P428" s="73">
        <v>14</v>
      </c>
      <c r="Q428" s="73">
        <v>15</v>
      </c>
      <c r="R428" s="73">
        <v>16</v>
      </c>
      <c r="S428" s="73">
        <v>17</v>
      </c>
      <c r="T428" s="73">
        <v>18</v>
      </c>
      <c r="U428" s="73">
        <v>19</v>
      </c>
      <c r="V428" s="73">
        <v>20</v>
      </c>
      <c r="W428" s="73">
        <v>21</v>
      </c>
      <c r="X428" s="73">
        <v>22</v>
      </c>
      <c r="Y428" s="73">
        <v>23</v>
      </c>
      <c r="Z428" s="73">
        <v>24</v>
      </c>
      <c r="AA428" s="73">
        <v>25</v>
      </c>
      <c r="AB428" s="73">
        <v>26</v>
      </c>
      <c r="AC428" s="73">
        <v>27</v>
      </c>
      <c r="AD428" s="73">
        <v>28</v>
      </c>
      <c r="AE428" s="73">
        <v>29</v>
      </c>
      <c r="AF428" s="73">
        <v>30</v>
      </c>
      <c r="AG428" s="73">
        <v>31</v>
      </c>
      <c r="AH428" s="88" t="s">
        <v>144</v>
      </c>
    </row>
    <row r="429" spans="1:34" ht="15">
      <c r="A429" s="73" t="s">
        <v>145</v>
      </c>
      <c r="B429" s="311">
        <f t="shared" ref="B429:B440" si="80">+AH429</f>
        <v>0</v>
      </c>
      <c r="C429" s="188" t="s">
        <v>311</v>
      </c>
      <c r="D429" s="188" t="s">
        <v>311</v>
      </c>
      <c r="E429" s="188" t="s">
        <v>311</v>
      </c>
      <c r="F429" s="188" t="s">
        <v>311</v>
      </c>
      <c r="G429" s="188" t="s">
        <v>311</v>
      </c>
      <c r="H429" s="188" t="s">
        <v>311</v>
      </c>
      <c r="I429" s="188" t="s">
        <v>311</v>
      </c>
      <c r="J429" s="188" t="s">
        <v>311</v>
      </c>
      <c r="K429" s="188" t="s">
        <v>311</v>
      </c>
      <c r="L429" s="188" t="s">
        <v>311</v>
      </c>
      <c r="M429" s="188" t="s">
        <v>311</v>
      </c>
      <c r="N429" s="188" t="s">
        <v>311</v>
      </c>
      <c r="O429" s="188" t="s">
        <v>311</v>
      </c>
      <c r="P429" s="188" t="s">
        <v>311</v>
      </c>
      <c r="Q429" s="188" t="s">
        <v>311</v>
      </c>
      <c r="R429" s="188" t="s">
        <v>311</v>
      </c>
      <c r="S429" s="188" t="s">
        <v>311</v>
      </c>
      <c r="T429" s="188" t="s">
        <v>311</v>
      </c>
      <c r="U429" s="188" t="s">
        <v>311</v>
      </c>
      <c r="V429" s="188" t="s">
        <v>311</v>
      </c>
      <c r="W429" s="188" t="s">
        <v>311</v>
      </c>
      <c r="X429" s="188" t="s">
        <v>311</v>
      </c>
      <c r="Y429" s="188" t="s">
        <v>311</v>
      </c>
      <c r="Z429" s="188" t="s">
        <v>311</v>
      </c>
      <c r="AA429" s="188" t="s">
        <v>311</v>
      </c>
      <c r="AB429" s="188" t="s">
        <v>311</v>
      </c>
      <c r="AC429" s="188" t="s">
        <v>311</v>
      </c>
      <c r="AD429" s="188" t="s">
        <v>311</v>
      </c>
      <c r="AE429" s="188" t="s">
        <v>311</v>
      </c>
      <c r="AF429" s="188" t="s">
        <v>311</v>
      </c>
      <c r="AG429" s="188" t="s">
        <v>311</v>
      </c>
      <c r="AH429" s="107">
        <f>SUM(C429:AG429)</f>
        <v>0</v>
      </c>
    </row>
    <row r="430" spans="1:34" ht="15">
      <c r="A430" s="73" t="s">
        <v>146</v>
      </c>
      <c r="B430" s="816">
        <f t="shared" si="80"/>
        <v>1444.066</v>
      </c>
      <c r="C430" s="188" t="s">
        <v>311</v>
      </c>
      <c r="D430" s="188" t="s">
        <v>311</v>
      </c>
      <c r="E430" s="188" t="s">
        <v>311</v>
      </c>
      <c r="F430" s="188" t="s">
        <v>311</v>
      </c>
      <c r="G430" s="188" t="s">
        <v>311</v>
      </c>
      <c r="H430" s="188" t="s">
        <v>311</v>
      </c>
      <c r="I430" s="188" t="s">
        <v>311</v>
      </c>
      <c r="J430" s="306"/>
      <c r="K430" s="306"/>
      <c r="L430" s="306"/>
      <c r="M430" s="306"/>
      <c r="N430" s="306"/>
      <c r="O430" s="306"/>
      <c r="P430" s="306"/>
      <c r="Q430" s="306">
        <v>411.37900000000002</v>
      </c>
      <c r="R430" s="306">
        <v>52.435000000000002</v>
      </c>
      <c r="S430" s="306">
        <v>85.924000000000007</v>
      </c>
      <c r="T430" s="306"/>
      <c r="U430" s="306"/>
      <c r="V430" s="306">
        <v>40.933</v>
      </c>
      <c r="W430" s="306">
        <v>114.575</v>
      </c>
      <c r="X430" s="306">
        <v>25.335000000000001</v>
      </c>
      <c r="Y430" s="306">
        <v>45.570999999999998</v>
      </c>
      <c r="Z430" s="306">
        <v>151.57300000000001</v>
      </c>
      <c r="AA430" s="306">
        <v>8.7449999999999992</v>
      </c>
      <c r="AB430" s="306">
        <v>54.405000000000001</v>
      </c>
      <c r="AC430" s="306">
        <v>72.218000000000004</v>
      </c>
      <c r="AD430" s="306">
        <v>153.83099999999999</v>
      </c>
      <c r="AE430" s="306">
        <v>227.142</v>
      </c>
      <c r="AF430" s="306"/>
      <c r="AG430" s="306"/>
      <c r="AH430" s="107">
        <f t="shared" ref="AH430:AH440" si="81">SUM(C430:AG430)</f>
        <v>1444.066</v>
      </c>
    </row>
    <row r="431" spans="1:34" ht="15">
      <c r="A431" s="73" t="s">
        <v>147</v>
      </c>
      <c r="B431" s="1082">
        <f t="shared" si="80"/>
        <v>2039.0920000000001</v>
      </c>
      <c r="C431" s="329">
        <v>54.558999999999997</v>
      </c>
      <c r="D431" s="329">
        <v>27.949000000000002</v>
      </c>
      <c r="E431" s="329">
        <v>0.68300000000000005</v>
      </c>
      <c r="F431" s="329"/>
      <c r="G431" s="329">
        <v>48.530999999999999</v>
      </c>
      <c r="H431" s="670">
        <v>12.035</v>
      </c>
      <c r="I431" s="328">
        <v>122.45399999999999</v>
      </c>
      <c r="J431" s="328">
        <v>2.0139999999999998</v>
      </c>
      <c r="K431" s="328">
        <v>4.45</v>
      </c>
      <c r="L431" s="328">
        <v>16.463999999999999</v>
      </c>
      <c r="M431" s="328"/>
      <c r="N431" s="328">
        <v>0.70399999999999996</v>
      </c>
      <c r="O431" s="328">
        <v>44.018999999999998</v>
      </c>
      <c r="P431" s="328">
        <v>111.387</v>
      </c>
      <c r="Q431" s="328">
        <v>40.500999999999998</v>
      </c>
      <c r="R431" s="328">
        <v>54.280999999999999</v>
      </c>
      <c r="S431" s="328">
        <v>86.009</v>
      </c>
      <c r="T431" s="328"/>
      <c r="U431" s="328"/>
      <c r="V431" s="328">
        <v>7.44</v>
      </c>
      <c r="W431" s="328"/>
      <c r="X431" s="328">
        <v>278.32100000000003</v>
      </c>
      <c r="Y431" s="328">
        <v>217.88499999999999</v>
      </c>
      <c r="Z431" s="328">
        <v>24.739000000000001</v>
      </c>
      <c r="AA431" s="328">
        <v>2.452</v>
      </c>
      <c r="AB431" s="328">
        <v>41.811999999999998</v>
      </c>
      <c r="AC431" s="328"/>
      <c r="AD431" s="328">
        <v>181.99100000000001</v>
      </c>
      <c r="AE431" s="328">
        <v>433.12</v>
      </c>
      <c r="AF431" s="328">
        <v>58.27</v>
      </c>
      <c r="AG431" s="328">
        <v>167.02199999999999</v>
      </c>
      <c r="AH431" s="107">
        <f t="shared" si="81"/>
        <v>2039.0920000000001</v>
      </c>
    </row>
    <row r="432" spans="1:34" ht="15">
      <c r="A432" s="73" t="s">
        <v>148</v>
      </c>
      <c r="B432" s="816">
        <f t="shared" si="80"/>
        <v>2682.6929999999998</v>
      </c>
      <c r="C432" s="645">
        <v>179.239</v>
      </c>
      <c r="D432" s="328">
        <v>63.591999999999999</v>
      </c>
      <c r="E432" s="328">
        <v>78.489000000000004</v>
      </c>
      <c r="F432" s="328">
        <v>42.51</v>
      </c>
      <c r="G432" s="162"/>
      <c r="H432" s="162"/>
      <c r="I432" s="162"/>
      <c r="J432" s="328"/>
      <c r="K432" s="328"/>
      <c r="L432" s="328">
        <v>41.523000000000003</v>
      </c>
      <c r="M432" s="328">
        <v>55.947000000000003</v>
      </c>
      <c r="N432" s="328">
        <v>38.395000000000003</v>
      </c>
      <c r="O432" s="328">
        <v>25.245000000000001</v>
      </c>
      <c r="P432" s="328">
        <v>71.358000000000004</v>
      </c>
      <c r="Q432" s="328"/>
      <c r="R432" s="328">
        <v>182.041</v>
      </c>
      <c r="S432" s="328">
        <v>199.708</v>
      </c>
      <c r="T432" s="328"/>
      <c r="U432" s="328">
        <v>155.46299999999999</v>
      </c>
      <c r="V432" s="328">
        <v>193.03100000000001</v>
      </c>
      <c r="W432" s="328">
        <v>158.809</v>
      </c>
      <c r="X432" s="328">
        <v>43.048999999999999</v>
      </c>
      <c r="Y432" s="328">
        <v>156.63999999999999</v>
      </c>
      <c r="Z432" s="328">
        <v>159.45400000000001</v>
      </c>
      <c r="AA432" s="328">
        <v>257.42</v>
      </c>
      <c r="AB432" s="328">
        <v>188.88900000000001</v>
      </c>
      <c r="AC432" s="328">
        <v>208.84100000000001</v>
      </c>
      <c r="AD432" s="328">
        <v>183.05</v>
      </c>
      <c r="AE432" s="328"/>
      <c r="AF432" s="328"/>
      <c r="AG432" s="328"/>
      <c r="AH432" s="107">
        <f t="shared" si="81"/>
        <v>2682.6929999999998</v>
      </c>
    </row>
    <row r="433" spans="1:34" ht="15">
      <c r="A433" s="73" t="s">
        <v>149</v>
      </c>
      <c r="B433" s="816">
        <f t="shared" si="80"/>
        <v>285.65600000000001</v>
      </c>
      <c r="C433" s="103"/>
      <c r="D433" s="53"/>
      <c r="E433" s="53"/>
      <c r="F433" s="53"/>
      <c r="G433" s="53"/>
      <c r="H433" s="53"/>
      <c r="I433" s="53">
        <v>60.44</v>
      </c>
      <c r="J433" s="107"/>
      <c r="K433" s="107"/>
      <c r="L433" s="107"/>
      <c r="M433" s="107"/>
      <c r="N433" s="107">
        <v>75.028999999999996</v>
      </c>
      <c r="O433" s="107"/>
      <c r="P433" s="107">
        <v>81.131</v>
      </c>
      <c r="Q433" s="107">
        <v>14.055999999999999</v>
      </c>
      <c r="R433" s="107"/>
      <c r="S433" s="107"/>
      <c r="T433" s="107">
        <v>20</v>
      </c>
      <c r="U433" s="107"/>
      <c r="V433" s="107"/>
      <c r="W433" s="107"/>
      <c r="X433" s="107"/>
      <c r="Y433" s="107"/>
      <c r="Z433" s="107"/>
      <c r="AA433" s="107">
        <v>35</v>
      </c>
      <c r="AB433" s="107"/>
      <c r="AC433" s="107"/>
      <c r="AD433" s="107"/>
      <c r="AE433" s="107"/>
      <c r="AF433" s="107"/>
      <c r="AG433" s="107"/>
      <c r="AH433" s="107">
        <f t="shared" si="81"/>
        <v>285.65600000000001</v>
      </c>
    </row>
    <row r="434" spans="1:34" ht="15">
      <c r="A434" s="73" t="s">
        <v>150</v>
      </c>
      <c r="B434" s="816">
        <f t="shared" si="80"/>
        <v>188.274</v>
      </c>
      <c r="C434" s="100"/>
      <c r="D434" s="107"/>
      <c r="E434" s="107"/>
      <c r="F434" s="107"/>
      <c r="G434" s="107"/>
      <c r="H434" s="107"/>
      <c r="I434" s="107"/>
      <c r="J434" s="107"/>
      <c r="K434" s="107">
        <v>30.456</v>
      </c>
      <c r="L434" s="107"/>
      <c r="M434" s="107">
        <v>6.9279999999999999</v>
      </c>
      <c r="N434" s="107"/>
      <c r="O434" s="107"/>
      <c r="P434" s="107"/>
      <c r="Q434" s="107"/>
      <c r="R434" s="107">
        <v>79.19</v>
      </c>
      <c r="S434" s="107"/>
      <c r="T434" s="107"/>
      <c r="U434" s="107"/>
      <c r="V434" s="107"/>
      <c r="W434" s="107"/>
      <c r="X434" s="107"/>
      <c r="Y434" s="107"/>
      <c r="Z434" s="107"/>
      <c r="AA434" s="107"/>
      <c r="AB434" s="107">
        <v>12</v>
      </c>
      <c r="AC434" s="107"/>
      <c r="AD434" s="107">
        <v>12</v>
      </c>
      <c r="AE434" s="107"/>
      <c r="AF434" s="107">
        <v>47.7</v>
      </c>
      <c r="AG434" s="107"/>
      <c r="AH434" s="107">
        <f t="shared" si="81"/>
        <v>188.274</v>
      </c>
    </row>
    <row r="435" spans="1:34" ht="15">
      <c r="A435" s="73" t="s">
        <v>151</v>
      </c>
      <c r="B435" s="329">
        <f t="shared" si="80"/>
        <v>29.725000000000001</v>
      </c>
      <c r="C435" s="103"/>
      <c r="D435" s="107"/>
      <c r="E435" s="328">
        <v>10.541</v>
      </c>
      <c r="F435" s="328"/>
      <c r="G435" s="162">
        <v>0.109</v>
      </c>
      <c r="H435" s="162">
        <v>1.3009999999999999</v>
      </c>
      <c r="I435" s="162"/>
      <c r="J435" s="1903">
        <v>2.544</v>
      </c>
      <c r="K435" s="1903"/>
      <c r="L435" s="107"/>
      <c r="M435" s="107"/>
      <c r="N435" s="107"/>
      <c r="O435" s="107"/>
      <c r="P435" s="107"/>
      <c r="Q435" s="107"/>
      <c r="R435" s="107"/>
      <c r="S435" s="107"/>
      <c r="T435" s="107"/>
      <c r="U435" s="107"/>
      <c r="V435" s="107"/>
      <c r="W435" s="107"/>
      <c r="X435" s="107"/>
      <c r="Y435" s="107"/>
      <c r="Z435" s="107"/>
      <c r="AA435" s="107"/>
      <c r="AB435" s="107"/>
      <c r="AC435" s="107"/>
      <c r="AD435" s="107"/>
      <c r="AE435" s="107"/>
      <c r="AF435" s="107">
        <v>15.23</v>
      </c>
      <c r="AG435" s="107"/>
      <c r="AH435" s="107">
        <f t="shared" si="81"/>
        <v>29.725000000000001</v>
      </c>
    </row>
    <row r="436" spans="1:34" ht="15">
      <c r="A436" s="73" t="s">
        <v>152</v>
      </c>
      <c r="B436" s="329">
        <f t="shared" si="80"/>
        <v>0.3</v>
      </c>
      <c r="C436" s="103"/>
      <c r="D436" s="53"/>
      <c r="E436" s="53"/>
      <c r="F436" s="53"/>
      <c r="G436" s="53"/>
      <c r="H436" s="53"/>
      <c r="I436" s="53"/>
      <c r="J436" s="111"/>
      <c r="K436" s="111"/>
      <c r="L436" s="107"/>
      <c r="M436" s="107"/>
      <c r="N436" s="107"/>
      <c r="O436" s="107"/>
      <c r="P436" s="107"/>
      <c r="Q436" s="107"/>
      <c r="R436" s="107"/>
      <c r="S436" s="107"/>
      <c r="T436" s="107"/>
      <c r="U436" s="107"/>
      <c r="V436" s="107"/>
      <c r="W436" s="107"/>
      <c r="X436" s="107"/>
      <c r="Y436" s="107"/>
      <c r="Z436" s="107"/>
      <c r="AA436" s="3511">
        <v>0.3</v>
      </c>
      <c r="AB436" s="107"/>
      <c r="AC436" s="107"/>
      <c r="AD436" s="107"/>
      <c r="AE436" s="107"/>
      <c r="AF436" s="107"/>
      <c r="AG436" s="107"/>
      <c r="AH436" s="107">
        <f t="shared" si="81"/>
        <v>0.3</v>
      </c>
    </row>
    <row r="437" spans="1:34" ht="15">
      <c r="A437" s="73" t="s">
        <v>153</v>
      </c>
      <c r="B437" s="329">
        <f t="shared" si="80"/>
        <v>0</v>
      </c>
      <c r="C437" s="100"/>
      <c r="D437" s="107"/>
      <c r="E437" s="107"/>
      <c r="F437" s="107"/>
      <c r="G437" s="107"/>
      <c r="H437" s="107"/>
      <c r="I437" s="107"/>
      <c r="J437" s="111"/>
      <c r="K437" s="111"/>
      <c r="L437" s="53"/>
      <c r="M437" s="53"/>
      <c r="N437" s="53"/>
      <c r="O437" s="53"/>
      <c r="P437" s="53"/>
      <c r="Q437" s="53"/>
      <c r="R437" s="53"/>
      <c r="S437" s="53"/>
      <c r="T437" s="53"/>
      <c r="U437" s="53"/>
      <c r="V437" s="53"/>
      <c r="W437" s="53"/>
      <c r="X437" s="53"/>
      <c r="Y437" s="53"/>
      <c r="Z437" s="53"/>
      <c r="AA437" s="53"/>
      <c r="AB437" s="53"/>
      <c r="AC437" s="53"/>
      <c r="AD437" s="53"/>
      <c r="AE437" s="53"/>
      <c r="AF437" s="53"/>
      <c r="AG437" s="53"/>
      <c r="AH437" s="107">
        <f t="shared" si="81"/>
        <v>0</v>
      </c>
    </row>
    <row r="438" spans="1:34" ht="15">
      <c r="A438" s="73" t="s">
        <v>154</v>
      </c>
      <c r="B438" s="329">
        <f t="shared" si="80"/>
        <v>0</v>
      </c>
      <c r="C438" s="103"/>
      <c r="D438" s="2503" t="s">
        <v>318</v>
      </c>
      <c r="E438" s="2503" t="s">
        <v>318</v>
      </c>
      <c r="F438" s="2503" t="s">
        <v>318</v>
      </c>
      <c r="G438" s="2503" t="s">
        <v>318</v>
      </c>
      <c r="H438" s="2503" t="s">
        <v>318</v>
      </c>
      <c r="I438" s="2503" t="s">
        <v>318</v>
      </c>
      <c r="J438" s="2503" t="s">
        <v>318</v>
      </c>
      <c r="K438" s="2503" t="s">
        <v>318</v>
      </c>
      <c r="L438" s="2503" t="s">
        <v>318</v>
      </c>
      <c r="M438" s="2503" t="s">
        <v>318</v>
      </c>
      <c r="N438" s="2503" t="s">
        <v>318</v>
      </c>
      <c r="O438" s="2503" t="s">
        <v>318</v>
      </c>
      <c r="P438" s="2503" t="s">
        <v>318</v>
      </c>
      <c r="Q438" s="2503" t="s">
        <v>318</v>
      </c>
      <c r="R438" s="2503" t="s">
        <v>318</v>
      </c>
      <c r="S438" s="2503" t="s">
        <v>318</v>
      </c>
      <c r="T438" s="2503" t="s">
        <v>318</v>
      </c>
      <c r="U438" s="2503" t="s">
        <v>318</v>
      </c>
      <c r="V438" s="2503" t="s">
        <v>318</v>
      </c>
      <c r="W438" s="2503" t="s">
        <v>318</v>
      </c>
      <c r="X438" s="2503" t="s">
        <v>318</v>
      </c>
      <c r="Y438" s="2503" t="s">
        <v>318</v>
      </c>
      <c r="Z438" s="2503" t="s">
        <v>318</v>
      </c>
      <c r="AA438" s="2503" t="s">
        <v>318</v>
      </c>
      <c r="AB438" s="2503" t="s">
        <v>318</v>
      </c>
      <c r="AC438" s="2503" t="s">
        <v>318</v>
      </c>
      <c r="AD438" s="2503" t="s">
        <v>318</v>
      </c>
      <c r="AE438" s="2503" t="s">
        <v>318</v>
      </c>
      <c r="AF438" s="2503" t="s">
        <v>318</v>
      </c>
      <c r="AG438" s="2503" t="s">
        <v>318</v>
      </c>
      <c r="AH438" s="107">
        <f t="shared" si="81"/>
        <v>0</v>
      </c>
    </row>
    <row r="439" spans="1:34" ht="15">
      <c r="A439" s="73" t="s">
        <v>155</v>
      </c>
      <c r="B439" s="329">
        <f t="shared" si="80"/>
        <v>0</v>
      </c>
      <c r="C439" s="188" t="s">
        <v>318</v>
      </c>
      <c r="D439" s="188" t="s">
        <v>318</v>
      </c>
      <c r="E439" s="188" t="s">
        <v>318</v>
      </c>
      <c r="F439" s="188" t="s">
        <v>318</v>
      </c>
      <c r="G439" s="188" t="s">
        <v>318</v>
      </c>
      <c r="H439" s="188" t="s">
        <v>318</v>
      </c>
      <c r="I439" s="188" t="s">
        <v>318</v>
      </c>
      <c r="J439" s="188" t="s">
        <v>318</v>
      </c>
      <c r="K439" s="188" t="s">
        <v>318</v>
      </c>
      <c r="L439" s="188" t="s">
        <v>318</v>
      </c>
      <c r="M439" s="188" t="s">
        <v>318</v>
      </c>
      <c r="N439" s="188" t="s">
        <v>318</v>
      </c>
      <c r="O439" s="188" t="s">
        <v>318</v>
      </c>
      <c r="P439" s="188" t="s">
        <v>318</v>
      </c>
      <c r="Q439" s="188" t="s">
        <v>318</v>
      </c>
      <c r="R439" s="53"/>
      <c r="S439" s="53"/>
      <c r="T439" s="53"/>
      <c r="U439" s="53"/>
      <c r="V439" s="53"/>
      <c r="W439" s="53"/>
      <c r="X439" s="53"/>
      <c r="Y439" s="53"/>
      <c r="Z439" s="53"/>
      <c r="AA439" s="53"/>
      <c r="AB439" s="53"/>
      <c r="AC439" s="53"/>
      <c r="AD439" s="53"/>
      <c r="AE439" s="107"/>
      <c r="AF439" s="53"/>
      <c r="AG439" s="107"/>
      <c r="AH439" s="107">
        <f t="shared" si="81"/>
        <v>0</v>
      </c>
    </row>
    <row r="440" spans="1:34" ht="15">
      <c r="A440" s="73" t="s">
        <v>156</v>
      </c>
      <c r="B440" s="329">
        <f t="shared" si="80"/>
        <v>0</v>
      </c>
      <c r="C440" s="103"/>
      <c r="D440" s="53">
        <v>0</v>
      </c>
      <c r="E440" s="53"/>
      <c r="F440" s="53"/>
      <c r="G440" s="53"/>
      <c r="H440" s="53"/>
      <c r="I440" s="53"/>
      <c r="J440" s="53"/>
      <c r="K440" s="53"/>
      <c r="L440" s="53"/>
      <c r="M440" s="53"/>
      <c r="N440" s="53"/>
      <c r="O440" s="53"/>
      <c r="P440" s="53"/>
      <c r="Q440" s="53"/>
      <c r="R440" s="53"/>
      <c r="S440" s="53"/>
      <c r="T440" s="53"/>
      <c r="U440" s="53"/>
      <c r="V440" s="53"/>
      <c r="W440" s="53"/>
      <c r="X440" s="53"/>
      <c r="Y440" s="53"/>
      <c r="Z440" s="53"/>
      <c r="AA440" s="53"/>
      <c r="AB440" s="53"/>
      <c r="AC440" s="53"/>
      <c r="AD440" s="53"/>
      <c r="AE440" s="107"/>
      <c r="AF440" s="53"/>
      <c r="AG440" s="107"/>
      <c r="AH440" s="107">
        <f t="shared" si="81"/>
        <v>0</v>
      </c>
    </row>
    <row r="441" spans="1:34" ht="15">
      <c r="A441" s="199" t="s">
        <v>144</v>
      </c>
      <c r="B441" s="200">
        <f>SUM(B429:B440)</f>
        <v>6669.8060000000014</v>
      </c>
      <c r="C441" s="100">
        <f>SUM(C429:C439)</f>
        <v>233.798</v>
      </c>
      <c r="D441" s="107">
        <f>SUM(D429:D439)</f>
        <v>91.540999999999997</v>
      </c>
      <c r="E441" s="107">
        <v>0</v>
      </c>
      <c r="F441" s="107">
        <f t="shared" ref="F441:AC441" si="82">SUM(F429:F439)</f>
        <v>42.51</v>
      </c>
      <c r="G441" s="107">
        <f t="shared" si="82"/>
        <v>48.64</v>
      </c>
      <c r="H441" s="107">
        <f t="shared" si="82"/>
        <v>13.336</v>
      </c>
      <c r="I441" s="107">
        <f t="shared" si="82"/>
        <v>182.89400000000001</v>
      </c>
      <c r="J441" s="107">
        <f t="shared" si="82"/>
        <v>4.5579999999999998</v>
      </c>
      <c r="K441" s="107">
        <f t="shared" si="82"/>
        <v>34.905999999999999</v>
      </c>
      <c r="L441" s="107">
        <f t="shared" si="82"/>
        <v>57.987000000000002</v>
      </c>
      <c r="M441" s="107">
        <f t="shared" si="82"/>
        <v>62.875</v>
      </c>
      <c r="N441" s="107">
        <f t="shared" si="82"/>
        <v>114.128</v>
      </c>
      <c r="O441" s="107">
        <f t="shared" si="82"/>
        <v>69.263999999999996</v>
      </c>
      <c r="P441" s="107">
        <f t="shared" si="82"/>
        <v>263.87599999999998</v>
      </c>
      <c r="Q441" s="107">
        <f t="shared" si="82"/>
        <v>465.93599999999998</v>
      </c>
      <c r="R441" s="107">
        <f t="shared" si="82"/>
        <v>367.947</v>
      </c>
      <c r="S441" s="107">
        <f t="shared" si="82"/>
        <v>371.64099999999996</v>
      </c>
      <c r="T441" s="107">
        <f t="shared" si="82"/>
        <v>20</v>
      </c>
      <c r="U441" s="107">
        <f t="shared" si="82"/>
        <v>155.46299999999999</v>
      </c>
      <c r="V441" s="107">
        <f t="shared" si="82"/>
        <v>241.404</v>
      </c>
      <c r="W441" s="107">
        <f t="shared" si="82"/>
        <v>273.38400000000001</v>
      </c>
      <c r="X441" s="107">
        <f t="shared" si="82"/>
        <v>346.70499999999998</v>
      </c>
      <c r="Y441" s="107">
        <f t="shared" si="82"/>
        <v>420.096</v>
      </c>
      <c r="Z441" s="107">
        <f t="shared" si="82"/>
        <v>335.76600000000002</v>
      </c>
      <c r="AA441" s="107">
        <f t="shared" si="82"/>
        <v>303.91700000000003</v>
      </c>
      <c r="AB441" s="107">
        <f t="shared" si="82"/>
        <v>297.10599999999999</v>
      </c>
      <c r="AC441" s="107">
        <f t="shared" si="82"/>
        <v>281.05900000000003</v>
      </c>
      <c r="AD441" s="107">
        <v>0</v>
      </c>
      <c r="AE441" s="107">
        <f>SUM(AE429:AE439)</f>
        <v>660.26199999999994</v>
      </c>
      <c r="AF441" s="107">
        <f>SUM(AF429:AF439)</f>
        <v>121.2</v>
      </c>
      <c r="AG441" s="107">
        <f>SUM(AG429:AG439)</f>
        <v>167.02199999999999</v>
      </c>
      <c r="AH441" s="100">
        <f>SUM(AH429:AH439)</f>
        <v>6669.8060000000014</v>
      </c>
    </row>
    <row r="442" spans="1:34" ht="5.0999999999999996" customHeight="1">
      <c r="A442" s="49"/>
      <c r="B442" s="49"/>
      <c r="C442" s="1"/>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c r="AG442" s="14"/>
      <c r="AH442" s="1"/>
    </row>
    <row r="443" spans="1:34" ht="15">
      <c r="A443" s="3854" t="s">
        <v>125</v>
      </c>
      <c r="B443" s="3855"/>
      <c r="C443" s="3855"/>
      <c r="D443" s="3855"/>
      <c r="E443" s="3855"/>
      <c r="F443" s="3855"/>
      <c r="G443" s="3855"/>
      <c r="H443" s="3856"/>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c r="AG443" s="14"/>
      <c r="AH443" s="14"/>
    </row>
    <row r="444" spans="1:34" ht="15">
      <c r="A444" s="8" t="s">
        <v>161</v>
      </c>
      <c r="B444" s="172" t="s">
        <v>143</v>
      </c>
      <c r="C444" s="2907">
        <v>1</v>
      </c>
      <c r="D444" s="73">
        <v>2</v>
      </c>
      <c r="E444" s="73">
        <v>3</v>
      </c>
      <c r="F444" s="73">
        <v>4</v>
      </c>
      <c r="G444" s="73">
        <v>5</v>
      </c>
      <c r="H444" s="73">
        <v>6</v>
      </c>
      <c r="I444" s="73">
        <v>7</v>
      </c>
      <c r="J444" s="73">
        <v>8</v>
      </c>
      <c r="K444" s="73">
        <v>9</v>
      </c>
      <c r="L444" s="73">
        <v>10</v>
      </c>
      <c r="M444" s="73">
        <v>11</v>
      </c>
      <c r="N444" s="73">
        <v>12</v>
      </c>
      <c r="O444" s="73">
        <v>13</v>
      </c>
      <c r="P444" s="73">
        <v>14</v>
      </c>
      <c r="Q444" s="73">
        <v>15</v>
      </c>
      <c r="R444" s="73">
        <v>16</v>
      </c>
      <c r="S444" s="73">
        <v>17</v>
      </c>
      <c r="T444" s="73">
        <v>18</v>
      </c>
      <c r="U444" s="73">
        <v>19</v>
      </c>
      <c r="V444" s="73">
        <v>20</v>
      </c>
      <c r="W444" s="73">
        <v>21</v>
      </c>
      <c r="X444" s="73">
        <v>22</v>
      </c>
      <c r="Y444" s="73">
        <v>23</v>
      </c>
      <c r="Z444" s="73">
        <v>24</v>
      </c>
      <c r="AA444" s="73">
        <v>25</v>
      </c>
      <c r="AB444" s="73">
        <v>26</v>
      </c>
      <c r="AC444" s="73">
        <v>27</v>
      </c>
      <c r="AD444" s="73">
        <v>28</v>
      </c>
      <c r="AE444" s="73">
        <v>29</v>
      </c>
      <c r="AF444" s="73">
        <v>30</v>
      </c>
      <c r="AG444" s="73">
        <v>31</v>
      </c>
      <c r="AH444" s="88" t="s">
        <v>144</v>
      </c>
    </row>
    <row r="445" spans="1:34" ht="15">
      <c r="A445" s="73" t="s">
        <v>145</v>
      </c>
      <c r="B445" s="313">
        <f t="shared" ref="B445:B456" si="83">+AH445</f>
        <v>0</v>
      </c>
      <c r="C445" s="188" t="s">
        <v>311</v>
      </c>
      <c r="D445" s="188" t="s">
        <v>311</v>
      </c>
      <c r="E445" s="188" t="s">
        <v>311</v>
      </c>
      <c r="F445" s="188" t="s">
        <v>311</v>
      </c>
      <c r="G445" s="188" t="s">
        <v>311</v>
      </c>
      <c r="H445" s="188" t="s">
        <v>311</v>
      </c>
      <c r="I445" s="188" t="s">
        <v>311</v>
      </c>
      <c r="J445" s="188" t="s">
        <v>311</v>
      </c>
      <c r="K445" s="188" t="s">
        <v>311</v>
      </c>
      <c r="L445" s="188" t="s">
        <v>311</v>
      </c>
      <c r="M445" s="188" t="s">
        <v>311</v>
      </c>
      <c r="N445" s="188" t="s">
        <v>311</v>
      </c>
      <c r="O445" s="188" t="s">
        <v>311</v>
      </c>
      <c r="P445" s="188" t="s">
        <v>311</v>
      </c>
      <c r="Q445" s="188" t="s">
        <v>311</v>
      </c>
      <c r="R445" s="188" t="s">
        <v>311</v>
      </c>
      <c r="S445" s="188" t="s">
        <v>311</v>
      </c>
      <c r="T445" s="188" t="s">
        <v>311</v>
      </c>
      <c r="U445" s="188" t="s">
        <v>311</v>
      </c>
      <c r="V445" s="188" t="s">
        <v>311</v>
      </c>
      <c r="W445" s="188" t="s">
        <v>311</v>
      </c>
      <c r="X445" s="188" t="s">
        <v>311</v>
      </c>
      <c r="Y445" s="188" t="s">
        <v>311</v>
      </c>
      <c r="Z445" s="188" t="s">
        <v>311</v>
      </c>
      <c r="AA445" s="188" t="s">
        <v>311</v>
      </c>
      <c r="AB445" s="188" t="s">
        <v>311</v>
      </c>
      <c r="AC445" s="188" t="s">
        <v>311</v>
      </c>
      <c r="AD445" s="188" t="s">
        <v>311</v>
      </c>
      <c r="AE445" s="188" t="s">
        <v>311</v>
      </c>
      <c r="AF445" s="188" t="s">
        <v>311</v>
      </c>
      <c r="AG445" s="188" t="s">
        <v>311</v>
      </c>
      <c r="AH445" s="107">
        <f>SUM(C445:AG445)</f>
        <v>0</v>
      </c>
    </row>
    <row r="446" spans="1:34" ht="15">
      <c r="A446" s="73" t="s">
        <v>146</v>
      </c>
      <c r="B446" s="313">
        <f t="shared" si="83"/>
        <v>13.228999999999999</v>
      </c>
      <c r="C446" s="188" t="s">
        <v>311</v>
      </c>
      <c r="D446" s="188" t="s">
        <v>311</v>
      </c>
      <c r="E446" s="188" t="s">
        <v>311</v>
      </c>
      <c r="F446" s="188" t="s">
        <v>311</v>
      </c>
      <c r="G446" s="188" t="s">
        <v>311</v>
      </c>
      <c r="H446" s="188" t="s">
        <v>311</v>
      </c>
      <c r="I446" s="188" t="s">
        <v>311</v>
      </c>
      <c r="J446" s="306"/>
      <c r="K446" s="306"/>
      <c r="L446" s="306"/>
      <c r="M446" s="306"/>
      <c r="N446" s="306"/>
      <c r="O446" s="306"/>
      <c r="P446" s="306"/>
      <c r="Q446" s="306"/>
      <c r="R446" s="306"/>
      <c r="S446" s="306"/>
      <c r="T446" s="306"/>
      <c r="U446" s="306"/>
      <c r="V446" s="306"/>
      <c r="W446" s="306"/>
      <c r="X446" s="306"/>
      <c r="Y446" s="306">
        <v>11.581</v>
      </c>
      <c r="Z446" s="306"/>
      <c r="AA446" s="306">
        <v>1.6479999999999999</v>
      </c>
      <c r="AB446" s="306"/>
      <c r="AC446" s="306"/>
      <c r="AD446" s="306"/>
      <c r="AE446" s="306"/>
      <c r="AF446" s="306"/>
      <c r="AG446" s="306"/>
      <c r="AH446" s="107">
        <f t="shared" ref="AH446:AH456" si="84">SUM(C446:AG446)</f>
        <v>13.228999999999999</v>
      </c>
    </row>
    <row r="447" spans="1:34" ht="15">
      <c r="A447" s="73" t="s">
        <v>147</v>
      </c>
      <c r="B447" s="313">
        <f t="shared" si="83"/>
        <v>10.66</v>
      </c>
      <c r="C447" s="306"/>
      <c r="D447" s="306"/>
      <c r="E447" s="306"/>
      <c r="F447" s="306"/>
      <c r="G447" s="306"/>
      <c r="H447" s="315"/>
      <c r="I447" s="107"/>
      <c r="J447" s="107"/>
      <c r="K447" s="107"/>
      <c r="L447" s="107"/>
      <c r="M447" s="107"/>
      <c r="N447" s="107"/>
      <c r="O447" s="107"/>
      <c r="P447" s="107"/>
      <c r="Q447" s="107"/>
      <c r="R447" s="107">
        <v>2.5760000000000001</v>
      </c>
      <c r="S447" s="107"/>
      <c r="T447" s="107"/>
      <c r="U447" s="107"/>
      <c r="V447" s="107"/>
      <c r="W447" s="107"/>
      <c r="X447" s="107"/>
      <c r="Y447" s="107"/>
      <c r="Z447" s="107"/>
      <c r="AA447" s="107"/>
      <c r="AB447" s="107"/>
      <c r="AC447" s="107"/>
      <c r="AD447" s="107">
        <v>5.1020000000000003</v>
      </c>
      <c r="AE447" s="107"/>
      <c r="AF447" s="107"/>
      <c r="AG447" s="107">
        <v>2.9820000000000002</v>
      </c>
      <c r="AH447" s="107">
        <f t="shared" si="84"/>
        <v>10.66</v>
      </c>
    </row>
    <row r="448" spans="1:34" ht="15">
      <c r="A448" s="73" t="s">
        <v>148</v>
      </c>
      <c r="B448" s="313">
        <f t="shared" si="83"/>
        <v>18.657</v>
      </c>
      <c r="C448" s="103"/>
      <c r="D448" s="107"/>
      <c r="E448" s="107"/>
      <c r="F448" s="107"/>
      <c r="G448" s="53"/>
      <c r="H448" s="53"/>
      <c r="I448" s="53"/>
      <c r="J448" s="107"/>
      <c r="K448" s="107"/>
      <c r="L448" s="107"/>
      <c r="M448" s="107"/>
      <c r="N448" s="107"/>
      <c r="O448" s="107"/>
      <c r="P448" s="107"/>
      <c r="Q448" s="107">
        <v>14.38</v>
      </c>
      <c r="R448" s="107">
        <v>4.2770000000000001</v>
      </c>
      <c r="S448" s="107"/>
      <c r="T448" s="107"/>
      <c r="U448" s="107"/>
      <c r="V448" s="107"/>
      <c r="W448" s="107"/>
      <c r="X448" s="107"/>
      <c r="Y448" s="107"/>
      <c r="Z448" s="107"/>
      <c r="AA448" s="107"/>
      <c r="AB448" s="107"/>
      <c r="AC448" s="107"/>
      <c r="AD448" s="107"/>
      <c r="AE448" s="107"/>
      <c r="AF448" s="107"/>
      <c r="AG448" s="107"/>
      <c r="AH448" s="107">
        <f t="shared" si="84"/>
        <v>18.657</v>
      </c>
    </row>
    <row r="449" spans="1:34" ht="15">
      <c r="A449" s="73" t="s">
        <v>149</v>
      </c>
      <c r="B449" s="313">
        <f t="shared" si="83"/>
        <v>0.88300000000000001</v>
      </c>
      <c r="C449" s="103"/>
      <c r="D449" s="53"/>
      <c r="E449" s="53"/>
      <c r="F449" s="53"/>
      <c r="G449" s="53"/>
      <c r="H449" s="53"/>
      <c r="I449" s="53"/>
      <c r="J449" s="107"/>
      <c r="K449" s="107"/>
      <c r="L449" s="107"/>
      <c r="M449" s="107"/>
      <c r="N449" s="107"/>
      <c r="O449" s="107"/>
      <c r="P449" s="107">
        <v>0.88300000000000001</v>
      </c>
      <c r="Q449" s="107"/>
      <c r="R449" s="107"/>
      <c r="S449" s="107"/>
      <c r="T449" s="107"/>
      <c r="U449" s="107"/>
      <c r="V449" s="107"/>
      <c r="W449" s="107"/>
      <c r="X449" s="107"/>
      <c r="Y449" s="107"/>
      <c r="Z449" s="107"/>
      <c r="AA449" s="107"/>
      <c r="AB449" s="107"/>
      <c r="AC449" s="107"/>
      <c r="AD449" s="107"/>
      <c r="AE449" s="107"/>
      <c r="AF449" s="107"/>
      <c r="AG449" s="107"/>
      <c r="AH449" s="107">
        <f t="shared" si="84"/>
        <v>0.88300000000000001</v>
      </c>
    </row>
    <row r="450" spans="1:34" s="312" customFormat="1" ht="15">
      <c r="A450" s="314" t="s">
        <v>150</v>
      </c>
      <c r="B450" s="313">
        <f t="shared" si="83"/>
        <v>0</v>
      </c>
      <c r="C450" s="100"/>
      <c r="D450" s="107"/>
      <c r="E450" s="107"/>
      <c r="F450" s="107"/>
      <c r="G450" s="107"/>
      <c r="H450" s="107"/>
      <c r="I450" s="107"/>
      <c r="J450" s="107"/>
      <c r="K450" s="107"/>
      <c r="L450" s="107"/>
      <c r="M450" s="107"/>
      <c r="N450" s="107"/>
      <c r="O450" s="107"/>
      <c r="P450" s="107"/>
      <c r="Q450" s="107"/>
      <c r="R450" s="107"/>
      <c r="S450" s="107"/>
      <c r="T450" s="107"/>
      <c r="U450" s="107"/>
      <c r="V450" s="107"/>
      <c r="W450" s="107"/>
      <c r="X450" s="107"/>
      <c r="Y450" s="107"/>
      <c r="Z450" s="107"/>
      <c r="AA450" s="107"/>
      <c r="AB450" s="107"/>
      <c r="AC450" s="107"/>
      <c r="AD450" s="107"/>
      <c r="AE450" s="107"/>
      <c r="AF450" s="107"/>
      <c r="AG450" s="107"/>
      <c r="AH450" s="315">
        <f t="shared" si="84"/>
        <v>0</v>
      </c>
    </row>
    <row r="451" spans="1:34" ht="15">
      <c r="A451" s="73" t="s">
        <v>151</v>
      </c>
      <c r="B451" s="319">
        <f t="shared" si="83"/>
        <v>0</v>
      </c>
      <c r="C451" s="103"/>
      <c r="D451" s="107"/>
      <c r="E451" s="107"/>
      <c r="F451" s="107"/>
      <c r="G451" s="53"/>
      <c r="H451" s="53"/>
      <c r="I451" s="53"/>
      <c r="J451" s="111"/>
      <c r="K451" s="111"/>
      <c r="L451" s="107"/>
      <c r="M451" s="107"/>
      <c r="N451" s="107"/>
      <c r="O451" s="107"/>
      <c r="P451" s="107"/>
      <c r="Q451" s="107"/>
      <c r="R451" s="107"/>
      <c r="S451" s="107"/>
      <c r="T451" s="107"/>
      <c r="U451" s="107"/>
      <c r="V451" s="107"/>
      <c r="W451" s="107"/>
      <c r="X451" s="107"/>
      <c r="Y451" s="107"/>
      <c r="Z451" s="107"/>
      <c r="AA451" s="107"/>
      <c r="AB451" s="107"/>
      <c r="AC451" s="107"/>
      <c r="AD451" s="107"/>
      <c r="AE451" s="107"/>
      <c r="AF451" s="107"/>
      <c r="AG451" s="107"/>
      <c r="AH451" s="107">
        <f t="shared" si="84"/>
        <v>0</v>
      </c>
    </row>
    <row r="452" spans="1:34" ht="15">
      <c r="A452" s="73" t="s">
        <v>152</v>
      </c>
      <c r="B452" s="319">
        <f t="shared" si="83"/>
        <v>0</v>
      </c>
      <c r="C452" s="103"/>
      <c r="D452" s="53"/>
      <c r="E452" s="53"/>
      <c r="F452" s="53"/>
      <c r="G452" s="53"/>
      <c r="H452" s="53"/>
      <c r="I452" s="53"/>
      <c r="J452" s="111"/>
      <c r="K452" s="111"/>
      <c r="L452" s="107"/>
      <c r="M452" s="107"/>
      <c r="N452" s="107"/>
      <c r="O452" s="107"/>
      <c r="P452" s="107"/>
      <c r="Q452" s="107"/>
      <c r="R452" s="107"/>
      <c r="S452" s="107"/>
      <c r="T452" s="107"/>
      <c r="U452" s="107"/>
      <c r="V452" s="107"/>
      <c r="W452" s="107"/>
      <c r="X452" s="107"/>
      <c r="Y452" s="107"/>
      <c r="Z452" s="107"/>
      <c r="AA452" s="107"/>
      <c r="AB452" s="107"/>
      <c r="AC452" s="107"/>
      <c r="AD452" s="107"/>
      <c r="AE452" s="107"/>
      <c r="AF452" s="107"/>
      <c r="AG452" s="107"/>
      <c r="AH452" s="107">
        <f t="shared" si="84"/>
        <v>0</v>
      </c>
    </row>
    <row r="453" spans="1:34" ht="15">
      <c r="A453" s="73" t="s">
        <v>153</v>
      </c>
      <c r="B453" s="319">
        <f t="shared" si="83"/>
        <v>0</v>
      </c>
      <c r="C453" s="100"/>
      <c r="D453" s="107"/>
      <c r="E453" s="107"/>
      <c r="F453" s="107"/>
      <c r="G453" s="107"/>
      <c r="H453" s="107"/>
      <c r="I453" s="107"/>
      <c r="J453" s="111"/>
      <c r="K453" s="111"/>
      <c r="L453" s="53"/>
      <c r="M453" s="53"/>
      <c r="N453" s="53"/>
      <c r="O453" s="53"/>
      <c r="P453" s="53"/>
      <c r="Q453" s="53"/>
      <c r="R453" s="53"/>
      <c r="S453" s="53"/>
      <c r="T453" s="53"/>
      <c r="U453" s="53"/>
      <c r="V453" s="53"/>
      <c r="W453" s="53"/>
      <c r="X453" s="53"/>
      <c r="Y453" s="53"/>
      <c r="Z453" s="53"/>
      <c r="AA453" s="53"/>
      <c r="AB453" s="53"/>
      <c r="AC453" s="53"/>
      <c r="AD453" s="53"/>
      <c r="AE453" s="53"/>
      <c r="AF453" s="53"/>
      <c r="AG453" s="53"/>
      <c r="AH453" s="107">
        <f t="shared" si="84"/>
        <v>0</v>
      </c>
    </row>
    <row r="454" spans="1:34" ht="15">
      <c r="A454" s="73" t="s">
        <v>154</v>
      </c>
      <c r="B454" s="70">
        <f t="shared" si="83"/>
        <v>0</v>
      </c>
      <c r="C454" s="103"/>
      <c r="D454" s="2503" t="s">
        <v>318</v>
      </c>
      <c r="E454" s="2503" t="s">
        <v>318</v>
      </c>
      <c r="F454" s="2503" t="s">
        <v>318</v>
      </c>
      <c r="G454" s="2503" t="s">
        <v>318</v>
      </c>
      <c r="H454" s="2503" t="s">
        <v>318</v>
      </c>
      <c r="I454" s="2503" t="s">
        <v>318</v>
      </c>
      <c r="J454" s="2503" t="s">
        <v>318</v>
      </c>
      <c r="K454" s="2503" t="s">
        <v>318</v>
      </c>
      <c r="L454" s="2503" t="s">
        <v>318</v>
      </c>
      <c r="M454" s="2503" t="s">
        <v>318</v>
      </c>
      <c r="N454" s="2503" t="s">
        <v>318</v>
      </c>
      <c r="O454" s="2503" t="s">
        <v>318</v>
      </c>
      <c r="P454" s="2503" t="s">
        <v>318</v>
      </c>
      <c r="Q454" s="2503" t="s">
        <v>318</v>
      </c>
      <c r="R454" s="2503" t="s">
        <v>318</v>
      </c>
      <c r="S454" s="2503" t="s">
        <v>318</v>
      </c>
      <c r="T454" s="2503" t="s">
        <v>318</v>
      </c>
      <c r="U454" s="2503" t="s">
        <v>318</v>
      </c>
      <c r="V454" s="2503" t="s">
        <v>318</v>
      </c>
      <c r="W454" s="2503" t="s">
        <v>318</v>
      </c>
      <c r="X454" s="2503" t="s">
        <v>318</v>
      </c>
      <c r="Y454" s="2503" t="s">
        <v>318</v>
      </c>
      <c r="Z454" s="2503" t="s">
        <v>318</v>
      </c>
      <c r="AA454" s="2503" t="s">
        <v>318</v>
      </c>
      <c r="AB454" s="2503" t="s">
        <v>318</v>
      </c>
      <c r="AC454" s="2503" t="s">
        <v>318</v>
      </c>
      <c r="AD454" s="2503" t="s">
        <v>318</v>
      </c>
      <c r="AE454" s="2503" t="s">
        <v>318</v>
      </c>
      <c r="AF454" s="2503" t="s">
        <v>318</v>
      </c>
      <c r="AG454" s="2503" t="s">
        <v>318</v>
      </c>
      <c r="AH454" s="107">
        <f t="shared" si="84"/>
        <v>0</v>
      </c>
    </row>
    <row r="455" spans="1:34" ht="15">
      <c r="A455" s="73" t="s">
        <v>155</v>
      </c>
      <c r="B455" s="70">
        <f t="shared" si="83"/>
        <v>0</v>
      </c>
      <c r="C455" s="188" t="s">
        <v>318</v>
      </c>
      <c r="D455" s="188" t="s">
        <v>318</v>
      </c>
      <c r="E455" s="188" t="s">
        <v>318</v>
      </c>
      <c r="F455" s="188" t="s">
        <v>318</v>
      </c>
      <c r="G455" s="188" t="s">
        <v>318</v>
      </c>
      <c r="H455" s="188" t="s">
        <v>318</v>
      </c>
      <c r="I455" s="188" t="s">
        <v>318</v>
      </c>
      <c r="J455" s="188" t="s">
        <v>318</v>
      </c>
      <c r="K455" s="188" t="s">
        <v>318</v>
      </c>
      <c r="L455" s="188" t="s">
        <v>318</v>
      </c>
      <c r="M455" s="188" t="s">
        <v>318</v>
      </c>
      <c r="N455" s="188" t="s">
        <v>318</v>
      </c>
      <c r="O455" s="188" t="s">
        <v>318</v>
      </c>
      <c r="P455" s="188" t="s">
        <v>318</v>
      </c>
      <c r="Q455" s="188" t="s">
        <v>318</v>
      </c>
      <c r="R455" s="53"/>
      <c r="S455" s="53"/>
      <c r="T455" s="53"/>
      <c r="U455" s="53"/>
      <c r="V455" s="53"/>
      <c r="W455" s="53"/>
      <c r="X455" s="53"/>
      <c r="Y455" s="53"/>
      <c r="Z455" s="53"/>
      <c r="AA455" s="53"/>
      <c r="AB455" s="53"/>
      <c r="AC455" s="53"/>
      <c r="AD455" s="53"/>
      <c r="AE455" s="107"/>
      <c r="AF455" s="53"/>
      <c r="AG455" s="107"/>
      <c r="AH455" s="107">
        <f t="shared" si="84"/>
        <v>0</v>
      </c>
    </row>
    <row r="456" spans="1:34" ht="15">
      <c r="A456" s="73" t="s">
        <v>156</v>
      </c>
      <c r="B456" s="70">
        <f t="shared" si="83"/>
        <v>0</v>
      </c>
      <c r="C456" s="103"/>
      <c r="D456" s="53"/>
      <c r="E456" s="53"/>
      <c r="F456" s="53"/>
      <c r="G456" s="53"/>
      <c r="H456" s="53"/>
      <c r="I456" s="53"/>
      <c r="J456" s="53"/>
      <c r="K456" s="53"/>
      <c r="L456" s="53"/>
      <c r="M456" s="53"/>
      <c r="N456" s="53"/>
      <c r="O456" s="53"/>
      <c r="P456" s="53"/>
      <c r="Q456" s="53"/>
      <c r="R456" s="53"/>
      <c r="S456" s="53"/>
      <c r="T456" s="53"/>
      <c r="U456" s="53"/>
      <c r="V456" s="53"/>
      <c r="W456" s="53"/>
      <c r="X456" s="53"/>
      <c r="Y456" s="53"/>
      <c r="Z456" s="53"/>
      <c r="AA456" s="53"/>
      <c r="AB456" s="53"/>
      <c r="AC456" s="53"/>
      <c r="AD456" s="53"/>
      <c r="AE456" s="107"/>
      <c r="AF456" s="53"/>
      <c r="AG456" s="107"/>
      <c r="AH456" s="107">
        <f t="shared" si="84"/>
        <v>0</v>
      </c>
    </row>
    <row r="457" spans="1:34" ht="15">
      <c r="A457" s="199" t="s">
        <v>144</v>
      </c>
      <c r="B457" s="229">
        <f>SUM(B445:B456)</f>
        <v>43.429000000000002</v>
      </c>
      <c r="C457" s="100">
        <f>SUM(C445:C455)</f>
        <v>0</v>
      </c>
      <c r="D457" s="107">
        <f>SUM(D445:D455)</f>
        <v>0</v>
      </c>
      <c r="E457" s="107">
        <v>0</v>
      </c>
      <c r="F457" s="107">
        <f t="shared" ref="F457:AC457" si="85">SUM(F445:F455)</f>
        <v>0</v>
      </c>
      <c r="G457" s="107">
        <f t="shared" si="85"/>
        <v>0</v>
      </c>
      <c r="H457" s="107">
        <f t="shared" si="85"/>
        <v>0</v>
      </c>
      <c r="I457" s="107">
        <f t="shared" si="85"/>
        <v>0</v>
      </c>
      <c r="J457" s="107">
        <f t="shared" si="85"/>
        <v>0</v>
      </c>
      <c r="K457" s="107">
        <f t="shared" si="85"/>
        <v>0</v>
      </c>
      <c r="L457" s="107">
        <f t="shared" si="85"/>
        <v>0</v>
      </c>
      <c r="M457" s="107">
        <f t="shared" si="85"/>
        <v>0</v>
      </c>
      <c r="N457" s="107">
        <f t="shared" si="85"/>
        <v>0</v>
      </c>
      <c r="O457" s="107">
        <f t="shared" si="85"/>
        <v>0</v>
      </c>
      <c r="P457" s="107">
        <f t="shared" si="85"/>
        <v>0.88300000000000001</v>
      </c>
      <c r="Q457" s="107">
        <f t="shared" si="85"/>
        <v>14.38</v>
      </c>
      <c r="R457" s="107">
        <f t="shared" si="85"/>
        <v>6.8529999999999998</v>
      </c>
      <c r="S457" s="107">
        <f t="shared" si="85"/>
        <v>0</v>
      </c>
      <c r="T457" s="107">
        <f t="shared" si="85"/>
        <v>0</v>
      </c>
      <c r="U457" s="107">
        <f t="shared" si="85"/>
        <v>0</v>
      </c>
      <c r="V457" s="107">
        <f t="shared" si="85"/>
        <v>0</v>
      </c>
      <c r="W457" s="107">
        <f t="shared" si="85"/>
        <v>0</v>
      </c>
      <c r="X457" s="107">
        <f t="shared" si="85"/>
        <v>0</v>
      </c>
      <c r="Y457" s="107">
        <f t="shared" si="85"/>
        <v>11.581</v>
      </c>
      <c r="Z457" s="107">
        <f t="shared" si="85"/>
        <v>0</v>
      </c>
      <c r="AA457" s="107">
        <f t="shared" si="85"/>
        <v>1.6479999999999999</v>
      </c>
      <c r="AB457" s="107">
        <f t="shared" si="85"/>
        <v>0</v>
      </c>
      <c r="AC457" s="107">
        <f t="shared" si="85"/>
        <v>0</v>
      </c>
      <c r="AD457" s="107">
        <v>0</v>
      </c>
      <c r="AE457" s="107">
        <f>SUM(AE445:AE455)</f>
        <v>0</v>
      </c>
      <c r="AF457" s="107">
        <f>SUM(AF445:AF455)</f>
        <v>0</v>
      </c>
      <c r="AG457" s="107">
        <f>SUM(AG445:AG455)</f>
        <v>2.9820000000000002</v>
      </c>
      <c r="AH457" s="100">
        <f>SUM(AH445:AH455)</f>
        <v>43.429000000000002</v>
      </c>
    </row>
    <row r="458" spans="1:34" ht="5.0999999999999996" customHeight="1">
      <c r="A458" s="49"/>
      <c r="B458" s="49"/>
      <c r="C458" s="1"/>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c r="AG458" s="14"/>
      <c r="AH458" s="1"/>
    </row>
    <row r="459" spans="1:34" ht="15">
      <c r="A459" s="3854" t="s">
        <v>277</v>
      </c>
      <c r="B459" s="3855"/>
      <c r="C459" s="3855"/>
      <c r="D459" s="3855"/>
      <c r="E459" s="3855"/>
      <c r="F459" s="3855"/>
      <c r="G459" s="3855"/>
      <c r="H459" s="3856"/>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c r="AG459" s="14"/>
      <c r="AH459" s="14"/>
    </row>
    <row r="460" spans="1:34" ht="15">
      <c r="A460" s="8" t="s">
        <v>142</v>
      </c>
      <c r="B460" s="8" t="s">
        <v>143</v>
      </c>
      <c r="C460" s="2907">
        <v>1</v>
      </c>
      <c r="D460" s="73">
        <v>2</v>
      </c>
      <c r="E460" s="73">
        <v>3</v>
      </c>
      <c r="F460" s="73">
        <v>4</v>
      </c>
      <c r="G460" s="73">
        <v>5</v>
      </c>
      <c r="H460" s="73">
        <v>6</v>
      </c>
      <c r="I460" s="73">
        <v>7</v>
      </c>
      <c r="J460" s="73">
        <v>8</v>
      </c>
      <c r="K460" s="73">
        <v>9</v>
      </c>
      <c r="L460" s="73">
        <v>10</v>
      </c>
      <c r="M460" s="73">
        <v>11</v>
      </c>
      <c r="N460" s="73">
        <v>12</v>
      </c>
      <c r="O460" s="73">
        <v>13</v>
      </c>
      <c r="P460" s="73">
        <v>14</v>
      </c>
      <c r="Q460" s="73">
        <v>15</v>
      </c>
      <c r="R460" s="73">
        <v>16</v>
      </c>
      <c r="S460" s="73">
        <v>17</v>
      </c>
      <c r="T460" s="73">
        <v>18</v>
      </c>
      <c r="U460" s="73">
        <v>19</v>
      </c>
      <c r="V460" s="73">
        <v>20</v>
      </c>
      <c r="W460" s="73">
        <v>21</v>
      </c>
      <c r="X460" s="73">
        <v>22</v>
      </c>
      <c r="Y460" s="73">
        <v>23</v>
      </c>
      <c r="Z460" s="73">
        <v>24</v>
      </c>
      <c r="AA460" s="73">
        <v>25</v>
      </c>
      <c r="AB460" s="73">
        <v>26</v>
      </c>
      <c r="AC460" s="73">
        <v>27</v>
      </c>
      <c r="AD460" s="73">
        <v>28</v>
      </c>
      <c r="AE460" s="73">
        <v>29</v>
      </c>
      <c r="AF460" s="73">
        <v>30</v>
      </c>
      <c r="AG460" s="73">
        <v>31</v>
      </c>
      <c r="AH460" s="88" t="s">
        <v>144</v>
      </c>
    </row>
    <row r="461" spans="1:34" ht="15">
      <c r="A461" s="73" t="s">
        <v>145</v>
      </c>
      <c r="B461" s="311">
        <f t="shared" ref="B461:B472" si="86">+AH461</f>
        <v>0</v>
      </c>
      <c r="C461" s="188" t="s">
        <v>311</v>
      </c>
      <c r="D461" s="188" t="s">
        <v>311</v>
      </c>
      <c r="E461" s="188" t="s">
        <v>311</v>
      </c>
      <c r="F461" s="188" t="s">
        <v>311</v>
      </c>
      <c r="G461" s="188" t="s">
        <v>311</v>
      </c>
      <c r="H461" s="188" t="s">
        <v>311</v>
      </c>
      <c r="I461" s="188" t="s">
        <v>311</v>
      </c>
      <c r="J461" s="188" t="s">
        <v>311</v>
      </c>
      <c r="K461" s="188" t="s">
        <v>311</v>
      </c>
      <c r="L461" s="188" t="s">
        <v>311</v>
      </c>
      <c r="M461" s="188" t="s">
        <v>311</v>
      </c>
      <c r="N461" s="188" t="s">
        <v>311</v>
      </c>
      <c r="O461" s="188" t="s">
        <v>311</v>
      </c>
      <c r="P461" s="188" t="s">
        <v>311</v>
      </c>
      <c r="Q461" s="188" t="s">
        <v>311</v>
      </c>
      <c r="R461" s="188" t="s">
        <v>311</v>
      </c>
      <c r="S461" s="188" t="s">
        <v>311</v>
      </c>
      <c r="T461" s="188" t="s">
        <v>311</v>
      </c>
      <c r="U461" s="188" t="s">
        <v>311</v>
      </c>
      <c r="V461" s="188" t="s">
        <v>311</v>
      </c>
      <c r="W461" s="188" t="s">
        <v>311</v>
      </c>
      <c r="X461" s="188" t="s">
        <v>311</v>
      </c>
      <c r="Y461" s="188" t="s">
        <v>311</v>
      </c>
      <c r="Z461" s="188" t="s">
        <v>311</v>
      </c>
      <c r="AA461" s="188" t="s">
        <v>311</v>
      </c>
      <c r="AB461" s="188" t="s">
        <v>311</v>
      </c>
      <c r="AC461" s="188" t="s">
        <v>311</v>
      </c>
      <c r="AD461" s="188" t="s">
        <v>311</v>
      </c>
      <c r="AE461" s="188" t="s">
        <v>311</v>
      </c>
      <c r="AF461" s="188" t="s">
        <v>311</v>
      </c>
      <c r="AG461" s="188" t="s">
        <v>311</v>
      </c>
      <c r="AH461" s="107">
        <f>SUM(C461:AG461)</f>
        <v>0</v>
      </c>
    </row>
    <row r="462" spans="1:34" ht="15">
      <c r="A462" s="73" t="s">
        <v>146</v>
      </c>
      <c r="B462" s="311">
        <f t="shared" si="86"/>
        <v>0</v>
      </c>
      <c r="C462" s="188" t="s">
        <v>311</v>
      </c>
      <c r="D462" s="188" t="s">
        <v>311</v>
      </c>
      <c r="E462" s="188" t="s">
        <v>311</v>
      </c>
      <c r="F462" s="188" t="s">
        <v>311</v>
      </c>
      <c r="G462" s="188" t="s">
        <v>311</v>
      </c>
      <c r="H462" s="188" t="s">
        <v>311</v>
      </c>
      <c r="I462" s="188" t="s">
        <v>311</v>
      </c>
      <c r="J462" s="306"/>
      <c r="K462" s="306"/>
      <c r="L462" s="306"/>
      <c r="M462" s="306"/>
      <c r="N462" s="306"/>
      <c r="O462" s="306"/>
      <c r="P462" s="306"/>
      <c r="Q462" s="306"/>
      <c r="R462" s="306"/>
      <c r="S462" s="306"/>
      <c r="T462" s="306"/>
      <c r="U462" s="306"/>
      <c r="V462" s="306"/>
      <c r="W462" s="306"/>
      <c r="X462" s="306"/>
      <c r="Y462" s="306"/>
      <c r="Z462" s="306"/>
      <c r="AA462" s="306"/>
      <c r="AB462" s="306"/>
      <c r="AC462" s="306"/>
      <c r="AD462" s="306"/>
      <c r="AE462" s="306"/>
      <c r="AF462" s="306"/>
      <c r="AG462" s="306"/>
      <c r="AH462" s="107">
        <f t="shared" ref="AH462:AH472" si="87">SUM(C462:AG462)</f>
        <v>0</v>
      </c>
    </row>
    <row r="463" spans="1:34" ht="15">
      <c r="A463" s="73" t="s">
        <v>147</v>
      </c>
      <c r="B463" s="311">
        <f t="shared" si="86"/>
        <v>0</v>
      </c>
      <c r="C463" s="306"/>
      <c r="D463" s="306"/>
      <c r="E463" s="306"/>
      <c r="F463" s="306"/>
      <c r="G463" s="306"/>
      <c r="H463" s="315"/>
      <c r="I463" s="107"/>
      <c r="J463" s="107"/>
      <c r="K463" s="107"/>
      <c r="L463" s="107"/>
      <c r="M463" s="107"/>
      <c r="N463" s="107"/>
      <c r="O463" s="107"/>
      <c r="P463" s="107"/>
      <c r="Q463" s="107"/>
      <c r="R463" s="107"/>
      <c r="S463" s="107"/>
      <c r="T463" s="107"/>
      <c r="U463" s="107"/>
      <c r="V463" s="107"/>
      <c r="W463" s="107"/>
      <c r="X463" s="107"/>
      <c r="Y463" s="107"/>
      <c r="Z463" s="107"/>
      <c r="AA463" s="107"/>
      <c r="AB463" s="107"/>
      <c r="AC463" s="107"/>
      <c r="AD463" s="107"/>
      <c r="AE463" s="107"/>
      <c r="AF463" s="107"/>
      <c r="AG463" s="107"/>
      <c r="AH463" s="107">
        <f t="shared" si="87"/>
        <v>0</v>
      </c>
    </row>
    <row r="464" spans="1:34" ht="15">
      <c r="A464" s="73" t="s">
        <v>148</v>
      </c>
      <c r="B464" s="311">
        <f t="shared" si="86"/>
        <v>0</v>
      </c>
      <c r="C464" s="103"/>
      <c r="D464" s="107"/>
      <c r="E464" s="107"/>
      <c r="F464" s="107"/>
      <c r="G464" s="53"/>
      <c r="H464" s="53"/>
      <c r="I464" s="53"/>
      <c r="J464" s="107"/>
      <c r="K464" s="107"/>
      <c r="L464" s="107"/>
      <c r="M464" s="107"/>
      <c r="N464" s="107"/>
      <c r="O464" s="107"/>
      <c r="P464" s="107"/>
      <c r="Q464" s="107"/>
      <c r="R464" s="107"/>
      <c r="S464" s="107"/>
      <c r="T464" s="107"/>
      <c r="U464" s="107"/>
      <c r="V464" s="107"/>
      <c r="W464" s="107"/>
      <c r="X464" s="107"/>
      <c r="Y464" s="107"/>
      <c r="Z464" s="107"/>
      <c r="AA464" s="107"/>
      <c r="AB464" s="107"/>
      <c r="AC464" s="107"/>
      <c r="AD464" s="107"/>
      <c r="AE464" s="107"/>
      <c r="AF464" s="107"/>
      <c r="AG464" s="107"/>
      <c r="AH464" s="107">
        <f t="shared" si="87"/>
        <v>0</v>
      </c>
    </row>
    <row r="465" spans="1:34" ht="15">
      <c r="A465" s="73" t="s">
        <v>149</v>
      </c>
      <c r="B465" s="311">
        <f t="shared" si="86"/>
        <v>1.52</v>
      </c>
      <c r="C465" s="103"/>
      <c r="D465" s="53"/>
      <c r="E465" s="53"/>
      <c r="F465" s="53"/>
      <c r="G465" s="53"/>
      <c r="H465" s="53"/>
      <c r="I465" s="53"/>
      <c r="J465" s="107"/>
      <c r="K465" s="107"/>
      <c r="L465" s="107"/>
      <c r="M465" s="107"/>
      <c r="N465" s="107"/>
      <c r="O465" s="107"/>
      <c r="P465" s="107"/>
      <c r="Q465" s="107"/>
      <c r="R465" s="107"/>
      <c r="S465" s="107"/>
      <c r="T465" s="107"/>
      <c r="U465" s="107"/>
      <c r="V465" s="107"/>
      <c r="W465" s="107"/>
      <c r="X465" s="107"/>
      <c r="Y465" s="107"/>
      <c r="Z465" s="107"/>
      <c r="AA465" s="107"/>
      <c r="AB465" s="107">
        <v>1.52</v>
      </c>
      <c r="AC465" s="107"/>
      <c r="AD465" s="107"/>
      <c r="AE465" s="107"/>
      <c r="AF465" s="107"/>
      <c r="AG465" s="107"/>
      <c r="AH465" s="107">
        <f t="shared" si="87"/>
        <v>1.52</v>
      </c>
    </row>
    <row r="466" spans="1:34" ht="15">
      <c r="A466" s="73" t="s">
        <v>150</v>
      </c>
      <c r="B466" s="311">
        <f t="shared" si="86"/>
        <v>0</v>
      </c>
      <c r="C466" s="100"/>
      <c r="D466" s="107"/>
      <c r="E466" s="107"/>
      <c r="F466" s="107"/>
      <c r="G466" s="107"/>
      <c r="H466" s="107"/>
      <c r="I466" s="107"/>
      <c r="J466" s="107"/>
      <c r="K466" s="107"/>
      <c r="L466" s="107"/>
      <c r="M466" s="107"/>
      <c r="N466" s="107"/>
      <c r="O466" s="107"/>
      <c r="P466" s="107"/>
      <c r="Q466" s="107"/>
      <c r="R466" s="107"/>
      <c r="S466" s="107"/>
      <c r="T466" s="107"/>
      <c r="U466" s="107"/>
      <c r="V466" s="107"/>
      <c r="W466" s="107"/>
      <c r="X466" s="107"/>
      <c r="Y466" s="107"/>
      <c r="Z466" s="107"/>
      <c r="AA466" s="107"/>
      <c r="AB466" s="107"/>
      <c r="AC466" s="107"/>
      <c r="AD466" s="107"/>
      <c r="AE466" s="107"/>
      <c r="AF466" s="107"/>
      <c r="AG466" s="107"/>
      <c r="AH466" s="107">
        <f t="shared" si="87"/>
        <v>0</v>
      </c>
    </row>
    <row r="467" spans="1:34" ht="15">
      <c r="A467" s="73" t="s">
        <v>151</v>
      </c>
      <c r="B467" s="306">
        <f t="shared" si="86"/>
        <v>0</v>
      </c>
      <c r="C467" s="103"/>
      <c r="D467" s="107"/>
      <c r="E467" s="107"/>
      <c r="F467" s="107"/>
      <c r="G467" s="53"/>
      <c r="H467" s="53"/>
      <c r="I467" s="53"/>
      <c r="J467" s="111"/>
      <c r="K467" s="111"/>
      <c r="L467" s="107"/>
      <c r="M467" s="107"/>
      <c r="N467" s="107"/>
      <c r="O467" s="107"/>
      <c r="P467" s="107"/>
      <c r="Q467" s="107"/>
      <c r="R467" s="107"/>
      <c r="S467" s="107"/>
      <c r="T467" s="107"/>
      <c r="U467" s="107"/>
      <c r="V467" s="107"/>
      <c r="W467" s="107"/>
      <c r="X467" s="107"/>
      <c r="Y467" s="107"/>
      <c r="Z467" s="107"/>
      <c r="AA467" s="107"/>
      <c r="AB467" s="107"/>
      <c r="AC467" s="107"/>
      <c r="AD467" s="107"/>
      <c r="AE467" s="107"/>
      <c r="AF467" s="107"/>
      <c r="AG467" s="107"/>
      <c r="AH467" s="107">
        <f t="shared" si="87"/>
        <v>0</v>
      </c>
    </row>
    <row r="468" spans="1:34" ht="15">
      <c r="A468" s="73" t="s">
        <v>152</v>
      </c>
      <c r="B468" s="306">
        <f t="shared" si="86"/>
        <v>0</v>
      </c>
      <c r="C468" s="103"/>
      <c r="D468" s="53"/>
      <c r="E468" s="53"/>
      <c r="F468" s="53"/>
      <c r="G468" s="53"/>
      <c r="H468" s="53"/>
      <c r="I468" s="53"/>
      <c r="J468" s="111"/>
      <c r="K468" s="111"/>
      <c r="L468" s="107"/>
      <c r="M468" s="107"/>
      <c r="N468" s="107"/>
      <c r="O468" s="107"/>
      <c r="P468" s="107"/>
      <c r="Q468" s="107"/>
      <c r="R468" s="107"/>
      <c r="S468" s="107"/>
      <c r="T468" s="107"/>
      <c r="U468" s="107"/>
      <c r="V468" s="107"/>
      <c r="W468" s="107"/>
      <c r="X468" s="107"/>
      <c r="Y468" s="107"/>
      <c r="Z468" s="107"/>
      <c r="AA468" s="107"/>
      <c r="AB468" s="107"/>
      <c r="AC468" s="107"/>
      <c r="AD468" s="107"/>
      <c r="AE468" s="107"/>
      <c r="AF468" s="107"/>
      <c r="AG468" s="107"/>
      <c r="AH468" s="107">
        <f t="shared" si="87"/>
        <v>0</v>
      </c>
    </row>
    <row r="469" spans="1:34" ht="15">
      <c r="A469" s="73" t="s">
        <v>153</v>
      </c>
      <c r="B469" s="306">
        <f t="shared" si="86"/>
        <v>0</v>
      </c>
      <c r="C469" s="100"/>
      <c r="D469" s="107"/>
      <c r="E469" s="107"/>
      <c r="F469" s="107"/>
      <c r="G469" s="107"/>
      <c r="H469" s="107"/>
      <c r="I469" s="107"/>
      <c r="J469" s="111"/>
      <c r="K469" s="111"/>
      <c r="L469" s="53"/>
      <c r="M469" s="53"/>
      <c r="N469" s="53"/>
      <c r="O469" s="53"/>
      <c r="P469" s="53"/>
      <c r="Q469" s="53"/>
      <c r="R469" s="53"/>
      <c r="S469" s="53"/>
      <c r="T469" s="53"/>
      <c r="U469" s="53"/>
      <c r="V469" s="53"/>
      <c r="W469" s="53"/>
      <c r="X469" s="53"/>
      <c r="Y469" s="53"/>
      <c r="Z469" s="53"/>
      <c r="AA469" s="53"/>
      <c r="AB469" s="53"/>
      <c r="AC469" s="53"/>
      <c r="AD469" s="53"/>
      <c r="AE469" s="53"/>
      <c r="AF469" s="53"/>
      <c r="AG469" s="53"/>
      <c r="AH469" s="107">
        <f t="shared" si="87"/>
        <v>0</v>
      </c>
    </row>
    <row r="470" spans="1:34" ht="15">
      <c r="A470" s="73" t="s">
        <v>154</v>
      </c>
      <c r="B470" s="306">
        <f t="shared" si="86"/>
        <v>0</v>
      </c>
      <c r="C470" s="103"/>
      <c r="D470" s="2503" t="s">
        <v>318</v>
      </c>
      <c r="E470" s="2503" t="s">
        <v>318</v>
      </c>
      <c r="F470" s="2503" t="s">
        <v>318</v>
      </c>
      <c r="G470" s="2503" t="s">
        <v>318</v>
      </c>
      <c r="H470" s="2503" t="s">
        <v>318</v>
      </c>
      <c r="I470" s="2503" t="s">
        <v>318</v>
      </c>
      <c r="J470" s="2503" t="s">
        <v>318</v>
      </c>
      <c r="K470" s="2503" t="s">
        <v>318</v>
      </c>
      <c r="L470" s="2503" t="s">
        <v>318</v>
      </c>
      <c r="M470" s="2503" t="s">
        <v>318</v>
      </c>
      <c r="N470" s="2503" t="s">
        <v>318</v>
      </c>
      <c r="O470" s="2503" t="s">
        <v>318</v>
      </c>
      <c r="P470" s="2503" t="s">
        <v>318</v>
      </c>
      <c r="Q470" s="2503" t="s">
        <v>318</v>
      </c>
      <c r="R470" s="2503" t="s">
        <v>318</v>
      </c>
      <c r="S470" s="2503" t="s">
        <v>318</v>
      </c>
      <c r="T470" s="2503" t="s">
        <v>318</v>
      </c>
      <c r="U470" s="2503" t="s">
        <v>318</v>
      </c>
      <c r="V470" s="2503" t="s">
        <v>318</v>
      </c>
      <c r="W470" s="2503" t="s">
        <v>318</v>
      </c>
      <c r="X470" s="2503" t="s">
        <v>318</v>
      </c>
      <c r="Y470" s="2503" t="s">
        <v>318</v>
      </c>
      <c r="Z470" s="2503" t="s">
        <v>318</v>
      </c>
      <c r="AA470" s="2503" t="s">
        <v>318</v>
      </c>
      <c r="AB470" s="2503" t="s">
        <v>318</v>
      </c>
      <c r="AC470" s="2503" t="s">
        <v>318</v>
      </c>
      <c r="AD470" s="2503" t="s">
        <v>318</v>
      </c>
      <c r="AE470" s="2503" t="s">
        <v>318</v>
      </c>
      <c r="AF470" s="2503" t="s">
        <v>318</v>
      </c>
      <c r="AG470" s="2503" t="s">
        <v>318</v>
      </c>
      <c r="AH470" s="107">
        <f t="shared" si="87"/>
        <v>0</v>
      </c>
    </row>
    <row r="471" spans="1:34" ht="15">
      <c r="A471" s="73" t="s">
        <v>155</v>
      </c>
      <c r="B471" s="53">
        <f t="shared" si="86"/>
        <v>0</v>
      </c>
      <c r="C471" s="188" t="s">
        <v>318</v>
      </c>
      <c r="D471" s="188" t="s">
        <v>318</v>
      </c>
      <c r="E471" s="188" t="s">
        <v>318</v>
      </c>
      <c r="F471" s="188" t="s">
        <v>318</v>
      </c>
      <c r="G471" s="188" t="s">
        <v>318</v>
      </c>
      <c r="H471" s="188" t="s">
        <v>318</v>
      </c>
      <c r="I471" s="188" t="s">
        <v>318</v>
      </c>
      <c r="J471" s="188" t="s">
        <v>318</v>
      </c>
      <c r="K471" s="188" t="s">
        <v>318</v>
      </c>
      <c r="L471" s="188" t="s">
        <v>318</v>
      </c>
      <c r="M471" s="188" t="s">
        <v>318</v>
      </c>
      <c r="N471" s="188" t="s">
        <v>318</v>
      </c>
      <c r="O471" s="188" t="s">
        <v>318</v>
      </c>
      <c r="P471" s="188" t="s">
        <v>318</v>
      </c>
      <c r="Q471" s="188" t="s">
        <v>318</v>
      </c>
      <c r="R471" s="53"/>
      <c r="S471" s="53"/>
      <c r="T471" s="53"/>
      <c r="U471" s="53"/>
      <c r="V471" s="53"/>
      <c r="W471" s="53"/>
      <c r="X471" s="53"/>
      <c r="Y471" s="53"/>
      <c r="Z471" s="53"/>
      <c r="AA471" s="53"/>
      <c r="AB471" s="53"/>
      <c r="AC471" s="53"/>
      <c r="AD471" s="53"/>
      <c r="AE471" s="107"/>
      <c r="AF471" s="53"/>
      <c r="AG471" s="107"/>
      <c r="AH471" s="107">
        <f t="shared" si="87"/>
        <v>0</v>
      </c>
    </row>
    <row r="472" spans="1:34" ht="15">
      <c r="A472" s="73" t="s">
        <v>156</v>
      </c>
      <c r="B472" s="53">
        <f t="shared" si="86"/>
        <v>0</v>
      </c>
      <c r="C472" s="103"/>
      <c r="D472" s="53"/>
      <c r="E472" s="53"/>
      <c r="F472" s="53"/>
      <c r="G472" s="53"/>
      <c r="H472" s="53"/>
      <c r="I472" s="53"/>
      <c r="J472" s="53"/>
      <c r="K472" s="53"/>
      <c r="L472" s="53"/>
      <c r="M472" s="53"/>
      <c r="N472" s="53"/>
      <c r="O472" s="53"/>
      <c r="P472" s="53"/>
      <c r="Q472" s="53"/>
      <c r="R472" s="53"/>
      <c r="S472" s="53"/>
      <c r="T472" s="53"/>
      <c r="U472" s="53"/>
      <c r="V472" s="53"/>
      <c r="W472" s="53"/>
      <c r="X472" s="53"/>
      <c r="Y472" s="53"/>
      <c r="Z472" s="53"/>
      <c r="AA472" s="53"/>
      <c r="AB472" s="53"/>
      <c r="AC472" s="53"/>
      <c r="AD472" s="53"/>
      <c r="AE472" s="107"/>
      <c r="AF472" s="53"/>
      <c r="AG472" s="107"/>
      <c r="AH472" s="107">
        <f t="shared" si="87"/>
        <v>0</v>
      </c>
    </row>
    <row r="473" spans="1:34" ht="15">
      <c r="A473" s="199" t="s">
        <v>144</v>
      </c>
      <c r="B473" s="200">
        <f>SUM(B461:B472)</f>
        <v>1.52</v>
      </c>
      <c r="C473" s="100">
        <f>SUM(C461:C471)</f>
        <v>0</v>
      </c>
      <c r="D473" s="107">
        <f>SUM(D461:D471)</f>
        <v>0</v>
      </c>
      <c r="E473" s="107">
        <v>0</v>
      </c>
      <c r="F473" s="107">
        <f t="shared" ref="F473:AC473" si="88">SUM(F461:F471)</f>
        <v>0</v>
      </c>
      <c r="G473" s="107">
        <f t="shared" si="88"/>
        <v>0</v>
      </c>
      <c r="H473" s="107">
        <f t="shared" si="88"/>
        <v>0</v>
      </c>
      <c r="I473" s="107">
        <f t="shared" si="88"/>
        <v>0</v>
      </c>
      <c r="J473" s="107">
        <f t="shared" si="88"/>
        <v>0</v>
      </c>
      <c r="K473" s="107">
        <f t="shared" si="88"/>
        <v>0</v>
      </c>
      <c r="L473" s="107">
        <f t="shared" si="88"/>
        <v>0</v>
      </c>
      <c r="M473" s="107">
        <f t="shared" si="88"/>
        <v>0</v>
      </c>
      <c r="N473" s="107">
        <f t="shared" si="88"/>
        <v>0</v>
      </c>
      <c r="O473" s="107">
        <f t="shared" si="88"/>
        <v>0</v>
      </c>
      <c r="P473" s="107">
        <f t="shared" si="88"/>
        <v>0</v>
      </c>
      <c r="Q473" s="107">
        <f t="shared" si="88"/>
        <v>0</v>
      </c>
      <c r="R473" s="107">
        <f t="shared" si="88"/>
        <v>0</v>
      </c>
      <c r="S473" s="107">
        <f t="shared" si="88"/>
        <v>0</v>
      </c>
      <c r="T473" s="107">
        <f t="shared" si="88"/>
        <v>0</v>
      </c>
      <c r="U473" s="107">
        <f t="shared" si="88"/>
        <v>0</v>
      </c>
      <c r="V473" s="107">
        <f t="shared" si="88"/>
        <v>0</v>
      </c>
      <c r="W473" s="107">
        <f t="shared" si="88"/>
        <v>0</v>
      </c>
      <c r="X473" s="107">
        <f t="shared" si="88"/>
        <v>0</v>
      </c>
      <c r="Y473" s="107">
        <f t="shared" si="88"/>
        <v>0</v>
      </c>
      <c r="Z473" s="107">
        <f t="shared" si="88"/>
        <v>0</v>
      </c>
      <c r="AA473" s="107">
        <f t="shared" si="88"/>
        <v>0</v>
      </c>
      <c r="AB473" s="107">
        <f t="shared" si="88"/>
        <v>1.52</v>
      </c>
      <c r="AC473" s="107">
        <f t="shared" si="88"/>
        <v>0</v>
      </c>
      <c r="AD473" s="107">
        <v>0</v>
      </c>
      <c r="AE473" s="107">
        <f>SUM(AE461:AE471)</f>
        <v>0</v>
      </c>
      <c r="AF473" s="107">
        <f>SUM(AF461:AF471)</f>
        <v>0</v>
      </c>
      <c r="AG473" s="107">
        <f>SUM(AG461:AG471)</f>
        <v>0</v>
      </c>
      <c r="AH473" s="100">
        <f>SUM(AH461:AH471)</f>
        <v>1.52</v>
      </c>
    </row>
    <row r="474" spans="1:34" ht="5.0999999999999996" customHeight="1">
      <c r="A474" s="49"/>
      <c r="B474" s="49"/>
      <c r="C474" s="1"/>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c r="AF474" s="14"/>
      <c r="AG474" s="14"/>
      <c r="AH474" s="1"/>
    </row>
    <row r="475" spans="1:34" ht="15">
      <c r="A475" s="3854" t="s">
        <v>407</v>
      </c>
      <c r="B475" s="3855"/>
      <c r="C475" s="3855"/>
      <c r="D475" s="3855"/>
      <c r="E475" s="3855"/>
      <c r="F475" s="3855"/>
      <c r="G475" s="3855"/>
      <c r="H475" s="3856"/>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c r="AG475" s="14"/>
      <c r="AH475" s="14"/>
    </row>
    <row r="476" spans="1:34" ht="15">
      <c r="A476" s="8" t="s">
        <v>142</v>
      </c>
      <c r="B476" s="8" t="s">
        <v>143</v>
      </c>
      <c r="C476" s="2907">
        <v>1</v>
      </c>
      <c r="D476" s="73">
        <v>2</v>
      </c>
      <c r="E476" s="73">
        <v>3</v>
      </c>
      <c r="F476" s="73">
        <v>4</v>
      </c>
      <c r="G476" s="73">
        <v>5</v>
      </c>
      <c r="H476" s="73">
        <v>6</v>
      </c>
      <c r="I476" s="73">
        <v>7</v>
      </c>
      <c r="J476" s="73">
        <v>8</v>
      </c>
      <c r="K476" s="73">
        <v>9</v>
      </c>
      <c r="L476" s="73">
        <v>10</v>
      </c>
      <c r="M476" s="73">
        <v>11</v>
      </c>
      <c r="N476" s="73">
        <v>12</v>
      </c>
      <c r="O476" s="73">
        <v>13</v>
      </c>
      <c r="P476" s="73">
        <v>14</v>
      </c>
      <c r="Q476" s="73">
        <v>15</v>
      </c>
      <c r="R476" s="73">
        <v>16</v>
      </c>
      <c r="S476" s="73">
        <v>17</v>
      </c>
      <c r="T476" s="73">
        <v>18</v>
      </c>
      <c r="U476" s="73">
        <v>19</v>
      </c>
      <c r="V476" s="73">
        <v>20</v>
      </c>
      <c r="W476" s="73">
        <v>21</v>
      </c>
      <c r="X476" s="73">
        <v>22</v>
      </c>
      <c r="Y476" s="73">
        <v>23</v>
      </c>
      <c r="Z476" s="73">
        <v>24</v>
      </c>
      <c r="AA476" s="73">
        <v>25</v>
      </c>
      <c r="AB476" s="73">
        <v>26</v>
      </c>
      <c r="AC476" s="73">
        <v>27</v>
      </c>
      <c r="AD476" s="73">
        <v>28</v>
      </c>
      <c r="AE476" s="73">
        <v>29</v>
      </c>
      <c r="AF476" s="73">
        <v>30</v>
      </c>
      <c r="AG476" s="73">
        <v>31</v>
      </c>
      <c r="AH476" s="88" t="s">
        <v>144</v>
      </c>
    </row>
    <row r="477" spans="1:34" ht="15">
      <c r="A477" s="73" t="s">
        <v>145</v>
      </c>
      <c r="B477" s="816">
        <f t="shared" ref="B477:B488" si="89">+AH477</f>
        <v>0</v>
      </c>
      <c r="C477" s="188" t="s">
        <v>311</v>
      </c>
      <c r="D477" s="188" t="s">
        <v>311</v>
      </c>
      <c r="E477" s="188" t="s">
        <v>311</v>
      </c>
      <c r="F477" s="188" t="s">
        <v>311</v>
      </c>
      <c r="G477" s="188" t="s">
        <v>311</v>
      </c>
      <c r="H477" s="188" t="s">
        <v>311</v>
      </c>
      <c r="I477" s="188" t="s">
        <v>311</v>
      </c>
      <c r="J477" s="188" t="s">
        <v>311</v>
      </c>
      <c r="K477" s="188" t="s">
        <v>311</v>
      </c>
      <c r="L477" s="188" t="s">
        <v>311</v>
      </c>
      <c r="M477" s="188" t="s">
        <v>311</v>
      </c>
      <c r="N477" s="188" t="s">
        <v>311</v>
      </c>
      <c r="O477" s="188" t="s">
        <v>311</v>
      </c>
      <c r="P477" s="188" t="s">
        <v>311</v>
      </c>
      <c r="Q477" s="188" t="s">
        <v>311</v>
      </c>
      <c r="R477" s="188" t="s">
        <v>311</v>
      </c>
      <c r="S477" s="188" t="s">
        <v>311</v>
      </c>
      <c r="T477" s="188" t="s">
        <v>311</v>
      </c>
      <c r="U477" s="188" t="s">
        <v>311</v>
      </c>
      <c r="V477" s="188" t="s">
        <v>311</v>
      </c>
      <c r="W477" s="188" t="s">
        <v>311</v>
      </c>
      <c r="X477" s="188" t="s">
        <v>311</v>
      </c>
      <c r="Y477" s="188" t="s">
        <v>311</v>
      </c>
      <c r="Z477" s="188" t="s">
        <v>311</v>
      </c>
      <c r="AA477" s="188" t="s">
        <v>311</v>
      </c>
      <c r="AB477" s="188" t="s">
        <v>311</v>
      </c>
      <c r="AC477" s="188" t="s">
        <v>311</v>
      </c>
      <c r="AD477" s="188" t="s">
        <v>311</v>
      </c>
      <c r="AE477" s="188" t="s">
        <v>311</v>
      </c>
      <c r="AF477" s="188" t="s">
        <v>311</v>
      </c>
      <c r="AG477" s="188" t="s">
        <v>311</v>
      </c>
      <c r="AH477" s="107">
        <f>SUM(C477:AG477)</f>
        <v>0</v>
      </c>
    </row>
    <row r="478" spans="1:34" ht="15">
      <c r="A478" s="73" t="s">
        <v>146</v>
      </c>
      <c r="B478" s="816">
        <f t="shared" si="89"/>
        <v>352.04099999999994</v>
      </c>
      <c r="C478" s="188" t="s">
        <v>311</v>
      </c>
      <c r="D478" s="188" t="s">
        <v>311</v>
      </c>
      <c r="E478" s="188" t="s">
        <v>311</v>
      </c>
      <c r="F478" s="188" t="s">
        <v>311</v>
      </c>
      <c r="G478" s="188" t="s">
        <v>311</v>
      </c>
      <c r="H478" s="188" t="s">
        <v>311</v>
      </c>
      <c r="I478" s="188" t="s">
        <v>311</v>
      </c>
      <c r="J478" s="306"/>
      <c r="K478" s="306"/>
      <c r="L478" s="306"/>
      <c r="M478" s="306"/>
      <c r="N478" s="306"/>
      <c r="O478" s="306"/>
      <c r="P478" s="306"/>
      <c r="Q478" s="306"/>
      <c r="R478" s="306"/>
      <c r="S478" s="306"/>
      <c r="T478" s="306"/>
      <c r="U478" s="306"/>
      <c r="V478" s="306">
        <v>2.2410000000000001</v>
      </c>
      <c r="W478" s="306">
        <v>39.338000000000001</v>
      </c>
      <c r="X478" s="306">
        <v>1.623</v>
      </c>
      <c r="Y478" s="329">
        <v>52.999000000000002</v>
      </c>
      <c r="Z478" s="306">
        <v>48.057000000000002</v>
      </c>
      <c r="AA478" s="306">
        <v>64.793999999999997</v>
      </c>
      <c r="AB478" s="306"/>
      <c r="AC478" s="306">
        <v>21.492000000000001</v>
      </c>
      <c r="AD478" s="306">
        <v>19.972000000000001</v>
      </c>
      <c r="AE478" s="306">
        <v>101.52500000000001</v>
      </c>
      <c r="AF478" s="306"/>
      <c r="AG478" s="306"/>
      <c r="AH478" s="107">
        <f t="shared" ref="AH478:AH488" si="90">SUM(C478:AG478)</f>
        <v>352.04099999999994</v>
      </c>
    </row>
    <row r="479" spans="1:34" ht="15">
      <c r="A479" s="73" t="s">
        <v>147</v>
      </c>
      <c r="B479" s="816">
        <f t="shared" si="89"/>
        <v>1012.36</v>
      </c>
      <c r="C479" s="329">
        <v>60.765999999999998</v>
      </c>
      <c r="D479" s="329"/>
      <c r="E479" s="329">
        <v>73.228999999999999</v>
      </c>
      <c r="F479" s="329"/>
      <c r="G479" s="329">
        <v>66.236000000000004</v>
      </c>
      <c r="H479" s="670">
        <v>52.523000000000003</v>
      </c>
      <c r="I479" s="328">
        <v>2.1459999999999999</v>
      </c>
      <c r="J479" s="328">
        <v>45.612000000000002</v>
      </c>
      <c r="K479" s="328">
        <v>16.396000000000001</v>
      </c>
      <c r="L479" s="328">
        <v>8.3510000000000009</v>
      </c>
      <c r="M479" s="328"/>
      <c r="N479" s="328">
        <v>1.1319999999999999</v>
      </c>
      <c r="O479" s="328"/>
      <c r="P479" s="328">
        <v>51.567</v>
      </c>
      <c r="Q479" s="328">
        <v>34.944000000000003</v>
      </c>
      <c r="R479" s="328"/>
      <c r="S479" s="328">
        <v>23.265000000000001</v>
      </c>
      <c r="T479" s="328"/>
      <c r="U479" s="328"/>
      <c r="V479" s="328"/>
      <c r="W479" s="328"/>
      <c r="X479" s="328">
        <v>111.444</v>
      </c>
      <c r="Y479" s="328">
        <v>108.43</v>
      </c>
      <c r="Z479" s="328">
        <v>27.009</v>
      </c>
      <c r="AA479" s="328"/>
      <c r="AB479" s="328">
        <v>9.65</v>
      </c>
      <c r="AC479" s="328"/>
      <c r="AD479" s="328">
        <v>44.55</v>
      </c>
      <c r="AE479" s="328">
        <v>154.31</v>
      </c>
      <c r="AF479" s="328">
        <v>56.57</v>
      </c>
      <c r="AG479" s="328">
        <v>64.23</v>
      </c>
      <c r="AH479" s="107">
        <f t="shared" si="90"/>
        <v>1012.36</v>
      </c>
    </row>
    <row r="480" spans="1:34" ht="15">
      <c r="A480" s="73" t="s">
        <v>148</v>
      </c>
      <c r="B480" s="816">
        <f t="shared" si="89"/>
        <v>856.87599999999998</v>
      </c>
      <c r="C480" s="645"/>
      <c r="D480" s="328">
        <v>64.528000000000006</v>
      </c>
      <c r="E480" s="328"/>
      <c r="F480" s="328">
        <v>68.013000000000005</v>
      </c>
      <c r="G480" s="162">
        <v>36.604999999999997</v>
      </c>
      <c r="H480" s="162"/>
      <c r="I480" s="162"/>
      <c r="J480" s="328"/>
      <c r="K480" s="328"/>
      <c r="L480" s="328"/>
      <c r="M480" s="328">
        <v>3.0270000000000001</v>
      </c>
      <c r="N480" s="328">
        <v>2.8410000000000002</v>
      </c>
      <c r="O480" s="328">
        <v>45.581000000000003</v>
      </c>
      <c r="P480" s="328"/>
      <c r="Q480" s="328"/>
      <c r="R480" s="328">
        <v>16.922000000000001</v>
      </c>
      <c r="S480" s="328"/>
      <c r="T480" s="328">
        <v>5.94</v>
      </c>
      <c r="U480" s="328">
        <v>23.8</v>
      </c>
      <c r="V480" s="328">
        <v>42.143000000000001</v>
      </c>
      <c r="W480" s="328">
        <v>32.048999999999999</v>
      </c>
      <c r="X480" s="328"/>
      <c r="Y480" s="328">
        <v>35.889000000000003</v>
      </c>
      <c r="Z480" s="328">
        <v>106.154</v>
      </c>
      <c r="AA480" s="328">
        <v>84.828999999999994</v>
      </c>
      <c r="AB480" s="328">
        <v>42.731000000000002</v>
      </c>
      <c r="AC480" s="328">
        <v>38.83</v>
      </c>
      <c r="AD480" s="328">
        <v>119.26900000000001</v>
      </c>
      <c r="AE480" s="328"/>
      <c r="AF480" s="328">
        <v>87.724999999999994</v>
      </c>
      <c r="AG480" s="328"/>
      <c r="AH480" s="107">
        <f t="shared" si="90"/>
        <v>856.87599999999998</v>
      </c>
    </row>
    <row r="481" spans="1:34" ht="15">
      <c r="A481" s="73" t="s">
        <v>149</v>
      </c>
      <c r="B481" s="816">
        <f t="shared" si="89"/>
        <v>382.98299999999995</v>
      </c>
      <c r="C481" s="103"/>
      <c r="D481" s="53"/>
      <c r="E481" s="53"/>
      <c r="F481" s="53"/>
      <c r="G481" s="53">
        <v>4.95</v>
      </c>
      <c r="H481" s="53"/>
      <c r="I481" s="53">
        <v>21.427</v>
      </c>
      <c r="J481" s="107">
        <v>94.912000000000006</v>
      </c>
      <c r="K481" s="107">
        <v>155.87100000000001</v>
      </c>
      <c r="L481" s="107"/>
      <c r="M481" s="107">
        <v>18.285</v>
      </c>
      <c r="N481" s="107">
        <v>11.481999999999999</v>
      </c>
      <c r="O481" s="107"/>
      <c r="P481" s="107">
        <v>5.5609999999999999</v>
      </c>
      <c r="Q481" s="107"/>
      <c r="R481" s="107">
        <v>0.30199999999999999</v>
      </c>
      <c r="S481" s="107"/>
      <c r="T481" s="107"/>
      <c r="U481" s="107"/>
      <c r="V481" s="107"/>
      <c r="W481" s="107"/>
      <c r="X481" s="107">
        <v>1.028</v>
      </c>
      <c r="Y481" s="107">
        <v>3.3039999999999998</v>
      </c>
      <c r="Z481" s="107">
        <v>14.311</v>
      </c>
      <c r="AA481" s="107">
        <v>7.173</v>
      </c>
      <c r="AB481" s="107"/>
      <c r="AC481" s="107"/>
      <c r="AD481" s="107"/>
      <c r="AE481" s="107"/>
      <c r="AF481" s="107">
        <v>5.9550000000000001</v>
      </c>
      <c r="AG481" s="107">
        <v>38.421999999999997</v>
      </c>
      <c r="AH481" s="107">
        <f t="shared" si="90"/>
        <v>382.98299999999995</v>
      </c>
    </row>
    <row r="482" spans="1:34" ht="15">
      <c r="A482" s="73" t="s">
        <v>150</v>
      </c>
      <c r="B482" s="816">
        <f t="shared" si="89"/>
        <v>43.215999999999994</v>
      </c>
      <c r="C482" s="100"/>
      <c r="D482" s="107"/>
      <c r="E482" s="107"/>
      <c r="F482" s="107"/>
      <c r="G482" s="107"/>
      <c r="H482" s="107"/>
      <c r="I482" s="107"/>
      <c r="J482" s="107"/>
      <c r="K482" s="107"/>
      <c r="L482" s="107"/>
      <c r="M482" s="107"/>
      <c r="N482" s="107"/>
      <c r="O482" s="107"/>
      <c r="P482" s="107"/>
      <c r="Q482" s="107"/>
      <c r="R482" s="107"/>
      <c r="S482" s="107"/>
      <c r="T482" s="107"/>
      <c r="U482" s="107">
        <v>4.62</v>
      </c>
      <c r="V482" s="107"/>
      <c r="W482" s="328">
        <v>3.5750000000000002</v>
      </c>
      <c r="X482" s="107"/>
      <c r="Y482" s="107"/>
      <c r="Z482" s="107"/>
      <c r="AA482" s="107">
        <v>4.2240000000000002</v>
      </c>
      <c r="AB482" s="107">
        <v>25.231999999999999</v>
      </c>
      <c r="AC482" s="107"/>
      <c r="AD482" s="107"/>
      <c r="AE482" s="107">
        <v>0.748</v>
      </c>
      <c r="AF482" s="107">
        <v>4.8170000000000002</v>
      </c>
      <c r="AG482" s="107"/>
      <c r="AH482" s="107">
        <f t="shared" si="90"/>
        <v>43.215999999999994</v>
      </c>
    </row>
    <row r="483" spans="1:34" ht="15">
      <c r="A483" s="73" t="s">
        <v>151</v>
      </c>
      <c r="B483" s="329">
        <f t="shared" si="89"/>
        <v>29.225000000000001</v>
      </c>
      <c r="C483" s="103"/>
      <c r="D483" s="107"/>
      <c r="E483" s="107">
        <v>29.225000000000001</v>
      </c>
      <c r="F483" s="107"/>
      <c r="G483" s="53"/>
      <c r="H483" s="53"/>
      <c r="I483" s="53"/>
      <c r="J483" s="111"/>
      <c r="K483" s="111"/>
      <c r="L483" s="107"/>
      <c r="M483" s="107"/>
      <c r="N483" s="107"/>
      <c r="O483" s="107"/>
      <c r="P483" s="107"/>
      <c r="Q483" s="107"/>
      <c r="R483" s="107"/>
      <c r="S483" s="107"/>
      <c r="T483" s="107"/>
      <c r="U483" s="107"/>
      <c r="V483" s="107"/>
      <c r="W483" s="107"/>
      <c r="X483" s="107"/>
      <c r="Y483" s="107"/>
      <c r="Z483" s="107"/>
      <c r="AA483" s="107"/>
      <c r="AB483" s="107"/>
      <c r="AC483" s="107"/>
      <c r="AD483" s="107"/>
      <c r="AE483" s="107"/>
      <c r="AF483" s="107"/>
      <c r="AG483" s="107"/>
      <c r="AH483" s="107">
        <f t="shared" si="90"/>
        <v>29.225000000000001</v>
      </c>
    </row>
    <row r="484" spans="1:34" ht="15">
      <c r="A484" s="73" t="s">
        <v>152</v>
      </c>
      <c r="B484" s="329">
        <f t="shared" si="89"/>
        <v>0</v>
      </c>
      <c r="C484" s="103"/>
      <c r="D484" s="53"/>
      <c r="E484" s="53"/>
      <c r="F484" s="53"/>
      <c r="G484" s="53"/>
      <c r="H484" s="53"/>
      <c r="I484" s="53"/>
      <c r="J484" s="111"/>
      <c r="K484" s="111"/>
      <c r="L484" s="107"/>
      <c r="M484" s="107"/>
      <c r="N484" s="107"/>
      <c r="O484" s="107"/>
      <c r="P484" s="107"/>
      <c r="Q484" s="107"/>
      <c r="R484" s="107"/>
      <c r="S484" s="107"/>
      <c r="T484" s="107"/>
      <c r="U484" s="107"/>
      <c r="V484" s="107"/>
      <c r="W484" s="107"/>
      <c r="X484" s="107"/>
      <c r="Y484" s="107"/>
      <c r="Z484" s="107"/>
      <c r="AA484" s="107"/>
      <c r="AB484" s="107"/>
      <c r="AC484" s="107"/>
      <c r="AD484" s="107"/>
      <c r="AE484" s="107"/>
      <c r="AF484" s="107"/>
      <c r="AG484" s="107"/>
      <c r="AH484" s="107">
        <f t="shared" si="90"/>
        <v>0</v>
      </c>
    </row>
    <row r="485" spans="1:34" ht="15">
      <c r="A485" s="73" t="s">
        <v>153</v>
      </c>
      <c r="B485" s="329">
        <f t="shared" si="89"/>
        <v>0</v>
      </c>
      <c r="C485" s="100"/>
      <c r="D485" s="107"/>
      <c r="E485" s="107"/>
      <c r="F485" s="107"/>
      <c r="G485" s="107"/>
      <c r="H485" s="107"/>
      <c r="I485" s="107"/>
      <c r="J485" s="111"/>
      <c r="K485" s="111"/>
      <c r="L485" s="53"/>
      <c r="M485" s="53"/>
      <c r="N485" s="53"/>
      <c r="O485" s="53"/>
      <c r="P485" s="53"/>
      <c r="Q485" s="53"/>
      <c r="R485" s="53"/>
      <c r="S485" s="53"/>
      <c r="T485" s="53"/>
      <c r="U485" s="53"/>
      <c r="V485" s="53"/>
      <c r="W485" s="53"/>
      <c r="X485" s="53"/>
      <c r="Y485" s="53"/>
      <c r="Z485" s="53"/>
      <c r="AA485" s="53"/>
      <c r="AB485" s="53"/>
      <c r="AC485" s="53"/>
      <c r="AD485" s="53"/>
      <c r="AE485" s="53"/>
      <c r="AF485" s="53"/>
      <c r="AG485" s="53"/>
      <c r="AH485" s="107">
        <f t="shared" si="90"/>
        <v>0</v>
      </c>
    </row>
    <row r="486" spans="1:34" ht="15">
      <c r="A486" s="73" t="s">
        <v>154</v>
      </c>
      <c r="B486" s="329">
        <f t="shared" si="89"/>
        <v>0</v>
      </c>
      <c r="C486" s="103"/>
      <c r="D486" s="2503" t="s">
        <v>318</v>
      </c>
      <c r="E486" s="2503" t="s">
        <v>318</v>
      </c>
      <c r="F486" s="2503" t="s">
        <v>318</v>
      </c>
      <c r="G486" s="2503" t="s">
        <v>318</v>
      </c>
      <c r="H486" s="2503" t="s">
        <v>318</v>
      </c>
      <c r="I486" s="2503" t="s">
        <v>318</v>
      </c>
      <c r="J486" s="2503" t="s">
        <v>318</v>
      </c>
      <c r="K486" s="2503" t="s">
        <v>318</v>
      </c>
      <c r="L486" s="2503" t="s">
        <v>318</v>
      </c>
      <c r="M486" s="2503" t="s">
        <v>318</v>
      </c>
      <c r="N486" s="2503" t="s">
        <v>318</v>
      </c>
      <c r="O486" s="2503" t="s">
        <v>318</v>
      </c>
      <c r="P486" s="2503" t="s">
        <v>318</v>
      </c>
      <c r="Q486" s="2503" t="s">
        <v>318</v>
      </c>
      <c r="R486" s="2503" t="s">
        <v>318</v>
      </c>
      <c r="S486" s="2503" t="s">
        <v>318</v>
      </c>
      <c r="T486" s="2503" t="s">
        <v>318</v>
      </c>
      <c r="U486" s="2503" t="s">
        <v>318</v>
      </c>
      <c r="V486" s="2503" t="s">
        <v>318</v>
      </c>
      <c r="W486" s="2503" t="s">
        <v>318</v>
      </c>
      <c r="X486" s="2503" t="s">
        <v>318</v>
      </c>
      <c r="Y486" s="2503" t="s">
        <v>318</v>
      </c>
      <c r="Z486" s="2503" t="s">
        <v>318</v>
      </c>
      <c r="AA486" s="2503" t="s">
        <v>318</v>
      </c>
      <c r="AB486" s="2503" t="s">
        <v>318</v>
      </c>
      <c r="AC486" s="2503" t="s">
        <v>318</v>
      </c>
      <c r="AD486" s="2503" t="s">
        <v>318</v>
      </c>
      <c r="AE486" s="2503" t="s">
        <v>318</v>
      </c>
      <c r="AF486" s="2503" t="s">
        <v>318</v>
      </c>
      <c r="AG486" s="2503" t="s">
        <v>318</v>
      </c>
      <c r="AH486" s="107">
        <f t="shared" si="90"/>
        <v>0</v>
      </c>
    </row>
    <row r="487" spans="1:34" ht="15">
      <c r="A487" s="73" t="s">
        <v>155</v>
      </c>
      <c r="B487" s="162">
        <f t="shared" si="89"/>
        <v>0</v>
      </c>
      <c r="C487" s="188" t="s">
        <v>318</v>
      </c>
      <c r="D487" s="188" t="s">
        <v>318</v>
      </c>
      <c r="E487" s="188" t="s">
        <v>318</v>
      </c>
      <c r="F487" s="188" t="s">
        <v>318</v>
      </c>
      <c r="G487" s="188" t="s">
        <v>318</v>
      </c>
      <c r="H487" s="188" t="s">
        <v>318</v>
      </c>
      <c r="I487" s="188" t="s">
        <v>318</v>
      </c>
      <c r="J487" s="188" t="s">
        <v>318</v>
      </c>
      <c r="K487" s="188" t="s">
        <v>318</v>
      </c>
      <c r="L487" s="188" t="s">
        <v>318</v>
      </c>
      <c r="M487" s="188" t="s">
        <v>318</v>
      </c>
      <c r="N487" s="188" t="s">
        <v>318</v>
      </c>
      <c r="O487" s="188" t="s">
        <v>318</v>
      </c>
      <c r="P487" s="188" t="s">
        <v>318</v>
      </c>
      <c r="Q487" s="188" t="s">
        <v>318</v>
      </c>
      <c r="R487" s="53"/>
      <c r="S487" s="53"/>
      <c r="T487" s="53"/>
      <c r="U487" s="53"/>
      <c r="V487" s="53"/>
      <c r="W487" s="53"/>
      <c r="X487" s="53"/>
      <c r="Y487" s="53"/>
      <c r="Z487" s="53"/>
      <c r="AA487" s="53"/>
      <c r="AB487" s="53"/>
      <c r="AC487" s="53"/>
      <c r="AD487" s="53"/>
      <c r="AE487" s="107"/>
      <c r="AF487" s="53"/>
      <c r="AG487" s="107"/>
      <c r="AH487" s="107">
        <f t="shared" si="90"/>
        <v>0</v>
      </c>
    </row>
    <row r="488" spans="1:34" ht="15">
      <c r="A488" s="73" t="s">
        <v>156</v>
      </c>
      <c r="B488" s="162">
        <f t="shared" si="89"/>
        <v>0</v>
      </c>
      <c r="C488" s="103"/>
      <c r="D488" s="53"/>
      <c r="E488" s="53"/>
      <c r="F488" s="53"/>
      <c r="G488" s="53"/>
      <c r="H488" s="53"/>
      <c r="I488" s="53"/>
      <c r="J488" s="53"/>
      <c r="K488" s="53"/>
      <c r="L488" s="53"/>
      <c r="M488" s="53"/>
      <c r="N488" s="53"/>
      <c r="O488" s="53"/>
      <c r="P488" s="53"/>
      <c r="Q488" s="53"/>
      <c r="R488" s="53"/>
      <c r="S488" s="53"/>
      <c r="T488" s="53"/>
      <c r="U488" s="53"/>
      <c r="V488" s="53"/>
      <c r="W488" s="53"/>
      <c r="X488" s="53"/>
      <c r="Y488" s="53"/>
      <c r="Z488" s="53"/>
      <c r="AA488" s="53"/>
      <c r="AB488" s="53"/>
      <c r="AC488" s="53"/>
      <c r="AD488" s="53"/>
      <c r="AE488" s="107"/>
      <c r="AF488" s="53"/>
      <c r="AG488" s="107"/>
      <c r="AH488" s="107">
        <f t="shared" si="90"/>
        <v>0</v>
      </c>
    </row>
    <row r="489" spans="1:34" ht="15">
      <c r="A489" s="199" t="s">
        <v>144</v>
      </c>
      <c r="B489" s="232">
        <f>SUM(B477:B488)</f>
        <v>2676.701</v>
      </c>
      <c r="C489" s="100">
        <f>SUM(C477:C487)</f>
        <v>60.765999999999998</v>
      </c>
      <c r="D489" s="107">
        <f>SUM(D477:D487)</f>
        <v>64.528000000000006</v>
      </c>
      <c r="E489" s="107">
        <v>0</v>
      </c>
      <c r="F489" s="107">
        <f t="shared" ref="F489:AC489" si="91">SUM(F477:F487)</f>
        <v>68.013000000000005</v>
      </c>
      <c r="G489" s="107">
        <f t="shared" si="91"/>
        <v>107.79100000000001</v>
      </c>
      <c r="H489" s="107">
        <f t="shared" si="91"/>
        <v>52.523000000000003</v>
      </c>
      <c r="I489" s="107">
        <f t="shared" si="91"/>
        <v>23.573</v>
      </c>
      <c r="J489" s="107">
        <f t="shared" si="91"/>
        <v>140.524</v>
      </c>
      <c r="K489" s="107">
        <f t="shared" si="91"/>
        <v>172.267</v>
      </c>
      <c r="L489" s="107">
        <f t="shared" si="91"/>
        <v>8.3510000000000009</v>
      </c>
      <c r="M489" s="107">
        <f t="shared" si="91"/>
        <v>21.312000000000001</v>
      </c>
      <c r="N489" s="107">
        <f t="shared" si="91"/>
        <v>15.454999999999998</v>
      </c>
      <c r="O489" s="107">
        <f t="shared" si="91"/>
        <v>45.581000000000003</v>
      </c>
      <c r="P489" s="107">
        <f t="shared" si="91"/>
        <v>57.128</v>
      </c>
      <c r="Q489" s="107">
        <f t="shared" si="91"/>
        <v>34.944000000000003</v>
      </c>
      <c r="R489" s="107">
        <f t="shared" si="91"/>
        <v>17.224</v>
      </c>
      <c r="S489" s="107">
        <f t="shared" si="91"/>
        <v>23.265000000000001</v>
      </c>
      <c r="T489" s="107">
        <f t="shared" si="91"/>
        <v>5.94</v>
      </c>
      <c r="U489" s="107">
        <f t="shared" si="91"/>
        <v>28.42</v>
      </c>
      <c r="V489" s="107">
        <f t="shared" si="91"/>
        <v>44.384</v>
      </c>
      <c r="W489" s="107">
        <f t="shared" si="91"/>
        <v>74.962000000000003</v>
      </c>
      <c r="X489" s="107">
        <f t="shared" si="91"/>
        <v>114.09500000000001</v>
      </c>
      <c r="Y489" s="107">
        <f t="shared" si="91"/>
        <v>200.62200000000001</v>
      </c>
      <c r="Z489" s="107">
        <f t="shared" si="91"/>
        <v>195.53100000000001</v>
      </c>
      <c r="AA489" s="107">
        <f t="shared" si="91"/>
        <v>161.01999999999998</v>
      </c>
      <c r="AB489" s="107">
        <f t="shared" si="91"/>
        <v>77.613</v>
      </c>
      <c r="AC489" s="107">
        <f t="shared" si="91"/>
        <v>60.322000000000003</v>
      </c>
      <c r="AD489" s="107">
        <v>0</v>
      </c>
      <c r="AE489" s="107">
        <f>SUM(AE477:AE487)</f>
        <v>256.58300000000003</v>
      </c>
      <c r="AF489" s="107">
        <f>SUM(AF477:AF487)</f>
        <v>155.06700000000001</v>
      </c>
      <c r="AG489" s="107">
        <f>SUM(AG477:AG487)</f>
        <v>102.652</v>
      </c>
      <c r="AH489" s="101">
        <f>SUM(AH477:AH487)</f>
        <v>2676.701</v>
      </c>
    </row>
    <row r="490" spans="1:34" ht="8.25" customHeight="1"/>
    <row r="491" spans="1:34" ht="15">
      <c r="A491" s="3854" t="s">
        <v>408</v>
      </c>
      <c r="B491" s="3855"/>
      <c r="C491" s="3855"/>
      <c r="D491" s="3855"/>
      <c r="E491" s="3855"/>
      <c r="F491" s="3855"/>
      <c r="G491" s="3855"/>
      <c r="H491" s="3856"/>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c r="AG491" s="14"/>
      <c r="AH491" s="14"/>
    </row>
    <row r="492" spans="1:34" ht="15">
      <c r="A492" s="8" t="s">
        <v>142</v>
      </c>
      <c r="B492" s="8" t="s">
        <v>143</v>
      </c>
      <c r="C492" s="2907">
        <v>1</v>
      </c>
      <c r="D492" s="73">
        <v>2</v>
      </c>
      <c r="E492" s="73">
        <v>3</v>
      </c>
      <c r="F492" s="73">
        <v>4</v>
      </c>
      <c r="G492" s="73">
        <v>5</v>
      </c>
      <c r="H492" s="73">
        <v>6</v>
      </c>
      <c r="I492" s="73">
        <v>7</v>
      </c>
      <c r="J492" s="73">
        <v>8</v>
      </c>
      <c r="K492" s="73">
        <v>9</v>
      </c>
      <c r="L492" s="73">
        <v>10</v>
      </c>
      <c r="M492" s="73">
        <v>11</v>
      </c>
      <c r="N492" s="73">
        <v>12</v>
      </c>
      <c r="O492" s="73">
        <v>13</v>
      </c>
      <c r="P492" s="73">
        <v>14</v>
      </c>
      <c r="Q492" s="73">
        <v>15</v>
      </c>
      <c r="R492" s="73">
        <v>16</v>
      </c>
      <c r="S492" s="73">
        <v>17</v>
      </c>
      <c r="T492" s="73">
        <v>18</v>
      </c>
      <c r="U492" s="73">
        <v>19</v>
      </c>
      <c r="V492" s="73">
        <v>20</v>
      </c>
      <c r="W492" s="73">
        <v>21</v>
      </c>
      <c r="X492" s="73">
        <v>22</v>
      </c>
      <c r="Y492" s="73">
        <v>23</v>
      </c>
      <c r="Z492" s="73">
        <v>24</v>
      </c>
      <c r="AA492" s="73">
        <v>25</v>
      </c>
      <c r="AB492" s="73">
        <v>26</v>
      </c>
      <c r="AC492" s="73">
        <v>27</v>
      </c>
      <c r="AD492" s="73">
        <v>28</v>
      </c>
      <c r="AE492" s="73">
        <v>29</v>
      </c>
      <c r="AF492" s="73">
        <v>30</v>
      </c>
      <c r="AG492" s="73">
        <v>31</v>
      </c>
      <c r="AH492" s="88" t="s">
        <v>144</v>
      </c>
    </row>
    <row r="493" spans="1:34" ht="15">
      <c r="A493" s="73" t="s">
        <v>145</v>
      </c>
      <c r="B493" s="311">
        <f t="shared" ref="B493:B504" si="92">+AH493</f>
        <v>0</v>
      </c>
      <c r="C493" s="360" t="s">
        <v>311</v>
      </c>
      <c r="D493" s="360" t="s">
        <v>311</v>
      </c>
      <c r="E493" s="360" t="s">
        <v>311</v>
      </c>
      <c r="F493" s="360" t="s">
        <v>311</v>
      </c>
      <c r="G493" s="360" t="s">
        <v>311</v>
      </c>
      <c r="H493" s="360" t="s">
        <v>311</v>
      </c>
      <c r="I493" s="360" t="s">
        <v>311</v>
      </c>
      <c r="J493" s="360" t="s">
        <v>311</v>
      </c>
      <c r="K493" s="360" t="s">
        <v>311</v>
      </c>
      <c r="L493" s="360" t="s">
        <v>311</v>
      </c>
      <c r="M493" s="360" t="s">
        <v>311</v>
      </c>
      <c r="N493" s="360" t="s">
        <v>311</v>
      </c>
      <c r="O493" s="360" t="s">
        <v>311</v>
      </c>
      <c r="P493" s="360" t="s">
        <v>311</v>
      </c>
      <c r="Q493" s="360" t="s">
        <v>311</v>
      </c>
      <c r="R493" s="360" t="s">
        <v>311</v>
      </c>
      <c r="S493" s="360" t="s">
        <v>311</v>
      </c>
      <c r="T493" s="360" t="s">
        <v>311</v>
      </c>
      <c r="U493" s="360" t="s">
        <v>311</v>
      </c>
      <c r="V493" s="360" t="s">
        <v>311</v>
      </c>
      <c r="W493" s="360" t="s">
        <v>311</v>
      </c>
      <c r="X493" s="360" t="s">
        <v>311</v>
      </c>
      <c r="Y493" s="360" t="s">
        <v>311</v>
      </c>
      <c r="Z493" s="360" t="s">
        <v>311</v>
      </c>
      <c r="AA493" s="360" t="s">
        <v>311</v>
      </c>
      <c r="AB493" s="360" t="s">
        <v>311</v>
      </c>
      <c r="AC493" s="360" t="s">
        <v>311</v>
      </c>
      <c r="AD493" s="360" t="s">
        <v>311</v>
      </c>
      <c r="AE493" s="360" t="s">
        <v>311</v>
      </c>
      <c r="AF493" s="360" t="s">
        <v>311</v>
      </c>
      <c r="AG493" s="360" t="s">
        <v>311</v>
      </c>
      <c r="AH493" s="107">
        <f>SUM(C493:AG493)</f>
        <v>0</v>
      </c>
    </row>
    <row r="494" spans="1:34" ht="15">
      <c r="A494" s="73" t="s">
        <v>146</v>
      </c>
      <c r="B494" s="311">
        <f t="shared" si="92"/>
        <v>7.4240000000000004</v>
      </c>
      <c r="C494" s="360" t="s">
        <v>311</v>
      </c>
      <c r="D494" s="360" t="s">
        <v>311</v>
      </c>
      <c r="E494" s="360" t="s">
        <v>311</v>
      </c>
      <c r="F494" s="360" t="s">
        <v>311</v>
      </c>
      <c r="G494" s="360" t="s">
        <v>311</v>
      </c>
      <c r="H494" s="360" t="s">
        <v>311</v>
      </c>
      <c r="I494" s="360" t="s">
        <v>311</v>
      </c>
      <c r="J494" s="361"/>
      <c r="K494" s="361"/>
      <c r="L494" s="361"/>
      <c r="M494" s="361"/>
      <c r="N494" s="361"/>
      <c r="O494" s="361"/>
      <c r="P494" s="361"/>
      <c r="Q494" s="361"/>
      <c r="R494" s="361"/>
      <c r="S494" s="361"/>
      <c r="T494" s="361"/>
      <c r="U494" s="361"/>
      <c r="V494" s="361"/>
      <c r="W494" s="361"/>
      <c r="X494" s="361"/>
      <c r="Y494" s="361"/>
      <c r="Z494" s="361">
        <v>7.4240000000000004</v>
      </c>
      <c r="AA494" s="361"/>
      <c r="AB494" s="361"/>
      <c r="AC494" s="361"/>
      <c r="AD494" s="361"/>
      <c r="AE494" s="361"/>
      <c r="AF494" s="361"/>
      <c r="AG494" s="361"/>
      <c r="AH494" s="107">
        <f t="shared" ref="AH494:AH504" si="93">SUM(C494:AG494)</f>
        <v>7.4240000000000004</v>
      </c>
    </row>
    <row r="495" spans="1:34" ht="15">
      <c r="A495" s="73" t="s">
        <v>147</v>
      </c>
      <c r="B495" s="311">
        <f t="shared" si="92"/>
        <v>13.8</v>
      </c>
      <c r="C495" s="100"/>
      <c r="D495" s="107">
        <v>11</v>
      </c>
      <c r="E495" s="107"/>
      <c r="F495" s="107"/>
      <c r="G495" s="107"/>
      <c r="H495" s="107"/>
      <c r="I495" s="107">
        <v>2</v>
      </c>
      <c r="J495" s="107"/>
      <c r="K495" s="107"/>
      <c r="L495" s="107"/>
      <c r="M495" s="107"/>
      <c r="N495" s="107"/>
      <c r="O495" s="107"/>
      <c r="P495" s="107"/>
      <c r="Q495" s="107"/>
      <c r="R495" s="107"/>
      <c r="S495" s="107"/>
      <c r="T495" s="107"/>
      <c r="U495" s="107"/>
      <c r="V495" s="107"/>
      <c r="W495" s="107"/>
      <c r="X495" s="107"/>
      <c r="Y495" s="107"/>
      <c r="Z495" s="107"/>
      <c r="AA495" s="107"/>
      <c r="AB495" s="107">
        <v>0.8</v>
      </c>
      <c r="AC495" s="107"/>
      <c r="AD495" s="107"/>
      <c r="AE495" s="107"/>
      <c r="AF495" s="107"/>
      <c r="AG495" s="107"/>
      <c r="AH495" s="107">
        <f t="shared" si="93"/>
        <v>13.8</v>
      </c>
    </row>
    <row r="496" spans="1:34" ht="15">
      <c r="A496" s="73" t="s">
        <v>148</v>
      </c>
      <c r="B496" s="311">
        <f t="shared" si="92"/>
        <v>0</v>
      </c>
      <c r="C496" s="103"/>
      <c r="D496" s="107"/>
      <c r="E496" s="107"/>
      <c r="F496" s="107"/>
      <c r="G496" s="53"/>
      <c r="H496" s="53"/>
      <c r="I496" s="53"/>
      <c r="J496" s="107"/>
      <c r="K496" s="107"/>
      <c r="L496" s="107"/>
      <c r="M496" s="107"/>
      <c r="N496" s="107"/>
      <c r="O496" s="107"/>
      <c r="P496" s="107"/>
      <c r="Q496" s="107"/>
      <c r="R496" s="107"/>
      <c r="S496" s="107"/>
      <c r="T496" s="107"/>
      <c r="U496" s="107"/>
      <c r="V496" s="107"/>
      <c r="W496" s="107"/>
      <c r="X496" s="107"/>
      <c r="Y496" s="107"/>
      <c r="Z496" s="107"/>
      <c r="AA496" s="107"/>
      <c r="AB496" s="107"/>
      <c r="AC496" s="107"/>
      <c r="AD496" s="107"/>
      <c r="AE496" s="107"/>
      <c r="AF496" s="107"/>
      <c r="AG496" s="107"/>
      <c r="AH496" s="107">
        <f t="shared" si="93"/>
        <v>0</v>
      </c>
    </row>
    <row r="497" spans="1:34" ht="15">
      <c r="A497" s="73" t="s">
        <v>149</v>
      </c>
      <c r="B497" s="311">
        <f t="shared" si="92"/>
        <v>0</v>
      </c>
      <c r="C497" s="103"/>
      <c r="D497" s="53"/>
      <c r="E497" s="53"/>
      <c r="F497" s="53"/>
      <c r="G497" s="53"/>
      <c r="H497" s="53"/>
      <c r="I497" s="53"/>
      <c r="J497" s="107"/>
      <c r="K497" s="107"/>
      <c r="L497" s="107"/>
      <c r="M497" s="107"/>
      <c r="N497" s="107"/>
      <c r="O497" s="107"/>
      <c r="P497" s="107"/>
      <c r="Q497" s="107"/>
      <c r="R497" s="107"/>
      <c r="S497" s="107"/>
      <c r="T497" s="107"/>
      <c r="U497" s="107"/>
      <c r="V497" s="107"/>
      <c r="W497" s="107"/>
      <c r="X497" s="107"/>
      <c r="Y497" s="107"/>
      <c r="Z497" s="107"/>
      <c r="AA497" s="107"/>
      <c r="AB497" s="107"/>
      <c r="AC497" s="107"/>
      <c r="AD497" s="107"/>
      <c r="AE497" s="107"/>
      <c r="AF497" s="107"/>
      <c r="AG497" s="107"/>
      <c r="AH497" s="107">
        <f t="shared" si="93"/>
        <v>0</v>
      </c>
    </row>
    <row r="498" spans="1:34" ht="15">
      <c r="A498" s="73" t="s">
        <v>150</v>
      </c>
      <c r="B498" s="311">
        <f t="shared" si="92"/>
        <v>87.715999999999994</v>
      </c>
      <c r="C498" s="100"/>
      <c r="D498" s="107"/>
      <c r="E498" s="107"/>
      <c r="F498" s="107"/>
      <c r="G498" s="107"/>
      <c r="H498" s="107"/>
      <c r="I498" s="107"/>
      <c r="J498" s="107"/>
      <c r="K498" s="107"/>
      <c r="L498" s="107"/>
      <c r="M498" s="107"/>
      <c r="N498" s="107"/>
      <c r="O498" s="107"/>
      <c r="P498" s="107"/>
      <c r="Q498" s="107"/>
      <c r="R498" s="107">
        <v>24.65</v>
      </c>
      <c r="S498" s="107"/>
      <c r="T498" s="107"/>
      <c r="U498" s="107"/>
      <c r="V498" s="107"/>
      <c r="W498" s="107">
        <v>18.303999999999998</v>
      </c>
      <c r="X498" s="107"/>
      <c r="Y498" s="107"/>
      <c r="Z498" s="107"/>
      <c r="AA498" s="107">
        <v>20.622</v>
      </c>
      <c r="AB498" s="107"/>
      <c r="AC498" s="107"/>
      <c r="AD498" s="107"/>
      <c r="AE498" s="107">
        <v>24.14</v>
      </c>
      <c r="AF498" s="107"/>
      <c r="AG498" s="107"/>
      <c r="AH498" s="107">
        <f t="shared" si="93"/>
        <v>87.715999999999994</v>
      </c>
    </row>
    <row r="499" spans="1:34" ht="15">
      <c r="A499" s="73" t="s">
        <v>151</v>
      </c>
      <c r="B499" s="306">
        <f t="shared" si="92"/>
        <v>42.373000000000005</v>
      </c>
      <c r="C499" s="103"/>
      <c r="D499" s="107"/>
      <c r="E499" s="107">
        <v>2.7130000000000001</v>
      </c>
      <c r="F499" s="107"/>
      <c r="G499" s="53"/>
      <c r="H499" s="53"/>
      <c r="I499" s="53"/>
      <c r="J499" s="111"/>
      <c r="K499" s="111"/>
      <c r="L499" s="107"/>
      <c r="M499" s="107"/>
      <c r="N499" s="107"/>
      <c r="O499" s="107"/>
      <c r="P499" s="107"/>
      <c r="Q499" s="107"/>
      <c r="R499" s="107"/>
      <c r="S499" s="107"/>
      <c r="T499" s="107"/>
      <c r="U499" s="107">
        <v>20.190000000000001</v>
      </c>
      <c r="V499" s="107"/>
      <c r="W499" s="107"/>
      <c r="X499" s="107"/>
      <c r="Y499" s="107"/>
      <c r="Z499" s="107"/>
      <c r="AA499" s="107"/>
      <c r="AB499" s="107"/>
      <c r="AC499" s="107"/>
      <c r="AD499" s="107"/>
      <c r="AE499" s="107"/>
      <c r="AF499" s="107">
        <v>19.47</v>
      </c>
      <c r="AG499" s="107"/>
      <c r="AH499" s="107">
        <f t="shared" si="93"/>
        <v>42.373000000000005</v>
      </c>
    </row>
    <row r="500" spans="1:34" ht="15">
      <c r="A500" s="73" t="s">
        <v>152</v>
      </c>
      <c r="B500" s="306">
        <f t="shared" si="92"/>
        <v>0</v>
      </c>
      <c r="C500" s="103"/>
      <c r="D500" s="53"/>
      <c r="E500" s="53"/>
      <c r="F500" s="53"/>
      <c r="G500" s="53"/>
      <c r="H500" s="53"/>
      <c r="I500" s="53"/>
      <c r="J500" s="111"/>
      <c r="K500" s="111"/>
      <c r="L500" s="107"/>
      <c r="M500" s="107"/>
      <c r="N500" s="107"/>
      <c r="O500" s="107"/>
      <c r="P500" s="107"/>
      <c r="Q500" s="107"/>
      <c r="R500" s="107"/>
      <c r="S500" s="107"/>
      <c r="T500" s="107"/>
      <c r="U500" s="107"/>
      <c r="V500" s="107"/>
      <c r="W500" s="107"/>
      <c r="X500" s="107"/>
      <c r="Y500" s="107"/>
      <c r="Z500" s="107"/>
      <c r="AA500" s="107"/>
      <c r="AB500" s="107"/>
      <c r="AC500" s="107"/>
      <c r="AD500" s="107"/>
      <c r="AE500" s="107"/>
      <c r="AF500" s="107"/>
      <c r="AG500" s="107"/>
      <c r="AH500" s="107">
        <f t="shared" si="93"/>
        <v>0</v>
      </c>
    </row>
    <row r="501" spans="1:34" ht="15">
      <c r="A501" s="73" t="s">
        <v>153</v>
      </c>
      <c r="B501" s="306">
        <f t="shared" si="92"/>
        <v>0</v>
      </c>
      <c r="C501" s="100"/>
      <c r="D501" s="107"/>
      <c r="E501" s="107"/>
      <c r="F501" s="107"/>
      <c r="G501" s="107"/>
      <c r="H501" s="107"/>
      <c r="I501" s="107"/>
      <c r="J501" s="111"/>
      <c r="K501" s="111"/>
      <c r="L501" s="53"/>
      <c r="M501" s="53"/>
      <c r="N501" s="53"/>
      <c r="O501" s="53"/>
      <c r="P501" s="53"/>
      <c r="Q501" s="53"/>
      <c r="R501" s="53"/>
      <c r="S501" s="53"/>
      <c r="T501" s="53"/>
      <c r="U501" s="53"/>
      <c r="V501" s="53"/>
      <c r="W501" s="53"/>
      <c r="X501" s="53"/>
      <c r="Y501" s="53"/>
      <c r="Z501" s="53"/>
      <c r="AA501" s="53"/>
      <c r="AB501" s="53"/>
      <c r="AC501" s="53"/>
      <c r="AD501" s="53"/>
      <c r="AE501" s="53"/>
      <c r="AF501" s="53"/>
      <c r="AG501" s="53"/>
      <c r="AH501" s="107">
        <f t="shared" si="93"/>
        <v>0</v>
      </c>
    </row>
    <row r="502" spans="1:34" ht="15">
      <c r="A502" s="73" t="s">
        <v>154</v>
      </c>
      <c r="B502" s="306">
        <f t="shared" si="92"/>
        <v>0</v>
      </c>
      <c r="C502" s="103"/>
      <c r="D502" s="2503" t="s">
        <v>318</v>
      </c>
      <c r="E502" s="2503" t="s">
        <v>318</v>
      </c>
      <c r="F502" s="2503" t="s">
        <v>318</v>
      </c>
      <c r="G502" s="2503" t="s">
        <v>318</v>
      </c>
      <c r="H502" s="2503" t="s">
        <v>318</v>
      </c>
      <c r="I502" s="2503" t="s">
        <v>318</v>
      </c>
      <c r="J502" s="2503" t="s">
        <v>318</v>
      </c>
      <c r="K502" s="2503" t="s">
        <v>318</v>
      </c>
      <c r="L502" s="2503" t="s">
        <v>318</v>
      </c>
      <c r="M502" s="2503" t="s">
        <v>318</v>
      </c>
      <c r="N502" s="2503" t="s">
        <v>318</v>
      </c>
      <c r="O502" s="2503" t="s">
        <v>318</v>
      </c>
      <c r="P502" s="2503" t="s">
        <v>318</v>
      </c>
      <c r="Q502" s="2503" t="s">
        <v>318</v>
      </c>
      <c r="R502" s="2503" t="s">
        <v>318</v>
      </c>
      <c r="S502" s="2503" t="s">
        <v>318</v>
      </c>
      <c r="T502" s="2503" t="s">
        <v>318</v>
      </c>
      <c r="U502" s="2503" t="s">
        <v>318</v>
      </c>
      <c r="V502" s="2503" t="s">
        <v>318</v>
      </c>
      <c r="W502" s="2503" t="s">
        <v>318</v>
      </c>
      <c r="X502" s="2503" t="s">
        <v>318</v>
      </c>
      <c r="Y502" s="2503" t="s">
        <v>318</v>
      </c>
      <c r="Z502" s="2503" t="s">
        <v>318</v>
      </c>
      <c r="AA502" s="2503" t="s">
        <v>318</v>
      </c>
      <c r="AB502" s="2503" t="s">
        <v>318</v>
      </c>
      <c r="AC502" s="2503" t="s">
        <v>318</v>
      </c>
      <c r="AD502" s="2503" t="s">
        <v>318</v>
      </c>
      <c r="AE502" s="2503" t="s">
        <v>318</v>
      </c>
      <c r="AF502" s="2503" t="s">
        <v>318</v>
      </c>
      <c r="AG502" s="2503" t="s">
        <v>318</v>
      </c>
      <c r="AH502" s="107">
        <f t="shared" si="93"/>
        <v>0</v>
      </c>
    </row>
    <row r="503" spans="1:34" ht="15">
      <c r="A503" s="73" t="s">
        <v>155</v>
      </c>
      <c r="B503" s="53">
        <f t="shared" si="92"/>
        <v>0</v>
      </c>
      <c r="C503" s="188" t="s">
        <v>318</v>
      </c>
      <c r="D503" s="188" t="s">
        <v>318</v>
      </c>
      <c r="E503" s="188" t="s">
        <v>318</v>
      </c>
      <c r="F503" s="188" t="s">
        <v>318</v>
      </c>
      <c r="G503" s="188" t="s">
        <v>318</v>
      </c>
      <c r="H503" s="188" t="s">
        <v>318</v>
      </c>
      <c r="I503" s="188" t="s">
        <v>318</v>
      </c>
      <c r="J503" s="188" t="s">
        <v>318</v>
      </c>
      <c r="K503" s="188" t="s">
        <v>318</v>
      </c>
      <c r="L503" s="188" t="s">
        <v>318</v>
      </c>
      <c r="M503" s="188" t="s">
        <v>318</v>
      </c>
      <c r="N503" s="188" t="s">
        <v>318</v>
      </c>
      <c r="O503" s="188" t="s">
        <v>318</v>
      </c>
      <c r="P503" s="188" t="s">
        <v>318</v>
      </c>
      <c r="Q503" s="188" t="s">
        <v>318</v>
      </c>
      <c r="R503" s="53"/>
      <c r="S503" s="53"/>
      <c r="T503" s="53"/>
      <c r="U503" s="53"/>
      <c r="V503" s="53"/>
      <c r="W503" s="53"/>
      <c r="X503" s="53"/>
      <c r="Y503" s="53"/>
      <c r="Z503" s="53"/>
      <c r="AA503" s="53"/>
      <c r="AB503" s="53"/>
      <c r="AC503" s="53"/>
      <c r="AD503" s="53"/>
      <c r="AE503" s="107"/>
      <c r="AF503" s="53"/>
      <c r="AG503" s="107"/>
      <c r="AH503" s="107">
        <f t="shared" si="93"/>
        <v>0</v>
      </c>
    </row>
    <row r="504" spans="1:34" ht="15">
      <c r="A504" s="73" t="s">
        <v>156</v>
      </c>
      <c r="B504" s="53">
        <f t="shared" si="92"/>
        <v>0</v>
      </c>
      <c r="C504" s="103"/>
      <c r="D504" s="53"/>
      <c r="E504" s="53"/>
      <c r="F504" s="53"/>
      <c r="G504" s="53"/>
      <c r="H504" s="53"/>
      <c r="I504" s="53"/>
      <c r="J504" s="53"/>
      <c r="K504" s="53"/>
      <c r="L504" s="53"/>
      <c r="M504" s="53"/>
      <c r="N504" s="53"/>
      <c r="O504" s="53"/>
      <c r="P504" s="53"/>
      <c r="Q504" s="53"/>
      <c r="R504" s="53"/>
      <c r="S504" s="53"/>
      <c r="T504" s="53"/>
      <c r="U504" s="53"/>
      <c r="V504" s="53"/>
      <c r="W504" s="53"/>
      <c r="X504" s="53"/>
      <c r="Y504" s="53"/>
      <c r="Z504" s="53"/>
      <c r="AA504" s="53"/>
      <c r="AB504" s="53"/>
      <c r="AC504" s="53"/>
      <c r="AD504" s="53"/>
      <c r="AE504" s="107"/>
      <c r="AF504" s="53"/>
      <c r="AG504" s="107"/>
      <c r="AH504" s="107">
        <f t="shared" si="93"/>
        <v>0</v>
      </c>
    </row>
    <row r="505" spans="1:34" ht="15">
      <c r="A505" s="199" t="s">
        <v>144</v>
      </c>
      <c r="B505" s="232">
        <f>SUM(B493:B504)</f>
        <v>151.31299999999999</v>
      </c>
      <c r="C505" s="100">
        <f>SUM(C493:C503)</f>
        <v>0</v>
      </c>
      <c r="D505" s="107">
        <f>SUM(D493:D503)</f>
        <v>11</v>
      </c>
      <c r="E505" s="107">
        <v>0</v>
      </c>
      <c r="F505" s="107">
        <f t="shared" ref="F505:AC505" si="94">SUM(F493:F503)</f>
        <v>0</v>
      </c>
      <c r="G505" s="107">
        <f t="shared" si="94"/>
        <v>0</v>
      </c>
      <c r="H505" s="107">
        <f t="shared" si="94"/>
        <v>0</v>
      </c>
      <c r="I505" s="107">
        <f t="shared" si="94"/>
        <v>2</v>
      </c>
      <c r="J505" s="107">
        <f t="shared" si="94"/>
        <v>0</v>
      </c>
      <c r="K505" s="107">
        <f t="shared" si="94"/>
        <v>0</v>
      </c>
      <c r="L505" s="107">
        <f t="shared" si="94"/>
        <v>0</v>
      </c>
      <c r="M505" s="107">
        <f t="shared" si="94"/>
        <v>0</v>
      </c>
      <c r="N505" s="107">
        <f t="shared" si="94"/>
        <v>0</v>
      </c>
      <c r="O505" s="107">
        <f t="shared" si="94"/>
        <v>0</v>
      </c>
      <c r="P505" s="107">
        <f t="shared" si="94"/>
        <v>0</v>
      </c>
      <c r="Q505" s="107">
        <f t="shared" si="94"/>
        <v>0</v>
      </c>
      <c r="R505" s="107">
        <f t="shared" si="94"/>
        <v>24.65</v>
      </c>
      <c r="S505" s="107">
        <f t="shared" si="94"/>
        <v>0</v>
      </c>
      <c r="T505" s="107">
        <f t="shared" si="94"/>
        <v>0</v>
      </c>
      <c r="U505" s="107">
        <f t="shared" si="94"/>
        <v>20.190000000000001</v>
      </c>
      <c r="V505" s="107">
        <f t="shared" si="94"/>
        <v>0</v>
      </c>
      <c r="W505" s="107">
        <f t="shared" si="94"/>
        <v>18.303999999999998</v>
      </c>
      <c r="X505" s="107">
        <f t="shared" si="94"/>
        <v>0</v>
      </c>
      <c r="Y505" s="107">
        <f t="shared" si="94"/>
        <v>0</v>
      </c>
      <c r="Z505" s="107">
        <f t="shared" si="94"/>
        <v>7.4240000000000004</v>
      </c>
      <c r="AA505" s="107">
        <f t="shared" si="94"/>
        <v>20.622</v>
      </c>
      <c r="AB505" s="107">
        <f t="shared" si="94"/>
        <v>0.8</v>
      </c>
      <c r="AC505" s="107">
        <f t="shared" si="94"/>
        <v>0</v>
      </c>
      <c r="AD505" s="107">
        <v>0</v>
      </c>
      <c r="AE505" s="107">
        <f>SUM(AE493:AE503)</f>
        <v>24.14</v>
      </c>
      <c r="AF505" s="107">
        <f>SUM(AF493:AF503)</f>
        <v>19.47</v>
      </c>
      <c r="AG505" s="107">
        <f>SUM(AG493:AG503)</f>
        <v>0</v>
      </c>
      <c r="AH505" s="100">
        <f>SUM(AH493:AH503)</f>
        <v>151.31299999999999</v>
      </c>
    </row>
  </sheetData>
  <mergeCells count="35">
    <mergeCell ref="A491:H491"/>
    <mergeCell ref="A249:H249"/>
    <mergeCell ref="A329:H329"/>
    <mergeCell ref="A345:R345"/>
    <mergeCell ref="A347:H347"/>
    <mergeCell ref="A281:H281"/>
    <mergeCell ref="A297:H297"/>
    <mergeCell ref="A427:H427"/>
    <mergeCell ref="A73:H73"/>
    <mergeCell ref="A38:R38"/>
    <mergeCell ref="A55:C55"/>
    <mergeCell ref="A459:H459"/>
    <mergeCell ref="A475:H475"/>
    <mergeCell ref="A443:H443"/>
    <mergeCell ref="A363:H363"/>
    <mergeCell ref="A379:H379"/>
    <mergeCell ref="A395:H395"/>
    <mergeCell ref="A411:H411"/>
    <mergeCell ref="A121:H121"/>
    <mergeCell ref="A137:H137"/>
    <mergeCell ref="A153:H153"/>
    <mergeCell ref="A233:H233"/>
    <mergeCell ref="A169:H169"/>
    <mergeCell ref="A265:H265"/>
    <mergeCell ref="A22:H22"/>
    <mergeCell ref="A2:T2"/>
    <mergeCell ref="A4:R4"/>
    <mergeCell ref="A6:H6"/>
    <mergeCell ref="A71:R71"/>
    <mergeCell ref="A89:H89"/>
    <mergeCell ref="A105:H105"/>
    <mergeCell ref="A313:H313"/>
    <mergeCell ref="A185:H185"/>
    <mergeCell ref="A201:H201"/>
    <mergeCell ref="A217:H217"/>
  </mergeCells>
  <phoneticPr fontId="0" type="noConversion"/>
  <pageMargins left="0.75" right="0.75" top="1" bottom="1" header="0" footer="0"/>
  <pageSetup paperSize="5" orientation="portrait" r:id="rId1"/>
  <headerFooter alignWithMargins="0"/>
  <legacyDrawing r:id="rId2"/>
  <oleObjects>
    <oleObject progId="MSPhotoEd.3" shapeId="23553" r:id="rId3"/>
  </oleObjects>
</worksheet>
</file>

<file path=xl/worksheets/sheet9.xml><?xml version="1.0" encoding="utf-8"?>
<worksheet xmlns="http://schemas.openxmlformats.org/spreadsheetml/2006/main" xmlns:r="http://schemas.openxmlformats.org/officeDocument/2006/relationships">
  <dimension ref="A2:AH35"/>
  <sheetViews>
    <sheetView topLeftCell="A16" zoomScale="80" zoomScaleNormal="80" zoomScaleSheetLayoutView="100" workbookViewId="0">
      <selection activeCell="L34" sqref="L34"/>
    </sheetView>
  </sheetViews>
  <sheetFormatPr baseColWidth="10" defaultColWidth="11.44140625" defaultRowHeight="13.2"/>
  <cols>
    <col min="1" max="1" width="11.44140625" style="189"/>
    <col min="2" max="2" width="12.88671875" style="189" customWidth="1"/>
    <col min="3" max="16384" width="11.44140625" style="189"/>
  </cols>
  <sheetData>
    <row r="2" spans="1:34" ht="15">
      <c r="A2" s="3854" t="s">
        <v>401</v>
      </c>
      <c r="B2" s="3855"/>
      <c r="C2" s="3855"/>
      <c r="D2" s="3855"/>
      <c r="E2" s="3855"/>
      <c r="F2" s="3855"/>
      <c r="G2" s="3855"/>
      <c r="H2" s="3855"/>
      <c r="I2" s="3855"/>
      <c r="J2" s="3855"/>
      <c r="K2" s="3855"/>
      <c r="L2" s="3855"/>
      <c r="M2" s="3855"/>
      <c r="N2" s="3855"/>
      <c r="O2" s="3855"/>
      <c r="P2" s="3855"/>
      <c r="Q2" s="3855"/>
      <c r="R2" s="3855"/>
      <c r="S2" s="3855"/>
      <c r="T2" s="3856"/>
      <c r="U2" s="14"/>
      <c r="V2" s="14"/>
      <c r="W2" s="14"/>
      <c r="X2" s="14"/>
      <c r="Y2" s="14"/>
      <c r="Z2" s="14"/>
      <c r="AA2" s="14"/>
      <c r="AB2" s="14"/>
      <c r="AC2" s="14"/>
      <c r="AD2" s="14"/>
      <c r="AE2" s="14"/>
      <c r="AF2" s="14"/>
      <c r="AG2" s="14"/>
      <c r="AH2" s="1"/>
    </row>
    <row r="3" spans="1:34" s="190" customFormat="1" ht="15">
      <c r="A3" s="104"/>
      <c r="B3" s="104"/>
      <c r="C3" s="104"/>
      <c r="D3" s="104"/>
      <c r="E3" s="104"/>
      <c r="F3" s="104"/>
      <c r="G3" s="104"/>
      <c r="H3" s="104"/>
      <c r="I3" s="104"/>
      <c r="J3" s="104"/>
      <c r="K3" s="104"/>
      <c r="L3" s="104"/>
      <c r="M3" s="104"/>
      <c r="N3" s="104"/>
      <c r="O3" s="104"/>
      <c r="P3" s="104"/>
      <c r="Q3" s="104"/>
      <c r="R3" s="104"/>
      <c r="S3" s="104"/>
      <c r="T3" s="104"/>
      <c r="U3" s="14"/>
      <c r="V3" s="14"/>
      <c r="W3" s="14"/>
      <c r="X3" s="14"/>
      <c r="Y3" s="14"/>
      <c r="Z3" s="14"/>
      <c r="AA3" s="14"/>
      <c r="AB3" s="14"/>
      <c r="AC3" s="14"/>
      <c r="AD3" s="14"/>
      <c r="AE3" s="14"/>
      <c r="AF3" s="14"/>
      <c r="AG3" s="14"/>
      <c r="AH3" s="14"/>
    </row>
    <row r="4" spans="1:34" ht="15">
      <c r="A4" s="1"/>
      <c r="B4" s="1"/>
      <c r="C4" s="1"/>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
    </row>
    <row r="5" spans="1:34" ht="15">
      <c r="A5" s="3854" t="s">
        <v>137</v>
      </c>
      <c r="B5" s="3855"/>
      <c r="C5" s="3856"/>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
    </row>
    <row r="6" spans="1:34" ht="15">
      <c r="A6" s="8" t="s">
        <v>142</v>
      </c>
      <c r="B6" s="73" t="s">
        <v>143</v>
      </c>
      <c r="C6" s="8">
        <v>1</v>
      </c>
      <c r="D6" s="73">
        <v>2</v>
      </c>
      <c r="E6" s="73">
        <v>3</v>
      </c>
      <c r="F6" s="73">
        <v>4</v>
      </c>
      <c r="G6" s="73">
        <v>5</v>
      </c>
      <c r="H6" s="73">
        <v>6</v>
      </c>
      <c r="I6" s="73">
        <v>7</v>
      </c>
      <c r="J6" s="73">
        <v>8</v>
      </c>
      <c r="K6" s="73">
        <v>9</v>
      </c>
      <c r="L6" s="73">
        <v>10</v>
      </c>
      <c r="M6" s="73">
        <v>11</v>
      </c>
      <c r="N6" s="73">
        <v>12</v>
      </c>
      <c r="O6" s="73">
        <v>13</v>
      </c>
      <c r="P6" s="73">
        <v>14</v>
      </c>
      <c r="Q6" s="73">
        <v>15</v>
      </c>
      <c r="R6" s="73">
        <v>16</v>
      </c>
      <c r="S6" s="73">
        <v>17</v>
      </c>
      <c r="T6" s="73">
        <v>18</v>
      </c>
      <c r="U6" s="73">
        <v>19</v>
      </c>
      <c r="V6" s="73">
        <v>20</v>
      </c>
      <c r="W6" s="73">
        <v>21</v>
      </c>
      <c r="X6" s="73">
        <v>22</v>
      </c>
      <c r="Y6" s="73">
        <v>23</v>
      </c>
      <c r="Z6" s="73">
        <v>24</v>
      </c>
      <c r="AA6" s="73">
        <v>25</v>
      </c>
      <c r="AB6" s="73">
        <v>26</v>
      </c>
      <c r="AC6" s="73">
        <v>27</v>
      </c>
      <c r="AD6" s="73">
        <v>28</v>
      </c>
      <c r="AE6" s="73">
        <v>29</v>
      </c>
      <c r="AF6" s="73">
        <v>30</v>
      </c>
      <c r="AG6" s="73">
        <v>31</v>
      </c>
      <c r="AH6" s="8" t="s">
        <v>144</v>
      </c>
    </row>
    <row r="7" spans="1:34" ht="15">
      <c r="A7" s="73" t="s">
        <v>145</v>
      </c>
      <c r="B7" s="53">
        <f t="shared" ref="B7:B18" si="0">+AH7</f>
        <v>0</v>
      </c>
      <c r="C7" s="188" t="s">
        <v>311</v>
      </c>
      <c r="D7" s="188" t="s">
        <v>311</v>
      </c>
      <c r="E7" s="188" t="s">
        <v>311</v>
      </c>
      <c r="F7" s="188" t="s">
        <v>311</v>
      </c>
      <c r="G7" s="188" t="s">
        <v>311</v>
      </c>
      <c r="H7" s="188" t="s">
        <v>311</v>
      </c>
      <c r="I7" s="188" t="s">
        <v>311</v>
      </c>
      <c r="J7" s="188" t="s">
        <v>311</v>
      </c>
      <c r="K7" s="188" t="s">
        <v>311</v>
      </c>
      <c r="L7" s="188" t="s">
        <v>311</v>
      </c>
      <c r="M7" s="188" t="s">
        <v>311</v>
      </c>
      <c r="N7" s="188" t="s">
        <v>311</v>
      </c>
      <c r="O7" s="188" t="s">
        <v>311</v>
      </c>
      <c r="P7" s="188" t="s">
        <v>311</v>
      </c>
      <c r="Q7" s="188" t="s">
        <v>311</v>
      </c>
      <c r="R7" s="188" t="s">
        <v>311</v>
      </c>
      <c r="S7" s="188" t="s">
        <v>311</v>
      </c>
      <c r="T7" s="188" t="s">
        <v>311</v>
      </c>
      <c r="U7" s="188" t="s">
        <v>311</v>
      </c>
      <c r="V7" s="188" t="s">
        <v>311</v>
      </c>
      <c r="W7" s="188" t="s">
        <v>311</v>
      </c>
      <c r="X7" s="188" t="s">
        <v>311</v>
      </c>
      <c r="Y7" s="188" t="s">
        <v>311</v>
      </c>
      <c r="Z7" s="188" t="s">
        <v>311</v>
      </c>
      <c r="AA7" s="188" t="s">
        <v>311</v>
      </c>
      <c r="AB7" s="188" t="s">
        <v>311</v>
      </c>
      <c r="AC7" s="188" t="s">
        <v>311</v>
      </c>
      <c r="AD7" s="188" t="s">
        <v>311</v>
      </c>
      <c r="AE7" s="188" t="s">
        <v>311</v>
      </c>
      <c r="AF7" s="188" t="s">
        <v>311</v>
      </c>
      <c r="AG7" s="188" t="s">
        <v>311</v>
      </c>
      <c r="AH7" s="103">
        <f>SUM(C7:AG7)</f>
        <v>0</v>
      </c>
    </row>
    <row r="8" spans="1:34" ht="15">
      <c r="A8" s="73" t="s">
        <v>146</v>
      </c>
      <c r="B8" s="53">
        <f t="shared" si="0"/>
        <v>0</v>
      </c>
      <c r="C8" s="188" t="s">
        <v>311</v>
      </c>
      <c r="D8" s="188" t="s">
        <v>311</v>
      </c>
      <c r="E8" s="188" t="s">
        <v>311</v>
      </c>
      <c r="F8" s="188" t="s">
        <v>311</v>
      </c>
      <c r="G8" s="188" t="s">
        <v>311</v>
      </c>
      <c r="H8" s="188" t="s">
        <v>311</v>
      </c>
      <c r="I8" s="188" t="s">
        <v>311</v>
      </c>
      <c r="J8" s="188" t="s">
        <v>311</v>
      </c>
      <c r="K8" s="188" t="s">
        <v>311</v>
      </c>
      <c r="L8" s="188" t="s">
        <v>311</v>
      </c>
      <c r="M8" s="188" t="s">
        <v>311</v>
      </c>
      <c r="N8" s="188" t="s">
        <v>311</v>
      </c>
      <c r="O8" s="188" t="s">
        <v>311</v>
      </c>
      <c r="P8" s="188" t="s">
        <v>311</v>
      </c>
      <c r="Q8" s="188" t="s">
        <v>311</v>
      </c>
      <c r="R8" s="188" t="s">
        <v>311</v>
      </c>
      <c r="S8" s="188" t="s">
        <v>311</v>
      </c>
      <c r="T8" s="188" t="s">
        <v>311</v>
      </c>
      <c r="U8" s="188" t="s">
        <v>311</v>
      </c>
      <c r="V8" s="188" t="s">
        <v>311</v>
      </c>
      <c r="W8" s="188" t="s">
        <v>311</v>
      </c>
      <c r="X8" s="188" t="s">
        <v>311</v>
      </c>
      <c r="Y8" s="188" t="s">
        <v>311</v>
      </c>
      <c r="Z8" s="188" t="s">
        <v>311</v>
      </c>
      <c r="AA8" s="188" t="s">
        <v>311</v>
      </c>
      <c r="AB8" s="188" t="s">
        <v>311</v>
      </c>
      <c r="AC8" s="188" t="s">
        <v>311</v>
      </c>
      <c r="AD8" s="188" t="s">
        <v>311</v>
      </c>
      <c r="AE8" s="188" t="s">
        <v>311</v>
      </c>
      <c r="AF8" s="188" t="s">
        <v>311</v>
      </c>
      <c r="AG8" s="188" t="s">
        <v>311</v>
      </c>
      <c r="AH8" s="103">
        <f t="shared" ref="AH8:AH18" si="1">SUM(C8:AG8)</f>
        <v>0</v>
      </c>
    </row>
    <row r="9" spans="1:34" ht="15">
      <c r="A9" s="73" t="s">
        <v>147</v>
      </c>
      <c r="B9" s="53">
        <f t="shared" si="0"/>
        <v>0</v>
      </c>
      <c r="C9" s="188" t="s">
        <v>311</v>
      </c>
      <c r="D9" s="188" t="s">
        <v>311</v>
      </c>
      <c r="E9" s="188" t="s">
        <v>311</v>
      </c>
      <c r="F9" s="188" t="s">
        <v>311</v>
      </c>
      <c r="G9" s="188" t="s">
        <v>311</v>
      </c>
      <c r="H9" s="103"/>
      <c r="I9" s="53"/>
      <c r="J9" s="53"/>
      <c r="K9" s="53"/>
      <c r="L9" s="53"/>
      <c r="M9" s="53"/>
      <c r="N9" s="53"/>
      <c r="O9" s="53"/>
      <c r="P9" s="53"/>
      <c r="Q9" s="53"/>
      <c r="R9" s="53"/>
      <c r="S9" s="53"/>
      <c r="T9" s="53"/>
      <c r="U9" s="53"/>
      <c r="V9" s="53"/>
      <c r="W9" s="53"/>
      <c r="X9" s="53"/>
      <c r="Y9" s="53"/>
      <c r="Z9" s="53"/>
      <c r="AA9" s="53"/>
      <c r="AB9" s="53"/>
      <c r="AC9" s="188" t="s">
        <v>311</v>
      </c>
      <c r="AD9" s="188" t="s">
        <v>311</v>
      </c>
      <c r="AE9" s="188" t="s">
        <v>311</v>
      </c>
      <c r="AF9" s="188" t="s">
        <v>311</v>
      </c>
      <c r="AG9" s="188" t="s">
        <v>311</v>
      </c>
      <c r="AH9" s="103">
        <f t="shared" si="1"/>
        <v>0</v>
      </c>
    </row>
    <row r="10" spans="1:34" ht="15">
      <c r="A10" s="73" t="s">
        <v>148</v>
      </c>
      <c r="B10" s="53">
        <f t="shared" si="0"/>
        <v>0</v>
      </c>
      <c r="C10" s="188" t="s">
        <v>311</v>
      </c>
      <c r="D10" s="188" t="s">
        <v>311</v>
      </c>
      <c r="E10" s="188" t="s">
        <v>311</v>
      </c>
      <c r="F10" s="188" t="s">
        <v>311</v>
      </c>
      <c r="G10" s="188" t="s">
        <v>311</v>
      </c>
      <c r="H10" s="188" t="s">
        <v>311</v>
      </c>
      <c r="I10" s="188" t="s">
        <v>311</v>
      </c>
      <c r="J10" s="188" t="s">
        <v>311</v>
      </c>
      <c r="K10" s="188" t="s">
        <v>311</v>
      </c>
      <c r="L10" s="53"/>
      <c r="M10" s="53"/>
      <c r="N10" s="53"/>
      <c r="O10" s="53"/>
      <c r="P10" s="53"/>
      <c r="Q10" s="53"/>
      <c r="R10" s="53"/>
      <c r="S10" s="53"/>
      <c r="T10" s="53"/>
      <c r="U10" s="53"/>
      <c r="V10" s="53"/>
      <c r="W10" s="53"/>
      <c r="X10" s="53"/>
      <c r="Y10" s="53"/>
      <c r="Z10" s="53"/>
      <c r="AA10" s="53"/>
      <c r="AB10" s="53"/>
      <c r="AC10" s="53"/>
      <c r="AD10" s="53"/>
      <c r="AE10" s="53"/>
      <c r="AF10" s="53"/>
      <c r="AG10" s="53"/>
      <c r="AH10" s="103">
        <f t="shared" si="1"/>
        <v>0</v>
      </c>
    </row>
    <row r="11" spans="1:34" ht="15">
      <c r="A11" s="73" t="s">
        <v>149</v>
      </c>
      <c r="B11" s="53">
        <f t="shared" si="0"/>
        <v>0</v>
      </c>
      <c r="C11" s="103"/>
      <c r="D11" s="53"/>
      <c r="E11" s="53"/>
      <c r="F11" s="53"/>
      <c r="G11" s="53"/>
      <c r="H11" s="103"/>
      <c r="I11" s="53"/>
      <c r="J11" s="53"/>
      <c r="K11" s="53"/>
      <c r="L11" s="53"/>
      <c r="M11" s="53"/>
      <c r="N11" s="53"/>
      <c r="O11" s="53"/>
      <c r="P11" s="53"/>
      <c r="Q11" s="53"/>
      <c r="R11" s="53"/>
      <c r="S11" s="53"/>
      <c r="T11" s="53"/>
      <c r="U11" s="53"/>
      <c r="V11" s="53"/>
      <c r="W11" s="53"/>
      <c r="X11" s="53"/>
      <c r="Y11" s="53"/>
      <c r="Z11" s="53"/>
      <c r="AA11" s="53"/>
      <c r="AB11" s="53"/>
      <c r="AC11" s="53"/>
      <c r="AD11" s="53"/>
      <c r="AE11" s="53"/>
      <c r="AF11" s="53"/>
      <c r="AG11" s="53"/>
      <c r="AH11" s="103">
        <f t="shared" si="1"/>
        <v>0</v>
      </c>
    </row>
    <row r="12" spans="1:34" ht="15">
      <c r="A12" s="73" t="s">
        <v>150</v>
      </c>
      <c r="B12" s="53">
        <f t="shared" si="0"/>
        <v>0</v>
      </c>
      <c r="C12" s="103"/>
      <c r="D12" s="53"/>
      <c r="E12" s="53"/>
      <c r="F12" s="53"/>
      <c r="G12" s="53"/>
      <c r="H12" s="188" t="s">
        <v>162</v>
      </c>
      <c r="I12" s="188" t="s">
        <v>162</v>
      </c>
      <c r="J12" s="188" t="s">
        <v>162</v>
      </c>
      <c r="K12" s="188" t="s">
        <v>162</v>
      </c>
      <c r="L12" s="188" t="s">
        <v>162</v>
      </c>
      <c r="M12" s="188" t="s">
        <v>162</v>
      </c>
      <c r="N12" s="188" t="s">
        <v>162</v>
      </c>
      <c r="O12" s="188" t="s">
        <v>162</v>
      </c>
      <c r="P12" s="188" t="s">
        <v>162</v>
      </c>
      <c r="Q12" s="188" t="s">
        <v>162</v>
      </c>
      <c r="R12" s="188" t="s">
        <v>162</v>
      </c>
      <c r="S12" s="188" t="s">
        <v>162</v>
      </c>
      <c r="T12" s="188" t="s">
        <v>162</v>
      </c>
      <c r="U12" s="188" t="s">
        <v>162</v>
      </c>
      <c r="V12" s="188" t="s">
        <v>162</v>
      </c>
      <c r="W12" s="188" t="s">
        <v>162</v>
      </c>
      <c r="X12" s="188" t="s">
        <v>162</v>
      </c>
      <c r="Y12" s="53"/>
      <c r="Z12" s="53"/>
      <c r="AA12" s="53"/>
      <c r="AB12" s="53"/>
      <c r="AC12" s="53"/>
      <c r="AD12" s="53"/>
      <c r="AE12" s="53"/>
      <c r="AF12" s="53"/>
      <c r="AG12" s="53"/>
      <c r="AH12" s="103">
        <f t="shared" si="1"/>
        <v>0</v>
      </c>
    </row>
    <row r="13" spans="1:34" ht="15">
      <c r="A13" s="73" t="s">
        <v>151</v>
      </c>
      <c r="B13" s="53">
        <f t="shared" si="0"/>
        <v>0</v>
      </c>
      <c r="C13" s="103"/>
      <c r="D13" s="53"/>
      <c r="E13" s="53"/>
      <c r="F13" s="53"/>
      <c r="G13" s="53"/>
      <c r="H13" s="103"/>
      <c r="I13" s="53"/>
      <c r="J13" s="53"/>
      <c r="K13" s="53"/>
      <c r="L13" s="53"/>
      <c r="M13" s="53"/>
      <c r="N13" s="53"/>
      <c r="O13" s="53"/>
      <c r="P13" s="53"/>
      <c r="Q13" s="53"/>
      <c r="R13" s="53"/>
      <c r="S13" s="53"/>
      <c r="T13" s="53"/>
      <c r="U13" s="53"/>
      <c r="V13" s="53"/>
      <c r="W13" s="53"/>
      <c r="X13" s="53"/>
      <c r="Y13" s="53"/>
      <c r="Z13" s="53"/>
      <c r="AA13" s="53"/>
      <c r="AB13" s="53"/>
      <c r="AC13" s="53"/>
      <c r="AD13" s="53"/>
      <c r="AE13" s="53"/>
      <c r="AF13" s="53"/>
      <c r="AG13" s="53"/>
      <c r="AH13" s="103">
        <f t="shared" si="1"/>
        <v>0</v>
      </c>
    </row>
    <row r="14" spans="1:34" ht="15">
      <c r="A14" s="73" t="s">
        <v>152</v>
      </c>
      <c r="B14" s="53">
        <f t="shared" si="0"/>
        <v>0</v>
      </c>
      <c r="C14" s="103"/>
      <c r="D14" s="53"/>
      <c r="E14" s="53"/>
      <c r="F14" s="53"/>
      <c r="G14" s="53"/>
      <c r="H14" s="53"/>
      <c r="I14" s="53"/>
      <c r="J14" s="1898" t="s">
        <v>318</v>
      </c>
      <c r="K14" s="1898" t="s">
        <v>318</v>
      </c>
      <c r="L14" s="1898" t="s">
        <v>318</v>
      </c>
      <c r="M14" s="188" t="s">
        <v>318</v>
      </c>
      <c r="N14" s="188" t="s">
        <v>318</v>
      </c>
      <c r="O14" s="188" t="s">
        <v>318</v>
      </c>
      <c r="P14" s="188" t="s">
        <v>318</v>
      </c>
      <c r="Q14" s="188" t="s">
        <v>318</v>
      </c>
      <c r="R14" s="188" t="s">
        <v>318</v>
      </c>
      <c r="S14" s="188" t="s">
        <v>318</v>
      </c>
      <c r="T14" s="188" t="s">
        <v>318</v>
      </c>
      <c r="U14" s="188" t="s">
        <v>318</v>
      </c>
      <c r="V14" s="188" t="s">
        <v>318</v>
      </c>
      <c r="W14" s="188" t="s">
        <v>318</v>
      </c>
      <c r="X14" s="188" t="s">
        <v>318</v>
      </c>
      <c r="Y14" s="188" t="s">
        <v>318</v>
      </c>
      <c r="Z14" s="188" t="s">
        <v>318</v>
      </c>
      <c r="AA14" s="188" t="s">
        <v>318</v>
      </c>
      <c r="AB14" s="188" t="s">
        <v>318</v>
      </c>
      <c r="AC14" s="188" t="s">
        <v>318</v>
      </c>
      <c r="AD14" s="188" t="s">
        <v>318</v>
      </c>
      <c r="AE14" s="188" t="s">
        <v>318</v>
      </c>
      <c r="AF14" s="188" t="s">
        <v>318</v>
      </c>
      <c r="AG14" s="188" t="s">
        <v>318</v>
      </c>
      <c r="AH14" s="103">
        <f t="shared" si="1"/>
        <v>0</v>
      </c>
    </row>
    <row r="15" spans="1:34" ht="15">
      <c r="A15" s="73" t="s">
        <v>153</v>
      </c>
      <c r="B15" s="53">
        <f t="shared" si="0"/>
        <v>0</v>
      </c>
      <c r="C15" s="188" t="s">
        <v>318</v>
      </c>
      <c r="D15" s="188" t="s">
        <v>318</v>
      </c>
      <c r="E15" s="188" t="s">
        <v>318</v>
      </c>
      <c r="F15" s="188" t="s">
        <v>318</v>
      </c>
      <c r="G15" s="188" t="s">
        <v>318</v>
      </c>
      <c r="H15" s="188" t="s">
        <v>318</v>
      </c>
      <c r="I15" s="188" t="s">
        <v>318</v>
      </c>
      <c r="J15" s="1898" t="s">
        <v>318</v>
      </c>
      <c r="K15" s="1898" t="s">
        <v>318</v>
      </c>
      <c r="L15" s="1898" t="s">
        <v>318</v>
      </c>
      <c r="M15" s="188" t="s">
        <v>318</v>
      </c>
      <c r="N15" s="188" t="s">
        <v>318</v>
      </c>
      <c r="O15" s="188" t="s">
        <v>318</v>
      </c>
      <c r="P15" s="188" t="s">
        <v>318</v>
      </c>
      <c r="Q15" s="188" t="s">
        <v>318</v>
      </c>
      <c r="R15" s="188" t="s">
        <v>318</v>
      </c>
      <c r="S15" s="188" t="s">
        <v>318</v>
      </c>
      <c r="T15" s="188" t="s">
        <v>318</v>
      </c>
      <c r="U15" s="188" t="s">
        <v>318</v>
      </c>
      <c r="V15" s="188" t="s">
        <v>318</v>
      </c>
      <c r="W15" s="188" t="s">
        <v>318</v>
      </c>
      <c r="X15" s="188" t="s">
        <v>318</v>
      </c>
      <c r="Y15" s="188" t="s">
        <v>318</v>
      </c>
      <c r="Z15" s="188" t="s">
        <v>318</v>
      </c>
      <c r="AA15" s="188" t="s">
        <v>318</v>
      </c>
      <c r="AB15" s="188" t="s">
        <v>318</v>
      </c>
      <c r="AC15" s="188" t="s">
        <v>318</v>
      </c>
      <c r="AD15" s="188" t="s">
        <v>318</v>
      </c>
      <c r="AE15" s="188" t="s">
        <v>318</v>
      </c>
      <c r="AF15" s="188" t="s">
        <v>318</v>
      </c>
      <c r="AG15" s="188" t="s">
        <v>318</v>
      </c>
      <c r="AH15" s="103">
        <f t="shared" si="1"/>
        <v>0</v>
      </c>
    </row>
    <row r="16" spans="1:34" ht="15">
      <c r="A16" s="73" t="s">
        <v>154</v>
      </c>
      <c r="B16" s="53">
        <f t="shared" si="0"/>
        <v>0</v>
      </c>
      <c r="C16" s="188" t="s">
        <v>318</v>
      </c>
      <c r="D16" s="188" t="s">
        <v>318</v>
      </c>
      <c r="E16" s="188" t="s">
        <v>318</v>
      </c>
      <c r="F16" s="188" t="s">
        <v>318</v>
      </c>
      <c r="G16" s="188" t="s">
        <v>318</v>
      </c>
      <c r="H16" s="188" t="s">
        <v>318</v>
      </c>
      <c r="I16" s="188" t="s">
        <v>318</v>
      </c>
      <c r="J16" s="1898" t="s">
        <v>318</v>
      </c>
      <c r="K16" s="1898" t="s">
        <v>318</v>
      </c>
      <c r="L16" s="1898" t="s">
        <v>318</v>
      </c>
      <c r="M16" s="188" t="s">
        <v>318</v>
      </c>
      <c r="N16" s="188" t="s">
        <v>318</v>
      </c>
      <c r="O16" s="188" t="s">
        <v>318</v>
      </c>
      <c r="P16" s="188" t="s">
        <v>318</v>
      </c>
      <c r="Q16" s="188" t="s">
        <v>318</v>
      </c>
      <c r="R16" s="188" t="s">
        <v>318</v>
      </c>
      <c r="S16" s="188" t="s">
        <v>318</v>
      </c>
      <c r="T16" s="188" t="s">
        <v>318</v>
      </c>
      <c r="U16" s="188" t="s">
        <v>318</v>
      </c>
      <c r="V16" s="188" t="s">
        <v>318</v>
      </c>
      <c r="W16" s="188" t="s">
        <v>318</v>
      </c>
      <c r="X16" s="53"/>
      <c r="Y16" s="53"/>
      <c r="Z16" s="53"/>
      <c r="AA16" s="53"/>
      <c r="AB16" s="53"/>
      <c r="AC16" s="53"/>
      <c r="AD16" s="53"/>
      <c r="AE16" s="107"/>
      <c r="AF16" s="53"/>
      <c r="AG16" s="107"/>
      <c r="AH16" s="103">
        <f t="shared" si="1"/>
        <v>0</v>
      </c>
    </row>
    <row r="17" spans="1:34" ht="15">
      <c r="A17" s="73" t="s">
        <v>155</v>
      </c>
      <c r="B17" s="53">
        <f t="shared" si="0"/>
        <v>0</v>
      </c>
      <c r="C17" s="103"/>
      <c r="D17" s="53"/>
      <c r="E17" s="53"/>
      <c r="F17" s="53"/>
      <c r="G17" s="53"/>
      <c r="H17" s="103"/>
      <c r="I17" s="53"/>
      <c r="J17" s="53"/>
      <c r="K17" s="53"/>
      <c r="L17" s="53"/>
      <c r="M17" s="53"/>
      <c r="N17" s="53"/>
      <c r="O17" s="53"/>
      <c r="P17" s="53"/>
      <c r="Q17" s="53"/>
      <c r="R17" s="53"/>
      <c r="S17" s="53"/>
      <c r="T17" s="53"/>
      <c r="U17" s="53"/>
      <c r="V17" s="53"/>
      <c r="W17" s="53"/>
      <c r="X17" s="53"/>
      <c r="Y17" s="53"/>
      <c r="Z17" s="53"/>
      <c r="AA17" s="53"/>
      <c r="AB17" s="53"/>
      <c r="AC17" s="53"/>
      <c r="AD17" s="53"/>
      <c r="AE17" s="53"/>
      <c r="AF17" s="53"/>
      <c r="AG17" s="53"/>
      <c r="AH17" s="103">
        <f t="shared" si="1"/>
        <v>0</v>
      </c>
    </row>
    <row r="18" spans="1:34" ht="15">
      <c r="A18" s="73" t="s">
        <v>156</v>
      </c>
      <c r="B18" s="53">
        <f t="shared" si="0"/>
        <v>0</v>
      </c>
      <c r="C18" s="103"/>
      <c r="D18" s="53"/>
      <c r="E18" s="53"/>
      <c r="F18" s="53"/>
      <c r="G18" s="53"/>
      <c r="H18" s="53"/>
      <c r="I18" s="53"/>
      <c r="J18" s="53"/>
      <c r="K18" s="53"/>
      <c r="L18" s="53"/>
      <c r="M18" s="53"/>
      <c r="N18" s="53"/>
      <c r="O18" s="53"/>
      <c r="P18" s="3013" t="s">
        <v>311</v>
      </c>
      <c r="Q18" s="3013" t="s">
        <v>311</v>
      </c>
      <c r="R18" s="3013" t="s">
        <v>311</v>
      </c>
      <c r="S18" s="3013" t="s">
        <v>311</v>
      </c>
      <c r="T18" s="3013" t="s">
        <v>311</v>
      </c>
      <c r="U18" s="3013" t="s">
        <v>311</v>
      </c>
      <c r="V18" s="3013" t="s">
        <v>311</v>
      </c>
      <c r="W18" s="3013" t="s">
        <v>311</v>
      </c>
      <c r="X18" s="3013" t="s">
        <v>311</v>
      </c>
      <c r="Y18" s="3013" t="s">
        <v>311</v>
      </c>
      <c r="Z18" s="3013" t="s">
        <v>311</v>
      </c>
      <c r="AA18" s="3013" t="s">
        <v>311</v>
      </c>
      <c r="AB18" s="3013" t="s">
        <v>311</v>
      </c>
      <c r="AC18" s="3013" t="s">
        <v>311</v>
      </c>
      <c r="AD18" s="3013" t="s">
        <v>311</v>
      </c>
      <c r="AE18" s="3013" t="s">
        <v>311</v>
      </c>
      <c r="AF18" s="3013" t="s">
        <v>311</v>
      </c>
      <c r="AG18" s="3013" t="s">
        <v>311</v>
      </c>
      <c r="AH18" s="103">
        <f t="shared" si="1"/>
        <v>0</v>
      </c>
    </row>
    <row r="19" spans="1:34" ht="15">
      <c r="A19" s="199" t="s">
        <v>111</v>
      </c>
      <c r="B19" s="200">
        <f t="shared" ref="B19:AH19" si="2">SUM(B7:B18)</f>
        <v>0</v>
      </c>
      <c r="C19" s="103">
        <f t="shared" si="2"/>
        <v>0</v>
      </c>
      <c r="D19" s="103">
        <f t="shared" si="2"/>
        <v>0</v>
      </c>
      <c r="E19" s="103">
        <f t="shared" si="2"/>
        <v>0</v>
      </c>
      <c r="F19" s="103">
        <f t="shared" si="2"/>
        <v>0</v>
      </c>
      <c r="G19" s="103">
        <f t="shared" si="2"/>
        <v>0</v>
      </c>
      <c r="H19" s="103">
        <f t="shared" si="2"/>
        <v>0</v>
      </c>
      <c r="I19" s="103">
        <f t="shared" si="2"/>
        <v>0</v>
      </c>
      <c r="J19" s="103">
        <f t="shared" si="2"/>
        <v>0</v>
      </c>
      <c r="K19" s="103">
        <f t="shared" si="2"/>
        <v>0</v>
      </c>
      <c r="L19" s="103">
        <f t="shared" si="2"/>
        <v>0</v>
      </c>
      <c r="M19" s="103">
        <f t="shared" si="2"/>
        <v>0</v>
      </c>
      <c r="N19" s="103">
        <f t="shared" si="2"/>
        <v>0</v>
      </c>
      <c r="O19" s="103">
        <f t="shared" si="2"/>
        <v>0</v>
      </c>
      <c r="P19" s="103">
        <f t="shared" si="2"/>
        <v>0</v>
      </c>
      <c r="Q19" s="103">
        <f t="shared" si="2"/>
        <v>0</v>
      </c>
      <c r="R19" s="103">
        <f t="shared" si="2"/>
        <v>0</v>
      </c>
      <c r="S19" s="103">
        <f t="shared" si="2"/>
        <v>0</v>
      </c>
      <c r="T19" s="103">
        <f t="shared" si="2"/>
        <v>0</v>
      </c>
      <c r="U19" s="103">
        <f t="shared" si="2"/>
        <v>0</v>
      </c>
      <c r="V19" s="103">
        <f t="shared" si="2"/>
        <v>0</v>
      </c>
      <c r="W19" s="103">
        <f t="shared" si="2"/>
        <v>0</v>
      </c>
      <c r="X19" s="103">
        <f t="shared" si="2"/>
        <v>0</v>
      </c>
      <c r="Y19" s="103">
        <f t="shared" si="2"/>
        <v>0</v>
      </c>
      <c r="Z19" s="103">
        <f t="shared" si="2"/>
        <v>0</v>
      </c>
      <c r="AA19" s="103">
        <f t="shared" si="2"/>
        <v>0</v>
      </c>
      <c r="AB19" s="103">
        <f t="shared" si="2"/>
        <v>0</v>
      </c>
      <c r="AC19" s="103">
        <f t="shared" si="2"/>
        <v>0</v>
      </c>
      <c r="AD19" s="103">
        <f t="shared" si="2"/>
        <v>0</v>
      </c>
      <c r="AE19" s="103">
        <f t="shared" si="2"/>
        <v>0</v>
      </c>
      <c r="AF19" s="103">
        <f t="shared" si="2"/>
        <v>0</v>
      </c>
      <c r="AG19" s="103">
        <f t="shared" si="2"/>
        <v>0</v>
      </c>
      <c r="AH19" s="103">
        <f t="shared" si="2"/>
        <v>0</v>
      </c>
    </row>
    <row r="20" spans="1:34" ht="15">
      <c r="A20" s="1"/>
      <c r="B20" s="1"/>
      <c r="C20" s="1"/>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
    </row>
    <row r="21" spans="1:34" ht="15">
      <c r="A21" s="3854" t="s">
        <v>159</v>
      </c>
      <c r="B21" s="3855"/>
      <c r="C21" s="3856"/>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
    </row>
    <row r="22" spans="1:34" ht="15">
      <c r="A22" s="8" t="s">
        <v>142</v>
      </c>
      <c r="B22" s="73" t="s">
        <v>143</v>
      </c>
      <c r="C22" s="372">
        <v>1</v>
      </c>
      <c r="D22" s="73">
        <v>2</v>
      </c>
      <c r="E22" s="73">
        <v>3</v>
      </c>
      <c r="F22" s="73">
        <v>4</v>
      </c>
      <c r="G22" s="73">
        <v>5</v>
      </c>
      <c r="H22" s="73">
        <v>6</v>
      </c>
      <c r="I22" s="73">
        <v>7</v>
      </c>
      <c r="J22" s="73">
        <v>8</v>
      </c>
      <c r="K22" s="73">
        <v>9</v>
      </c>
      <c r="L22" s="73">
        <v>10</v>
      </c>
      <c r="M22" s="73">
        <v>11</v>
      </c>
      <c r="N22" s="73">
        <v>12</v>
      </c>
      <c r="O22" s="73">
        <v>13</v>
      </c>
      <c r="P22" s="73">
        <v>14</v>
      </c>
      <c r="Q22" s="73">
        <v>15</v>
      </c>
      <c r="R22" s="73">
        <v>16</v>
      </c>
      <c r="S22" s="73">
        <v>17</v>
      </c>
      <c r="T22" s="73">
        <v>18</v>
      </c>
      <c r="U22" s="73">
        <v>19</v>
      </c>
      <c r="V22" s="73">
        <v>20</v>
      </c>
      <c r="W22" s="73">
        <v>21</v>
      </c>
      <c r="X22" s="73">
        <v>22</v>
      </c>
      <c r="Y22" s="73">
        <v>23</v>
      </c>
      <c r="Z22" s="73">
        <v>24</v>
      </c>
      <c r="AA22" s="73">
        <v>25</v>
      </c>
      <c r="AB22" s="73">
        <v>26</v>
      </c>
      <c r="AC22" s="73">
        <v>27</v>
      </c>
      <c r="AD22" s="73">
        <v>28</v>
      </c>
      <c r="AE22" s="73">
        <v>29</v>
      </c>
      <c r="AF22" s="73">
        <v>30</v>
      </c>
      <c r="AG22" s="73">
        <v>31</v>
      </c>
      <c r="AH22" s="8" t="s">
        <v>144</v>
      </c>
    </row>
    <row r="23" spans="1:34" ht="15">
      <c r="A23" s="73" t="s">
        <v>145</v>
      </c>
      <c r="B23" s="162">
        <f t="shared" ref="B23:B34" si="3">+AH23</f>
        <v>0</v>
      </c>
      <c r="C23" s="188" t="s">
        <v>311</v>
      </c>
      <c r="D23" s="188" t="s">
        <v>311</v>
      </c>
      <c r="E23" s="188" t="s">
        <v>311</v>
      </c>
      <c r="F23" s="188" t="s">
        <v>311</v>
      </c>
      <c r="G23" s="188" t="s">
        <v>311</v>
      </c>
      <c r="H23" s="188" t="s">
        <v>311</v>
      </c>
      <c r="I23" s="188" t="s">
        <v>311</v>
      </c>
      <c r="J23" s="188" t="s">
        <v>311</v>
      </c>
      <c r="K23" s="188" t="s">
        <v>311</v>
      </c>
      <c r="L23" s="188" t="s">
        <v>311</v>
      </c>
      <c r="M23" s="188" t="s">
        <v>311</v>
      </c>
      <c r="N23" s="188" t="s">
        <v>311</v>
      </c>
      <c r="O23" s="188" t="s">
        <v>311</v>
      </c>
      <c r="P23" s="188" t="s">
        <v>311</v>
      </c>
      <c r="Q23" s="188" t="s">
        <v>311</v>
      </c>
      <c r="R23" s="188" t="s">
        <v>311</v>
      </c>
      <c r="S23" s="188" t="s">
        <v>311</v>
      </c>
      <c r="T23" s="188" t="s">
        <v>311</v>
      </c>
      <c r="U23" s="188" t="s">
        <v>311</v>
      </c>
      <c r="V23" s="188" t="s">
        <v>311</v>
      </c>
      <c r="W23" s="188" t="s">
        <v>311</v>
      </c>
      <c r="X23" s="188" t="s">
        <v>311</v>
      </c>
      <c r="Y23" s="188" t="s">
        <v>311</v>
      </c>
      <c r="Z23" s="188" t="s">
        <v>311</v>
      </c>
      <c r="AA23" s="188" t="s">
        <v>311</v>
      </c>
      <c r="AB23" s="188" t="s">
        <v>311</v>
      </c>
      <c r="AC23" s="188" t="s">
        <v>311</v>
      </c>
      <c r="AD23" s="188" t="s">
        <v>311</v>
      </c>
      <c r="AE23" s="188" t="s">
        <v>311</v>
      </c>
      <c r="AF23" s="188" t="s">
        <v>311</v>
      </c>
      <c r="AG23" s="188" t="s">
        <v>311</v>
      </c>
      <c r="AH23" s="103"/>
    </row>
    <row r="24" spans="1:34" ht="15">
      <c r="A24" s="73" t="s">
        <v>146</v>
      </c>
      <c r="B24" s="162">
        <f t="shared" si="3"/>
        <v>0</v>
      </c>
      <c r="C24" s="188" t="s">
        <v>311</v>
      </c>
      <c r="D24" s="188" t="s">
        <v>311</v>
      </c>
      <c r="E24" s="188" t="s">
        <v>311</v>
      </c>
      <c r="F24" s="188" t="s">
        <v>311</v>
      </c>
      <c r="G24" s="188" t="s">
        <v>311</v>
      </c>
      <c r="H24" s="188" t="s">
        <v>311</v>
      </c>
      <c r="I24" s="188" t="s">
        <v>311</v>
      </c>
      <c r="J24" s="188" t="s">
        <v>311</v>
      </c>
      <c r="K24" s="188" t="s">
        <v>311</v>
      </c>
      <c r="L24" s="188" t="s">
        <v>311</v>
      </c>
      <c r="M24" s="188" t="s">
        <v>311</v>
      </c>
      <c r="N24" s="188" t="s">
        <v>311</v>
      </c>
      <c r="O24" s="188" t="s">
        <v>311</v>
      </c>
      <c r="P24" s="188" t="s">
        <v>311</v>
      </c>
      <c r="Q24" s="188" t="s">
        <v>311</v>
      </c>
      <c r="R24" s="188" t="s">
        <v>311</v>
      </c>
      <c r="S24" s="188" t="s">
        <v>311</v>
      </c>
      <c r="T24" s="188" t="s">
        <v>311</v>
      </c>
      <c r="U24" s="188" t="s">
        <v>311</v>
      </c>
      <c r="V24" s="188" t="s">
        <v>311</v>
      </c>
      <c r="W24" s="188" t="s">
        <v>311</v>
      </c>
      <c r="X24" s="188" t="s">
        <v>311</v>
      </c>
      <c r="Y24" s="188" t="s">
        <v>311</v>
      </c>
      <c r="Z24" s="188" t="s">
        <v>311</v>
      </c>
      <c r="AA24" s="188" t="s">
        <v>311</v>
      </c>
      <c r="AB24" s="188" t="s">
        <v>311</v>
      </c>
      <c r="AC24" s="188" t="s">
        <v>311</v>
      </c>
      <c r="AD24" s="188" t="s">
        <v>311</v>
      </c>
      <c r="AE24" s="188" t="s">
        <v>311</v>
      </c>
      <c r="AF24" s="188" t="s">
        <v>311</v>
      </c>
      <c r="AG24" s="188" t="s">
        <v>311</v>
      </c>
      <c r="AH24" s="103"/>
    </row>
    <row r="25" spans="1:34" ht="15">
      <c r="A25" s="73" t="s">
        <v>147</v>
      </c>
      <c r="B25" s="162">
        <f t="shared" si="3"/>
        <v>3361.134</v>
      </c>
      <c r="C25" s="188" t="s">
        <v>311</v>
      </c>
      <c r="D25" s="188" t="s">
        <v>311</v>
      </c>
      <c r="E25" s="188" t="s">
        <v>311</v>
      </c>
      <c r="F25" s="188" t="s">
        <v>311</v>
      </c>
      <c r="G25" s="188" t="s">
        <v>311</v>
      </c>
      <c r="H25" s="315">
        <v>74.92</v>
      </c>
      <c r="I25" s="315">
        <v>72.69</v>
      </c>
      <c r="J25" s="107">
        <v>242.97499999999999</v>
      </c>
      <c r="K25" s="107">
        <v>96.29</v>
      </c>
      <c r="L25" s="107">
        <v>263.45999999999998</v>
      </c>
      <c r="M25" s="107">
        <v>79.180000000000007</v>
      </c>
      <c r="N25" s="107">
        <v>202.04</v>
      </c>
      <c r="O25" s="107">
        <v>275.54000000000002</v>
      </c>
      <c r="P25" s="107">
        <v>293.18</v>
      </c>
      <c r="Q25" s="107">
        <v>75.180000000000007</v>
      </c>
      <c r="R25" s="107">
        <v>110.694</v>
      </c>
      <c r="S25" s="107">
        <v>157.30000000000001</v>
      </c>
      <c r="T25" s="107">
        <v>319.47000000000003</v>
      </c>
      <c r="U25" s="107">
        <v>267.08</v>
      </c>
      <c r="V25" s="107">
        <v>96.02</v>
      </c>
      <c r="W25" s="107">
        <v>98.01</v>
      </c>
      <c r="X25" s="107"/>
      <c r="Y25" s="107"/>
      <c r="Z25" s="107">
        <v>105.5</v>
      </c>
      <c r="AA25" s="107">
        <v>95.78</v>
      </c>
      <c r="AB25" s="107">
        <v>195.63</v>
      </c>
      <c r="AC25" s="188">
        <v>138.85</v>
      </c>
      <c r="AD25" s="188">
        <v>101.345</v>
      </c>
      <c r="AE25" s="188" t="s">
        <v>311</v>
      </c>
      <c r="AF25" s="188" t="s">
        <v>311</v>
      </c>
      <c r="AG25" s="188" t="s">
        <v>311</v>
      </c>
      <c r="AH25" s="103">
        <f>SUM(H25:AG25)</f>
        <v>3361.134</v>
      </c>
    </row>
    <row r="26" spans="1:34" ht="15">
      <c r="A26" s="73" t="s">
        <v>148</v>
      </c>
      <c r="B26" s="162">
        <f t="shared" si="3"/>
        <v>2222.6909999999998</v>
      </c>
      <c r="C26" s="188" t="s">
        <v>311</v>
      </c>
      <c r="D26" s="188" t="s">
        <v>311</v>
      </c>
      <c r="E26" s="188" t="s">
        <v>311</v>
      </c>
      <c r="F26" s="188" t="s">
        <v>311</v>
      </c>
      <c r="G26" s="188" t="s">
        <v>311</v>
      </c>
      <c r="H26" s="188" t="s">
        <v>311</v>
      </c>
      <c r="I26" s="188" t="s">
        <v>311</v>
      </c>
      <c r="J26" s="188" t="s">
        <v>311</v>
      </c>
      <c r="K26" s="188" t="s">
        <v>311</v>
      </c>
      <c r="L26" s="107">
        <v>178.22</v>
      </c>
      <c r="M26" s="107">
        <v>195.245</v>
      </c>
      <c r="N26" s="107">
        <v>134.74</v>
      </c>
      <c r="O26" s="107">
        <v>220.79499999999999</v>
      </c>
      <c r="P26" s="107">
        <v>126.06</v>
      </c>
      <c r="Q26" s="107">
        <v>299.738</v>
      </c>
      <c r="R26" s="107">
        <v>8.64</v>
      </c>
      <c r="S26" s="107"/>
      <c r="T26" s="107"/>
      <c r="U26" s="107"/>
      <c r="V26" s="107"/>
      <c r="W26" s="107"/>
      <c r="X26" s="107"/>
      <c r="Y26" s="107"/>
      <c r="Z26" s="107">
        <v>153</v>
      </c>
      <c r="AA26" s="107">
        <v>250.995</v>
      </c>
      <c r="AB26" s="107">
        <v>282.041</v>
      </c>
      <c r="AC26" s="107">
        <v>195.16</v>
      </c>
      <c r="AD26" s="107">
        <v>178.05699999999999</v>
      </c>
      <c r="AE26" s="107"/>
      <c r="AF26" s="107"/>
      <c r="AG26" s="107"/>
      <c r="AH26" s="548">
        <f t="shared" ref="AH26:AH34" si="4">SUM(C26:AG26)</f>
        <v>2222.6909999999998</v>
      </c>
    </row>
    <row r="27" spans="1:34" ht="15">
      <c r="A27" s="73" t="s">
        <v>149</v>
      </c>
      <c r="B27" s="162">
        <f t="shared" si="3"/>
        <v>1597.5130000000001</v>
      </c>
      <c r="C27" s="103"/>
      <c r="D27" s="53"/>
      <c r="E27" s="53"/>
      <c r="F27" s="53"/>
      <c r="G27" s="53">
        <v>54.96</v>
      </c>
      <c r="H27" s="53"/>
      <c r="I27" s="53"/>
      <c r="J27" s="107">
        <v>153.63</v>
      </c>
      <c r="K27" s="107">
        <v>249.5</v>
      </c>
      <c r="L27" s="107">
        <v>84.004999999999995</v>
      </c>
      <c r="M27" s="107"/>
      <c r="N27" s="107">
        <v>25.7</v>
      </c>
      <c r="O27" s="107">
        <v>156.17500000000001</v>
      </c>
      <c r="P27" s="107"/>
      <c r="Q27" s="107"/>
      <c r="R27" s="107"/>
      <c r="S27" s="107"/>
      <c r="T27" s="107"/>
      <c r="U27" s="107"/>
      <c r="V27" s="107"/>
      <c r="W27" s="107">
        <v>69.17</v>
      </c>
      <c r="X27" s="107">
        <v>225.31399999999999</v>
      </c>
      <c r="Y27" s="107">
        <v>292.81799999999998</v>
      </c>
      <c r="Z27" s="107">
        <v>201.851</v>
      </c>
      <c r="AA27" s="107">
        <v>84.39</v>
      </c>
      <c r="AB27" s="107"/>
      <c r="AC27" s="107"/>
      <c r="AD27" s="107"/>
      <c r="AE27" s="107"/>
      <c r="AF27" s="107"/>
      <c r="AG27" s="107"/>
      <c r="AH27" s="103">
        <f t="shared" si="4"/>
        <v>1597.5130000000001</v>
      </c>
    </row>
    <row r="28" spans="1:34" ht="15">
      <c r="A28" s="314" t="s">
        <v>150</v>
      </c>
      <c r="B28" s="162">
        <f t="shared" si="3"/>
        <v>597.97399999999993</v>
      </c>
      <c r="C28" s="103"/>
      <c r="D28" s="53"/>
      <c r="E28" s="53"/>
      <c r="F28" s="53">
        <v>217.065</v>
      </c>
      <c r="G28" s="53"/>
      <c r="H28" s="188" t="s">
        <v>162</v>
      </c>
      <c r="I28" s="188" t="s">
        <v>162</v>
      </c>
      <c r="J28" s="188" t="s">
        <v>162</v>
      </c>
      <c r="K28" s="188" t="s">
        <v>162</v>
      </c>
      <c r="L28" s="188" t="s">
        <v>162</v>
      </c>
      <c r="M28" s="188" t="s">
        <v>162</v>
      </c>
      <c r="N28" s="188" t="s">
        <v>162</v>
      </c>
      <c r="O28" s="188" t="s">
        <v>162</v>
      </c>
      <c r="P28" s="188" t="s">
        <v>162</v>
      </c>
      <c r="Q28" s="188" t="s">
        <v>162</v>
      </c>
      <c r="R28" s="188" t="s">
        <v>162</v>
      </c>
      <c r="S28" s="188" t="s">
        <v>162</v>
      </c>
      <c r="T28" s="188" t="s">
        <v>162</v>
      </c>
      <c r="U28" s="188" t="s">
        <v>162</v>
      </c>
      <c r="V28" s="188" t="s">
        <v>162</v>
      </c>
      <c r="W28" s="188" t="s">
        <v>162</v>
      </c>
      <c r="X28" s="188" t="s">
        <v>162</v>
      </c>
      <c r="Y28" s="53"/>
      <c r="Z28" s="53"/>
      <c r="AA28" s="53">
        <v>231.60900000000001</v>
      </c>
      <c r="AB28" s="53">
        <v>149.30000000000001</v>
      </c>
      <c r="AC28" s="53"/>
      <c r="AD28" s="53"/>
      <c r="AE28" s="53"/>
      <c r="AF28" s="53"/>
      <c r="AG28" s="53"/>
      <c r="AH28" s="103">
        <f t="shared" si="4"/>
        <v>597.97399999999993</v>
      </c>
    </row>
    <row r="29" spans="1:34" ht="15">
      <c r="A29" s="314" t="s">
        <v>151</v>
      </c>
      <c r="B29" s="162">
        <f t="shared" si="3"/>
        <v>546.21699999999998</v>
      </c>
      <c r="C29" s="103"/>
      <c r="D29" s="53"/>
      <c r="E29" s="53">
        <v>109.955</v>
      </c>
      <c r="F29" s="53"/>
      <c r="G29" s="53"/>
      <c r="H29" s="53"/>
      <c r="I29" s="53"/>
      <c r="J29" s="53"/>
      <c r="K29" s="53">
        <v>210.91</v>
      </c>
      <c r="L29" s="53">
        <v>225.352</v>
      </c>
      <c r="M29" s="53"/>
      <c r="N29" s="53"/>
      <c r="O29" s="53"/>
      <c r="P29" s="53"/>
      <c r="Q29" s="53"/>
      <c r="R29" s="53"/>
      <c r="S29" s="53"/>
      <c r="T29" s="53"/>
      <c r="U29" s="53"/>
      <c r="V29" s="53"/>
      <c r="W29" s="53"/>
      <c r="X29" s="53"/>
      <c r="Y29" s="53"/>
      <c r="Z29" s="53"/>
      <c r="AA29" s="53"/>
      <c r="AB29" s="53"/>
      <c r="AC29" s="53"/>
      <c r="AD29" s="53"/>
      <c r="AE29" s="53"/>
      <c r="AF29" s="53"/>
      <c r="AG29" s="53"/>
      <c r="AH29" s="103">
        <f t="shared" si="4"/>
        <v>546.21699999999998</v>
      </c>
    </row>
    <row r="30" spans="1:34" ht="15">
      <c r="A30" s="314" t="s">
        <v>152</v>
      </c>
      <c r="B30" s="162">
        <f t="shared" si="3"/>
        <v>0</v>
      </c>
      <c r="C30" s="103"/>
      <c r="D30" s="53"/>
      <c r="E30" s="53"/>
      <c r="F30" s="53"/>
      <c r="G30" s="53"/>
      <c r="H30" s="53"/>
      <c r="I30" s="53"/>
      <c r="J30" s="1898" t="s">
        <v>318</v>
      </c>
      <c r="K30" s="1898" t="s">
        <v>318</v>
      </c>
      <c r="L30" s="1898" t="s">
        <v>318</v>
      </c>
      <c r="M30" s="188" t="s">
        <v>318</v>
      </c>
      <c r="N30" s="188" t="s">
        <v>318</v>
      </c>
      <c r="O30" s="188" t="s">
        <v>318</v>
      </c>
      <c r="P30" s="188" t="s">
        <v>318</v>
      </c>
      <c r="Q30" s="188" t="s">
        <v>318</v>
      </c>
      <c r="R30" s="188" t="s">
        <v>318</v>
      </c>
      <c r="S30" s="188" t="s">
        <v>318</v>
      </c>
      <c r="T30" s="188" t="s">
        <v>318</v>
      </c>
      <c r="U30" s="188" t="s">
        <v>318</v>
      </c>
      <c r="V30" s="188" t="s">
        <v>318</v>
      </c>
      <c r="W30" s="188" t="s">
        <v>318</v>
      </c>
      <c r="X30" s="188" t="s">
        <v>318</v>
      </c>
      <c r="Y30" s="188" t="s">
        <v>318</v>
      </c>
      <c r="Z30" s="188" t="s">
        <v>318</v>
      </c>
      <c r="AA30" s="188" t="s">
        <v>318</v>
      </c>
      <c r="AB30" s="188" t="s">
        <v>318</v>
      </c>
      <c r="AC30" s="188" t="s">
        <v>318</v>
      </c>
      <c r="AD30" s="188" t="s">
        <v>318</v>
      </c>
      <c r="AE30" s="188" t="s">
        <v>318</v>
      </c>
      <c r="AF30" s="188" t="s">
        <v>318</v>
      </c>
      <c r="AG30" s="188" t="s">
        <v>318</v>
      </c>
      <c r="AH30" s="103">
        <f t="shared" si="4"/>
        <v>0</v>
      </c>
    </row>
    <row r="31" spans="1:34" ht="15">
      <c r="A31" s="73" t="s">
        <v>153</v>
      </c>
      <c r="B31" s="162">
        <f t="shared" si="3"/>
        <v>0</v>
      </c>
      <c r="C31" s="188" t="s">
        <v>318</v>
      </c>
      <c r="D31" s="188" t="s">
        <v>318</v>
      </c>
      <c r="E31" s="188" t="s">
        <v>318</v>
      </c>
      <c r="F31" s="188" t="s">
        <v>318</v>
      </c>
      <c r="G31" s="188" t="s">
        <v>318</v>
      </c>
      <c r="H31" s="188" t="s">
        <v>318</v>
      </c>
      <c r="I31" s="188" t="s">
        <v>318</v>
      </c>
      <c r="J31" s="1898" t="s">
        <v>318</v>
      </c>
      <c r="K31" s="1898" t="s">
        <v>318</v>
      </c>
      <c r="L31" s="1898" t="s">
        <v>318</v>
      </c>
      <c r="M31" s="188" t="s">
        <v>318</v>
      </c>
      <c r="N31" s="188" t="s">
        <v>318</v>
      </c>
      <c r="O31" s="188" t="s">
        <v>318</v>
      </c>
      <c r="P31" s="188" t="s">
        <v>318</v>
      </c>
      <c r="Q31" s="188" t="s">
        <v>318</v>
      </c>
      <c r="R31" s="188" t="s">
        <v>318</v>
      </c>
      <c r="S31" s="188" t="s">
        <v>318</v>
      </c>
      <c r="T31" s="188" t="s">
        <v>318</v>
      </c>
      <c r="U31" s="188" t="s">
        <v>318</v>
      </c>
      <c r="V31" s="188" t="s">
        <v>318</v>
      </c>
      <c r="W31" s="188" t="s">
        <v>318</v>
      </c>
      <c r="X31" s="188" t="s">
        <v>318</v>
      </c>
      <c r="Y31" s="188" t="s">
        <v>318</v>
      </c>
      <c r="Z31" s="188" t="s">
        <v>318</v>
      </c>
      <c r="AA31" s="188" t="s">
        <v>318</v>
      </c>
      <c r="AB31" s="188" t="s">
        <v>318</v>
      </c>
      <c r="AC31" s="188" t="s">
        <v>318</v>
      </c>
      <c r="AD31" s="188" t="s">
        <v>318</v>
      </c>
      <c r="AE31" s="188" t="s">
        <v>318</v>
      </c>
      <c r="AF31" s="188" t="s">
        <v>318</v>
      </c>
      <c r="AG31" s="188" t="s">
        <v>318</v>
      </c>
      <c r="AH31" s="103">
        <f t="shared" si="4"/>
        <v>0</v>
      </c>
    </row>
    <row r="32" spans="1:34" ht="15">
      <c r="A32" s="73" t="s">
        <v>154</v>
      </c>
      <c r="B32" s="162">
        <f t="shared" si="3"/>
        <v>339.83499999999998</v>
      </c>
      <c r="C32" s="188" t="s">
        <v>318</v>
      </c>
      <c r="D32" s="188" t="s">
        <v>318</v>
      </c>
      <c r="E32" s="188" t="s">
        <v>318</v>
      </c>
      <c r="F32" s="188" t="s">
        <v>318</v>
      </c>
      <c r="G32" s="188" t="s">
        <v>318</v>
      </c>
      <c r="H32" s="188" t="s">
        <v>318</v>
      </c>
      <c r="I32" s="188" t="s">
        <v>318</v>
      </c>
      <c r="J32" s="1898" t="s">
        <v>318</v>
      </c>
      <c r="K32" s="1898" t="s">
        <v>318</v>
      </c>
      <c r="L32" s="1898" t="s">
        <v>318</v>
      </c>
      <c r="M32" s="188" t="s">
        <v>318</v>
      </c>
      <c r="N32" s="188" t="s">
        <v>318</v>
      </c>
      <c r="O32" s="188" t="s">
        <v>318</v>
      </c>
      <c r="P32" s="188" t="s">
        <v>318</v>
      </c>
      <c r="Q32" s="188" t="s">
        <v>318</v>
      </c>
      <c r="R32" s="188" t="s">
        <v>318</v>
      </c>
      <c r="S32" s="188" t="s">
        <v>318</v>
      </c>
      <c r="T32" s="188" t="s">
        <v>318</v>
      </c>
      <c r="U32" s="188" t="s">
        <v>318</v>
      </c>
      <c r="V32" s="188" t="s">
        <v>318</v>
      </c>
      <c r="W32" s="188" t="s">
        <v>318</v>
      </c>
      <c r="X32" s="53">
        <v>199.89</v>
      </c>
      <c r="Y32" s="53">
        <v>139.94499999999999</v>
      </c>
      <c r="Z32" s="53"/>
      <c r="AA32" s="53"/>
      <c r="AB32" s="53"/>
      <c r="AC32" s="53"/>
      <c r="AD32" s="53"/>
      <c r="AE32" s="107"/>
      <c r="AF32" s="53"/>
      <c r="AG32" s="107"/>
      <c r="AH32" s="103">
        <f t="shared" si="4"/>
        <v>339.83499999999998</v>
      </c>
    </row>
    <row r="33" spans="1:34" ht="15">
      <c r="A33" s="73" t="s">
        <v>155</v>
      </c>
      <c r="B33" s="162">
        <f t="shared" si="3"/>
        <v>0</v>
      </c>
      <c r="C33" s="103"/>
      <c r="D33" s="53"/>
      <c r="E33" s="53"/>
      <c r="F33" s="53"/>
      <c r="G33" s="53"/>
      <c r="H33" s="53"/>
      <c r="I33" s="53"/>
      <c r="J33" s="53"/>
      <c r="K33" s="53"/>
      <c r="L33" s="53"/>
      <c r="M33" s="53"/>
      <c r="N33" s="53"/>
      <c r="O33" s="53"/>
      <c r="P33" s="53"/>
      <c r="Q33" s="53"/>
      <c r="R33" s="53"/>
      <c r="S33" s="53"/>
      <c r="T33" s="53"/>
      <c r="U33" s="53"/>
      <c r="V33" s="53"/>
      <c r="W33" s="53"/>
      <c r="X33" s="53"/>
      <c r="Y33" s="53"/>
      <c r="Z33" s="53"/>
      <c r="AA33" s="53"/>
      <c r="AB33" s="53"/>
      <c r="AC33" s="53"/>
      <c r="AD33" s="53"/>
      <c r="AE33" s="53"/>
      <c r="AF33" s="53"/>
      <c r="AG33" s="53"/>
      <c r="AH33" s="103">
        <f t="shared" si="4"/>
        <v>0</v>
      </c>
    </row>
    <row r="34" spans="1:34" ht="15">
      <c r="A34" s="73" t="s">
        <v>156</v>
      </c>
      <c r="B34" s="162">
        <f t="shared" si="3"/>
        <v>0</v>
      </c>
      <c r="C34" s="103"/>
      <c r="D34" s="53"/>
      <c r="E34" s="53"/>
      <c r="F34" s="53"/>
      <c r="G34" s="53"/>
      <c r="H34" s="53"/>
      <c r="I34" s="53"/>
      <c r="J34" s="53"/>
      <c r="K34" s="53"/>
      <c r="L34" s="53"/>
      <c r="M34" s="53"/>
      <c r="N34" s="53"/>
      <c r="O34" s="53"/>
      <c r="P34" s="3013" t="s">
        <v>311</v>
      </c>
      <c r="Q34" s="3013" t="s">
        <v>311</v>
      </c>
      <c r="R34" s="3013" t="s">
        <v>311</v>
      </c>
      <c r="S34" s="3013" t="s">
        <v>311</v>
      </c>
      <c r="T34" s="3013" t="s">
        <v>311</v>
      </c>
      <c r="U34" s="3013" t="s">
        <v>311</v>
      </c>
      <c r="V34" s="3013" t="s">
        <v>311</v>
      </c>
      <c r="W34" s="3013" t="s">
        <v>311</v>
      </c>
      <c r="X34" s="3013" t="s">
        <v>311</v>
      </c>
      <c r="Y34" s="3013" t="s">
        <v>311</v>
      </c>
      <c r="Z34" s="3013" t="s">
        <v>311</v>
      </c>
      <c r="AA34" s="3013" t="s">
        <v>311</v>
      </c>
      <c r="AB34" s="3013" t="s">
        <v>311</v>
      </c>
      <c r="AC34" s="3013" t="s">
        <v>311</v>
      </c>
      <c r="AD34" s="3013" t="s">
        <v>311</v>
      </c>
      <c r="AE34" s="3013" t="s">
        <v>311</v>
      </c>
      <c r="AF34" s="3013" t="s">
        <v>311</v>
      </c>
      <c r="AG34" s="3013" t="s">
        <v>311</v>
      </c>
      <c r="AH34" s="103">
        <f t="shared" si="4"/>
        <v>0</v>
      </c>
    </row>
    <row r="35" spans="1:34" ht="15">
      <c r="A35" s="199" t="s">
        <v>111</v>
      </c>
      <c r="B35" s="200">
        <f t="shared" ref="B35:AG35" si="5">SUM(B23:B34)</f>
        <v>8665.3639999999996</v>
      </c>
      <c r="C35" s="103">
        <f t="shared" si="5"/>
        <v>0</v>
      </c>
      <c r="D35" s="103">
        <f t="shared" si="5"/>
        <v>0</v>
      </c>
      <c r="E35" s="103">
        <f t="shared" si="5"/>
        <v>109.955</v>
      </c>
      <c r="F35" s="103">
        <f t="shared" si="5"/>
        <v>217.065</v>
      </c>
      <c r="G35" s="103">
        <f t="shared" si="5"/>
        <v>54.96</v>
      </c>
      <c r="H35" s="103">
        <f t="shared" si="5"/>
        <v>74.92</v>
      </c>
      <c r="I35" s="103">
        <f t="shared" si="5"/>
        <v>72.69</v>
      </c>
      <c r="J35" s="103">
        <f t="shared" si="5"/>
        <v>396.60500000000002</v>
      </c>
      <c r="K35" s="103">
        <f t="shared" si="5"/>
        <v>556.70000000000005</v>
      </c>
      <c r="L35" s="103">
        <f t="shared" si="5"/>
        <v>751.03699999999992</v>
      </c>
      <c r="M35" s="103">
        <f t="shared" si="5"/>
        <v>274.42500000000001</v>
      </c>
      <c r="N35" s="103">
        <f t="shared" si="5"/>
        <v>362.47999999999996</v>
      </c>
      <c r="O35" s="103">
        <f t="shared" si="5"/>
        <v>652.51</v>
      </c>
      <c r="P35" s="103">
        <f t="shared" si="5"/>
        <v>419.24</v>
      </c>
      <c r="Q35" s="103">
        <f t="shared" si="5"/>
        <v>374.91800000000001</v>
      </c>
      <c r="R35" s="103">
        <f t="shared" si="5"/>
        <v>119.334</v>
      </c>
      <c r="S35" s="103">
        <f t="shared" si="5"/>
        <v>157.30000000000001</v>
      </c>
      <c r="T35" s="103">
        <f t="shared" si="5"/>
        <v>319.47000000000003</v>
      </c>
      <c r="U35" s="103">
        <f t="shared" si="5"/>
        <v>267.08</v>
      </c>
      <c r="V35" s="103">
        <f t="shared" si="5"/>
        <v>96.02</v>
      </c>
      <c r="W35" s="103">
        <f t="shared" si="5"/>
        <v>167.18</v>
      </c>
      <c r="X35" s="103">
        <f t="shared" si="5"/>
        <v>425.20399999999995</v>
      </c>
      <c r="Y35" s="103">
        <f t="shared" si="5"/>
        <v>432.76299999999998</v>
      </c>
      <c r="Z35" s="103">
        <f t="shared" si="5"/>
        <v>460.351</v>
      </c>
      <c r="AA35" s="103">
        <f t="shared" si="5"/>
        <v>662.774</v>
      </c>
      <c r="AB35" s="103">
        <f t="shared" si="5"/>
        <v>626.971</v>
      </c>
      <c r="AC35" s="103">
        <f t="shared" si="5"/>
        <v>334.01</v>
      </c>
      <c r="AD35" s="103">
        <f t="shared" si="5"/>
        <v>279.40199999999999</v>
      </c>
      <c r="AE35" s="103">
        <f t="shared" si="5"/>
        <v>0</v>
      </c>
      <c r="AF35" s="103">
        <f t="shared" si="5"/>
        <v>0</v>
      </c>
      <c r="AG35" s="103">
        <f t="shared" si="5"/>
        <v>0</v>
      </c>
      <c r="AH35" s="103">
        <f>SUM(AH23:AH34)</f>
        <v>8665.3639999999996</v>
      </c>
    </row>
  </sheetData>
  <mergeCells count="3">
    <mergeCell ref="A2:T2"/>
    <mergeCell ref="A5:C5"/>
    <mergeCell ref="A21:C21"/>
  </mergeCells>
  <phoneticPr fontId="0" type="noConversion"/>
  <pageMargins left="0.75" right="0.75" top="1" bottom="1" header="0" footer="0"/>
  <pageSetup paperSize="9" orientation="portrait" r:id="rId1"/>
  <headerFooter alignWithMargins="0"/>
  <legacyDrawing r:id="rId2"/>
  <oleObjects>
    <oleObject progId="MSPhotoEd.3" shapeId="22529" r:id="rId3"/>
  </oleObjects>
</worksheet>
</file>

<file path=xl/worksheets/sheet10.xml><?xml version="1.0" encoding="utf-8"?>
<worksheet xmlns="http://schemas.openxmlformats.org/spreadsheetml/2006/main" xmlns:r="http://schemas.openxmlformats.org/officeDocument/2006/relationships">
  <dimension ref="A2:O151"/>
  <sheetViews>
    <sheetView topLeftCell="A19" zoomScale="80" zoomScaleNormal="80" zoomScaleSheetLayoutView="50" zoomScalePageLayoutView="85" workbookViewId="0">
      <selection activeCell="A24" sqref="A24"/>
    </sheetView>
  </sheetViews>
  <sheetFormatPr baseColWidth="10" defaultColWidth="11.44140625" defaultRowHeight="10.199999999999999"/>
  <cols>
    <col min="1" max="1" width="67.44140625" style="510" customWidth="1"/>
    <col min="2" max="2" width="12.109375" style="510" customWidth="1"/>
    <col min="3" max="3" width="18.88671875" style="510" customWidth="1"/>
    <col min="4" max="4" width="18.5546875" style="510" customWidth="1"/>
    <col min="5" max="5" width="17.6640625" style="510" customWidth="1"/>
    <col min="6" max="6" width="14.5546875" style="3182" customWidth="1"/>
    <col min="7" max="7" width="19.33203125" style="510" customWidth="1"/>
    <col min="8" max="8" width="40.109375" style="3488" customWidth="1"/>
    <col min="9" max="9" width="10.109375" style="510" customWidth="1"/>
    <col min="10" max="10" width="12.44140625" style="510" customWidth="1"/>
    <col min="11" max="11" width="10.33203125" style="510" bestFit="1" customWidth="1"/>
    <col min="12" max="12" width="9.88671875" style="510" customWidth="1"/>
    <col min="13" max="13" width="3.44140625" style="510" bestFit="1" customWidth="1"/>
    <col min="14" max="16384" width="11.44140625" style="510"/>
  </cols>
  <sheetData>
    <row r="2" spans="1:9" ht="12">
      <c r="A2" s="3864" t="s">
        <v>389</v>
      </c>
      <c r="B2" s="3865"/>
      <c r="C2" s="3865"/>
      <c r="D2" s="3865"/>
      <c r="E2" s="3865"/>
      <c r="F2" s="3865"/>
      <c r="G2" s="3865"/>
      <c r="H2" s="3866"/>
    </row>
    <row r="3" spans="1:9" s="1427" customFormat="1" ht="12">
      <c r="A3" s="1423"/>
      <c r="B3" s="1423"/>
      <c r="C3" s="1423"/>
      <c r="D3" s="1423"/>
      <c r="E3" s="1423"/>
      <c r="F3" s="3321"/>
      <c r="G3" s="1423"/>
      <c r="H3" s="1423"/>
    </row>
    <row r="4" spans="1:9" ht="12">
      <c r="A4" s="153"/>
      <c r="B4" s="153"/>
      <c r="C4" s="2562"/>
      <c r="D4" s="2562"/>
      <c r="E4" s="2563"/>
      <c r="F4" s="3322"/>
      <c r="G4" s="2563"/>
      <c r="H4" s="3323"/>
    </row>
    <row r="5" spans="1:9" ht="12">
      <c r="A5" s="3864" t="s">
        <v>129</v>
      </c>
      <c r="B5" s="3866"/>
      <c r="C5" s="139"/>
      <c r="D5" s="139"/>
      <c r="E5" s="153"/>
      <c r="F5" s="3324"/>
      <c r="G5" s="153"/>
      <c r="H5" s="3323"/>
    </row>
    <row r="6" spans="1:9" ht="5.0999999999999996" customHeight="1">
      <c r="A6" s="3325"/>
      <c r="B6" s="3325"/>
      <c r="C6" s="144"/>
      <c r="D6" s="144"/>
      <c r="E6" s="3326"/>
      <c r="F6" s="3327"/>
      <c r="G6" s="3328"/>
      <c r="H6" s="3328"/>
    </row>
    <row r="7" spans="1:9" ht="12">
      <c r="A7" s="1432" t="s">
        <v>130</v>
      </c>
      <c r="B7" s="1432" t="s">
        <v>107</v>
      </c>
      <c r="C7" s="792" t="s">
        <v>108</v>
      </c>
      <c r="D7" s="792" t="s">
        <v>109</v>
      </c>
      <c r="E7" s="1432" t="s">
        <v>47</v>
      </c>
      <c r="F7" s="3329" t="s">
        <v>48</v>
      </c>
      <c r="G7" s="1432" t="s">
        <v>131</v>
      </c>
      <c r="H7" s="508" t="s">
        <v>50</v>
      </c>
    </row>
    <row r="8" spans="1:9" ht="12">
      <c r="A8" s="3330" t="s">
        <v>132</v>
      </c>
      <c r="B8" s="2565" t="s">
        <v>69</v>
      </c>
      <c r="C8" s="3331">
        <v>19.344999999999999</v>
      </c>
      <c r="D8" s="3331">
        <f>+C8</f>
        <v>19.344999999999999</v>
      </c>
      <c r="E8" s="480">
        <f>+SUM(M.Común!B9:B14)</f>
        <v>3.4160000000000004</v>
      </c>
      <c r="F8" s="2602">
        <f>+D8-E8</f>
        <v>15.928999999999998</v>
      </c>
      <c r="G8" s="608">
        <f>+E8/D8</f>
        <v>0.17658309640734043</v>
      </c>
      <c r="H8" s="3332"/>
    </row>
    <row r="9" spans="1:9" ht="12">
      <c r="A9" s="3330" t="s">
        <v>133</v>
      </c>
      <c r="B9" s="2565" t="s">
        <v>69</v>
      </c>
      <c r="C9" s="3331">
        <v>415.61900000000003</v>
      </c>
      <c r="D9" s="3331">
        <f>+C9</f>
        <v>415.61900000000003</v>
      </c>
      <c r="E9" s="480">
        <f>+SUM(M.Común!B25:B30)</f>
        <v>307.387</v>
      </c>
      <c r="F9" s="2602">
        <f>+D9-E9</f>
        <v>108.23200000000003</v>
      </c>
      <c r="G9" s="608">
        <f>+E9/D9</f>
        <v>0.73958842112607937</v>
      </c>
      <c r="H9" s="3333"/>
      <c r="I9" s="359"/>
    </row>
    <row r="10" spans="1:9" ht="12">
      <c r="A10" s="3330" t="s">
        <v>134</v>
      </c>
      <c r="B10" s="2565" t="s">
        <v>69</v>
      </c>
      <c r="C10" s="3331">
        <v>64.509</v>
      </c>
      <c r="D10" s="3331">
        <f>+C10</f>
        <v>64.509</v>
      </c>
      <c r="E10" s="480">
        <f>+SUM(M.Común!B41:B46)</f>
        <v>0.21000000000000002</v>
      </c>
      <c r="F10" s="2602">
        <f>+D10-E10</f>
        <v>64.299000000000007</v>
      </c>
      <c r="G10" s="608">
        <f>+E10/D10</f>
        <v>3.2553597172487563E-3</v>
      </c>
      <c r="H10" s="3333"/>
    </row>
    <row r="11" spans="1:9" ht="12">
      <c r="A11" s="575" t="s">
        <v>111</v>
      </c>
      <c r="B11" s="2576" t="s">
        <v>69</v>
      </c>
      <c r="C11" s="3334">
        <f>SUM(C8:C10)</f>
        <v>499.47300000000007</v>
      </c>
      <c r="D11" s="3334">
        <f>SUM(D8:D10)</f>
        <v>499.47300000000007</v>
      </c>
      <c r="E11" s="3334">
        <f>SUM(E8:E10)</f>
        <v>311.01299999999998</v>
      </c>
      <c r="F11" s="3335">
        <f>SUM(F8:F10)</f>
        <v>188.46000000000004</v>
      </c>
      <c r="G11" s="153"/>
      <c r="H11" s="3323"/>
    </row>
    <row r="12" spans="1:9" ht="5.0999999999999996" customHeight="1">
      <c r="A12" s="143"/>
      <c r="B12" s="143"/>
      <c r="C12" s="3336"/>
      <c r="D12" s="3336"/>
      <c r="E12" s="3336"/>
      <c r="F12" s="3324"/>
      <c r="G12" s="153"/>
      <c r="H12" s="3328"/>
    </row>
    <row r="13" spans="1:9" ht="12">
      <c r="A13" s="1432" t="s">
        <v>130</v>
      </c>
      <c r="B13" s="1432" t="s">
        <v>107</v>
      </c>
      <c r="C13" s="792" t="s">
        <v>108</v>
      </c>
      <c r="D13" s="792" t="s">
        <v>109</v>
      </c>
      <c r="E13" s="1432" t="s">
        <v>47</v>
      </c>
      <c r="F13" s="3329" t="s">
        <v>48</v>
      </c>
      <c r="G13" s="1432" t="s">
        <v>131</v>
      </c>
      <c r="H13" s="508" t="s">
        <v>50</v>
      </c>
    </row>
    <row r="14" spans="1:9" ht="12">
      <c r="A14" s="3330" t="s">
        <v>132</v>
      </c>
      <c r="B14" s="2565" t="s">
        <v>70</v>
      </c>
      <c r="C14" s="3331">
        <v>6.4480000000000004</v>
      </c>
      <c r="D14" s="890">
        <f>+C14+F8</f>
        <v>22.376999999999999</v>
      </c>
      <c r="E14" s="480">
        <f>+SUM(M.Común!B15:B20)</f>
        <v>0</v>
      </c>
      <c r="F14" s="2602">
        <f>+D14-E14</f>
        <v>22.376999999999999</v>
      </c>
      <c r="G14" s="608">
        <f>+E14/D14</f>
        <v>0</v>
      </c>
      <c r="H14" s="3332"/>
      <c r="I14" s="510" t="s">
        <v>417</v>
      </c>
    </row>
    <row r="15" spans="1:9" ht="12">
      <c r="A15" s="3330" t="s">
        <v>133</v>
      </c>
      <c r="B15" s="2565" t="s">
        <v>70</v>
      </c>
      <c r="C15" s="3331">
        <v>138.54</v>
      </c>
      <c r="D15" s="890">
        <f>+C15+F9</f>
        <v>246.77200000000002</v>
      </c>
      <c r="E15" s="480">
        <f>+SUM(M.Común!B31:B36)</f>
        <v>202.87899999999999</v>
      </c>
      <c r="F15" s="2602">
        <f>+D15-E15</f>
        <v>43.893000000000029</v>
      </c>
      <c r="G15" s="608">
        <f>+E15/D15</f>
        <v>0.82213136012189381</v>
      </c>
      <c r="H15" s="3333"/>
    </row>
    <row r="16" spans="1:9" ht="12">
      <c r="A16" s="3330" t="s">
        <v>134</v>
      </c>
      <c r="B16" s="2565" t="s">
        <v>70</v>
      </c>
      <c r="C16" s="3331">
        <v>21.503</v>
      </c>
      <c r="D16" s="890">
        <f>+C16+F10</f>
        <v>85.802000000000007</v>
      </c>
      <c r="E16" s="480">
        <f>+SUM(M.Común!B47:B52)</f>
        <v>0.40800000000000003</v>
      </c>
      <c r="F16" s="2602">
        <f>+D16-E16</f>
        <v>85.394000000000005</v>
      </c>
      <c r="G16" s="608">
        <f>+E16/D16</f>
        <v>4.7551339129624018E-3</v>
      </c>
      <c r="H16" s="3333"/>
    </row>
    <row r="17" spans="1:12" ht="12">
      <c r="A17" s="575" t="s">
        <v>111</v>
      </c>
      <c r="B17" s="2576" t="s">
        <v>70</v>
      </c>
      <c r="C17" s="3334">
        <f>SUM(C14:C16)</f>
        <v>166.49099999999999</v>
      </c>
      <c r="D17" s="2577">
        <f>SUM(D14:D16)</f>
        <v>354.95100000000002</v>
      </c>
      <c r="E17" s="2577">
        <f>SUM(E14:E16)</f>
        <v>203.28699999999998</v>
      </c>
      <c r="F17" s="3335">
        <f>SUM(F14:F16)</f>
        <v>151.66400000000004</v>
      </c>
      <c r="G17" s="153"/>
      <c r="H17" s="3323"/>
    </row>
    <row r="18" spans="1:12" ht="12">
      <c r="A18" s="143"/>
      <c r="B18" s="143"/>
      <c r="C18" s="3336"/>
      <c r="D18" s="3336"/>
      <c r="E18" s="3336"/>
      <c r="F18" s="3324"/>
      <c r="G18" s="153"/>
      <c r="H18" s="3328"/>
    </row>
    <row r="19" spans="1:12" ht="12">
      <c r="A19" s="3864" t="s">
        <v>135</v>
      </c>
      <c r="B19" s="3866"/>
      <c r="C19" s="139"/>
      <c r="D19" s="139"/>
      <c r="E19" s="153"/>
      <c r="F19" s="3324"/>
      <c r="G19" s="153"/>
      <c r="H19" s="3323"/>
    </row>
    <row r="20" spans="1:12" ht="5.0999999999999996" customHeight="1">
      <c r="A20" s="3325"/>
      <c r="B20" s="3325"/>
      <c r="C20" s="144"/>
      <c r="D20" s="144"/>
      <c r="E20" s="3326"/>
      <c r="F20" s="3327"/>
      <c r="G20" s="3328"/>
      <c r="H20" s="3328"/>
    </row>
    <row r="21" spans="1:12" ht="12">
      <c r="A21" s="1432" t="s">
        <v>130</v>
      </c>
      <c r="B21" s="1432" t="s">
        <v>107</v>
      </c>
      <c r="C21" s="792" t="s">
        <v>108</v>
      </c>
      <c r="D21" s="792" t="s">
        <v>109</v>
      </c>
      <c r="E21" s="1432" t="s">
        <v>47</v>
      </c>
      <c r="F21" s="3329" t="s">
        <v>48</v>
      </c>
      <c r="G21" s="1432" t="s">
        <v>131</v>
      </c>
      <c r="H21" s="508" t="s">
        <v>50</v>
      </c>
      <c r="I21" s="3337" t="s">
        <v>575</v>
      </c>
    </row>
    <row r="22" spans="1:12" ht="12">
      <c r="A22" s="3330" t="s">
        <v>132</v>
      </c>
      <c r="B22" s="2565" t="s">
        <v>69</v>
      </c>
      <c r="C22" s="3331">
        <f>643.757-500</f>
        <v>143.75699999999995</v>
      </c>
      <c r="D22" s="3331">
        <f t="shared" ref="D22:D27" si="0">+C22</f>
        <v>143.75699999999995</v>
      </c>
      <c r="E22" s="480">
        <f>+SUM(M.Común!B59:B64)</f>
        <v>13.964</v>
      </c>
      <c r="F22" s="2602">
        <f t="shared" ref="F22:F27" si="1">+D22-E22</f>
        <v>129.79299999999995</v>
      </c>
      <c r="G22" s="608">
        <f t="shared" ref="G22:G27" si="2">+E22/D22</f>
        <v>9.7136139457556891E-2</v>
      </c>
      <c r="H22" s="3332"/>
      <c r="I22" s="3338"/>
      <c r="J22" s="359"/>
      <c r="K22" s="359"/>
      <c r="L22" s="359"/>
    </row>
    <row r="23" spans="1:12" ht="15.75" customHeight="1">
      <c r="A23" s="3339" t="s">
        <v>491</v>
      </c>
      <c r="B23" s="3339" t="s">
        <v>488</v>
      </c>
      <c r="C23" s="3340">
        <v>174.75700000000001</v>
      </c>
      <c r="D23" s="3340">
        <f t="shared" si="0"/>
        <v>174.75700000000001</v>
      </c>
      <c r="E23" s="3341">
        <f>+SUM(M.Común!B107:B108)</f>
        <v>174.75700000000001</v>
      </c>
      <c r="F23" s="3342">
        <f t="shared" si="1"/>
        <v>0</v>
      </c>
      <c r="G23" s="3343">
        <f t="shared" si="2"/>
        <v>1</v>
      </c>
      <c r="H23" s="599" t="s">
        <v>490</v>
      </c>
      <c r="I23" s="3338"/>
      <c r="J23" s="359"/>
      <c r="K23" s="359"/>
      <c r="L23" s="359"/>
    </row>
    <row r="24" spans="1:12" ht="12">
      <c r="A24" s="2643" t="s">
        <v>460</v>
      </c>
      <c r="B24" s="2565" t="s">
        <v>1051</v>
      </c>
      <c r="C24" s="3331">
        <v>617.73299999999995</v>
      </c>
      <c r="D24" s="3331">
        <f t="shared" si="0"/>
        <v>617.73299999999995</v>
      </c>
      <c r="E24" s="480">
        <f>+SUM(M.Común!B75:B80)</f>
        <v>241.06699999999998</v>
      </c>
      <c r="F24" s="3344">
        <f t="shared" si="1"/>
        <v>376.66599999999994</v>
      </c>
      <c r="G24" s="608">
        <f t="shared" si="2"/>
        <v>0.39024465262500141</v>
      </c>
      <c r="H24" s="3332"/>
      <c r="I24" s="3338"/>
      <c r="J24" s="359"/>
      <c r="K24" s="359"/>
    </row>
    <row r="25" spans="1:12" ht="12">
      <c r="A25" s="2643" t="s">
        <v>461</v>
      </c>
      <c r="B25" s="2565" t="s">
        <v>1051</v>
      </c>
      <c r="C25" s="3345">
        <f>109.816-75</f>
        <v>34.816000000000003</v>
      </c>
      <c r="D25" s="3345">
        <f>+C25</f>
        <v>34.816000000000003</v>
      </c>
      <c r="E25" s="576">
        <f>+SUM(M.Común!B91:B96)</f>
        <v>29.16</v>
      </c>
      <c r="F25" s="3346">
        <f>+D25-E25</f>
        <v>5.6560000000000024</v>
      </c>
      <c r="G25" s="2568">
        <f t="shared" si="2"/>
        <v>0.83754595588235292</v>
      </c>
      <c r="H25" s="3332"/>
      <c r="I25" s="3338"/>
      <c r="J25" s="3347"/>
      <c r="K25" s="359"/>
    </row>
    <row r="26" spans="1:12" ht="12">
      <c r="A26" s="2643" t="s">
        <v>462</v>
      </c>
      <c r="B26" s="2565" t="s">
        <v>1051</v>
      </c>
      <c r="C26" s="3331">
        <f>716.163-500</f>
        <v>216.16300000000001</v>
      </c>
      <c r="D26" s="3331">
        <f t="shared" si="0"/>
        <v>216.16300000000001</v>
      </c>
      <c r="E26" s="480">
        <f>+SUM(M.Común!B123:B128)</f>
        <v>183.97</v>
      </c>
      <c r="F26" s="3344">
        <f t="shared" si="1"/>
        <v>32.193000000000012</v>
      </c>
      <c r="G26" s="608">
        <f t="shared" si="2"/>
        <v>0.85107071978090598</v>
      </c>
      <c r="H26" s="3332"/>
      <c r="I26" s="3348"/>
      <c r="J26" s="3347"/>
      <c r="K26" s="3347"/>
      <c r="L26" s="3349"/>
    </row>
    <row r="27" spans="1:12" ht="12">
      <c r="A27" s="2564" t="s">
        <v>134</v>
      </c>
      <c r="B27" s="2565" t="s">
        <v>69</v>
      </c>
      <c r="C27" s="3331">
        <v>1477.2719999999999</v>
      </c>
      <c r="D27" s="3331">
        <f t="shared" si="0"/>
        <v>1477.2719999999999</v>
      </c>
      <c r="E27" s="890">
        <f>+SUM(M.Común!B139:B144)</f>
        <v>434.303</v>
      </c>
      <c r="F27" s="2602">
        <f t="shared" si="1"/>
        <v>1042.9690000000001</v>
      </c>
      <c r="G27" s="608">
        <f t="shared" si="2"/>
        <v>0.29398986781039649</v>
      </c>
      <c r="H27" s="3333"/>
      <c r="I27" s="3348"/>
      <c r="J27" s="3350"/>
      <c r="K27" s="1237"/>
      <c r="L27" s="1237"/>
    </row>
    <row r="28" spans="1:12" ht="12">
      <c r="A28" s="575" t="s">
        <v>111</v>
      </c>
      <c r="B28" s="2576" t="s">
        <v>136</v>
      </c>
      <c r="C28" s="3334">
        <f>SUM(C22:C27)</f>
        <v>2664.4979999999996</v>
      </c>
      <c r="D28" s="3334">
        <f>SUM(D22:D27)</f>
        <v>2664.4979999999996</v>
      </c>
      <c r="E28" s="3334">
        <f>SUM(E22:E27)</f>
        <v>1077.221</v>
      </c>
      <c r="F28" s="3335">
        <f>SUM(F22:F27)</f>
        <v>1587.277</v>
      </c>
      <c r="G28" s="153"/>
      <c r="H28" s="3351"/>
      <c r="I28" s="3350"/>
      <c r="J28" s="1237"/>
      <c r="K28" s="1237"/>
      <c r="L28" s="1237"/>
    </row>
    <row r="29" spans="1:12" ht="17.25" customHeight="1">
      <c r="A29" s="143"/>
      <c r="B29" s="143"/>
      <c r="C29" s="3336"/>
      <c r="D29" s="3336"/>
      <c r="E29" s="3336"/>
      <c r="F29" s="3324"/>
      <c r="G29" s="153"/>
      <c r="H29" s="3328"/>
      <c r="I29" s="3350"/>
      <c r="J29" s="1237"/>
      <c r="K29" s="1237"/>
      <c r="L29" s="1237"/>
    </row>
    <row r="30" spans="1:12" ht="12">
      <c r="A30" s="1432" t="s">
        <v>130</v>
      </c>
      <c r="B30" s="1432" t="s">
        <v>107</v>
      </c>
      <c r="C30" s="792" t="s">
        <v>108</v>
      </c>
      <c r="D30" s="792" t="s">
        <v>109</v>
      </c>
      <c r="E30" s="1432" t="s">
        <v>47</v>
      </c>
      <c r="F30" s="3352" t="s">
        <v>48</v>
      </c>
      <c r="G30" s="1432" t="s">
        <v>131</v>
      </c>
      <c r="H30" s="792" t="s">
        <v>50</v>
      </c>
      <c r="I30" s="3337" t="s">
        <v>575</v>
      </c>
      <c r="J30" s="1237"/>
      <c r="K30" s="1237"/>
      <c r="L30" s="1237"/>
    </row>
    <row r="31" spans="1:12" ht="12">
      <c r="A31" s="3330" t="s">
        <v>132</v>
      </c>
      <c r="B31" s="2565" t="s">
        <v>70</v>
      </c>
      <c r="C31" s="3331">
        <v>81.251999999999995</v>
      </c>
      <c r="D31" s="2654">
        <f>+C31+F22</f>
        <v>211.04499999999996</v>
      </c>
      <c r="E31" s="2504">
        <f>+SUM(M.Común!B65:B70)</f>
        <v>44.908999999999999</v>
      </c>
      <c r="F31" s="3353">
        <f>+D31-E31</f>
        <v>166.13599999999997</v>
      </c>
      <c r="G31" s="608">
        <f>+E31/D31</f>
        <v>0.21279348006349361</v>
      </c>
      <c r="H31" s="3332"/>
      <c r="I31" s="3354"/>
      <c r="J31" s="1237"/>
      <c r="K31" s="1237"/>
      <c r="L31" s="1237"/>
    </row>
    <row r="32" spans="1:12" ht="12">
      <c r="A32" s="2643" t="s">
        <v>460</v>
      </c>
      <c r="B32" s="2565" t="s">
        <v>70</v>
      </c>
      <c r="C32" s="3355">
        <v>1.825</v>
      </c>
      <c r="D32" s="3356">
        <f>+C32+F24</f>
        <v>378.49099999999993</v>
      </c>
      <c r="E32" s="3357">
        <f>+SUM(M.Común!B81:B86)</f>
        <v>278.791</v>
      </c>
      <c r="F32" s="3358">
        <f>D32-E32</f>
        <v>99.699999999999932</v>
      </c>
      <c r="G32" s="608">
        <f>+E32/D32</f>
        <v>0.73658554628775863</v>
      </c>
      <c r="H32" s="3332"/>
      <c r="I32" s="3359"/>
      <c r="J32" s="3360"/>
      <c r="K32" s="1237"/>
    </row>
    <row r="33" spans="1:12" ht="12">
      <c r="A33" s="2643" t="s">
        <v>461</v>
      </c>
      <c r="B33" s="2565" t="s">
        <v>70</v>
      </c>
      <c r="C33" s="3361">
        <v>19.997</v>
      </c>
      <c r="D33" s="3362">
        <f>+C33+F25</f>
        <v>25.653000000000002</v>
      </c>
      <c r="E33" s="3363">
        <f>+SUM(M.Común!B97:B102)</f>
        <v>22.061999999999998</v>
      </c>
      <c r="F33" s="3353">
        <f>D33-E33</f>
        <v>3.5910000000000046</v>
      </c>
      <c r="G33" s="2881">
        <f>+E33/D33</f>
        <v>0.86001637235411044</v>
      </c>
      <c r="H33" s="3332"/>
      <c r="I33" s="3364"/>
      <c r="J33" s="3360"/>
      <c r="K33" s="3350"/>
    </row>
    <row r="34" spans="1:12" ht="12">
      <c r="A34" s="2643" t="s">
        <v>462</v>
      </c>
      <c r="B34" s="2565" t="s">
        <v>70</v>
      </c>
      <c r="C34" s="3361">
        <v>264.33499999999998</v>
      </c>
      <c r="D34" s="3356">
        <f>+C34+F26</f>
        <v>296.52800000000002</v>
      </c>
      <c r="E34" s="3357">
        <f>+SUM(M.Común!B129:B134)</f>
        <v>265.99099999999999</v>
      </c>
      <c r="F34" s="3353">
        <f>D34-E34</f>
        <v>30.537000000000035</v>
      </c>
      <c r="G34" s="2881">
        <f>+E34/D34</f>
        <v>0.89701815680138119</v>
      </c>
      <c r="H34" s="3332"/>
      <c r="I34" s="3354"/>
      <c r="J34" s="3693"/>
      <c r="K34" s="1237"/>
    </row>
    <row r="35" spans="1:12" ht="12">
      <c r="A35" s="3365" t="s">
        <v>134</v>
      </c>
      <c r="B35" s="2565" t="s">
        <v>70</v>
      </c>
      <c r="C35" s="3331">
        <f>492.424+200+300</f>
        <v>992.42399999999998</v>
      </c>
      <c r="D35" s="3366">
        <f>+C35+F27</f>
        <v>2035.393</v>
      </c>
      <c r="E35" s="3357">
        <f>+SUM(M.Común!B145:B150)</f>
        <v>1786.0589999999997</v>
      </c>
      <c r="F35" s="3353">
        <f>+D35-E35</f>
        <v>249.33400000000029</v>
      </c>
      <c r="G35" s="2881">
        <f>+E35/D35</f>
        <v>0.87750080696946475</v>
      </c>
      <c r="H35" s="3367" t="s">
        <v>1189</v>
      </c>
      <c r="I35" s="3368"/>
      <c r="J35" s="3369"/>
      <c r="K35" s="359"/>
      <c r="L35" s="359"/>
    </row>
    <row r="36" spans="1:12" ht="12">
      <c r="A36" s="575" t="s">
        <v>111</v>
      </c>
      <c r="B36" s="2576" t="s">
        <v>70</v>
      </c>
      <c r="C36" s="3334">
        <f>SUM(C31:C35)</f>
        <v>1359.8330000000001</v>
      </c>
      <c r="D36" s="3334">
        <f>SUM(D31:D35)</f>
        <v>2947.1099999999997</v>
      </c>
      <c r="E36" s="3334">
        <f>SUM(E31:E35)</f>
        <v>2397.8119999999999</v>
      </c>
      <c r="F36" s="3335">
        <f>SUM(F31:F35)</f>
        <v>549.29800000000023</v>
      </c>
      <c r="G36" s="153"/>
      <c r="H36" s="3323"/>
    </row>
    <row r="37" spans="1:12" ht="12">
      <c r="A37" s="1423"/>
      <c r="B37" s="2580"/>
      <c r="C37" s="3370"/>
      <c r="D37" s="3370"/>
      <c r="E37" s="3370"/>
      <c r="F37" s="3371"/>
      <c r="G37" s="153"/>
      <c r="H37" s="3323"/>
    </row>
    <row r="38" spans="1:12" ht="12">
      <c r="A38" s="143"/>
      <c r="B38" s="143"/>
      <c r="C38" s="3336"/>
      <c r="D38" s="3336"/>
      <c r="E38" s="3336"/>
      <c r="F38" s="3324"/>
      <c r="G38" s="153"/>
      <c r="H38" s="3328"/>
    </row>
    <row r="39" spans="1:12" ht="12">
      <c r="A39" s="3864" t="s">
        <v>137</v>
      </c>
      <c r="B39" s="3866"/>
      <c r="C39" s="139"/>
      <c r="D39" s="139"/>
      <c r="E39" s="153"/>
      <c r="F39" s="3324"/>
      <c r="G39" s="153"/>
      <c r="H39" s="3323"/>
    </row>
    <row r="40" spans="1:12" ht="5.0999999999999996" customHeight="1">
      <c r="A40" s="3325"/>
      <c r="B40" s="3325"/>
      <c r="C40" s="144"/>
      <c r="D40" s="144"/>
      <c r="E40" s="3326"/>
      <c r="F40" s="3327"/>
      <c r="G40" s="3328"/>
      <c r="H40" s="3328"/>
    </row>
    <row r="41" spans="1:12" ht="12">
      <c r="A41" s="1432" t="s">
        <v>130</v>
      </c>
      <c r="B41" s="1432" t="s">
        <v>107</v>
      </c>
      <c r="C41" s="792" t="s">
        <v>108</v>
      </c>
      <c r="D41" s="792" t="s">
        <v>109</v>
      </c>
      <c r="E41" s="1432" t="s">
        <v>47</v>
      </c>
      <c r="F41" s="3329" t="s">
        <v>48</v>
      </c>
      <c r="G41" s="1432" t="s">
        <v>131</v>
      </c>
      <c r="H41" s="508" t="s">
        <v>50</v>
      </c>
    </row>
    <row r="42" spans="1:12" ht="12">
      <c r="A42" s="3330" t="s">
        <v>132</v>
      </c>
      <c r="B42" s="2565" t="s">
        <v>69</v>
      </c>
      <c r="C42" s="3331">
        <v>23.349</v>
      </c>
      <c r="D42" s="3331">
        <f>+C42</f>
        <v>23.349</v>
      </c>
      <c r="E42" s="3097">
        <f>+SUM(M.Común!B157:B162)</f>
        <v>1.948</v>
      </c>
      <c r="F42" s="2602">
        <f>+D42-E42</f>
        <v>21.401</v>
      </c>
      <c r="G42" s="608">
        <f>+E42/D42</f>
        <v>8.3429697203306355E-2</v>
      </c>
      <c r="H42" s="3332"/>
    </row>
    <row r="43" spans="1:12" ht="12">
      <c r="A43" s="3330" t="s">
        <v>134</v>
      </c>
      <c r="B43" s="2565" t="s">
        <v>69</v>
      </c>
      <c r="C43" s="3331">
        <v>423.05700000000002</v>
      </c>
      <c r="D43" s="3331">
        <f>+C43</f>
        <v>423.05700000000002</v>
      </c>
      <c r="E43" s="3331">
        <f>+SUM(M.Común!B173:B178)</f>
        <v>426.37099999999998</v>
      </c>
      <c r="F43" s="2625">
        <f>+D43-E43</f>
        <v>-3.3139999999999645</v>
      </c>
      <c r="G43" s="3372">
        <f>+E43/D43</f>
        <v>1.0078334597938339</v>
      </c>
      <c r="H43" s="3373" t="s">
        <v>828</v>
      </c>
      <c r="I43" s="359"/>
    </row>
    <row r="44" spans="1:12" ht="12">
      <c r="A44" s="575" t="s">
        <v>111</v>
      </c>
      <c r="B44" s="2576" t="s">
        <v>69</v>
      </c>
      <c r="C44" s="3334">
        <f>SUM(C42:C43)</f>
        <v>446.40600000000001</v>
      </c>
      <c r="D44" s="3334">
        <f>SUM(D42:D43)</f>
        <v>446.40600000000001</v>
      </c>
      <c r="E44" s="3334">
        <f>SUM(E42:E43)</f>
        <v>428.31899999999996</v>
      </c>
      <c r="F44" s="3335">
        <f>SUM(F42:F43)</f>
        <v>18.087000000000035</v>
      </c>
      <c r="G44" s="153"/>
      <c r="H44" s="3323"/>
    </row>
    <row r="45" spans="1:12" ht="5.0999999999999996" customHeight="1">
      <c r="A45" s="143"/>
      <c r="B45" s="143"/>
      <c r="C45" s="3336"/>
      <c r="D45" s="3336"/>
      <c r="E45" s="3336"/>
      <c r="F45" s="3324"/>
      <c r="G45" s="153"/>
      <c r="H45" s="3328"/>
    </row>
    <row r="46" spans="1:12" ht="12">
      <c r="A46" s="1432" t="s">
        <v>130</v>
      </c>
      <c r="B46" s="1432" t="s">
        <v>107</v>
      </c>
      <c r="C46" s="792" t="s">
        <v>108</v>
      </c>
      <c r="D46" s="792" t="s">
        <v>109</v>
      </c>
      <c r="E46" s="1432" t="s">
        <v>47</v>
      </c>
      <c r="F46" s="3329" t="s">
        <v>48</v>
      </c>
      <c r="G46" s="1432" t="s">
        <v>131</v>
      </c>
      <c r="H46" s="508" t="s">
        <v>50</v>
      </c>
    </row>
    <row r="47" spans="1:12" ht="12">
      <c r="A47" s="3330" t="s">
        <v>132</v>
      </c>
      <c r="B47" s="611" t="s">
        <v>70</v>
      </c>
      <c r="C47" s="3331">
        <v>7.7830000000000004</v>
      </c>
      <c r="D47" s="3331">
        <f>+C47+F42</f>
        <v>29.184000000000001</v>
      </c>
      <c r="E47" s="3097">
        <f>+SUM(M.Común!B163:B168)</f>
        <v>1.5680000000000001</v>
      </c>
      <c r="F47" s="2602">
        <f>+D47-E47</f>
        <v>27.616</v>
      </c>
      <c r="G47" s="608">
        <f>+E47/D47</f>
        <v>5.3728070175438597E-2</v>
      </c>
      <c r="H47" s="3332"/>
    </row>
    <row r="48" spans="1:12" ht="12">
      <c r="A48" s="3330" t="s">
        <v>134</v>
      </c>
      <c r="B48" s="611" t="s">
        <v>70</v>
      </c>
      <c r="C48" s="3331">
        <f>241.019+150+150+100</f>
        <v>641.01900000000001</v>
      </c>
      <c r="D48" s="3331">
        <f>+C48+F43</f>
        <v>637.70500000000004</v>
      </c>
      <c r="E48" s="3331">
        <f>+SUM(M.Común!B179:B184)</f>
        <v>542.18799999999987</v>
      </c>
      <c r="F48" s="2619">
        <f>+D48-E48</f>
        <v>95.517000000000166</v>
      </c>
      <c r="G48" s="3343">
        <f>+E48/D48</f>
        <v>0.85021757709285617</v>
      </c>
      <c r="H48" s="3374" t="s">
        <v>1094</v>
      </c>
      <c r="I48" s="3375"/>
      <c r="J48" s="3376"/>
      <c r="K48" s="359"/>
    </row>
    <row r="49" spans="1:12" ht="12">
      <c r="A49" s="575" t="s">
        <v>111</v>
      </c>
      <c r="B49" s="3377" t="s">
        <v>70</v>
      </c>
      <c r="C49" s="3334">
        <f>SUM(C47:C48)</f>
        <v>648.80200000000002</v>
      </c>
      <c r="D49" s="3334">
        <f>SUM(D47:D48)</f>
        <v>666.88900000000001</v>
      </c>
      <c r="E49" s="3334">
        <f>SUM(E47:E48)</f>
        <v>543.75599999999986</v>
      </c>
      <c r="F49" s="3335">
        <f>SUM(F47:F48)</f>
        <v>123.13300000000017</v>
      </c>
      <c r="G49" s="153"/>
      <c r="H49" s="3323"/>
    </row>
    <row r="50" spans="1:12" ht="12">
      <c r="A50" s="143"/>
      <c r="B50" s="143"/>
      <c r="C50" s="3336"/>
      <c r="D50" s="3336"/>
      <c r="E50" s="3336"/>
      <c r="F50" s="3324"/>
      <c r="G50" s="153"/>
      <c r="H50" s="3328"/>
    </row>
    <row r="51" spans="1:12" ht="12">
      <c r="A51" s="3864" t="s">
        <v>138</v>
      </c>
      <c r="B51" s="3866"/>
      <c r="C51" s="139"/>
      <c r="D51" s="139"/>
      <c r="E51" s="153"/>
      <c r="F51" s="3324"/>
      <c r="G51" s="153"/>
      <c r="H51" s="3323"/>
    </row>
    <row r="52" spans="1:12" ht="5.0999999999999996" customHeight="1">
      <c r="A52" s="3325"/>
      <c r="B52" s="3325"/>
      <c r="C52" s="144"/>
      <c r="D52" s="144"/>
      <c r="E52" s="3326"/>
      <c r="F52" s="3327"/>
      <c r="G52" s="3328"/>
      <c r="H52" s="3328"/>
    </row>
    <row r="53" spans="1:12" ht="12">
      <c r="A53" s="1432" t="s">
        <v>130</v>
      </c>
      <c r="B53" s="1432" t="s">
        <v>107</v>
      </c>
      <c r="C53" s="792" t="s">
        <v>108</v>
      </c>
      <c r="D53" s="792" t="s">
        <v>109</v>
      </c>
      <c r="E53" s="1432" t="s">
        <v>47</v>
      </c>
      <c r="F53" s="3329" t="s">
        <v>48</v>
      </c>
      <c r="G53" s="1432" t="s">
        <v>131</v>
      </c>
      <c r="H53" s="508" t="s">
        <v>50</v>
      </c>
    </row>
    <row r="54" spans="1:12" ht="12">
      <c r="A54" s="3330" t="s">
        <v>139</v>
      </c>
      <c r="B54" s="2565" t="s">
        <v>69</v>
      </c>
      <c r="C54" s="3331">
        <v>376.86599999999999</v>
      </c>
      <c r="D54" s="3331">
        <f t="shared" ref="D54:D68" si="3">+C54</f>
        <v>376.86599999999999</v>
      </c>
      <c r="E54" s="3378">
        <f>+SUM(M.Común!B191:B196)</f>
        <v>377.483</v>
      </c>
      <c r="F54" s="3379">
        <f t="shared" ref="F54:F69" si="4">+D54-E54</f>
        <v>-0.61700000000001864</v>
      </c>
      <c r="G54" s="608">
        <f t="shared" ref="G54:G60" si="5">+E54/D54</f>
        <v>1.0016371866923521</v>
      </c>
      <c r="H54" s="2605" t="s">
        <v>772</v>
      </c>
      <c r="I54" s="3380"/>
      <c r="J54" s="3381"/>
      <c r="K54" s="3381"/>
      <c r="L54" s="359"/>
    </row>
    <row r="55" spans="1:12" ht="17.25" customHeight="1">
      <c r="A55" s="3382" t="s">
        <v>304</v>
      </c>
      <c r="B55" s="3383" t="s">
        <v>69</v>
      </c>
      <c r="C55" s="3384">
        <v>410.15199999999999</v>
      </c>
      <c r="D55" s="3384">
        <f t="shared" si="3"/>
        <v>410.15199999999999</v>
      </c>
      <c r="E55" s="3385">
        <f>+SUM(M.Común!B207:B212)</f>
        <v>288.53899999999999</v>
      </c>
      <c r="F55" s="3386">
        <f t="shared" si="4"/>
        <v>121.613</v>
      </c>
      <c r="G55" s="3387">
        <f t="shared" si="5"/>
        <v>0.70349285143068907</v>
      </c>
      <c r="H55" s="3388"/>
    </row>
    <row r="56" spans="1:12" ht="17.25" customHeight="1">
      <c r="A56" s="3389" t="s">
        <v>455</v>
      </c>
      <c r="B56" s="3383" t="s">
        <v>69</v>
      </c>
      <c r="C56" s="3384">
        <v>771.34199999999998</v>
      </c>
      <c r="D56" s="3384">
        <f t="shared" si="3"/>
        <v>771.34199999999998</v>
      </c>
      <c r="E56" s="3385">
        <f>+SUM(M.Común!B223:B228)</f>
        <v>550.28099999999995</v>
      </c>
      <c r="F56" s="3386">
        <f t="shared" si="4"/>
        <v>221.06100000000004</v>
      </c>
      <c r="G56" s="3387">
        <f t="shared" si="5"/>
        <v>0.7134072823727996</v>
      </c>
      <c r="H56" s="3388"/>
      <c r="I56" s="3390"/>
      <c r="J56" s="359"/>
    </row>
    <row r="57" spans="1:12" ht="17.25" customHeight="1">
      <c r="A57" s="3389" t="s">
        <v>535</v>
      </c>
      <c r="B57" s="3383" t="s">
        <v>69</v>
      </c>
      <c r="C57" s="3384">
        <v>131.65199999999999</v>
      </c>
      <c r="D57" s="3384">
        <f t="shared" si="3"/>
        <v>131.65199999999999</v>
      </c>
      <c r="E57" s="3385">
        <f>+SUM(M.Común!B239:B244)</f>
        <v>110.744</v>
      </c>
      <c r="F57" s="3386">
        <f t="shared" si="4"/>
        <v>20.907999999999987</v>
      </c>
      <c r="G57" s="3387">
        <f t="shared" si="5"/>
        <v>0.84118737277063782</v>
      </c>
      <c r="H57" s="3388"/>
      <c r="I57" s="3390"/>
    </row>
    <row r="58" spans="1:12" ht="12">
      <c r="A58" s="3391" t="s">
        <v>1291</v>
      </c>
      <c r="B58" s="3392" t="s">
        <v>69</v>
      </c>
      <c r="C58" s="3393">
        <v>144.416</v>
      </c>
      <c r="D58" s="3340">
        <f t="shared" si="3"/>
        <v>144.416</v>
      </c>
      <c r="E58" s="3394">
        <f>+M.Común!B268</f>
        <v>144.416</v>
      </c>
      <c r="F58" s="3395">
        <f t="shared" si="4"/>
        <v>0</v>
      </c>
      <c r="G58" s="3343">
        <f t="shared" si="5"/>
        <v>1</v>
      </c>
      <c r="H58" s="3396" t="s">
        <v>484</v>
      </c>
      <c r="I58" s="3397"/>
    </row>
    <row r="59" spans="1:12" ht="12">
      <c r="A59" s="3382" t="s">
        <v>1292</v>
      </c>
      <c r="B59" s="3383" t="s">
        <v>69</v>
      </c>
      <c r="C59" s="3384">
        <v>14.628</v>
      </c>
      <c r="D59" s="3384">
        <f t="shared" si="3"/>
        <v>14.628</v>
      </c>
      <c r="E59" s="3385">
        <f>+SUM(M.Común!B273:B277)</f>
        <v>10.708</v>
      </c>
      <c r="F59" s="3386">
        <f t="shared" si="4"/>
        <v>3.92</v>
      </c>
      <c r="G59" s="3398">
        <f t="shared" si="5"/>
        <v>0.73202078206179932</v>
      </c>
      <c r="H59" s="3388"/>
      <c r="I59" s="3397"/>
    </row>
    <row r="60" spans="1:12" ht="12">
      <c r="A60" s="3399" t="s">
        <v>133</v>
      </c>
      <c r="B60" s="2565" t="s">
        <v>69</v>
      </c>
      <c r="C60" s="3331">
        <v>92.11</v>
      </c>
      <c r="D60" s="3331">
        <f t="shared" si="3"/>
        <v>92.11</v>
      </c>
      <c r="E60" s="3378">
        <f>+SUM(M.Común!B288:B293)</f>
        <v>79.635999999999996</v>
      </c>
      <c r="F60" s="2616">
        <f>+D60-E60</f>
        <v>12.474000000000004</v>
      </c>
      <c r="G60" s="3400">
        <f t="shared" si="5"/>
        <v>0.86457496471610029</v>
      </c>
      <c r="H60" s="2605">
        <v>40590</v>
      </c>
    </row>
    <row r="61" spans="1:12" ht="12">
      <c r="A61" s="2564" t="s">
        <v>463</v>
      </c>
      <c r="B61" s="2565" t="s">
        <v>69</v>
      </c>
      <c r="C61" s="3331">
        <v>383.92099999999999</v>
      </c>
      <c r="D61" s="3345">
        <f t="shared" si="3"/>
        <v>383.92099999999999</v>
      </c>
      <c r="E61" s="3345">
        <f>+SUM(M.Común!B304:B309)</f>
        <v>378.54099999999994</v>
      </c>
      <c r="F61" s="2619">
        <f t="shared" si="4"/>
        <v>5.3800000000000523</v>
      </c>
      <c r="G61" s="3401">
        <f t="shared" ref="G61:G68" si="6">+E61/D61</f>
        <v>0.98598670038888192</v>
      </c>
      <c r="H61" s="2614"/>
      <c r="I61" s="359"/>
    </row>
    <row r="62" spans="1:12" ht="12">
      <c r="A62" s="2564" t="s">
        <v>464</v>
      </c>
      <c r="B62" s="2565" t="s">
        <v>69</v>
      </c>
      <c r="C62" s="3331">
        <v>349.01900000000001</v>
      </c>
      <c r="D62" s="3345">
        <f t="shared" si="3"/>
        <v>349.01900000000001</v>
      </c>
      <c r="E62" s="3345">
        <f>+SUM(M.Común!B320:B325)</f>
        <v>288.03200000000004</v>
      </c>
      <c r="F62" s="2619">
        <f t="shared" si="4"/>
        <v>60.986999999999966</v>
      </c>
      <c r="G62" s="3401">
        <f t="shared" si="6"/>
        <v>0.82526166197255746</v>
      </c>
      <c r="H62" s="2614"/>
      <c r="I62" s="3380"/>
    </row>
    <row r="63" spans="1:12" ht="15.75" customHeight="1">
      <c r="A63" s="2564" t="s">
        <v>534</v>
      </c>
      <c r="B63" s="2565" t="s">
        <v>69</v>
      </c>
      <c r="C63" s="3331">
        <v>104.706</v>
      </c>
      <c r="D63" s="3345">
        <f t="shared" si="3"/>
        <v>104.706</v>
      </c>
      <c r="E63" s="3345">
        <f>+SUM(M.Común!B336:B341)</f>
        <v>99.69</v>
      </c>
      <c r="F63" s="2619">
        <f t="shared" si="4"/>
        <v>5.0160000000000053</v>
      </c>
      <c r="G63" s="3401">
        <f t="shared" si="6"/>
        <v>0.95209443584894848</v>
      </c>
      <c r="H63" s="2614"/>
      <c r="I63" s="3402"/>
    </row>
    <row r="64" spans="1:12" ht="12">
      <c r="A64" s="2564" t="s">
        <v>469</v>
      </c>
      <c r="B64" s="2565" t="s">
        <v>69</v>
      </c>
      <c r="C64" s="3331">
        <v>52.353000000000002</v>
      </c>
      <c r="D64" s="3345">
        <f t="shared" si="3"/>
        <v>52.353000000000002</v>
      </c>
      <c r="E64" s="3345">
        <f>+SUM(M.Común!B352:B357)</f>
        <v>55.131000000000007</v>
      </c>
      <c r="F64" s="2619">
        <f t="shared" si="4"/>
        <v>-2.7780000000000058</v>
      </c>
      <c r="G64" s="3401">
        <f t="shared" si="6"/>
        <v>1.0530628617271218</v>
      </c>
      <c r="H64" s="2614">
        <v>41080</v>
      </c>
      <c r="I64" s="3413"/>
    </row>
    <row r="65" spans="1:11" ht="12">
      <c r="A65" s="2564" t="s">
        <v>466</v>
      </c>
      <c r="B65" s="2565" t="s">
        <v>69</v>
      </c>
      <c r="C65" s="3345">
        <v>158.43100000000001</v>
      </c>
      <c r="D65" s="3345">
        <f t="shared" si="3"/>
        <v>158.43100000000001</v>
      </c>
      <c r="E65" s="3345">
        <f>+SUM(M.Común!B368:B373)</f>
        <v>119.07300000000001</v>
      </c>
      <c r="F65" s="2619">
        <f t="shared" si="4"/>
        <v>39.358000000000004</v>
      </c>
      <c r="G65" s="3401">
        <f t="shared" si="6"/>
        <v>0.75157639603360449</v>
      </c>
      <c r="H65" s="2614">
        <v>41066</v>
      </c>
      <c r="I65" s="359"/>
    </row>
    <row r="66" spans="1:11" ht="12">
      <c r="A66" s="2564" t="s">
        <v>468</v>
      </c>
      <c r="B66" s="2565" t="s">
        <v>69</v>
      </c>
      <c r="C66" s="3331">
        <v>133.97999999999999</v>
      </c>
      <c r="D66" s="3345">
        <f t="shared" si="3"/>
        <v>133.97999999999999</v>
      </c>
      <c r="E66" s="3345">
        <f>+SUM(M.Común!B384:B389)</f>
        <v>108.15299999999999</v>
      </c>
      <c r="F66" s="2619">
        <f t="shared" si="4"/>
        <v>25.826999999999998</v>
      </c>
      <c r="G66" s="3401">
        <f t="shared" si="6"/>
        <v>0.80723242274966411</v>
      </c>
      <c r="H66" s="2614"/>
      <c r="I66" s="359"/>
    </row>
    <row r="67" spans="1:11" ht="12">
      <c r="A67" s="3403" t="s">
        <v>494</v>
      </c>
      <c r="B67" s="3392" t="s">
        <v>492</v>
      </c>
      <c r="C67" s="3340">
        <v>253.119</v>
      </c>
      <c r="D67" s="3340">
        <f t="shared" si="3"/>
        <v>253.119</v>
      </c>
      <c r="E67" s="3404">
        <f>+SUM(M.Común!B400:B401)</f>
        <v>253.11899999999997</v>
      </c>
      <c r="F67" s="3395">
        <f t="shared" si="4"/>
        <v>0</v>
      </c>
      <c r="G67" s="3343">
        <f t="shared" si="6"/>
        <v>0.99999999999999989</v>
      </c>
      <c r="H67" s="3405" t="s">
        <v>484</v>
      </c>
      <c r="I67" s="359"/>
    </row>
    <row r="68" spans="1:11" ht="12">
      <c r="A68" s="3406" t="s">
        <v>495</v>
      </c>
      <c r="B68" s="2565" t="s">
        <v>69</v>
      </c>
      <c r="C68" s="3331">
        <v>69.804000000000002</v>
      </c>
      <c r="D68" s="3345">
        <f t="shared" si="3"/>
        <v>69.804000000000002</v>
      </c>
      <c r="E68" s="3345">
        <f>+SUM(M.Común!B416:B421)</f>
        <v>66.3</v>
      </c>
      <c r="F68" s="2619">
        <f t="shared" si="4"/>
        <v>3.5040000000000049</v>
      </c>
      <c r="G68" s="3401">
        <f t="shared" si="6"/>
        <v>0.94980230359291729</v>
      </c>
      <c r="H68" s="2639"/>
      <c r="I68" s="3347"/>
    </row>
    <row r="69" spans="1:11" ht="12">
      <c r="A69" s="575" t="s">
        <v>111</v>
      </c>
      <c r="B69" s="2576" t="s">
        <v>69</v>
      </c>
      <c r="C69" s="3334">
        <f>SUM(C54:C68)</f>
        <v>3446.4990000000003</v>
      </c>
      <c r="D69" s="3334">
        <f>SUM(D54:D68)</f>
        <v>3446.4990000000003</v>
      </c>
      <c r="E69" s="3334">
        <f>SUM(E54:E68)</f>
        <v>2929.8459999999995</v>
      </c>
      <c r="F69" s="3335">
        <f t="shared" si="4"/>
        <v>516.6530000000007</v>
      </c>
      <c r="G69" s="3401">
        <f>+E69/D69</f>
        <v>0.85009338462016071</v>
      </c>
      <c r="H69" s="3407"/>
      <c r="I69" s="3347"/>
    </row>
    <row r="70" spans="1:11" ht="9" customHeight="1">
      <c r="A70" s="143"/>
      <c r="B70" s="143"/>
      <c r="C70" s="3336"/>
      <c r="D70" s="3336"/>
      <c r="E70" s="3408"/>
      <c r="F70" s="3324"/>
      <c r="G70" s="153"/>
      <c r="H70" s="3328"/>
    </row>
    <row r="71" spans="1:11" ht="12">
      <c r="A71" s="1432" t="s">
        <v>130</v>
      </c>
      <c r="B71" s="1432" t="s">
        <v>107</v>
      </c>
      <c r="C71" s="792" t="s">
        <v>108</v>
      </c>
      <c r="D71" s="792" t="s">
        <v>109</v>
      </c>
      <c r="E71" s="1432" t="s">
        <v>47</v>
      </c>
      <c r="F71" s="3329" t="s">
        <v>48</v>
      </c>
      <c r="G71" s="1432" t="s">
        <v>131</v>
      </c>
      <c r="H71" s="508" t="s">
        <v>50</v>
      </c>
    </row>
    <row r="72" spans="1:11" ht="12">
      <c r="A72" s="3365" t="s">
        <v>139</v>
      </c>
      <c r="B72" s="611" t="s">
        <v>70</v>
      </c>
      <c r="C72" s="3345">
        <f>115.622+100+150</f>
        <v>365.62200000000001</v>
      </c>
      <c r="D72" s="3455">
        <f>+C72+F54</f>
        <v>365.005</v>
      </c>
      <c r="E72" s="3378">
        <f>+SUM(M.Común!B197:B202)</f>
        <v>388.00100000000009</v>
      </c>
      <c r="F72" s="3582">
        <f t="shared" ref="F72:F85" si="7">+D72-E72</f>
        <v>-22.996000000000095</v>
      </c>
      <c r="G72" s="2568">
        <f t="shared" ref="G72:G83" si="8">+E72/D72</f>
        <v>1.0630018766866209</v>
      </c>
      <c r="H72" s="3583" t="s">
        <v>1305</v>
      </c>
      <c r="I72" s="3380"/>
      <c r="J72" s="359"/>
    </row>
    <row r="73" spans="1:11" ht="12">
      <c r="A73" s="3531" t="s">
        <v>304</v>
      </c>
      <c r="B73" s="3455" t="s">
        <v>70</v>
      </c>
      <c r="C73" s="3455">
        <f>187.144+13.703</f>
        <v>200.84700000000001</v>
      </c>
      <c r="D73" s="3455">
        <f>+C73+F55</f>
        <v>322.46000000000004</v>
      </c>
      <c r="E73" s="3527">
        <f>+SUM(M.Común!B213:B218)</f>
        <v>323.15100000000001</v>
      </c>
      <c r="F73" s="3525">
        <f t="shared" si="7"/>
        <v>-0.69099999999997408</v>
      </c>
      <c r="G73" s="3002">
        <f t="shared" si="8"/>
        <v>1.0021429014451404</v>
      </c>
      <c r="H73" s="3528"/>
      <c r="I73" s="359"/>
    </row>
    <row r="74" spans="1:11" ht="12">
      <c r="A74" s="3532" t="s">
        <v>455</v>
      </c>
      <c r="B74" s="3455" t="s">
        <v>70</v>
      </c>
      <c r="C74" s="3455">
        <f>407.337+30.262</f>
        <v>437.59899999999999</v>
      </c>
      <c r="D74" s="3455">
        <f>+C74+F56</f>
        <v>658.66000000000008</v>
      </c>
      <c r="E74" s="3527">
        <f>+SUM(M.Común!B229:B234)</f>
        <v>665.03399999999988</v>
      </c>
      <c r="F74" s="3525">
        <f t="shared" si="7"/>
        <v>-6.3739999999997963</v>
      </c>
      <c r="G74" s="3002">
        <f t="shared" si="8"/>
        <v>1.0096772234536784</v>
      </c>
      <c r="H74" s="3528" t="s">
        <v>1208</v>
      </c>
      <c r="I74" s="3410"/>
    </row>
    <row r="75" spans="1:11" ht="15" customHeight="1">
      <c r="A75" s="3534" t="s">
        <v>535</v>
      </c>
      <c r="B75" s="3455" t="s">
        <v>70</v>
      </c>
      <c r="C75" s="3455">
        <f>69.524+5.139</f>
        <v>74.662999999999997</v>
      </c>
      <c r="D75" s="3455">
        <f>+C75+F57</f>
        <v>95.570999999999984</v>
      </c>
      <c r="E75" s="3527">
        <f>+SUM(M.Común!B245:B250)</f>
        <v>95.203000000000003</v>
      </c>
      <c r="F75" s="3525">
        <f t="shared" si="7"/>
        <v>0.36799999999998079</v>
      </c>
      <c r="G75" s="3002">
        <f t="shared" si="8"/>
        <v>0.99614945956409395</v>
      </c>
      <c r="H75" s="3529">
        <v>41240</v>
      </c>
      <c r="I75" s="3410"/>
    </row>
    <row r="76" spans="1:11" ht="12">
      <c r="A76" s="3533" t="s">
        <v>305</v>
      </c>
      <c r="B76" s="3455" t="s">
        <v>70</v>
      </c>
      <c r="C76" s="3455">
        <f>7.725+4.1+0.571</f>
        <v>12.395999999999999</v>
      </c>
      <c r="D76" s="3455">
        <f t="shared" ref="D76:D83" si="9">+C76+F59</f>
        <v>16.315999999999999</v>
      </c>
      <c r="E76" s="3527">
        <f>+SUM(M.Común!B278:B283)</f>
        <v>14.428999999999998</v>
      </c>
      <c r="F76" s="3525">
        <f t="shared" si="7"/>
        <v>1.8870000000000005</v>
      </c>
      <c r="G76" s="3002">
        <f t="shared" si="8"/>
        <v>0.8843466535915665</v>
      </c>
      <c r="H76" s="3530" t="s">
        <v>1296</v>
      </c>
      <c r="I76" s="3409" t="s">
        <v>1133</v>
      </c>
      <c r="J76" s="3397"/>
      <c r="K76" s="3397"/>
    </row>
    <row r="77" spans="1:11" ht="12">
      <c r="A77" s="3365" t="s">
        <v>133</v>
      </c>
      <c r="B77" s="3536" t="s">
        <v>70</v>
      </c>
      <c r="C77" s="3537">
        <f>9.037+2.05+2.332</f>
        <v>13.419</v>
      </c>
      <c r="D77" s="3538">
        <f t="shared" si="9"/>
        <v>25.893000000000004</v>
      </c>
      <c r="E77" s="3539">
        <f>+SUM(M.Común!B294:B299)</f>
        <v>27.771999999999998</v>
      </c>
      <c r="F77" s="3540">
        <f t="shared" si="7"/>
        <v>-1.8789999999999942</v>
      </c>
      <c r="G77" s="3541">
        <f t="shared" si="8"/>
        <v>1.0725678754875834</v>
      </c>
      <c r="H77" s="3542" t="s">
        <v>1303</v>
      </c>
      <c r="I77" s="359"/>
    </row>
    <row r="78" spans="1:11" ht="12">
      <c r="A78" s="510" t="s">
        <v>463</v>
      </c>
      <c r="B78" s="611" t="s">
        <v>70</v>
      </c>
      <c r="C78" s="3331">
        <f>258.241+15.759</f>
        <v>274</v>
      </c>
      <c r="D78" s="3331">
        <f t="shared" si="9"/>
        <v>279.38000000000005</v>
      </c>
      <c r="E78" s="3345">
        <f>+SUM(M.Común!B310:B315)</f>
        <v>288.97499999999997</v>
      </c>
      <c r="F78" s="2619">
        <f>+D78-E78</f>
        <v>-9.5949999999999136</v>
      </c>
      <c r="G78" s="1121">
        <f t="shared" si="8"/>
        <v>1.0343439043596532</v>
      </c>
      <c r="H78" s="2579">
        <v>41227</v>
      </c>
      <c r="I78" s="3380"/>
      <c r="J78" s="3397"/>
    </row>
    <row r="79" spans="1:11" ht="12">
      <c r="A79" s="3413" t="s">
        <v>464</v>
      </c>
      <c r="B79" s="3081" t="s">
        <v>70</v>
      </c>
      <c r="C79" s="3455">
        <f>234.764+14.326</f>
        <v>249.09</v>
      </c>
      <c r="D79" s="3455">
        <f t="shared" si="9"/>
        <v>310.077</v>
      </c>
      <c r="E79" s="3455">
        <f>+SUM(M.Común!B326:B331)</f>
        <v>352.38400000000001</v>
      </c>
      <c r="F79" s="3581">
        <f>+D79-E79</f>
        <v>-42.307000000000016</v>
      </c>
      <c r="G79" s="3002">
        <f t="shared" si="8"/>
        <v>1.1364403035375086</v>
      </c>
      <c r="H79" s="3535">
        <v>41258</v>
      </c>
      <c r="I79" s="3410"/>
    </row>
    <row r="80" spans="1:11" ht="12">
      <c r="A80" s="510" t="s">
        <v>534</v>
      </c>
      <c r="B80" s="611" t="s">
        <v>70</v>
      </c>
      <c r="C80" s="3331">
        <f>70.429+4.298</f>
        <v>74.727000000000004</v>
      </c>
      <c r="D80" s="3331">
        <f t="shared" si="9"/>
        <v>79.743000000000009</v>
      </c>
      <c r="E80" s="3345">
        <f>+SUM(M.Común!B342:B347)</f>
        <v>72.75800000000001</v>
      </c>
      <c r="F80" s="2619">
        <f>+D80-E80</f>
        <v>6.9849999999999994</v>
      </c>
      <c r="G80" s="3002">
        <f t="shared" si="8"/>
        <v>0.91240610461106308</v>
      </c>
      <c r="H80" s="3412"/>
      <c r="I80" s="3409" t="s">
        <v>644</v>
      </c>
    </row>
    <row r="81" spans="1:11" ht="12">
      <c r="A81" s="510" t="s">
        <v>469</v>
      </c>
      <c r="B81" s="611" t="s">
        <v>70</v>
      </c>
      <c r="C81" s="3331">
        <f>35.215+2.149</f>
        <v>37.364000000000004</v>
      </c>
      <c r="D81" s="3331">
        <f t="shared" si="9"/>
        <v>34.585999999999999</v>
      </c>
      <c r="E81" s="3345">
        <f>+SUM(M.Común!B358:B363)</f>
        <v>31.256999999999998</v>
      </c>
      <c r="F81" s="2619">
        <f t="shared" si="7"/>
        <v>3.3290000000000006</v>
      </c>
      <c r="G81" s="3002">
        <f t="shared" si="8"/>
        <v>0.90374718094026485</v>
      </c>
      <c r="H81" s="3412"/>
      <c r="I81" s="3409" t="s">
        <v>644</v>
      </c>
    </row>
    <row r="82" spans="1:11" ht="12">
      <c r="A82" s="3413" t="s">
        <v>466</v>
      </c>
      <c r="B82" s="3081" t="s">
        <v>70</v>
      </c>
      <c r="C82" s="3455">
        <f>31.298+4.656</f>
        <v>35.954000000000001</v>
      </c>
      <c r="D82" s="3455">
        <f t="shared" si="9"/>
        <v>75.312000000000012</v>
      </c>
      <c r="E82" s="3455">
        <f>+SUM(M.Común!B374:B379)</f>
        <v>73.573999999999998</v>
      </c>
      <c r="F82" s="3525">
        <f t="shared" si="7"/>
        <v>1.7380000000000138</v>
      </c>
      <c r="G82" s="3002">
        <f t="shared" si="8"/>
        <v>0.97692266836626285</v>
      </c>
      <c r="H82" s="3526"/>
      <c r="I82" s="2687" t="s">
        <v>820</v>
      </c>
    </row>
    <row r="83" spans="1:11" ht="12">
      <c r="A83" s="510" t="s">
        <v>468</v>
      </c>
      <c r="B83" s="611" t="s">
        <v>70</v>
      </c>
      <c r="C83" s="3331">
        <f>26.56+3.94</f>
        <v>30.5</v>
      </c>
      <c r="D83" s="3331">
        <f t="shared" si="9"/>
        <v>56.326999999999998</v>
      </c>
      <c r="E83" s="3345">
        <f>+SUM(M.Común!B390:B395)</f>
        <v>56.491</v>
      </c>
      <c r="F83" s="2619">
        <f t="shared" si="7"/>
        <v>-0.16400000000000148</v>
      </c>
      <c r="G83" s="608">
        <f t="shared" si="8"/>
        <v>1.0029115699398157</v>
      </c>
      <c r="H83" s="3412"/>
    </row>
    <row r="84" spans="1:11" ht="12">
      <c r="A84" s="510" t="s">
        <v>467</v>
      </c>
      <c r="B84" s="611" t="s">
        <v>70</v>
      </c>
      <c r="C84" s="3331">
        <f>38.753+114.7+2.685</f>
        <v>156.13800000000001</v>
      </c>
      <c r="D84" s="3331">
        <f>+C84+F68</f>
        <v>159.642</v>
      </c>
      <c r="E84" s="3345">
        <f>+SUM(M.Común!B422:B427)</f>
        <v>139.667</v>
      </c>
      <c r="F84" s="3414">
        <f t="shared" si="7"/>
        <v>19.974999999999994</v>
      </c>
      <c r="G84" s="2568">
        <f>+E84/D84</f>
        <v>0.8748762856892297</v>
      </c>
      <c r="H84" s="3411" t="s">
        <v>974</v>
      </c>
      <c r="I84" s="3347"/>
      <c r="J84" s="3397"/>
    </row>
    <row r="85" spans="1:11" ht="12">
      <c r="A85" s="575" t="s">
        <v>111</v>
      </c>
      <c r="B85" s="3377" t="s">
        <v>70</v>
      </c>
      <c r="C85" s="3334">
        <f>SUM(C72:C84)</f>
        <v>1962.319</v>
      </c>
      <c r="D85" s="3334">
        <f>SUM(D72:D84)</f>
        <v>2478.9719999999998</v>
      </c>
      <c r="E85" s="3334">
        <f>SUM(E72:E84)</f>
        <v>2528.6959999999995</v>
      </c>
      <c r="F85" s="2619">
        <f t="shared" si="7"/>
        <v>-49.723999999999705</v>
      </c>
      <c r="G85" s="3097"/>
      <c r="H85" s="3407"/>
      <c r="I85" s="3397"/>
      <c r="J85" s="3397"/>
    </row>
    <row r="86" spans="1:11" ht="12">
      <c r="A86" s="143"/>
      <c r="B86" s="143"/>
      <c r="C86" s="3336"/>
      <c r="D86" s="3336"/>
      <c r="E86" s="3336"/>
      <c r="F86" s="3324"/>
      <c r="G86" s="153"/>
      <c r="H86" s="3328"/>
      <c r="J86" s="3397"/>
    </row>
    <row r="87" spans="1:11" ht="12">
      <c r="A87" s="3864" t="s">
        <v>112</v>
      </c>
      <c r="B87" s="3866"/>
      <c r="C87" s="139"/>
      <c r="D87" s="3415"/>
      <c r="E87" s="141"/>
      <c r="F87" s="3324"/>
      <c r="G87" s="153"/>
      <c r="H87" s="3323"/>
    </row>
    <row r="88" spans="1:11" ht="5.0999999999999996" customHeight="1">
      <c r="A88" s="3416"/>
      <c r="B88" s="3416"/>
      <c r="C88" s="3417"/>
      <c r="D88" s="3417"/>
      <c r="E88" s="3417"/>
      <c r="F88" s="3322"/>
      <c r="G88" s="2563"/>
      <c r="H88" s="3323"/>
    </row>
    <row r="89" spans="1:11" ht="12">
      <c r="A89" s="1432" t="s">
        <v>130</v>
      </c>
      <c r="B89" s="1432" t="s">
        <v>107</v>
      </c>
      <c r="C89" s="792" t="s">
        <v>108</v>
      </c>
      <c r="D89" s="792" t="s">
        <v>109</v>
      </c>
      <c r="E89" s="1432" t="s">
        <v>47</v>
      </c>
      <c r="F89" s="3329" t="s">
        <v>48</v>
      </c>
      <c r="G89" s="1432" t="s">
        <v>131</v>
      </c>
      <c r="H89" s="508" t="s">
        <v>50</v>
      </c>
    </row>
    <row r="90" spans="1:11" ht="16.5" customHeight="1">
      <c r="A90" s="2564" t="s">
        <v>470</v>
      </c>
      <c r="B90" s="2565" t="s">
        <v>69</v>
      </c>
      <c r="C90" s="3418">
        <v>1053</v>
      </c>
      <c r="D90" s="3331">
        <f>+C90</f>
        <v>1053</v>
      </c>
      <c r="E90" s="3419">
        <v>397.25900000000001</v>
      </c>
      <c r="F90" s="3420">
        <f t="shared" ref="F90:F107" si="10">+D90-E90</f>
        <v>655.74099999999999</v>
      </c>
      <c r="G90" s="3421">
        <f t="shared" ref="G90:G105" si="11">+E90/D90</f>
        <v>0.37726400759734097</v>
      </c>
      <c r="H90" s="2614"/>
      <c r="I90" s="1856"/>
      <c r="J90" s="3397"/>
      <c r="K90" s="3397"/>
    </row>
    <row r="91" spans="1:11" ht="12">
      <c r="A91" s="2564" t="s">
        <v>471</v>
      </c>
      <c r="B91" s="2565" t="s">
        <v>69</v>
      </c>
      <c r="C91" s="3418">
        <v>52.265999999999998</v>
      </c>
      <c r="D91" s="3331">
        <f t="shared" ref="D91:D105" si="12">+C91</f>
        <v>52.265999999999998</v>
      </c>
      <c r="E91" s="3422">
        <v>9.1270000000000007</v>
      </c>
      <c r="F91" s="3420">
        <f t="shared" si="10"/>
        <v>43.138999999999996</v>
      </c>
      <c r="G91" s="3421">
        <f t="shared" si="11"/>
        <v>0.17462595186163091</v>
      </c>
      <c r="H91" s="2614"/>
      <c r="I91" s="1856"/>
      <c r="J91" s="3397"/>
      <c r="K91" s="3397"/>
    </row>
    <row r="92" spans="1:11" ht="15" customHeight="1">
      <c r="A92" s="2564" t="s">
        <v>472</v>
      </c>
      <c r="B92" s="2565" t="s">
        <v>69</v>
      </c>
      <c r="C92" s="3418">
        <v>1.343</v>
      </c>
      <c r="D92" s="3331">
        <f t="shared" si="12"/>
        <v>1.343</v>
      </c>
      <c r="E92" s="3422">
        <v>0.45500000000000002</v>
      </c>
      <c r="F92" s="3420">
        <f t="shared" si="10"/>
        <v>0.8879999999999999</v>
      </c>
      <c r="G92" s="3421">
        <f t="shared" si="11"/>
        <v>0.33879374534623979</v>
      </c>
      <c r="H92" s="2614"/>
      <c r="I92" s="994"/>
      <c r="J92" s="3397"/>
      <c r="K92" s="3397"/>
    </row>
    <row r="93" spans="1:11" ht="12">
      <c r="A93" s="2564" t="s">
        <v>473</v>
      </c>
      <c r="B93" s="2565" t="s">
        <v>69</v>
      </c>
      <c r="C93" s="3418">
        <v>192.619</v>
      </c>
      <c r="D93" s="3331">
        <f t="shared" si="12"/>
        <v>192.619</v>
      </c>
      <c r="E93" s="3422">
        <v>35.878</v>
      </c>
      <c r="F93" s="3420">
        <f t="shared" si="10"/>
        <v>156.74099999999999</v>
      </c>
      <c r="G93" s="3421">
        <f t="shared" si="11"/>
        <v>0.18626407571423381</v>
      </c>
      <c r="H93" s="2614"/>
      <c r="I93" s="994"/>
      <c r="J93" s="3397"/>
      <c r="K93" s="3397"/>
    </row>
    <row r="94" spans="1:11" ht="12">
      <c r="A94" s="2564" t="s">
        <v>474</v>
      </c>
      <c r="B94" s="2565" t="s">
        <v>69</v>
      </c>
      <c r="C94" s="3418">
        <v>88.058000000000007</v>
      </c>
      <c r="D94" s="3331">
        <f t="shared" si="12"/>
        <v>88.058000000000007</v>
      </c>
      <c r="E94" s="3422">
        <v>91.281999999999996</v>
      </c>
      <c r="F94" s="3420">
        <f t="shared" si="10"/>
        <v>-3.2239999999999895</v>
      </c>
      <c r="G94" s="3421">
        <f t="shared" si="11"/>
        <v>1.0366122328465328</v>
      </c>
      <c r="H94" s="2614">
        <v>41071</v>
      </c>
      <c r="I94" s="3423"/>
      <c r="J94" s="3397"/>
      <c r="K94" s="3397"/>
    </row>
    <row r="95" spans="1:11" ht="12">
      <c r="A95" s="2564" t="s">
        <v>475</v>
      </c>
      <c r="B95" s="2565" t="s">
        <v>69</v>
      </c>
      <c r="C95" s="3418">
        <v>76.239000000000004</v>
      </c>
      <c r="D95" s="3331">
        <f t="shared" si="12"/>
        <v>76.239000000000004</v>
      </c>
      <c r="E95" s="3422">
        <v>28.06</v>
      </c>
      <c r="F95" s="3420">
        <f t="shared" si="10"/>
        <v>48.179000000000002</v>
      </c>
      <c r="G95" s="3421">
        <f t="shared" si="11"/>
        <v>0.36805309618436755</v>
      </c>
      <c r="H95" s="2614"/>
      <c r="I95" s="994"/>
      <c r="J95" s="3397"/>
      <c r="K95" s="3397"/>
    </row>
    <row r="96" spans="1:11" ht="12">
      <c r="A96" s="2564" t="s">
        <v>476</v>
      </c>
      <c r="B96" s="2565" t="s">
        <v>69</v>
      </c>
      <c r="C96" s="3418">
        <v>12.433999999999999</v>
      </c>
      <c r="D96" s="3331">
        <f t="shared" si="12"/>
        <v>12.433999999999999</v>
      </c>
      <c r="E96" s="3422">
        <v>2.8000000000000001E-2</v>
      </c>
      <c r="F96" s="3420">
        <f t="shared" si="10"/>
        <v>12.405999999999999</v>
      </c>
      <c r="G96" s="3421">
        <f t="shared" si="11"/>
        <v>2.2518899790895932E-3</v>
      </c>
      <c r="H96" s="2614"/>
      <c r="I96" s="994"/>
      <c r="J96" s="3397"/>
      <c r="K96" s="3397"/>
    </row>
    <row r="97" spans="1:15" ht="12">
      <c r="A97" s="2564" t="s">
        <v>477</v>
      </c>
      <c r="B97" s="2565" t="s">
        <v>69</v>
      </c>
      <c r="C97" s="3418">
        <v>16.966999999999999</v>
      </c>
      <c r="D97" s="3331">
        <f t="shared" si="12"/>
        <v>16.966999999999999</v>
      </c>
      <c r="E97" s="3422">
        <v>24.465</v>
      </c>
      <c r="F97" s="3420">
        <f t="shared" si="10"/>
        <v>-7.4980000000000011</v>
      </c>
      <c r="G97" s="3424">
        <f t="shared" si="11"/>
        <v>1.441916661755172</v>
      </c>
      <c r="H97" s="2614">
        <v>41024</v>
      </c>
      <c r="I97" s="994"/>
      <c r="J97" s="3397"/>
      <c r="K97" s="3397"/>
    </row>
    <row r="98" spans="1:15" ht="16.5" customHeight="1">
      <c r="A98" s="2564" t="s">
        <v>478</v>
      </c>
      <c r="B98" s="2565" t="s">
        <v>69</v>
      </c>
      <c r="C98" s="3418">
        <v>7.1120000000000001</v>
      </c>
      <c r="D98" s="3331">
        <f t="shared" si="12"/>
        <v>7.1120000000000001</v>
      </c>
      <c r="E98" s="3422">
        <v>0.15</v>
      </c>
      <c r="F98" s="3420">
        <f t="shared" si="10"/>
        <v>6.9619999999999997</v>
      </c>
      <c r="G98" s="3421">
        <f t="shared" si="11"/>
        <v>2.1091113610798649E-2</v>
      </c>
      <c r="H98" s="2614"/>
      <c r="I98" s="994"/>
      <c r="J98" s="3397"/>
      <c r="K98" s="3397"/>
    </row>
    <row r="99" spans="1:15" ht="12">
      <c r="A99" s="2643" t="s">
        <v>479</v>
      </c>
      <c r="B99" s="2565" t="s">
        <v>69</v>
      </c>
      <c r="C99" s="3418">
        <v>1.907</v>
      </c>
      <c r="D99" s="3345">
        <f t="shared" si="12"/>
        <v>1.907</v>
      </c>
      <c r="E99" s="3425">
        <v>7.37</v>
      </c>
      <c r="F99" s="3420">
        <f t="shared" si="10"/>
        <v>-5.4630000000000001</v>
      </c>
      <c r="G99" s="3424">
        <f t="shared" si="11"/>
        <v>3.8647089669638177</v>
      </c>
      <c r="H99" s="2605" t="s">
        <v>543</v>
      </c>
      <c r="I99" s="994"/>
      <c r="J99" s="3397"/>
      <c r="K99" s="3397"/>
    </row>
    <row r="100" spans="1:15" ht="12">
      <c r="A100" s="2643" t="s">
        <v>481</v>
      </c>
      <c r="B100" s="2565" t="s">
        <v>69</v>
      </c>
      <c r="C100" s="3418">
        <v>3.4969999999999999</v>
      </c>
      <c r="D100" s="3345">
        <f t="shared" si="12"/>
        <v>3.4969999999999999</v>
      </c>
      <c r="E100" s="3425">
        <v>4.3579999999999997</v>
      </c>
      <c r="F100" s="3420">
        <f t="shared" si="10"/>
        <v>-0.86099999999999977</v>
      </c>
      <c r="G100" s="3424">
        <f t="shared" si="11"/>
        <v>1.2462110380325992</v>
      </c>
      <c r="H100" s="3426"/>
      <c r="I100" s="994"/>
      <c r="J100" s="3397"/>
      <c r="K100" s="3397"/>
    </row>
    <row r="101" spans="1:15" ht="12">
      <c r="A101" s="2643" t="s">
        <v>482</v>
      </c>
      <c r="B101" s="2565" t="s">
        <v>69</v>
      </c>
      <c r="C101" s="3418">
        <v>28.382000000000001</v>
      </c>
      <c r="D101" s="3345">
        <f t="shared" si="12"/>
        <v>28.382000000000001</v>
      </c>
      <c r="E101" s="3425">
        <v>1.444</v>
      </c>
      <c r="F101" s="3420">
        <f t="shared" si="10"/>
        <v>26.938000000000002</v>
      </c>
      <c r="G101" s="3421">
        <f t="shared" si="11"/>
        <v>5.0877316609118449E-2</v>
      </c>
      <c r="H101" s="3426"/>
      <c r="I101" s="994"/>
      <c r="J101" s="3397"/>
      <c r="K101" s="3397"/>
    </row>
    <row r="102" spans="1:15" ht="12">
      <c r="A102" s="2643" t="s">
        <v>483</v>
      </c>
      <c r="B102" s="2565" t="s">
        <v>69</v>
      </c>
      <c r="C102" s="3418">
        <v>9.0399999999999991</v>
      </c>
      <c r="D102" s="3345">
        <f t="shared" si="12"/>
        <v>9.0399999999999991</v>
      </c>
      <c r="E102" s="3425">
        <v>2.06</v>
      </c>
      <c r="F102" s="3420">
        <f t="shared" si="10"/>
        <v>6.9799999999999986</v>
      </c>
      <c r="G102" s="3421">
        <f t="shared" si="11"/>
        <v>0.22787610619469029</v>
      </c>
      <c r="H102" s="3427"/>
      <c r="I102" s="994"/>
      <c r="J102" s="3397"/>
      <c r="K102" s="3397"/>
    </row>
    <row r="103" spans="1:15" ht="12">
      <c r="A103" s="2643" t="s">
        <v>480</v>
      </c>
      <c r="B103" s="2565" t="s">
        <v>69</v>
      </c>
      <c r="C103" s="3418">
        <v>33.200000000000003</v>
      </c>
      <c r="D103" s="3345">
        <f>+C103</f>
        <v>33.200000000000003</v>
      </c>
      <c r="E103" s="3425">
        <v>6.8550000000000004</v>
      </c>
      <c r="F103" s="3420">
        <f>+D103-E103</f>
        <v>26.345000000000002</v>
      </c>
      <c r="G103" s="3421">
        <f t="shared" si="11"/>
        <v>0.20647590361445783</v>
      </c>
      <c r="H103" s="2605">
        <v>40968</v>
      </c>
      <c r="I103" s="994"/>
      <c r="J103" s="3397"/>
      <c r="K103" s="3397"/>
    </row>
    <row r="104" spans="1:15" ht="12">
      <c r="A104" s="3403" t="s">
        <v>536</v>
      </c>
      <c r="B104" s="3428" t="s">
        <v>69</v>
      </c>
      <c r="C104" s="3341">
        <v>256.024</v>
      </c>
      <c r="D104" s="3429">
        <f>+C104</f>
        <v>256.024</v>
      </c>
      <c r="E104" s="3430">
        <v>256.024</v>
      </c>
      <c r="F104" s="3431">
        <v>0</v>
      </c>
      <c r="G104" s="3432">
        <f t="shared" si="11"/>
        <v>1</v>
      </c>
      <c r="H104" s="3433" t="s">
        <v>484</v>
      </c>
      <c r="I104" s="994"/>
      <c r="J104" s="3397"/>
      <c r="K104" s="3397"/>
      <c r="L104" s="3397"/>
    </row>
    <row r="105" spans="1:15" ht="12">
      <c r="A105" s="3434" t="s">
        <v>496</v>
      </c>
      <c r="B105" s="2565" t="s">
        <v>69</v>
      </c>
      <c r="C105" s="3435">
        <v>364.02699999999999</v>
      </c>
      <c r="D105" s="3331">
        <f t="shared" si="12"/>
        <v>364.02699999999999</v>
      </c>
      <c r="E105" s="3425">
        <v>281.60899999999998</v>
      </c>
      <c r="F105" s="3420">
        <f t="shared" si="10"/>
        <v>82.418000000000006</v>
      </c>
      <c r="G105" s="3421">
        <f t="shared" si="11"/>
        <v>0.77359371694956691</v>
      </c>
      <c r="H105" s="2614">
        <v>41067</v>
      </c>
      <c r="I105" s="3436"/>
      <c r="J105" s="3397"/>
      <c r="K105" s="3397"/>
      <c r="L105" s="3397"/>
    </row>
    <row r="106" spans="1:15" ht="12">
      <c r="A106" s="2565" t="s">
        <v>133</v>
      </c>
      <c r="B106" s="2565" t="s">
        <v>69</v>
      </c>
      <c r="C106" s="3435">
        <v>1140.1410000000001</v>
      </c>
      <c r="D106" s="3345">
        <f>+C106</f>
        <v>1140.1410000000001</v>
      </c>
      <c r="E106" s="3425">
        <v>108.502</v>
      </c>
      <c r="F106" s="3420">
        <f t="shared" si="10"/>
        <v>1031.6390000000001</v>
      </c>
      <c r="G106" s="3437">
        <f>+E106/D106</f>
        <v>9.5165422522302062E-2</v>
      </c>
      <c r="H106" s="3333"/>
      <c r="I106" s="1877"/>
      <c r="J106" s="3397"/>
    </row>
    <row r="107" spans="1:15" ht="12">
      <c r="A107" s="2565" t="s">
        <v>134</v>
      </c>
      <c r="B107" s="2565" t="s">
        <v>69</v>
      </c>
      <c r="C107" s="3435">
        <v>347.279</v>
      </c>
      <c r="D107" s="3345">
        <f>+C107</f>
        <v>347.279</v>
      </c>
      <c r="E107" s="3425">
        <v>245.48699999999999</v>
      </c>
      <c r="F107" s="3420">
        <f t="shared" si="10"/>
        <v>101.792</v>
      </c>
      <c r="G107" s="3437">
        <f>+E107/D107</f>
        <v>0.70688696984269128</v>
      </c>
      <c r="H107" s="575"/>
      <c r="I107" s="3397"/>
      <c r="J107" s="3397"/>
    </row>
    <row r="108" spans="1:15" ht="12">
      <c r="A108" s="3438" t="s">
        <v>111</v>
      </c>
      <c r="B108" s="3439" t="s">
        <v>69</v>
      </c>
      <c r="C108" s="3440">
        <f>SUM(C90:C107)</f>
        <v>3683.5350000000003</v>
      </c>
      <c r="D108" s="3441">
        <f>SUM(D90:D107)</f>
        <v>3683.5350000000003</v>
      </c>
      <c r="E108" s="3442">
        <f>SUM(E90:E107)</f>
        <v>1500.4129999999998</v>
      </c>
      <c r="F108" s="3443">
        <f>SUM(F90:F107)</f>
        <v>2183.1219999999998</v>
      </c>
      <c r="G108" s="3444"/>
      <c r="H108" s="3445"/>
    </row>
    <row r="109" spans="1:15" ht="24.75" customHeight="1">
      <c r="A109" s="3446"/>
      <c r="B109" s="3447"/>
      <c r="C109" s="3341">
        <f>+C108-C104</f>
        <v>3427.5110000000004</v>
      </c>
      <c r="D109" s="3448"/>
      <c r="E109" s="3449"/>
      <c r="F109" s="3878"/>
      <c r="G109" s="3878"/>
      <c r="H109" s="3450"/>
      <c r="I109" s="3451"/>
      <c r="J109" s="1437"/>
    </row>
    <row r="110" spans="1:15" ht="5.0999999999999996" customHeight="1" thickBot="1">
      <c r="A110" s="143"/>
      <c r="B110" s="143"/>
      <c r="C110" s="3336"/>
      <c r="D110" s="3336"/>
      <c r="E110" s="3336"/>
      <c r="F110" s="3324"/>
      <c r="G110" s="153"/>
      <c r="H110" s="3328"/>
    </row>
    <row r="111" spans="1:15" ht="12">
      <c r="A111" s="1432" t="s">
        <v>130</v>
      </c>
      <c r="B111" s="1432" t="s">
        <v>107</v>
      </c>
      <c r="C111" s="792" t="s">
        <v>108</v>
      </c>
      <c r="D111" s="792" t="s">
        <v>109</v>
      </c>
      <c r="E111" s="1432" t="s">
        <v>47</v>
      </c>
      <c r="F111" s="3329" t="s">
        <v>48</v>
      </c>
      <c r="G111" s="1432" t="s">
        <v>131</v>
      </c>
      <c r="H111" s="3452" t="s">
        <v>50</v>
      </c>
      <c r="I111" s="3453" t="s">
        <v>857</v>
      </c>
      <c r="J111" s="3454" t="s">
        <v>1191</v>
      </c>
      <c r="K111" s="1011" t="s">
        <v>1192</v>
      </c>
    </row>
    <row r="112" spans="1:15" ht="18" customHeight="1">
      <c r="A112" s="3330" t="s">
        <v>470</v>
      </c>
      <c r="B112" s="611" t="s">
        <v>70</v>
      </c>
      <c r="C112" s="3455">
        <f>340+50</f>
        <v>390</v>
      </c>
      <c r="D112" s="3456">
        <f>+C112+F90</f>
        <v>1045.741</v>
      </c>
      <c r="E112" s="3097">
        <f>+K112</f>
        <v>965.12899999999991</v>
      </c>
      <c r="F112" s="3457">
        <f t="shared" ref="F112:F126" si="13">+D112-E112</f>
        <v>80.61200000000008</v>
      </c>
      <c r="G112" s="3437">
        <f t="shared" ref="G112:G131" si="14">+E112/D112</f>
        <v>0.92291399113164729</v>
      </c>
      <c r="H112" s="3458"/>
      <c r="I112" s="3459">
        <v>397.25900000000001</v>
      </c>
      <c r="J112" s="3422">
        <v>1362.3879999999999</v>
      </c>
      <c r="K112" s="3460">
        <f>+J112-I112</f>
        <v>965.12899999999991</v>
      </c>
      <c r="M112" s="510">
        <v>1</v>
      </c>
      <c r="O112" s="1468"/>
    </row>
    <row r="113" spans="1:15" ht="12">
      <c r="A113" s="2564" t="s">
        <v>471</v>
      </c>
      <c r="B113" s="611" t="s">
        <v>70</v>
      </c>
      <c r="C113" s="3345">
        <v>19.846</v>
      </c>
      <c r="D113" s="3456">
        <f t="shared" ref="D113:D124" si="15">+C113+F91</f>
        <v>62.984999999999999</v>
      </c>
      <c r="E113" s="3097">
        <f t="shared" ref="E113:E131" si="16">+K113</f>
        <v>50.667999999999999</v>
      </c>
      <c r="F113" s="3457">
        <f t="shared" si="13"/>
        <v>12.317</v>
      </c>
      <c r="G113" s="3437">
        <f t="shared" si="14"/>
        <v>0.80444550289751526</v>
      </c>
      <c r="H113" s="3458"/>
      <c r="I113" s="3459">
        <v>9.1270000000000007</v>
      </c>
      <c r="J113" s="3422">
        <v>59.795000000000002</v>
      </c>
      <c r="K113" s="3460">
        <f t="shared" ref="K113:K131" si="17">+J113-I113</f>
        <v>50.667999999999999</v>
      </c>
      <c r="M113" s="510">
        <v>2</v>
      </c>
      <c r="O113" s="1468"/>
    </row>
    <row r="114" spans="1:15" ht="12">
      <c r="A114" s="2564" t="s">
        <v>472</v>
      </c>
      <c r="B114" s="611" t="s">
        <v>70</v>
      </c>
      <c r="C114" s="3345">
        <f>0.51+2</f>
        <v>2.5099999999999998</v>
      </c>
      <c r="D114" s="3456">
        <f t="shared" si="15"/>
        <v>3.3979999999999997</v>
      </c>
      <c r="E114" s="3097">
        <f t="shared" si="16"/>
        <v>1.5</v>
      </c>
      <c r="F114" s="3457">
        <f t="shared" si="13"/>
        <v>1.8979999999999997</v>
      </c>
      <c r="G114" s="3461">
        <f t="shared" si="14"/>
        <v>0.44143613890523842</v>
      </c>
      <c r="H114" s="3462">
        <v>41220</v>
      </c>
      <c r="I114" s="3459">
        <v>0.45500000000000002</v>
      </c>
      <c r="J114" s="3422">
        <v>1.9550000000000001</v>
      </c>
      <c r="K114" s="3460">
        <f t="shared" si="17"/>
        <v>1.5</v>
      </c>
      <c r="L114" s="359"/>
      <c r="M114" s="510">
        <v>3</v>
      </c>
      <c r="O114" s="1468"/>
    </row>
    <row r="115" spans="1:15" ht="12">
      <c r="A115" s="2564" t="s">
        <v>473</v>
      </c>
      <c r="B115" s="611" t="s">
        <v>70</v>
      </c>
      <c r="C115" s="3345">
        <v>73.141000000000005</v>
      </c>
      <c r="D115" s="3456">
        <f t="shared" si="15"/>
        <v>229.88200000000001</v>
      </c>
      <c r="E115" s="3097">
        <f t="shared" si="16"/>
        <v>197.53399999999999</v>
      </c>
      <c r="F115" s="3457">
        <f t="shared" si="13"/>
        <v>32.348000000000013</v>
      </c>
      <c r="G115" s="3437">
        <f t="shared" si="14"/>
        <v>0.85928432848156877</v>
      </c>
      <c r="H115" s="3458"/>
      <c r="I115" s="3459">
        <v>35.878</v>
      </c>
      <c r="J115" s="3422">
        <v>233.41200000000001</v>
      </c>
      <c r="K115" s="3460">
        <f t="shared" si="17"/>
        <v>197.53399999999999</v>
      </c>
      <c r="M115" s="510">
        <v>4</v>
      </c>
      <c r="O115" s="1468"/>
    </row>
    <row r="116" spans="1:15" ht="12">
      <c r="A116" s="2564" t="s">
        <v>474</v>
      </c>
      <c r="B116" s="611" t="s">
        <v>70</v>
      </c>
      <c r="C116" s="3345">
        <v>33.436999999999998</v>
      </c>
      <c r="D116" s="3456">
        <f t="shared" si="15"/>
        <v>30.213000000000008</v>
      </c>
      <c r="E116" s="3097">
        <f t="shared" si="16"/>
        <v>30.218000000000004</v>
      </c>
      <c r="F116" s="3463">
        <f t="shared" si="13"/>
        <v>-4.9999999999954525E-3</v>
      </c>
      <c r="G116" s="3464">
        <f t="shared" si="14"/>
        <v>1.0001654916757685</v>
      </c>
      <c r="H116" s="3458"/>
      <c r="I116" s="3459">
        <v>91.281999999999996</v>
      </c>
      <c r="J116" s="3422">
        <v>121.5</v>
      </c>
      <c r="K116" s="3460">
        <f t="shared" si="17"/>
        <v>30.218000000000004</v>
      </c>
      <c r="L116" s="2687" t="s">
        <v>644</v>
      </c>
      <c r="M116" s="510">
        <v>5</v>
      </c>
      <c r="O116" s="1468"/>
    </row>
    <row r="117" spans="1:15" ht="12">
      <c r="A117" s="2643" t="s">
        <v>475</v>
      </c>
      <c r="B117" s="611" t="s">
        <v>70</v>
      </c>
      <c r="C117" s="3345">
        <v>28.949000000000002</v>
      </c>
      <c r="D117" s="3456">
        <f t="shared" si="15"/>
        <v>77.128</v>
      </c>
      <c r="E117" s="3097">
        <f t="shared" si="16"/>
        <v>76.495000000000005</v>
      </c>
      <c r="F117" s="3457">
        <f t="shared" si="13"/>
        <v>0.63299999999999557</v>
      </c>
      <c r="G117" s="3546">
        <f t="shared" si="14"/>
        <v>0.99179286381080811</v>
      </c>
      <c r="H117" s="3458"/>
      <c r="I117" s="3459">
        <v>28.06</v>
      </c>
      <c r="J117" s="3422">
        <v>104.55500000000001</v>
      </c>
      <c r="K117" s="3460">
        <f t="shared" si="17"/>
        <v>76.495000000000005</v>
      </c>
      <c r="M117" s="510">
        <v>6</v>
      </c>
      <c r="O117" s="1468"/>
    </row>
    <row r="118" spans="1:15" ht="12">
      <c r="A118" s="2564" t="s">
        <v>476</v>
      </c>
      <c r="B118" s="611" t="s">
        <v>70</v>
      </c>
      <c r="C118" s="3345">
        <v>4.7210000000000001</v>
      </c>
      <c r="D118" s="3456">
        <f t="shared" si="15"/>
        <v>17.126999999999999</v>
      </c>
      <c r="E118" s="3097">
        <f t="shared" si="16"/>
        <v>15.426</v>
      </c>
      <c r="F118" s="3457">
        <f t="shared" si="13"/>
        <v>1.7009999999999987</v>
      </c>
      <c r="G118" s="3437">
        <f t="shared" si="14"/>
        <v>0.90068313189700477</v>
      </c>
      <c r="H118" s="3458"/>
      <c r="I118" s="3459">
        <v>2.8000000000000001E-2</v>
      </c>
      <c r="J118" s="3422">
        <v>15.454000000000001</v>
      </c>
      <c r="K118" s="3460">
        <f t="shared" si="17"/>
        <v>15.426</v>
      </c>
      <c r="M118" s="510">
        <v>7</v>
      </c>
      <c r="O118" s="1468"/>
    </row>
    <row r="119" spans="1:15" ht="12">
      <c r="A119" s="2643" t="s">
        <v>477</v>
      </c>
      <c r="B119" s="611" t="s">
        <v>70</v>
      </c>
      <c r="C119" s="3345">
        <f>6.443+24</f>
        <v>30.442999999999998</v>
      </c>
      <c r="D119" s="3456">
        <f t="shared" si="15"/>
        <v>22.944999999999997</v>
      </c>
      <c r="E119" s="3097">
        <f t="shared" si="16"/>
        <v>3.3249999999999993</v>
      </c>
      <c r="F119" s="3457">
        <f t="shared" si="13"/>
        <v>19.619999999999997</v>
      </c>
      <c r="G119" s="3544">
        <f t="shared" si="14"/>
        <v>0.1449117454783177</v>
      </c>
      <c r="H119" s="3465">
        <v>41024</v>
      </c>
      <c r="I119" s="3466">
        <v>24.465</v>
      </c>
      <c r="J119" s="3422">
        <v>27.79</v>
      </c>
      <c r="K119" s="3460">
        <f t="shared" si="17"/>
        <v>3.3249999999999993</v>
      </c>
      <c r="L119" s="359"/>
      <c r="M119" s="359">
        <v>8</v>
      </c>
      <c r="O119" s="1468"/>
    </row>
    <row r="120" spans="1:15" ht="12">
      <c r="A120" s="2643" t="s">
        <v>478</v>
      </c>
      <c r="B120" s="611" t="s">
        <v>70</v>
      </c>
      <c r="C120" s="3345">
        <f>2.7+10</f>
        <v>12.7</v>
      </c>
      <c r="D120" s="3456">
        <f t="shared" si="15"/>
        <v>19.661999999999999</v>
      </c>
      <c r="E120" s="3097">
        <f t="shared" si="16"/>
        <v>9.65</v>
      </c>
      <c r="F120" s="3457">
        <f t="shared" si="13"/>
        <v>10.011999999999999</v>
      </c>
      <c r="G120" s="3544">
        <f t="shared" si="14"/>
        <v>0.49079442579595162</v>
      </c>
      <c r="H120" s="3465">
        <v>41190</v>
      </c>
      <c r="I120" s="3466">
        <v>0.15</v>
      </c>
      <c r="J120" s="3422">
        <v>9.8000000000000007</v>
      </c>
      <c r="K120" s="3460">
        <f t="shared" si="17"/>
        <v>9.65</v>
      </c>
      <c r="L120" s="359"/>
      <c r="M120" s="359">
        <v>9</v>
      </c>
      <c r="O120" s="1468"/>
    </row>
    <row r="121" spans="1:15" ht="12">
      <c r="A121" s="2643" t="s">
        <v>479</v>
      </c>
      <c r="B121" s="611" t="s">
        <v>70</v>
      </c>
      <c r="C121" s="3345">
        <f>0.724+10</f>
        <v>10.724</v>
      </c>
      <c r="D121" s="3456">
        <f t="shared" si="15"/>
        <v>5.2610000000000001</v>
      </c>
      <c r="E121" s="3097">
        <f t="shared" si="16"/>
        <v>0.79</v>
      </c>
      <c r="F121" s="3457">
        <f t="shared" si="13"/>
        <v>4.4710000000000001</v>
      </c>
      <c r="G121" s="3544">
        <f t="shared" si="14"/>
        <v>0.15016156624215929</v>
      </c>
      <c r="H121" s="3465">
        <v>40984</v>
      </c>
      <c r="I121" s="3466">
        <v>7.37</v>
      </c>
      <c r="J121" s="3422">
        <v>8.16</v>
      </c>
      <c r="K121" s="3460">
        <f t="shared" si="17"/>
        <v>0.79</v>
      </c>
      <c r="L121" s="359"/>
      <c r="M121" s="359">
        <v>10</v>
      </c>
      <c r="O121" s="1468"/>
    </row>
    <row r="122" spans="1:15" ht="12">
      <c r="A122" s="2643" t="s">
        <v>481</v>
      </c>
      <c r="B122" s="611" t="s">
        <v>70</v>
      </c>
      <c r="C122" s="3345">
        <f>1.328+10</f>
        <v>11.327999999999999</v>
      </c>
      <c r="D122" s="3456">
        <f t="shared" si="15"/>
        <v>10.466999999999999</v>
      </c>
      <c r="E122" s="3097">
        <f t="shared" si="16"/>
        <v>4.7229999999999999</v>
      </c>
      <c r="F122" s="3457">
        <f t="shared" si="13"/>
        <v>5.7439999999999989</v>
      </c>
      <c r="G122" s="3544">
        <f t="shared" si="14"/>
        <v>0.45122766790866536</v>
      </c>
      <c r="H122" s="3465">
        <v>40968</v>
      </c>
      <c r="I122" s="3466">
        <v>4.3579999999999997</v>
      </c>
      <c r="J122" s="3422">
        <v>9.0809999999999995</v>
      </c>
      <c r="K122" s="3460">
        <f t="shared" si="17"/>
        <v>4.7229999999999999</v>
      </c>
      <c r="L122" s="359"/>
      <c r="M122" s="359">
        <v>11</v>
      </c>
      <c r="O122" s="1468"/>
    </row>
    <row r="123" spans="1:15" ht="12">
      <c r="A123" s="2643" t="s">
        <v>482</v>
      </c>
      <c r="B123" s="611" t="s">
        <v>70</v>
      </c>
      <c r="C123" s="3345">
        <v>10.776999999999999</v>
      </c>
      <c r="D123" s="3456">
        <f t="shared" si="15"/>
        <v>37.715000000000003</v>
      </c>
      <c r="E123" s="3097">
        <f t="shared" si="16"/>
        <v>27.875</v>
      </c>
      <c r="F123" s="3457">
        <f t="shared" si="13"/>
        <v>9.8400000000000034</v>
      </c>
      <c r="G123" s="3544">
        <f t="shared" si="14"/>
        <v>0.73909585045737758</v>
      </c>
      <c r="H123" s="3467"/>
      <c r="I123" s="3466">
        <v>1.444</v>
      </c>
      <c r="J123" s="3422">
        <v>29.318999999999999</v>
      </c>
      <c r="K123" s="3460">
        <f t="shared" si="17"/>
        <v>27.875</v>
      </c>
      <c r="L123" s="359"/>
      <c r="M123" s="510">
        <v>12</v>
      </c>
      <c r="O123" s="1468"/>
    </row>
    <row r="124" spans="1:15" ht="12">
      <c r="A124" s="2643" t="s">
        <v>483</v>
      </c>
      <c r="B124" s="611" t="s">
        <v>70</v>
      </c>
      <c r="C124" s="3345">
        <v>3.4329999999999998</v>
      </c>
      <c r="D124" s="3456">
        <f t="shared" si="15"/>
        <v>10.412999999999998</v>
      </c>
      <c r="E124" s="3097">
        <f t="shared" si="16"/>
        <v>6.2809999999999988</v>
      </c>
      <c r="F124" s="3457">
        <f t="shared" si="13"/>
        <v>4.1319999999999997</v>
      </c>
      <c r="G124" s="3544">
        <f t="shared" si="14"/>
        <v>0.60318832228944586</v>
      </c>
      <c r="H124" s="3467"/>
      <c r="I124" s="3466">
        <v>2.06</v>
      </c>
      <c r="J124" s="3422">
        <v>8.3409999999999993</v>
      </c>
      <c r="K124" s="3460">
        <f t="shared" si="17"/>
        <v>6.2809999999999988</v>
      </c>
      <c r="L124" s="359"/>
      <c r="M124" s="510">
        <v>13</v>
      </c>
      <c r="O124" s="1468"/>
    </row>
    <row r="125" spans="1:15" ht="12">
      <c r="A125" s="2643" t="s">
        <v>480</v>
      </c>
      <c r="B125" s="611" t="s">
        <v>70</v>
      </c>
      <c r="C125" s="3345">
        <v>5.6070000000000002</v>
      </c>
      <c r="D125" s="3456">
        <f>+C125+F103</f>
        <v>31.952000000000002</v>
      </c>
      <c r="E125" s="3097">
        <f t="shared" si="16"/>
        <v>0.60899999999999999</v>
      </c>
      <c r="F125" s="3457">
        <f>+D125-E125</f>
        <v>31.343000000000004</v>
      </c>
      <c r="G125" s="3544">
        <f>+E125/D125</f>
        <v>1.9059839759639458E-2</v>
      </c>
      <c r="H125" s="3465" t="s">
        <v>1089</v>
      </c>
      <c r="I125" s="3466">
        <v>6.8550000000000004</v>
      </c>
      <c r="J125" s="3422">
        <v>7.4640000000000004</v>
      </c>
      <c r="K125" s="3460">
        <f t="shared" si="17"/>
        <v>0.60899999999999999</v>
      </c>
      <c r="L125" s="359"/>
      <c r="M125" s="510">
        <v>14</v>
      </c>
      <c r="O125" s="1468"/>
    </row>
    <row r="126" spans="1:15" ht="12">
      <c r="A126" s="3469" t="s">
        <v>497</v>
      </c>
      <c r="B126" s="611" t="s">
        <v>70</v>
      </c>
      <c r="C126" s="3345">
        <f>0.256+50</f>
        <v>50.256</v>
      </c>
      <c r="D126" s="3456">
        <f>+C126+F105</f>
        <v>132.67400000000001</v>
      </c>
      <c r="E126" s="3097">
        <f t="shared" si="16"/>
        <v>98.742999999999995</v>
      </c>
      <c r="F126" s="3468">
        <f t="shared" si="13"/>
        <v>33.931000000000012</v>
      </c>
      <c r="G126" s="3544">
        <f t="shared" si="14"/>
        <v>0.74425283024556421</v>
      </c>
      <c r="H126" s="3465">
        <v>41114</v>
      </c>
      <c r="I126" s="3466">
        <v>281.60899999999998</v>
      </c>
      <c r="J126" s="3425">
        <v>380.35199999999998</v>
      </c>
      <c r="K126" s="3460">
        <f t="shared" si="17"/>
        <v>98.742999999999995</v>
      </c>
      <c r="L126" s="359"/>
      <c r="M126" s="510">
        <v>15</v>
      </c>
      <c r="O126" s="1468"/>
    </row>
    <row r="127" spans="1:15" ht="12">
      <c r="A127" s="2565" t="s">
        <v>133</v>
      </c>
      <c r="B127" s="611" t="s">
        <v>70</v>
      </c>
      <c r="C127" s="3345">
        <v>380.04700000000003</v>
      </c>
      <c r="D127" s="3345">
        <f>+C127+F106-656</f>
        <v>755.68600000000015</v>
      </c>
      <c r="E127" s="3097">
        <f t="shared" si="16"/>
        <v>380.75900000000001</v>
      </c>
      <c r="F127" s="576">
        <f>+D127-E127</f>
        <v>374.92700000000013</v>
      </c>
      <c r="G127" s="3544">
        <f t="shared" si="14"/>
        <v>0.50385874556363353</v>
      </c>
      <c r="H127" s="3467"/>
      <c r="I127" s="3466">
        <v>108.502</v>
      </c>
      <c r="J127" s="3425">
        <v>489.26100000000002</v>
      </c>
      <c r="K127" s="3460">
        <f t="shared" si="17"/>
        <v>380.75900000000001</v>
      </c>
      <c r="L127" s="359"/>
      <c r="M127" s="510">
        <v>16</v>
      </c>
      <c r="O127" s="1468"/>
    </row>
    <row r="128" spans="1:15" ht="12">
      <c r="A128" s="3470" t="s">
        <v>134</v>
      </c>
      <c r="B128" s="3471" t="s">
        <v>70</v>
      </c>
      <c r="C128" s="3472">
        <v>115.76</v>
      </c>
      <c r="D128" s="3472">
        <f>+C128+F107</f>
        <v>217.55200000000002</v>
      </c>
      <c r="E128" s="3097">
        <f t="shared" si="16"/>
        <v>1.9720000000000084</v>
      </c>
      <c r="F128" s="576">
        <f>+D128-E128</f>
        <v>215.58</v>
      </c>
      <c r="G128" s="3545">
        <f t="shared" si="14"/>
        <v>9.0644995219534095E-3</v>
      </c>
      <c r="H128" s="3473"/>
      <c r="I128" s="3466">
        <v>245.48699999999999</v>
      </c>
      <c r="J128" s="3425">
        <v>247.459</v>
      </c>
      <c r="K128" s="3460">
        <f t="shared" si="17"/>
        <v>1.9720000000000084</v>
      </c>
      <c r="L128" s="359"/>
      <c r="M128" s="510">
        <v>17</v>
      </c>
      <c r="O128" s="1468"/>
    </row>
    <row r="129" spans="1:15" ht="12">
      <c r="A129" s="3470" t="s">
        <v>967</v>
      </c>
      <c r="B129" s="611" t="s">
        <v>70</v>
      </c>
      <c r="C129" s="3345">
        <v>50</v>
      </c>
      <c r="D129" s="3345">
        <f>+C129</f>
        <v>50</v>
      </c>
      <c r="E129" s="3097">
        <f t="shared" si="16"/>
        <v>3.2890000000000001</v>
      </c>
      <c r="F129" s="576">
        <f>+D129-E129</f>
        <v>46.710999999999999</v>
      </c>
      <c r="G129" s="3461">
        <f t="shared" si="14"/>
        <v>6.5780000000000005E-2</v>
      </c>
      <c r="H129" s="3467"/>
      <c r="I129" s="3466">
        <v>0</v>
      </c>
      <c r="J129" s="3425">
        <v>3.2890000000000001</v>
      </c>
      <c r="K129" s="3460">
        <f t="shared" si="17"/>
        <v>3.2890000000000001</v>
      </c>
      <c r="L129" s="359"/>
      <c r="M129" s="510">
        <v>18</v>
      </c>
      <c r="O129" s="1468"/>
    </row>
    <row r="130" spans="1:15" ht="15.75" customHeight="1">
      <c r="A130" s="3474" t="s">
        <v>1090</v>
      </c>
      <c r="B130" s="3475" t="s">
        <v>70</v>
      </c>
      <c r="C130" s="3345">
        <v>7</v>
      </c>
      <c r="D130" s="3345">
        <f>+C130</f>
        <v>7</v>
      </c>
      <c r="E130" s="3097">
        <f t="shared" si="16"/>
        <v>0</v>
      </c>
      <c r="F130" s="576">
        <f>+D130-E130</f>
        <v>7</v>
      </c>
      <c r="G130" s="3461">
        <f t="shared" si="14"/>
        <v>0</v>
      </c>
      <c r="H130" s="3467"/>
      <c r="I130" s="3466">
        <v>0</v>
      </c>
      <c r="J130" s="3425">
        <v>0</v>
      </c>
      <c r="K130" s="3460">
        <f t="shared" si="17"/>
        <v>0</v>
      </c>
      <c r="L130" s="359"/>
      <c r="M130" s="510">
        <v>19</v>
      </c>
      <c r="O130" s="1468"/>
    </row>
    <row r="131" spans="1:15" ht="21" thickBot="1">
      <c r="A131" s="3476" t="s">
        <v>1213</v>
      </c>
      <c r="B131" s="3477"/>
      <c r="C131" s="3478">
        <v>10</v>
      </c>
      <c r="D131" s="3478">
        <v>10</v>
      </c>
      <c r="E131" s="3097">
        <f t="shared" si="16"/>
        <v>0</v>
      </c>
      <c r="F131" s="576">
        <f>+D131-E131</f>
        <v>10</v>
      </c>
      <c r="G131" s="3461">
        <f t="shared" si="14"/>
        <v>0</v>
      </c>
      <c r="H131" s="3479"/>
      <c r="I131" s="3480">
        <v>0</v>
      </c>
      <c r="J131" s="3481">
        <v>0</v>
      </c>
      <c r="K131" s="3482">
        <f t="shared" si="17"/>
        <v>0</v>
      </c>
      <c r="L131" s="359"/>
      <c r="O131" s="1468"/>
    </row>
    <row r="132" spans="1:15" ht="12">
      <c r="A132" s="617" t="s">
        <v>111</v>
      </c>
      <c r="B132" s="3483" t="s">
        <v>70</v>
      </c>
      <c r="C132" s="3484">
        <f>SUM(C112:C131)</f>
        <v>1250.6789999999999</v>
      </c>
      <c r="D132" s="3485">
        <f>SUM(D112:D130)</f>
        <v>2767.8009999999999</v>
      </c>
      <c r="E132" s="3486">
        <f>SUM(E112:E130)</f>
        <v>1874.9859999999996</v>
      </c>
      <c r="F132" s="3487">
        <f>SUM(F112:F131)</f>
        <v>902.81500000000028</v>
      </c>
      <c r="G132" s="141"/>
      <c r="H132" s="3323"/>
      <c r="I132" s="3397">
        <f>SUM(I112:I130)</f>
        <v>1244.3889999999999</v>
      </c>
      <c r="J132" s="3397">
        <f>SUM(J112:J130)</f>
        <v>3119.3749999999995</v>
      </c>
      <c r="K132" s="3397">
        <f>SUM(K112:K130)</f>
        <v>1874.9859999999996</v>
      </c>
      <c r="L132" s="3397"/>
    </row>
    <row r="133" spans="1:15">
      <c r="C133" s="3543">
        <f>+C109+C132</f>
        <v>4678.1900000000005</v>
      </c>
      <c r="D133" s="3397"/>
      <c r="E133" s="3397"/>
      <c r="I133" s="1437"/>
    </row>
    <row r="134" spans="1:15">
      <c r="C134" s="3397"/>
      <c r="G134" s="3182"/>
      <c r="H134" s="3489"/>
    </row>
    <row r="135" spans="1:15">
      <c r="C135" s="3397"/>
      <c r="E135" s="2170"/>
      <c r="G135" s="3182"/>
    </row>
    <row r="136" spans="1:15">
      <c r="D136" s="3490"/>
      <c r="E136" s="2170"/>
    </row>
    <row r="137" spans="1:15">
      <c r="E137" s="2170"/>
    </row>
    <row r="138" spans="1:15">
      <c r="E138" s="2170"/>
    </row>
    <row r="139" spans="1:15">
      <c r="E139" s="2170"/>
    </row>
    <row r="140" spans="1:15">
      <c r="E140" s="2170"/>
    </row>
    <row r="141" spans="1:15">
      <c r="E141" s="2170"/>
    </row>
    <row r="142" spans="1:15">
      <c r="E142" s="2170"/>
    </row>
    <row r="143" spans="1:15">
      <c r="E143" s="2170"/>
    </row>
    <row r="144" spans="1:15">
      <c r="E144" s="2170"/>
    </row>
    <row r="145" spans="5:5">
      <c r="E145" s="2170"/>
    </row>
    <row r="146" spans="5:5">
      <c r="E146" s="2170"/>
    </row>
    <row r="147" spans="5:5">
      <c r="E147" s="2170"/>
    </row>
    <row r="148" spans="5:5">
      <c r="E148" s="2170"/>
    </row>
    <row r="149" spans="5:5">
      <c r="E149" s="2170"/>
    </row>
    <row r="150" spans="5:5">
      <c r="E150" s="2170"/>
    </row>
    <row r="151" spans="5:5">
      <c r="E151" s="2170"/>
    </row>
  </sheetData>
  <mergeCells count="7">
    <mergeCell ref="F109:G109"/>
    <mergeCell ref="A51:B51"/>
    <mergeCell ref="A87:B87"/>
    <mergeCell ref="A2:H2"/>
    <mergeCell ref="A5:B5"/>
    <mergeCell ref="A19:B19"/>
    <mergeCell ref="A39:B39"/>
  </mergeCells>
  <phoneticPr fontId="0" type="noConversion"/>
  <printOptions horizontalCentered="1" verticalCentered="1"/>
  <pageMargins left="0.75" right="0.75" top="1" bottom="1" header="0" footer="0"/>
  <pageSetup paperSize="5" orientation="landscape" r:id="rId1"/>
  <headerFooter alignWithMargins="0"/>
  <legacyDrawing r:id="rId2"/>
  <oleObjects>
    <oleObject progId="MSPhotoEd.3" shapeId="1026" r:id="rId3"/>
  </oleObjects>
</worksheet>
</file>

<file path=xl/worksheets/sheet11.xml><?xml version="1.0" encoding="utf-8"?>
<worksheet xmlns="http://schemas.openxmlformats.org/spreadsheetml/2006/main" xmlns:r="http://schemas.openxmlformats.org/officeDocument/2006/relationships">
  <dimension ref="A2:BZ514"/>
  <sheetViews>
    <sheetView zoomScale="85" zoomScaleNormal="85" zoomScaleSheetLayoutView="50" workbookViewId="0">
      <selection activeCell="J14" sqref="J14"/>
    </sheetView>
  </sheetViews>
  <sheetFormatPr baseColWidth="10" defaultColWidth="11.44140625" defaultRowHeight="13.2"/>
  <cols>
    <col min="1" max="1" width="15.44140625" style="189" customWidth="1"/>
    <col min="2" max="2" width="14.5546875" style="189" customWidth="1"/>
    <col min="3" max="3" width="6.109375" style="189" bestFit="1" customWidth="1"/>
    <col min="4" max="5" width="7.6640625" style="189" customWidth="1"/>
    <col min="6" max="7" width="6.5546875" style="189" customWidth="1"/>
    <col min="8" max="10" width="6.6640625" style="189" bestFit="1" customWidth="1"/>
    <col min="11" max="11" width="7.6640625" style="189" customWidth="1"/>
    <col min="12" max="12" width="9.109375" style="189" customWidth="1"/>
    <col min="13" max="16" width="6.5546875" style="189" customWidth="1"/>
    <col min="17" max="17" width="7.109375" style="189" bestFit="1" customWidth="1"/>
    <col min="18" max="18" width="6.88671875" style="189" customWidth="1"/>
    <col min="19" max="21" width="6.5546875" style="189" customWidth="1"/>
    <col min="22" max="22" width="8.5546875" style="189" customWidth="1"/>
    <col min="23" max="23" width="8" style="189" customWidth="1"/>
    <col min="24" max="24" width="8.6640625" style="189" customWidth="1"/>
    <col min="25" max="26" width="7.109375" style="189" bestFit="1" customWidth="1"/>
    <col min="27" max="28" width="6.5546875" style="189" customWidth="1"/>
    <col min="29" max="29" width="8" style="189" customWidth="1"/>
    <col min="30" max="30" width="7.88671875" style="189" customWidth="1"/>
    <col min="31" max="31" width="6.5546875" style="189" customWidth="1"/>
    <col min="32" max="32" width="7.88671875" style="189" customWidth="1"/>
    <col min="33" max="33" width="7.109375" style="189" customWidth="1"/>
    <col min="34" max="34" width="12.109375" style="189" customWidth="1"/>
    <col min="35" max="16384" width="11.44140625" style="189"/>
  </cols>
  <sheetData>
    <row r="2" spans="1:34" ht="15">
      <c r="A2" s="3854" t="s">
        <v>400</v>
      </c>
      <c r="B2" s="3855"/>
      <c r="C2" s="3855"/>
      <c r="D2" s="3855"/>
      <c r="E2" s="3855"/>
      <c r="F2" s="3855"/>
      <c r="G2" s="3855"/>
      <c r="H2" s="3855"/>
      <c r="I2" s="3855"/>
      <c r="J2" s="3855"/>
      <c r="K2" s="3855"/>
      <c r="L2" s="3855"/>
      <c r="M2" s="3855"/>
      <c r="N2" s="3855"/>
      <c r="O2" s="3855"/>
      <c r="P2" s="3855"/>
      <c r="Q2" s="3855"/>
      <c r="R2" s="3855"/>
      <c r="S2" s="3855"/>
      <c r="T2" s="3856"/>
      <c r="U2" s="14"/>
      <c r="V2" s="14"/>
      <c r="W2" s="14"/>
      <c r="X2" s="14"/>
      <c r="Y2" s="14"/>
      <c r="Z2" s="14"/>
      <c r="AA2" s="14"/>
      <c r="AB2" s="14"/>
      <c r="AC2" s="14"/>
      <c r="AD2" s="14"/>
      <c r="AE2" s="14"/>
      <c r="AF2" s="14"/>
      <c r="AG2" s="14"/>
      <c r="AH2" s="1"/>
    </row>
    <row r="3" spans="1:34" s="190" customFormat="1" ht="15">
      <c r="A3" s="121"/>
      <c r="B3" s="122"/>
      <c r="C3" s="122"/>
      <c r="D3" s="122"/>
      <c r="E3" s="122"/>
      <c r="F3" s="122"/>
      <c r="G3" s="122"/>
      <c r="H3" s="122"/>
      <c r="I3" s="122"/>
      <c r="J3" s="122"/>
      <c r="K3" s="122"/>
      <c r="L3" s="122"/>
      <c r="M3" s="122"/>
      <c r="N3" s="122"/>
      <c r="O3" s="122"/>
      <c r="P3" s="122"/>
      <c r="Q3" s="122"/>
      <c r="R3" s="122"/>
      <c r="S3" s="104"/>
      <c r="T3" s="104"/>
      <c r="U3" s="14"/>
      <c r="V3" s="14"/>
      <c r="W3" s="14"/>
      <c r="X3" s="14"/>
      <c r="Y3" s="14"/>
      <c r="Z3" s="14"/>
      <c r="AA3" s="14"/>
      <c r="AB3" s="14"/>
      <c r="AC3" s="14"/>
      <c r="AD3" s="14"/>
      <c r="AE3" s="14"/>
      <c r="AF3" s="14"/>
      <c r="AG3" s="14"/>
      <c r="AH3" s="14"/>
    </row>
    <row r="4" spans="1:34" s="197" customFormat="1" ht="15">
      <c r="A4" s="121"/>
      <c r="B4" s="122"/>
      <c r="C4" s="122"/>
      <c r="D4" s="122"/>
      <c r="E4" s="122"/>
      <c r="F4" s="122"/>
      <c r="G4" s="122"/>
      <c r="H4" s="122"/>
      <c r="I4" s="122"/>
      <c r="J4" s="122"/>
      <c r="K4" s="122"/>
      <c r="L4" s="122"/>
      <c r="M4" s="122"/>
      <c r="N4" s="122"/>
      <c r="O4" s="122"/>
      <c r="P4" s="122"/>
      <c r="Q4" s="122"/>
      <c r="R4" s="122"/>
      <c r="S4" s="122"/>
      <c r="T4" s="122"/>
      <c r="U4" s="196"/>
      <c r="V4" s="196"/>
      <c r="W4" s="196"/>
      <c r="X4" s="196"/>
      <c r="Y4" s="196"/>
      <c r="Z4" s="196"/>
      <c r="AA4" s="196"/>
      <c r="AB4" s="196"/>
      <c r="AC4" s="196"/>
      <c r="AD4" s="196"/>
      <c r="AE4" s="196"/>
      <c r="AF4" s="196"/>
      <c r="AG4" s="196"/>
      <c r="AH4" s="196"/>
    </row>
    <row r="5" spans="1:34" ht="15">
      <c r="A5" s="3881" t="s">
        <v>129</v>
      </c>
      <c r="B5" s="3882"/>
      <c r="C5" s="3882"/>
      <c r="D5" s="3882"/>
      <c r="E5" s="3882"/>
      <c r="F5" s="3882"/>
      <c r="G5" s="3882"/>
      <c r="H5" s="3882"/>
      <c r="I5" s="3882"/>
      <c r="J5" s="3882"/>
      <c r="K5" s="3882"/>
      <c r="L5" s="3882"/>
      <c r="M5" s="3882"/>
      <c r="N5" s="3882"/>
      <c r="O5" s="3882"/>
      <c r="P5" s="3882"/>
      <c r="Q5" s="3882"/>
      <c r="R5" s="3883"/>
      <c r="S5" s="14"/>
      <c r="T5" s="14"/>
      <c r="U5" s="14"/>
      <c r="V5" s="14"/>
      <c r="W5" s="14"/>
      <c r="X5" s="14"/>
      <c r="Y5" s="14"/>
      <c r="Z5" s="14"/>
      <c r="AA5" s="14"/>
      <c r="AB5" s="14"/>
      <c r="AC5" s="14"/>
      <c r="AD5" s="14"/>
      <c r="AE5" s="14"/>
      <c r="AF5" s="14"/>
      <c r="AG5" s="14"/>
      <c r="AH5" s="1"/>
    </row>
    <row r="6" spans="1:34" ht="5.0999999999999996" customHeight="1">
      <c r="A6" s="14"/>
      <c r="B6" s="14"/>
      <c r="C6" s="14"/>
      <c r="D6" s="14"/>
      <c r="E6" s="14"/>
      <c r="F6" s="14"/>
      <c r="G6" s="14"/>
      <c r="H6" s="14"/>
      <c r="I6" s="14"/>
      <c r="J6" s="14"/>
      <c r="K6" s="14"/>
      <c r="L6" s="14"/>
      <c r="M6" s="98"/>
      <c r="N6" s="14"/>
      <c r="O6" s="14"/>
      <c r="P6" s="14"/>
      <c r="Q6" s="14"/>
      <c r="R6" s="14"/>
      <c r="S6" s="14"/>
      <c r="T6" s="14"/>
      <c r="U6" s="14"/>
      <c r="V6" s="14"/>
      <c r="W6" s="14"/>
      <c r="X6" s="14"/>
      <c r="Y6" s="14"/>
      <c r="Z6" s="14"/>
      <c r="AA6" s="14"/>
      <c r="AB6" s="14"/>
      <c r="AC6" s="14"/>
      <c r="AD6" s="14"/>
      <c r="AE6" s="14"/>
      <c r="AF6" s="14"/>
      <c r="AG6" s="14"/>
      <c r="AH6" s="1"/>
    </row>
    <row r="7" spans="1:34" ht="15">
      <c r="A7" s="3854" t="s">
        <v>132</v>
      </c>
      <c r="B7" s="3855"/>
      <c r="C7" s="3856"/>
      <c r="D7" s="14"/>
      <c r="E7" s="14"/>
      <c r="F7" s="114"/>
      <c r="G7" s="14"/>
      <c r="H7" s="14"/>
      <c r="I7" s="14"/>
      <c r="J7" s="14"/>
      <c r="K7" s="114"/>
      <c r="L7" s="14"/>
      <c r="M7" s="98"/>
      <c r="N7" s="14"/>
      <c r="O7" s="14"/>
      <c r="P7" s="14"/>
      <c r="Q7" s="14"/>
      <c r="R7" s="14"/>
      <c r="S7" s="14"/>
      <c r="T7" s="14"/>
      <c r="U7" s="14"/>
      <c r="V7" s="14"/>
      <c r="W7" s="14"/>
      <c r="X7" s="14"/>
      <c r="Y7" s="14"/>
      <c r="Z7" s="14"/>
      <c r="AA7" s="14"/>
      <c r="AB7" s="14"/>
      <c r="AC7" s="14"/>
      <c r="AD7" s="14"/>
      <c r="AE7" s="14"/>
      <c r="AF7" s="14"/>
      <c r="AG7" s="14"/>
      <c r="AH7" s="1"/>
    </row>
    <row r="8" spans="1:34" ht="15">
      <c r="A8" s="8" t="s">
        <v>142</v>
      </c>
      <c r="B8" s="8" t="s">
        <v>143</v>
      </c>
      <c r="C8" s="372">
        <v>1</v>
      </c>
      <c r="D8" s="73">
        <v>2</v>
      </c>
      <c r="E8" s="73">
        <v>3</v>
      </c>
      <c r="F8" s="73">
        <v>4</v>
      </c>
      <c r="G8" s="73">
        <v>5</v>
      </c>
      <c r="H8" s="73">
        <v>6</v>
      </c>
      <c r="I8" s="73">
        <v>7</v>
      </c>
      <c r="J8" s="73">
        <v>8</v>
      </c>
      <c r="K8" s="73">
        <v>9</v>
      </c>
      <c r="L8" s="73">
        <v>10</v>
      </c>
      <c r="M8" s="73">
        <v>11</v>
      </c>
      <c r="N8" s="73">
        <v>12</v>
      </c>
      <c r="O8" s="73">
        <v>13</v>
      </c>
      <c r="P8" s="73">
        <v>14</v>
      </c>
      <c r="Q8" s="73">
        <v>15</v>
      </c>
      <c r="R8" s="73">
        <v>16</v>
      </c>
      <c r="S8" s="73">
        <v>17</v>
      </c>
      <c r="T8" s="73">
        <v>18</v>
      </c>
      <c r="U8" s="73">
        <v>19</v>
      </c>
      <c r="V8" s="73">
        <v>20</v>
      </c>
      <c r="W8" s="73">
        <v>21</v>
      </c>
      <c r="X8" s="73">
        <v>22</v>
      </c>
      <c r="Y8" s="73">
        <v>23</v>
      </c>
      <c r="Z8" s="73">
        <v>24</v>
      </c>
      <c r="AA8" s="73">
        <v>25</v>
      </c>
      <c r="AB8" s="73">
        <v>26</v>
      </c>
      <c r="AC8" s="73">
        <v>27</v>
      </c>
      <c r="AD8" s="73">
        <v>28</v>
      </c>
      <c r="AE8" s="73">
        <v>29</v>
      </c>
      <c r="AF8" s="73">
        <v>30</v>
      </c>
      <c r="AG8" s="73">
        <v>31</v>
      </c>
      <c r="AH8" s="87" t="s">
        <v>144</v>
      </c>
    </row>
    <row r="9" spans="1:34" ht="15">
      <c r="A9" s="363" t="s">
        <v>145</v>
      </c>
      <c r="B9" s="53">
        <f t="shared" ref="B9:B20" si="0">+AH9</f>
        <v>0.71900000000000008</v>
      </c>
      <c r="C9" s="302">
        <v>0</v>
      </c>
      <c r="D9" s="457">
        <v>0</v>
      </c>
      <c r="E9" s="297">
        <v>0</v>
      </c>
      <c r="F9" s="457">
        <v>0</v>
      </c>
      <c r="G9" s="303">
        <v>0</v>
      </c>
      <c r="H9" s="303">
        <v>0</v>
      </c>
      <c r="I9" s="303">
        <v>1.4999999999999999E-2</v>
      </c>
      <c r="J9" s="303">
        <v>2.1000000000000001E-2</v>
      </c>
      <c r="K9" s="303">
        <v>9.9000000000000005E-2</v>
      </c>
      <c r="L9" s="303">
        <v>3.3000000000000002E-2</v>
      </c>
      <c r="M9" s="303">
        <v>3.7999999999999999E-2</v>
      </c>
      <c r="N9" s="303">
        <v>3.2000000000000001E-2</v>
      </c>
      <c r="O9" s="303">
        <v>0</v>
      </c>
      <c r="P9" s="303">
        <v>3.2000000000000001E-2</v>
      </c>
      <c r="Q9" s="297">
        <v>0</v>
      </c>
      <c r="R9" s="303">
        <v>7.1999999999999995E-2</v>
      </c>
      <c r="S9" s="303">
        <v>5.3999999999999999E-2</v>
      </c>
      <c r="T9" s="303">
        <v>0.04</v>
      </c>
      <c r="U9" s="303">
        <v>0</v>
      </c>
      <c r="V9" s="297">
        <v>0</v>
      </c>
      <c r="W9" s="297">
        <v>0</v>
      </c>
      <c r="X9" s="303">
        <v>0</v>
      </c>
      <c r="Y9" s="303">
        <v>0.06</v>
      </c>
      <c r="Z9" s="303">
        <v>6.5000000000000002E-2</v>
      </c>
      <c r="AA9" s="303">
        <v>6.8000000000000005E-2</v>
      </c>
      <c r="AB9" s="303">
        <v>0</v>
      </c>
      <c r="AC9" s="303">
        <v>0</v>
      </c>
      <c r="AD9" s="297">
        <v>2.1000000000000001E-2</v>
      </c>
      <c r="AE9" s="297">
        <v>2.8000000000000001E-2</v>
      </c>
      <c r="AF9" s="297">
        <v>4.1000000000000002E-2</v>
      </c>
      <c r="AG9" s="303">
        <v>0</v>
      </c>
      <c r="AH9" s="100">
        <f>SUM(C9:AG9)</f>
        <v>0.71900000000000008</v>
      </c>
    </row>
    <row r="10" spans="1:34" ht="15">
      <c r="A10" s="363" t="s">
        <v>146</v>
      </c>
      <c r="B10" s="53">
        <f t="shared" si="0"/>
        <v>0.49299999999999999</v>
      </c>
      <c r="C10" s="116">
        <v>0</v>
      </c>
      <c r="D10" s="99">
        <v>0</v>
      </c>
      <c r="E10" s="99">
        <v>0</v>
      </c>
      <c r="F10" s="99">
        <v>6.4000000000000001E-2</v>
      </c>
      <c r="G10" s="99">
        <v>4.7E-2</v>
      </c>
      <c r="H10" s="99">
        <v>2.1999999999999999E-2</v>
      </c>
      <c r="I10" s="99">
        <v>0</v>
      </c>
      <c r="J10" s="99">
        <v>0</v>
      </c>
      <c r="K10" s="99">
        <v>0</v>
      </c>
      <c r="L10" s="99">
        <v>0</v>
      </c>
      <c r="M10" s="99">
        <v>0</v>
      </c>
      <c r="N10" s="99">
        <v>0</v>
      </c>
      <c r="O10" s="99">
        <v>0</v>
      </c>
      <c r="P10" s="99">
        <v>0</v>
      </c>
      <c r="Q10" s="99">
        <v>6.3E-2</v>
      </c>
      <c r="R10" s="99">
        <v>0</v>
      </c>
      <c r="S10" s="99">
        <v>0</v>
      </c>
      <c r="T10" s="99">
        <v>0.2</v>
      </c>
      <c r="U10" s="99">
        <v>0</v>
      </c>
      <c r="V10" s="99">
        <v>0</v>
      </c>
      <c r="W10" s="99">
        <v>0</v>
      </c>
      <c r="X10" s="99">
        <v>0</v>
      </c>
      <c r="Y10" s="99">
        <v>0</v>
      </c>
      <c r="Z10" s="99">
        <v>0</v>
      </c>
      <c r="AA10" s="99">
        <v>4.2999999999999997E-2</v>
      </c>
      <c r="AB10" s="99">
        <v>0</v>
      </c>
      <c r="AC10" s="99">
        <v>0</v>
      </c>
      <c r="AD10" s="99">
        <v>5.3999999999999999E-2</v>
      </c>
      <c r="AE10" s="99">
        <v>0</v>
      </c>
      <c r="AF10" s="99"/>
      <c r="AG10" s="99"/>
      <c r="AH10" s="100">
        <f t="shared" ref="AH10:AH20" si="1">SUM(C10:AG10)</f>
        <v>0.49299999999999999</v>
      </c>
    </row>
    <row r="11" spans="1:34" ht="15">
      <c r="A11" s="363" t="s">
        <v>147</v>
      </c>
      <c r="B11" s="53">
        <f t="shared" si="0"/>
        <v>0.79600000000000015</v>
      </c>
      <c r="C11" s="665">
        <v>1.2E-2</v>
      </c>
      <c r="D11" s="455">
        <v>0</v>
      </c>
      <c r="E11" s="666">
        <v>2.8000000000000001E-2</v>
      </c>
      <c r="F11" s="666">
        <v>0</v>
      </c>
      <c r="G11" s="666">
        <v>1.7000000000000001E-2</v>
      </c>
      <c r="H11" s="666">
        <v>0</v>
      </c>
      <c r="I11" s="666">
        <v>0</v>
      </c>
      <c r="J11" s="666">
        <v>7.6999999999999999E-2</v>
      </c>
      <c r="K11" s="666">
        <v>3.1E-2</v>
      </c>
      <c r="L11" s="666">
        <v>0</v>
      </c>
      <c r="M11" s="666">
        <v>3.4000000000000002E-2</v>
      </c>
      <c r="N11" s="666">
        <v>4.2999999999999997E-2</v>
      </c>
      <c r="O11" s="666">
        <v>6.3E-2</v>
      </c>
      <c r="P11" s="666">
        <v>8.3000000000000004E-2</v>
      </c>
      <c r="Q11" s="666">
        <v>6.6000000000000003E-2</v>
      </c>
      <c r="R11" s="666">
        <v>0</v>
      </c>
      <c r="S11" s="666">
        <v>0</v>
      </c>
      <c r="T11" s="666">
        <v>0</v>
      </c>
      <c r="U11" s="666">
        <v>0</v>
      </c>
      <c r="V11" s="666">
        <v>0</v>
      </c>
      <c r="W11" s="666">
        <v>0</v>
      </c>
      <c r="X11" s="666">
        <v>0</v>
      </c>
      <c r="Y11" s="666">
        <v>9.0999999999999998E-2</v>
      </c>
      <c r="Z11" s="666">
        <v>0</v>
      </c>
      <c r="AA11" s="666">
        <v>3.3000000000000002E-2</v>
      </c>
      <c r="AB11" s="666">
        <v>2.7E-2</v>
      </c>
      <c r="AC11" s="666">
        <v>1.4E-2</v>
      </c>
      <c r="AD11" s="666">
        <v>5.0999999999999997E-2</v>
      </c>
      <c r="AE11" s="666">
        <v>3.9E-2</v>
      </c>
      <c r="AF11" s="666">
        <v>8.6999999999999994E-2</v>
      </c>
      <c r="AG11" s="666">
        <v>0</v>
      </c>
      <c r="AH11" s="100">
        <f t="shared" si="1"/>
        <v>0.79600000000000015</v>
      </c>
    </row>
    <row r="12" spans="1:34" ht="15">
      <c r="A12" s="363" t="s">
        <v>148</v>
      </c>
      <c r="B12" s="53">
        <f t="shared" si="0"/>
        <v>5.0999999999999997E-2</v>
      </c>
      <c r="C12" s="296">
        <v>0</v>
      </c>
      <c r="D12" s="297">
        <v>5.0999999999999997E-2</v>
      </c>
      <c r="E12" s="298">
        <v>0</v>
      </c>
      <c r="F12" s="298">
        <v>0</v>
      </c>
      <c r="G12" s="298">
        <v>0</v>
      </c>
      <c r="H12" s="298">
        <v>0</v>
      </c>
      <c r="I12" s="298">
        <v>0</v>
      </c>
      <c r="J12" s="298">
        <v>0</v>
      </c>
      <c r="K12" s="298">
        <v>0</v>
      </c>
      <c r="L12" s="298">
        <v>0</v>
      </c>
      <c r="M12" s="298">
        <v>0</v>
      </c>
      <c r="N12" s="298">
        <v>0</v>
      </c>
      <c r="O12" s="298">
        <v>0</v>
      </c>
      <c r="P12" s="298">
        <v>0</v>
      </c>
      <c r="Q12" s="298">
        <v>0</v>
      </c>
      <c r="R12" s="298">
        <v>0</v>
      </c>
      <c r="S12" s="298">
        <v>0</v>
      </c>
      <c r="T12" s="298">
        <v>0</v>
      </c>
      <c r="U12" s="298">
        <v>0</v>
      </c>
      <c r="V12" s="298">
        <v>0</v>
      </c>
      <c r="W12" s="298">
        <v>0</v>
      </c>
      <c r="X12" s="298">
        <v>0</v>
      </c>
      <c r="Y12" s="298">
        <v>0</v>
      </c>
      <c r="Z12" s="298">
        <v>0</v>
      </c>
      <c r="AA12" s="298">
        <v>0</v>
      </c>
      <c r="AB12" s="298">
        <v>0</v>
      </c>
      <c r="AC12" s="298">
        <v>0</v>
      </c>
      <c r="AD12" s="298">
        <v>0</v>
      </c>
      <c r="AE12" s="298">
        <v>0</v>
      </c>
      <c r="AF12" s="298">
        <v>0</v>
      </c>
      <c r="AG12" s="298"/>
      <c r="AH12" s="100">
        <f t="shared" si="1"/>
        <v>5.0999999999999997E-2</v>
      </c>
    </row>
    <row r="13" spans="1:34" ht="15">
      <c r="A13" s="363" t="s">
        <v>149</v>
      </c>
      <c r="B13" s="53">
        <f t="shared" si="0"/>
        <v>1.077</v>
      </c>
      <c r="C13" s="296">
        <v>5.8000000000000003E-2</v>
      </c>
      <c r="D13" s="297">
        <v>0</v>
      </c>
      <c r="E13" s="298">
        <v>0</v>
      </c>
      <c r="F13" s="298">
        <v>0</v>
      </c>
      <c r="G13" s="298">
        <v>5.7000000000000002E-2</v>
      </c>
      <c r="H13" s="298">
        <v>0</v>
      </c>
      <c r="I13" s="298">
        <v>0</v>
      </c>
      <c r="J13" s="298">
        <v>7.0000000000000007E-2</v>
      </c>
      <c r="K13" s="298">
        <v>5.2999999999999999E-2</v>
      </c>
      <c r="L13" s="298">
        <v>0</v>
      </c>
      <c r="M13" s="298">
        <v>0</v>
      </c>
      <c r="N13" s="298">
        <v>0</v>
      </c>
      <c r="O13" s="298">
        <v>0</v>
      </c>
      <c r="P13" s="298">
        <v>0.1</v>
      </c>
      <c r="Q13" s="298">
        <v>0</v>
      </c>
      <c r="R13" s="298">
        <v>0.372</v>
      </c>
      <c r="S13" s="298">
        <v>0</v>
      </c>
      <c r="T13" s="298">
        <v>0</v>
      </c>
      <c r="U13" s="99">
        <v>0</v>
      </c>
      <c r="V13" s="99">
        <v>0</v>
      </c>
      <c r="W13" s="99">
        <v>0</v>
      </c>
      <c r="X13" s="99">
        <v>0</v>
      </c>
      <c r="Y13" s="99">
        <v>0.05</v>
      </c>
      <c r="Z13" s="99">
        <v>0.03</v>
      </c>
      <c r="AA13" s="99">
        <v>0</v>
      </c>
      <c r="AB13" s="99">
        <v>0</v>
      </c>
      <c r="AC13" s="99">
        <v>7.0000000000000007E-2</v>
      </c>
      <c r="AD13" s="99">
        <v>6.7000000000000004E-2</v>
      </c>
      <c r="AE13" s="99">
        <v>0</v>
      </c>
      <c r="AF13" s="99">
        <v>0.15</v>
      </c>
      <c r="AG13" s="99">
        <v>0</v>
      </c>
      <c r="AH13" s="100">
        <f t="shared" si="1"/>
        <v>1.077</v>
      </c>
    </row>
    <row r="14" spans="1:34" ht="15">
      <c r="A14" s="363" t="s">
        <v>150</v>
      </c>
      <c r="B14" s="53">
        <f t="shared" si="0"/>
        <v>0.28000000000000003</v>
      </c>
      <c r="C14" s="116">
        <v>0</v>
      </c>
      <c r="D14" s="99">
        <v>0</v>
      </c>
      <c r="E14" s="99">
        <v>0</v>
      </c>
      <c r="F14" s="99">
        <v>0</v>
      </c>
      <c r="G14" s="99">
        <v>0</v>
      </c>
      <c r="H14" s="99">
        <v>5.3999999999999999E-2</v>
      </c>
      <c r="I14" s="99">
        <v>0</v>
      </c>
      <c r="J14" s="99">
        <v>0</v>
      </c>
      <c r="K14" s="99">
        <v>0</v>
      </c>
      <c r="L14" s="99">
        <v>0</v>
      </c>
      <c r="M14" s="99">
        <v>0.06</v>
      </c>
      <c r="N14" s="99">
        <v>0</v>
      </c>
      <c r="O14" s="99">
        <v>0</v>
      </c>
      <c r="P14" s="99">
        <v>0</v>
      </c>
      <c r="Q14" s="99">
        <v>0</v>
      </c>
      <c r="R14" s="99">
        <v>0</v>
      </c>
      <c r="S14" s="99">
        <v>0</v>
      </c>
      <c r="T14" s="99">
        <v>0</v>
      </c>
      <c r="U14" s="99">
        <v>2.8000000000000001E-2</v>
      </c>
      <c r="V14" s="99">
        <v>8.8999999999999996E-2</v>
      </c>
      <c r="W14" s="99">
        <v>0</v>
      </c>
      <c r="X14" s="99">
        <v>0</v>
      </c>
      <c r="Y14" s="99">
        <v>0</v>
      </c>
      <c r="Z14" s="99">
        <v>0</v>
      </c>
      <c r="AA14" s="99">
        <v>0</v>
      </c>
      <c r="AB14" s="99">
        <v>0</v>
      </c>
      <c r="AC14" s="99">
        <v>0</v>
      </c>
      <c r="AD14" s="99">
        <v>1.4999999999999999E-2</v>
      </c>
      <c r="AE14" s="99">
        <v>3.4000000000000002E-2</v>
      </c>
      <c r="AF14" s="99">
        <v>0</v>
      </c>
      <c r="AG14" s="99"/>
      <c r="AH14" s="100">
        <f t="shared" si="1"/>
        <v>0.28000000000000003</v>
      </c>
    </row>
    <row r="15" spans="1:34" ht="15">
      <c r="A15" s="314" t="s">
        <v>151</v>
      </c>
      <c r="B15" s="53">
        <f t="shared" si="0"/>
        <v>0</v>
      </c>
      <c r="C15" s="116">
        <v>0</v>
      </c>
      <c r="D15" s="99">
        <v>0</v>
      </c>
      <c r="E15" s="99">
        <v>0</v>
      </c>
      <c r="F15" s="99">
        <v>0</v>
      </c>
      <c r="G15" s="99">
        <v>0</v>
      </c>
      <c r="H15" s="99">
        <v>0</v>
      </c>
      <c r="I15" s="99">
        <v>0</v>
      </c>
      <c r="J15" s="99">
        <v>0</v>
      </c>
      <c r="K15" s="99">
        <v>0</v>
      </c>
      <c r="L15" s="99">
        <v>0</v>
      </c>
      <c r="M15" s="99">
        <v>0</v>
      </c>
      <c r="N15" s="99">
        <v>0</v>
      </c>
      <c r="O15" s="99">
        <v>0</v>
      </c>
      <c r="P15" s="99">
        <v>0</v>
      </c>
      <c r="Q15" s="99">
        <v>0</v>
      </c>
      <c r="R15" s="99">
        <v>0</v>
      </c>
      <c r="S15" s="99">
        <v>0</v>
      </c>
      <c r="T15" s="99">
        <v>0</v>
      </c>
      <c r="U15" s="99">
        <v>0</v>
      </c>
      <c r="V15" s="99">
        <v>0</v>
      </c>
      <c r="W15" s="99">
        <v>0</v>
      </c>
      <c r="X15" s="99"/>
      <c r="Y15" s="99"/>
      <c r="Z15" s="99"/>
      <c r="AA15" s="99"/>
      <c r="AB15" s="99"/>
      <c r="AC15" s="99"/>
      <c r="AD15" s="99"/>
      <c r="AE15" s="99"/>
      <c r="AF15" s="99"/>
      <c r="AG15" s="99"/>
      <c r="AH15" s="100">
        <f t="shared" si="1"/>
        <v>0</v>
      </c>
    </row>
    <row r="16" spans="1:34" ht="15">
      <c r="A16" s="73" t="s">
        <v>152</v>
      </c>
      <c r="B16" s="53">
        <f t="shared" si="0"/>
        <v>0</v>
      </c>
      <c r="C16" s="116"/>
      <c r="D16" s="99"/>
      <c r="E16" s="99"/>
      <c r="F16" s="99"/>
      <c r="G16" s="99"/>
      <c r="H16" s="99" t="s">
        <v>1313</v>
      </c>
      <c r="I16" s="99"/>
      <c r="J16" s="99"/>
      <c r="K16" s="99"/>
      <c r="L16" s="99"/>
      <c r="M16" s="99"/>
      <c r="N16" s="99"/>
      <c r="O16" s="99"/>
      <c r="P16" s="99"/>
      <c r="Q16" s="306"/>
      <c r="R16" s="306"/>
      <c r="S16" s="306"/>
      <c r="T16" s="306"/>
      <c r="U16" s="306"/>
      <c r="V16" s="306"/>
      <c r="W16" s="306"/>
      <c r="X16" s="306"/>
      <c r="Y16" s="306"/>
      <c r="Z16" s="306"/>
      <c r="AA16" s="306"/>
      <c r="AB16" s="306"/>
      <c r="AC16" s="306"/>
      <c r="AD16" s="306"/>
      <c r="AE16" s="306"/>
      <c r="AF16" s="306"/>
      <c r="AG16" s="306"/>
      <c r="AH16" s="100">
        <f t="shared" si="1"/>
        <v>0</v>
      </c>
    </row>
    <row r="17" spans="1:34" ht="15">
      <c r="A17" s="73" t="s">
        <v>153</v>
      </c>
      <c r="B17" s="53">
        <f t="shared" si="0"/>
        <v>0</v>
      </c>
      <c r="C17" s="188" t="s">
        <v>162</v>
      </c>
      <c r="D17" s="188" t="s">
        <v>162</v>
      </c>
      <c r="E17" s="188" t="s">
        <v>162</v>
      </c>
      <c r="F17" s="188" t="s">
        <v>162</v>
      </c>
      <c r="G17" s="188" t="s">
        <v>162</v>
      </c>
      <c r="H17" s="188" t="s">
        <v>162</v>
      </c>
      <c r="I17" s="188" t="s">
        <v>162</v>
      </c>
      <c r="J17" s="188" t="s">
        <v>162</v>
      </c>
      <c r="K17" s="188" t="s">
        <v>162</v>
      </c>
      <c r="L17" s="188" t="s">
        <v>162</v>
      </c>
      <c r="M17" s="188" t="s">
        <v>162</v>
      </c>
      <c r="N17" s="188" t="s">
        <v>162</v>
      </c>
      <c r="O17" s="188" t="s">
        <v>162</v>
      </c>
      <c r="P17" s="188" t="s">
        <v>162</v>
      </c>
      <c r="Q17" s="188" t="s">
        <v>162</v>
      </c>
      <c r="R17" s="188" t="s">
        <v>162</v>
      </c>
      <c r="S17" s="188" t="s">
        <v>162</v>
      </c>
      <c r="T17" s="188" t="s">
        <v>162</v>
      </c>
      <c r="U17" s="188" t="s">
        <v>162</v>
      </c>
      <c r="V17" s="188" t="s">
        <v>162</v>
      </c>
      <c r="W17" s="188" t="s">
        <v>162</v>
      </c>
      <c r="X17" s="188" t="s">
        <v>162</v>
      </c>
      <c r="Y17" s="188" t="s">
        <v>162</v>
      </c>
      <c r="Z17" s="188" t="s">
        <v>162</v>
      </c>
      <c r="AA17" s="188" t="s">
        <v>162</v>
      </c>
      <c r="AB17" s="188" t="s">
        <v>162</v>
      </c>
      <c r="AC17" s="188" t="s">
        <v>162</v>
      </c>
      <c r="AD17" s="188" t="s">
        <v>162</v>
      </c>
      <c r="AE17" s="188" t="s">
        <v>162</v>
      </c>
      <c r="AF17" s="188" t="s">
        <v>162</v>
      </c>
      <c r="AG17" s="188" t="s">
        <v>162</v>
      </c>
      <c r="AH17" s="100">
        <f t="shared" si="1"/>
        <v>0</v>
      </c>
    </row>
    <row r="18" spans="1:34" ht="15">
      <c r="A18" s="73" t="s">
        <v>154</v>
      </c>
      <c r="B18" s="53">
        <f t="shared" si="0"/>
        <v>0</v>
      </c>
      <c r="C18" s="116"/>
      <c r="D18" s="99"/>
      <c r="E18" s="99"/>
      <c r="F18" s="99"/>
      <c r="G18" s="99"/>
      <c r="H18" s="99"/>
      <c r="I18" s="99"/>
      <c r="J18" s="99"/>
      <c r="K18" s="99"/>
      <c r="L18" s="99"/>
      <c r="M18" s="99"/>
      <c r="N18" s="99"/>
      <c r="O18" s="99"/>
      <c r="P18" s="99"/>
      <c r="Q18" s="99"/>
      <c r="R18" s="99"/>
      <c r="S18" s="99"/>
      <c r="T18" s="99"/>
      <c r="U18" s="99"/>
      <c r="V18" s="99"/>
      <c r="W18" s="99"/>
      <c r="X18" s="99"/>
      <c r="Y18" s="99"/>
      <c r="Z18" s="99"/>
      <c r="AA18" s="99"/>
      <c r="AB18" s="99"/>
      <c r="AC18" s="99"/>
      <c r="AD18" s="99"/>
      <c r="AE18" s="99"/>
      <c r="AF18" s="99"/>
      <c r="AG18" s="99"/>
      <c r="AH18" s="100">
        <f t="shared" si="1"/>
        <v>0</v>
      </c>
    </row>
    <row r="19" spans="1:34" ht="15">
      <c r="A19" s="73" t="s">
        <v>155</v>
      </c>
      <c r="B19" s="53">
        <f t="shared" si="0"/>
        <v>0</v>
      </c>
      <c r="C19" s="116"/>
      <c r="D19" s="99"/>
      <c r="E19" s="99"/>
      <c r="F19" s="99"/>
      <c r="G19" s="99"/>
      <c r="H19" s="99"/>
      <c r="I19" s="99"/>
      <c r="J19" s="99"/>
      <c r="K19" s="99"/>
      <c r="L19" s="99"/>
      <c r="M19" s="99"/>
      <c r="N19" s="99"/>
      <c r="O19" s="99"/>
      <c r="P19" s="99"/>
      <c r="Q19" s="99"/>
      <c r="R19" s="99"/>
      <c r="S19" s="99"/>
      <c r="T19" s="99"/>
      <c r="U19" s="99"/>
      <c r="V19" s="99"/>
      <c r="W19" s="99"/>
      <c r="X19" s="99"/>
      <c r="Y19" s="99"/>
      <c r="Z19" s="99"/>
      <c r="AA19" s="99"/>
      <c r="AB19" s="99"/>
      <c r="AC19" s="99"/>
      <c r="AD19" s="99"/>
      <c r="AE19" s="99"/>
      <c r="AF19" s="99"/>
      <c r="AG19" s="99"/>
      <c r="AH19" s="100">
        <f t="shared" si="1"/>
        <v>0</v>
      </c>
    </row>
    <row r="20" spans="1:34" ht="15">
      <c r="A20" s="73" t="s">
        <v>156</v>
      </c>
      <c r="B20" s="53">
        <f t="shared" si="0"/>
        <v>0</v>
      </c>
      <c r="C20" s="116"/>
      <c r="D20" s="99"/>
      <c r="E20" s="99"/>
      <c r="F20" s="99"/>
      <c r="G20" s="99"/>
      <c r="H20" s="99"/>
      <c r="I20" s="99"/>
      <c r="J20" s="99"/>
      <c r="K20" s="99"/>
      <c r="L20" s="99"/>
      <c r="M20" s="99"/>
      <c r="N20" s="99"/>
      <c r="O20" s="99"/>
      <c r="P20" s="99"/>
      <c r="Q20" s="99"/>
      <c r="R20" s="99"/>
      <c r="S20" s="99"/>
      <c r="T20" s="99"/>
      <c r="U20" s="99"/>
      <c r="V20" s="99"/>
      <c r="W20" s="99"/>
      <c r="X20" s="99"/>
      <c r="Y20" s="99"/>
      <c r="Z20" s="99"/>
      <c r="AA20" s="99"/>
      <c r="AB20" s="99"/>
      <c r="AC20" s="99"/>
      <c r="AD20" s="99"/>
      <c r="AE20" s="99"/>
      <c r="AF20" s="99"/>
      <c r="AG20" s="99"/>
      <c r="AH20" s="100">
        <f t="shared" si="1"/>
        <v>0</v>
      </c>
    </row>
    <row r="21" spans="1:34" ht="15">
      <c r="A21" s="200" t="s">
        <v>111</v>
      </c>
      <c r="B21" s="200">
        <f>SUM(B9:B20)</f>
        <v>3.4160000000000004</v>
      </c>
      <c r="C21" s="100">
        <f>SUM(C9:C20)</f>
        <v>7.0000000000000007E-2</v>
      </c>
      <c r="D21" s="100">
        <f t="shared" ref="D21:AG21" si="2">SUM(D9:D20)</f>
        <v>5.0999999999999997E-2</v>
      </c>
      <c r="E21" s="100">
        <f t="shared" si="2"/>
        <v>2.8000000000000001E-2</v>
      </c>
      <c r="F21" s="100">
        <f t="shared" si="2"/>
        <v>6.4000000000000001E-2</v>
      </c>
      <c r="G21" s="100">
        <f t="shared" si="2"/>
        <v>0.121</v>
      </c>
      <c r="H21" s="100">
        <f t="shared" si="2"/>
        <v>7.5999999999999998E-2</v>
      </c>
      <c r="I21" s="100">
        <f t="shared" si="2"/>
        <v>1.4999999999999999E-2</v>
      </c>
      <c r="J21" s="100">
        <f t="shared" si="2"/>
        <v>0.16800000000000001</v>
      </c>
      <c r="K21" s="100">
        <f t="shared" si="2"/>
        <v>0.183</v>
      </c>
      <c r="L21" s="100">
        <f t="shared" si="2"/>
        <v>3.3000000000000002E-2</v>
      </c>
      <c r="M21" s="100">
        <f t="shared" si="2"/>
        <v>0.13200000000000001</v>
      </c>
      <c r="N21" s="100">
        <f t="shared" si="2"/>
        <v>7.4999999999999997E-2</v>
      </c>
      <c r="O21" s="100">
        <f t="shared" si="2"/>
        <v>6.3E-2</v>
      </c>
      <c r="P21" s="100">
        <f t="shared" si="2"/>
        <v>0.21500000000000002</v>
      </c>
      <c r="Q21" s="100">
        <f t="shared" si="2"/>
        <v>0.129</v>
      </c>
      <c r="R21" s="100">
        <f t="shared" si="2"/>
        <v>0.44400000000000001</v>
      </c>
      <c r="S21" s="100">
        <f t="shared" si="2"/>
        <v>5.3999999999999999E-2</v>
      </c>
      <c r="T21" s="100">
        <f t="shared" si="2"/>
        <v>0.24000000000000002</v>
      </c>
      <c r="U21" s="100">
        <f t="shared" si="2"/>
        <v>2.8000000000000001E-2</v>
      </c>
      <c r="V21" s="100">
        <f t="shared" si="2"/>
        <v>8.8999999999999996E-2</v>
      </c>
      <c r="W21" s="100">
        <f t="shared" si="2"/>
        <v>0</v>
      </c>
      <c r="X21" s="100">
        <f t="shared" si="2"/>
        <v>0</v>
      </c>
      <c r="Y21" s="100">
        <f t="shared" si="2"/>
        <v>0.20100000000000001</v>
      </c>
      <c r="Z21" s="100">
        <f t="shared" si="2"/>
        <v>9.5000000000000001E-2</v>
      </c>
      <c r="AA21" s="100">
        <f t="shared" si="2"/>
        <v>0.14400000000000002</v>
      </c>
      <c r="AB21" s="100">
        <f t="shared" si="2"/>
        <v>2.7E-2</v>
      </c>
      <c r="AC21" s="100">
        <f t="shared" si="2"/>
        <v>8.4000000000000005E-2</v>
      </c>
      <c r="AD21" s="100">
        <f t="shared" si="2"/>
        <v>0.20800000000000002</v>
      </c>
      <c r="AE21" s="100">
        <f t="shared" si="2"/>
        <v>0.10100000000000001</v>
      </c>
      <c r="AF21" s="100">
        <f t="shared" si="2"/>
        <v>0.27800000000000002</v>
      </c>
      <c r="AG21" s="100">
        <f t="shared" si="2"/>
        <v>0</v>
      </c>
      <c r="AH21" s="100">
        <f>SUM(AH9:AH20)</f>
        <v>3.4160000000000004</v>
      </c>
    </row>
    <row r="22" spans="1:34" ht="5.0999999999999996" customHeight="1">
      <c r="A22" s="49"/>
      <c r="B22" s="49"/>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row>
    <row r="23" spans="1:34" ht="15">
      <c r="A23" s="3854" t="s">
        <v>163</v>
      </c>
      <c r="B23" s="3855"/>
      <c r="C23" s="3856"/>
      <c r="D23" s="14"/>
      <c r="E23" s="14"/>
      <c r="F23" s="14"/>
      <c r="G23" s="14"/>
      <c r="H23" s="14"/>
      <c r="I23" s="14"/>
      <c r="J23" s="14"/>
      <c r="K23" s="14"/>
      <c r="L23" s="14"/>
      <c r="M23" s="98"/>
      <c r="N23" s="14"/>
      <c r="O23" s="14"/>
      <c r="P23" s="14"/>
      <c r="Q23" s="14"/>
      <c r="R23" s="14"/>
      <c r="S23" s="14"/>
      <c r="T23" s="14"/>
      <c r="U23" s="14"/>
      <c r="V23" s="14"/>
      <c r="W23" s="14"/>
      <c r="X23" s="14"/>
      <c r="Y23" s="14"/>
      <c r="Z23" s="14"/>
      <c r="AA23" s="14"/>
      <c r="AB23" s="14"/>
      <c r="AC23" s="14"/>
      <c r="AD23" s="14"/>
      <c r="AE23" s="14"/>
      <c r="AF23" s="14"/>
      <c r="AG23" s="14"/>
      <c r="AH23" s="1"/>
    </row>
    <row r="24" spans="1:34" ht="15">
      <c r="A24" s="8" t="s">
        <v>142</v>
      </c>
      <c r="B24" s="8" t="s">
        <v>143</v>
      </c>
      <c r="C24" s="372">
        <v>1</v>
      </c>
      <c r="D24" s="73">
        <v>2</v>
      </c>
      <c r="E24" s="73">
        <v>3</v>
      </c>
      <c r="F24" s="73">
        <v>4</v>
      </c>
      <c r="G24" s="73">
        <v>5</v>
      </c>
      <c r="H24" s="73">
        <v>6</v>
      </c>
      <c r="I24" s="73">
        <v>7</v>
      </c>
      <c r="J24" s="73">
        <v>8</v>
      </c>
      <c r="K24" s="73">
        <v>9</v>
      </c>
      <c r="L24" s="73">
        <v>10</v>
      </c>
      <c r="M24" s="73">
        <v>11</v>
      </c>
      <c r="N24" s="73">
        <v>12</v>
      </c>
      <c r="O24" s="73">
        <v>13</v>
      </c>
      <c r="P24" s="73">
        <v>14</v>
      </c>
      <c r="Q24" s="73">
        <v>15</v>
      </c>
      <c r="R24" s="73">
        <v>16</v>
      </c>
      <c r="S24" s="73">
        <v>17</v>
      </c>
      <c r="T24" s="73">
        <v>18</v>
      </c>
      <c r="U24" s="73">
        <v>19</v>
      </c>
      <c r="V24" s="73">
        <v>20</v>
      </c>
      <c r="W24" s="73">
        <v>21</v>
      </c>
      <c r="X24" s="73">
        <v>22</v>
      </c>
      <c r="Y24" s="73">
        <v>23</v>
      </c>
      <c r="Z24" s="73">
        <v>24</v>
      </c>
      <c r="AA24" s="73">
        <v>25</v>
      </c>
      <c r="AB24" s="73">
        <v>26</v>
      </c>
      <c r="AC24" s="73">
        <v>27</v>
      </c>
      <c r="AD24" s="73">
        <v>28</v>
      </c>
      <c r="AE24" s="73">
        <v>29</v>
      </c>
      <c r="AF24" s="73">
        <v>30</v>
      </c>
      <c r="AG24" s="73">
        <v>31</v>
      </c>
      <c r="AH24" s="87" t="s">
        <v>144</v>
      </c>
    </row>
    <row r="25" spans="1:34" ht="15">
      <c r="A25" s="363" t="s">
        <v>145</v>
      </c>
      <c r="B25" s="53">
        <f t="shared" ref="B25:B36" si="3">+AH25</f>
        <v>70.131000000000014</v>
      </c>
      <c r="C25" s="302">
        <v>0</v>
      </c>
      <c r="D25" s="457">
        <v>1.1850000000000001</v>
      </c>
      <c r="E25" s="297">
        <v>2.7270000000000003</v>
      </c>
      <c r="F25" s="457">
        <v>3.0129999999999999</v>
      </c>
      <c r="G25" s="303">
        <v>4.3600000000000003</v>
      </c>
      <c r="H25" s="303">
        <v>2.8649999999999998</v>
      </c>
      <c r="I25" s="303">
        <v>3.2539999999999996</v>
      </c>
      <c r="J25" s="303">
        <v>1.41</v>
      </c>
      <c r="K25" s="303">
        <v>1.1539999999999999</v>
      </c>
      <c r="L25" s="303">
        <v>2.2150000000000003</v>
      </c>
      <c r="M25" s="303">
        <v>3.45</v>
      </c>
      <c r="N25" s="303">
        <v>2.6950000000000003</v>
      </c>
      <c r="O25" s="303">
        <v>3.2669999999999999</v>
      </c>
      <c r="P25" s="303">
        <v>3.6400000000000006</v>
      </c>
      <c r="Q25" s="297">
        <v>1.6050000000000002</v>
      </c>
      <c r="R25" s="303">
        <v>1.32</v>
      </c>
      <c r="S25" s="303">
        <v>2.04</v>
      </c>
      <c r="T25" s="303">
        <v>3.9499999999999997</v>
      </c>
      <c r="U25" s="303">
        <v>3.1390000000000002</v>
      </c>
      <c r="V25" s="297">
        <v>2.7109999999999994</v>
      </c>
      <c r="W25" s="297">
        <v>4.2120000000000006</v>
      </c>
      <c r="X25" s="303">
        <v>2.0450000000000004</v>
      </c>
      <c r="Y25" s="303">
        <v>0.57600000000000007</v>
      </c>
      <c r="Z25" s="303">
        <v>2.0449999999999999</v>
      </c>
      <c r="AA25" s="303">
        <v>1.7500000000000002</v>
      </c>
      <c r="AB25" s="303">
        <v>1.746</v>
      </c>
      <c r="AC25" s="303">
        <v>1.7550000000000001</v>
      </c>
      <c r="AD25" s="297">
        <v>1.9650000000000001</v>
      </c>
      <c r="AE25" s="297">
        <v>1.5950000000000002</v>
      </c>
      <c r="AF25" s="297">
        <v>0.95</v>
      </c>
      <c r="AG25" s="303">
        <v>1.492</v>
      </c>
      <c r="AH25" s="100">
        <f>SUM(C25:AG25)</f>
        <v>70.131000000000014</v>
      </c>
    </row>
    <row r="26" spans="1:34" ht="15">
      <c r="A26" s="363" t="s">
        <v>146</v>
      </c>
      <c r="B26" s="53">
        <f t="shared" si="3"/>
        <v>71.668999999999997</v>
      </c>
      <c r="C26" s="302">
        <v>1.8300000000000003</v>
      </c>
      <c r="D26" s="303">
        <v>2.5700000000000003</v>
      </c>
      <c r="E26" s="303">
        <v>2.0000000000000004</v>
      </c>
      <c r="F26" s="303">
        <v>1.7890000000000004</v>
      </c>
      <c r="G26" s="303">
        <v>1.55</v>
      </c>
      <c r="H26" s="303">
        <v>0.158</v>
      </c>
      <c r="I26" s="303">
        <v>3.1950000000000003</v>
      </c>
      <c r="J26" s="303">
        <v>2.2100000000000004</v>
      </c>
      <c r="K26" s="303">
        <v>4.8660000000000005</v>
      </c>
      <c r="L26" s="303">
        <v>2.9969999999999999</v>
      </c>
      <c r="M26" s="303">
        <v>4.1870000000000003</v>
      </c>
      <c r="N26" s="303">
        <v>2.3200000000000003</v>
      </c>
      <c r="O26" s="303">
        <v>0.53800000000000003</v>
      </c>
      <c r="P26" s="303">
        <v>3.7679999999999993</v>
      </c>
      <c r="Q26" s="303">
        <v>2.7250000000000005</v>
      </c>
      <c r="R26" s="303">
        <v>2.8270000000000004</v>
      </c>
      <c r="S26" s="303">
        <v>3.7119999999999997</v>
      </c>
      <c r="T26" s="303">
        <v>3.1690000000000005</v>
      </c>
      <c r="U26" s="303">
        <v>1.9500000000000002</v>
      </c>
      <c r="V26" s="303">
        <v>0.7350000000000001</v>
      </c>
      <c r="W26" s="303">
        <v>2.9099999999999997</v>
      </c>
      <c r="X26" s="303">
        <v>2.0079999999999996</v>
      </c>
      <c r="Y26" s="303">
        <v>3.1790000000000003</v>
      </c>
      <c r="Z26" s="303">
        <v>3.1019999999999999</v>
      </c>
      <c r="AA26" s="303">
        <v>2.4650000000000003</v>
      </c>
      <c r="AB26" s="303">
        <v>2.34</v>
      </c>
      <c r="AC26" s="303">
        <v>0.70799999999999996</v>
      </c>
      <c r="AD26" s="303">
        <v>4.3470000000000004</v>
      </c>
      <c r="AE26" s="303">
        <v>1.5140000000000002</v>
      </c>
      <c r="AF26" s="303"/>
      <c r="AG26" s="303"/>
      <c r="AH26" s="100">
        <f t="shared" ref="AH26:AH36" si="4">SUM(C26:AG26)</f>
        <v>71.668999999999997</v>
      </c>
    </row>
    <row r="27" spans="1:34" ht="15">
      <c r="A27" s="363" t="s">
        <v>147</v>
      </c>
      <c r="B27" s="53">
        <f t="shared" si="3"/>
        <v>48.090999999999994</v>
      </c>
      <c r="C27" s="665">
        <v>2.6</v>
      </c>
      <c r="D27" s="455">
        <v>2.7089999999999996</v>
      </c>
      <c r="E27" s="666">
        <v>3.4699999999999998</v>
      </c>
      <c r="F27" s="666">
        <v>2.2000000000000002</v>
      </c>
      <c r="G27" s="666">
        <v>1.1949999999999998</v>
      </c>
      <c r="H27" s="666">
        <v>2.2510000000000003</v>
      </c>
      <c r="I27" s="666">
        <v>0.91</v>
      </c>
      <c r="J27" s="666">
        <v>2.1870000000000003</v>
      </c>
      <c r="K27" s="666">
        <v>1.9350000000000003</v>
      </c>
      <c r="L27" s="666">
        <v>2.8109999999999995</v>
      </c>
      <c r="M27" s="666">
        <v>0.44700000000000001</v>
      </c>
      <c r="N27" s="666">
        <v>0.81699999999999995</v>
      </c>
      <c r="O27" s="666">
        <v>0.75000000000000011</v>
      </c>
      <c r="P27" s="666">
        <v>1.4629999999999999</v>
      </c>
      <c r="Q27" s="666">
        <v>0.63000000000000012</v>
      </c>
      <c r="R27" s="666">
        <v>1.486</v>
      </c>
      <c r="S27" s="666">
        <v>0.55000000000000004</v>
      </c>
      <c r="T27" s="666">
        <v>1.1000000000000001</v>
      </c>
      <c r="U27" s="666">
        <v>0.53</v>
      </c>
      <c r="V27" s="666">
        <v>1.5050000000000001</v>
      </c>
      <c r="W27" s="666">
        <v>1.21</v>
      </c>
      <c r="X27" s="666">
        <v>2.41</v>
      </c>
      <c r="Y27" s="666">
        <v>1.62</v>
      </c>
      <c r="Z27" s="666">
        <v>2.448</v>
      </c>
      <c r="AA27" s="666">
        <v>0.69700000000000006</v>
      </c>
      <c r="AB27" s="666">
        <v>1.05</v>
      </c>
      <c r="AC27" s="666">
        <v>1.2049999999999998</v>
      </c>
      <c r="AD27" s="666">
        <v>1.7670000000000001</v>
      </c>
      <c r="AE27" s="666">
        <v>1.3579999999999999</v>
      </c>
      <c r="AF27" s="666">
        <v>2.1</v>
      </c>
      <c r="AG27" s="666">
        <v>0.67999999999999994</v>
      </c>
      <c r="AH27" s="100">
        <f t="shared" si="4"/>
        <v>48.090999999999994</v>
      </c>
    </row>
    <row r="28" spans="1:34" ht="15">
      <c r="A28" s="363" t="s">
        <v>148</v>
      </c>
      <c r="B28" s="53">
        <f t="shared" si="3"/>
        <v>29.410000000000011</v>
      </c>
      <c r="C28" s="296">
        <v>1.022</v>
      </c>
      <c r="D28" s="297">
        <v>0.45999999999999996</v>
      </c>
      <c r="E28" s="298">
        <v>1.345</v>
      </c>
      <c r="F28" s="298">
        <v>1.4459999999999997</v>
      </c>
      <c r="G28" s="298">
        <v>1.5470000000000002</v>
      </c>
      <c r="H28" s="298">
        <v>2.2720000000000002</v>
      </c>
      <c r="I28" s="298">
        <v>0.91500000000000004</v>
      </c>
      <c r="J28" s="298">
        <v>0.63500000000000001</v>
      </c>
      <c r="K28" s="298">
        <v>0.54</v>
      </c>
      <c r="L28" s="298">
        <v>1.6920000000000002</v>
      </c>
      <c r="M28" s="298">
        <v>0.438</v>
      </c>
      <c r="N28" s="298">
        <v>1.5649999999999999</v>
      </c>
      <c r="O28" s="298">
        <v>0.54400000000000004</v>
      </c>
      <c r="P28" s="298">
        <v>1.27</v>
      </c>
      <c r="Q28" s="298">
        <v>0.14499999999999999</v>
      </c>
      <c r="R28" s="298">
        <v>0.47500000000000003</v>
      </c>
      <c r="S28" s="298">
        <v>1.28</v>
      </c>
      <c r="T28" s="298">
        <v>1.099</v>
      </c>
      <c r="U28" s="298">
        <v>1.0820000000000001</v>
      </c>
      <c r="V28" s="298">
        <v>0.75300000000000011</v>
      </c>
      <c r="W28" s="298">
        <v>1.163</v>
      </c>
      <c r="X28" s="298">
        <v>0.753</v>
      </c>
      <c r="Y28" s="298">
        <v>0.44500000000000006</v>
      </c>
      <c r="Z28" s="298">
        <v>0.81500000000000006</v>
      </c>
      <c r="AA28" s="298">
        <v>1.103</v>
      </c>
      <c r="AB28" s="298">
        <v>1.0540000000000003</v>
      </c>
      <c r="AC28" s="298">
        <v>1.262</v>
      </c>
      <c r="AD28" s="298">
        <v>1.56</v>
      </c>
      <c r="AE28" s="298">
        <v>0.44</v>
      </c>
      <c r="AF28" s="298">
        <v>0.28999999999999998</v>
      </c>
      <c r="AG28" s="298"/>
      <c r="AH28" s="100">
        <f t="shared" si="4"/>
        <v>29.410000000000011</v>
      </c>
    </row>
    <row r="29" spans="1:34" ht="15">
      <c r="A29" s="363" t="s">
        <v>149</v>
      </c>
      <c r="B29" s="53">
        <f t="shared" si="3"/>
        <v>40.615999999999993</v>
      </c>
      <c r="C29" s="296">
        <v>1.234</v>
      </c>
      <c r="D29" s="297">
        <v>0.68</v>
      </c>
      <c r="E29" s="298">
        <v>1.405</v>
      </c>
      <c r="F29" s="298">
        <v>0.83000000000000007</v>
      </c>
      <c r="G29" s="298">
        <v>1.6220000000000001</v>
      </c>
      <c r="H29" s="298">
        <v>0.82300000000000006</v>
      </c>
      <c r="I29" s="298">
        <v>0.66999999999999993</v>
      </c>
      <c r="J29" s="298">
        <v>1.62</v>
      </c>
      <c r="K29" s="298">
        <v>1.861</v>
      </c>
      <c r="L29" s="298">
        <v>1.6629999999999998</v>
      </c>
      <c r="M29" s="298">
        <v>2.4470000000000001</v>
      </c>
      <c r="N29" s="298">
        <v>1.3540000000000001</v>
      </c>
      <c r="O29">
        <v>0.63</v>
      </c>
      <c r="P29" s="298">
        <v>0.48799999999999999</v>
      </c>
      <c r="Q29" s="298">
        <v>2.3860000000000001</v>
      </c>
      <c r="R29" s="298">
        <v>1.07</v>
      </c>
      <c r="S29" s="298">
        <v>2.1859999999999999</v>
      </c>
      <c r="T29" s="298">
        <v>1.087</v>
      </c>
      <c r="U29" s="298">
        <v>2.1640000000000001</v>
      </c>
      <c r="V29" s="298">
        <v>1.7050000000000001</v>
      </c>
      <c r="W29" s="298">
        <v>0.67599999999999993</v>
      </c>
      <c r="X29" s="298">
        <v>0.35900000000000004</v>
      </c>
      <c r="Y29" s="298">
        <v>1.9469999999999998</v>
      </c>
      <c r="Z29" s="298">
        <v>1.81</v>
      </c>
      <c r="AA29" s="298">
        <v>1.1380000000000001</v>
      </c>
      <c r="AB29" s="298">
        <v>0.82000000000000006</v>
      </c>
      <c r="AC29" s="298">
        <v>1.35</v>
      </c>
      <c r="AD29" s="298">
        <v>0.42500000000000004</v>
      </c>
      <c r="AE29" s="298">
        <v>1.26</v>
      </c>
      <c r="AF29" s="298">
        <v>1.3760000000000001</v>
      </c>
      <c r="AG29" s="298">
        <v>1.53</v>
      </c>
      <c r="AH29" s="100">
        <f t="shared" si="4"/>
        <v>40.615999999999993</v>
      </c>
    </row>
    <row r="30" spans="1:34" ht="15">
      <c r="A30" s="363" t="s">
        <v>150</v>
      </c>
      <c r="B30" s="53">
        <f t="shared" si="3"/>
        <v>47.469999999999985</v>
      </c>
      <c r="C30" s="116">
        <v>1.4660000000000002</v>
      </c>
      <c r="D30" s="99">
        <v>1.4100000000000001</v>
      </c>
      <c r="E30" s="99">
        <v>1.6419999999999999</v>
      </c>
      <c r="F30" s="99">
        <v>0.56700000000000006</v>
      </c>
      <c r="G30" s="99">
        <v>2.1740000000000004</v>
      </c>
      <c r="H30" s="99">
        <v>2.0099999999999998</v>
      </c>
      <c r="I30" s="99">
        <v>2.1640000000000001</v>
      </c>
      <c r="J30" s="99">
        <v>3.0079999999999996</v>
      </c>
      <c r="K30" s="99">
        <v>1.4350000000000001</v>
      </c>
      <c r="L30" s="99">
        <v>1.8699999999999999</v>
      </c>
      <c r="M30" s="99">
        <v>1.3239999999999998</v>
      </c>
      <c r="N30" s="99">
        <v>2</v>
      </c>
      <c r="O30" s="99">
        <v>1.9150000000000003</v>
      </c>
      <c r="P30" s="99">
        <v>2.89</v>
      </c>
      <c r="Q30" s="99">
        <v>1.88</v>
      </c>
      <c r="R30" s="99">
        <v>2.0569999999999999</v>
      </c>
      <c r="S30" s="99">
        <v>0.22999999999999995</v>
      </c>
      <c r="T30" s="99">
        <v>0.217</v>
      </c>
      <c r="U30" s="99">
        <v>2.4750000000000001</v>
      </c>
      <c r="V30" s="99">
        <v>1.4510000000000003</v>
      </c>
      <c r="W30" s="99">
        <v>1.6019999999999999</v>
      </c>
      <c r="X30" s="99">
        <v>2.2719999999999998</v>
      </c>
      <c r="Y30" s="99">
        <v>1.359</v>
      </c>
      <c r="Z30" s="99">
        <v>8.5000000000000006E-2</v>
      </c>
      <c r="AA30" s="99">
        <v>0.18</v>
      </c>
      <c r="AB30" s="99">
        <v>1.6199999999999999</v>
      </c>
      <c r="AC30" s="99">
        <v>1.3450000000000002</v>
      </c>
      <c r="AD30" s="99">
        <v>1.9220000000000002</v>
      </c>
      <c r="AE30" s="99">
        <v>0.81100000000000005</v>
      </c>
      <c r="AF30" s="99">
        <v>2.089</v>
      </c>
      <c r="AG30" s="99"/>
      <c r="AH30" s="100">
        <f t="shared" si="4"/>
        <v>47.469999999999985</v>
      </c>
    </row>
    <row r="31" spans="1:34" ht="15">
      <c r="A31" s="73" t="s">
        <v>151</v>
      </c>
      <c r="B31" s="53">
        <f t="shared" si="3"/>
        <v>39.219000000000001</v>
      </c>
      <c r="C31" s="116">
        <v>0.28999999999999998</v>
      </c>
      <c r="D31" s="99">
        <v>0.48</v>
      </c>
      <c r="E31" s="99">
        <v>1.4300000000000002</v>
      </c>
      <c r="F31" s="99">
        <v>1.68</v>
      </c>
      <c r="G31" s="99">
        <v>1.1890000000000001</v>
      </c>
      <c r="H31" s="99">
        <v>1.9470000000000001</v>
      </c>
      <c r="I31" s="99">
        <v>2.7860000000000005</v>
      </c>
      <c r="J31" s="99">
        <v>1.33</v>
      </c>
      <c r="K31" s="99">
        <v>0.92399999999999993</v>
      </c>
      <c r="L31" s="99">
        <v>2.0780000000000003</v>
      </c>
      <c r="M31" s="99">
        <v>1.425</v>
      </c>
      <c r="N31" s="99">
        <v>2.0499999999999998</v>
      </c>
      <c r="O31" s="99">
        <v>1.4450000000000001</v>
      </c>
      <c r="P31" s="99">
        <v>1.415</v>
      </c>
      <c r="Q31" s="99">
        <v>0.94</v>
      </c>
      <c r="R31" s="99">
        <v>0.59</v>
      </c>
      <c r="S31" s="99">
        <v>0.66900000000000004</v>
      </c>
      <c r="T31" s="99">
        <v>2.371</v>
      </c>
      <c r="U31" s="99">
        <v>1.9309999999999998</v>
      </c>
      <c r="V31" s="99">
        <v>1.5529999999999999</v>
      </c>
      <c r="W31" s="99">
        <v>1.8110000000000004</v>
      </c>
      <c r="X31" s="99">
        <v>1.645</v>
      </c>
      <c r="Y31" s="99">
        <v>0.08</v>
      </c>
      <c r="Z31" s="99">
        <v>0.98799999999999999</v>
      </c>
      <c r="AA31" s="99">
        <v>0.79500000000000004</v>
      </c>
      <c r="AB31" s="99">
        <v>1.0699999999999998</v>
      </c>
      <c r="AC31" s="99">
        <v>0.90500000000000003</v>
      </c>
      <c r="AD31" s="99">
        <v>1.04</v>
      </c>
      <c r="AE31" s="99">
        <v>0.24199999999999999</v>
      </c>
      <c r="AF31" s="99">
        <v>0.87</v>
      </c>
      <c r="AG31" s="99">
        <v>1.25</v>
      </c>
      <c r="AH31" s="100">
        <f t="shared" si="4"/>
        <v>39.219000000000001</v>
      </c>
    </row>
    <row r="32" spans="1:34" ht="15">
      <c r="A32" s="73" t="s">
        <v>152</v>
      </c>
      <c r="B32" s="53">
        <f t="shared" si="3"/>
        <v>22.026</v>
      </c>
      <c r="C32" s="116">
        <v>1.31</v>
      </c>
      <c r="D32" s="99">
        <v>0.875</v>
      </c>
      <c r="E32" s="99">
        <v>1.6349999999999998</v>
      </c>
      <c r="F32" s="99">
        <v>0.65999999999999992</v>
      </c>
      <c r="G32" s="99">
        <v>0</v>
      </c>
      <c r="H32" s="99">
        <v>0.51</v>
      </c>
      <c r="I32" s="99">
        <v>1.5309999999999999</v>
      </c>
      <c r="J32" s="99">
        <v>1.837</v>
      </c>
      <c r="K32" s="99">
        <v>1.9200000000000002</v>
      </c>
      <c r="L32" s="99">
        <v>0.70900000000000007</v>
      </c>
      <c r="M32" s="99">
        <v>1.6850000000000001</v>
      </c>
      <c r="N32" s="99">
        <v>0.63</v>
      </c>
      <c r="O32" s="99">
        <v>0</v>
      </c>
      <c r="P32" s="99">
        <v>0.90700000000000003</v>
      </c>
      <c r="Q32" s="53">
        <v>0.03</v>
      </c>
      <c r="R32" s="53">
        <v>0.84199999999999997</v>
      </c>
      <c r="S32" s="53">
        <v>0.625</v>
      </c>
      <c r="T32" s="53">
        <v>1.2000000000000002</v>
      </c>
      <c r="U32" s="53">
        <v>0.63500000000000001</v>
      </c>
      <c r="V32" s="53">
        <v>0.22500000000000001</v>
      </c>
      <c r="W32" s="53">
        <v>0.77</v>
      </c>
      <c r="X32" s="53">
        <v>0.877</v>
      </c>
      <c r="Y32" s="53">
        <v>0.34199999999999997</v>
      </c>
      <c r="Z32" s="53">
        <v>0.40500000000000003</v>
      </c>
      <c r="AA32" s="53">
        <v>0.93500000000000005</v>
      </c>
      <c r="AB32" s="53">
        <v>0.06</v>
      </c>
      <c r="AC32" s="53">
        <v>0.23099999999999998</v>
      </c>
      <c r="AD32" s="53">
        <v>0.3</v>
      </c>
      <c r="AE32" s="53">
        <v>0.13</v>
      </c>
      <c r="AF32" s="53">
        <v>0</v>
      </c>
      <c r="AG32" s="53">
        <v>0.21</v>
      </c>
      <c r="AH32" s="100">
        <f t="shared" si="4"/>
        <v>22.026</v>
      </c>
    </row>
    <row r="33" spans="1:34" ht="15">
      <c r="A33" s="73" t="s">
        <v>153</v>
      </c>
      <c r="B33" s="53">
        <f t="shared" si="3"/>
        <v>0</v>
      </c>
      <c r="C33" s="188" t="s">
        <v>626</v>
      </c>
      <c r="D33" s="188" t="s">
        <v>626</v>
      </c>
      <c r="E33" s="188" t="s">
        <v>626</v>
      </c>
      <c r="F33" s="188" t="s">
        <v>626</v>
      </c>
      <c r="G33" s="188" t="s">
        <v>626</v>
      </c>
      <c r="H33" s="188" t="s">
        <v>626</v>
      </c>
      <c r="I33" s="188" t="s">
        <v>626</v>
      </c>
      <c r="J33" s="188" t="s">
        <v>626</v>
      </c>
      <c r="K33" s="188" t="s">
        <v>626</v>
      </c>
      <c r="L33" s="188" t="s">
        <v>626</v>
      </c>
      <c r="M33" s="188" t="s">
        <v>626</v>
      </c>
      <c r="N33" s="188" t="s">
        <v>626</v>
      </c>
      <c r="O33" s="188" t="s">
        <v>626</v>
      </c>
      <c r="P33" s="188" t="s">
        <v>626</v>
      </c>
      <c r="Q33" s="188" t="s">
        <v>626</v>
      </c>
      <c r="R33" s="188" t="s">
        <v>626</v>
      </c>
      <c r="S33" s="188" t="s">
        <v>626</v>
      </c>
      <c r="T33" s="188" t="s">
        <v>626</v>
      </c>
      <c r="U33" s="188" t="s">
        <v>626</v>
      </c>
      <c r="V33" s="188" t="s">
        <v>626</v>
      </c>
      <c r="W33" s="188" t="s">
        <v>626</v>
      </c>
      <c r="X33" s="188" t="s">
        <v>626</v>
      </c>
      <c r="Y33" s="188" t="s">
        <v>626</v>
      </c>
      <c r="Z33" s="188" t="s">
        <v>626</v>
      </c>
      <c r="AA33" s="188" t="s">
        <v>626</v>
      </c>
      <c r="AB33" s="188" t="s">
        <v>626</v>
      </c>
      <c r="AC33" s="188" t="s">
        <v>626</v>
      </c>
      <c r="AD33" s="188" t="s">
        <v>626</v>
      </c>
      <c r="AE33" s="188" t="s">
        <v>626</v>
      </c>
      <c r="AF33" s="188" t="s">
        <v>626</v>
      </c>
      <c r="AG33" s="188" t="s">
        <v>626</v>
      </c>
      <c r="AH33" s="100">
        <f t="shared" si="4"/>
        <v>0</v>
      </c>
    </row>
    <row r="34" spans="1:34" ht="15">
      <c r="A34" s="73" t="s">
        <v>154</v>
      </c>
      <c r="B34" s="53">
        <f t="shared" si="3"/>
        <v>48.224000000000004</v>
      </c>
      <c r="C34" s="302">
        <v>0.06</v>
      </c>
      <c r="D34" s="303">
        <v>2.6339999999999999</v>
      </c>
      <c r="E34" s="303">
        <v>1.4950000000000001</v>
      </c>
      <c r="F34" s="303">
        <v>2.4500000000000002</v>
      </c>
      <c r="G34" s="303">
        <v>1.8149999999999999</v>
      </c>
      <c r="H34" s="303">
        <v>2.7949999999999999</v>
      </c>
      <c r="I34" s="303">
        <v>0.40599999999999997</v>
      </c>
      <c r="J34" s="303">
        <v>0.70799999999999996</v>
      </c>
      <c r="K34" s="303">
        <v>2.387</v>
      </c>
      <c r="L34" s="303">
        <v>2.0790000000000002</v>
      </c>
      <c r="M34" s="303">
        <v>1.9910000000000001</v>
      </c>
      <c r="N34" s="303">
        <v>3.07</v>
      </c>
      <c r="O34" s="297">
        <v>2.5339999999999994</v>
      </c>
      <c r="P34" s="303">
        <v>0.70399999999999996</v>
      </c>
      <c r="Q34" s="303">
        <v>0.57899999999999996</v>
      </c>
      <c r="R34" s="303">
        <v>1.4590000000000001</v>
      </c>
      <c r="S34" s="303">
        <v>1.9470000000000001</v>
      </c>
      <c r="T34" s="303">
        <v>1.6509999999999998</v>
      </c>
      <c r="U34" s="303">
        <v>1.504</v>
      </c>
      <c r="V34" s="303">
        <v>1.6500000000000001</v>
      </c>
      <c r="W34" s="303">
        <v>0.03</v>
      </c>
      <c r="X34" s="303">
        <v>0.42399999999999999</v>
      </c>
      <c r="Y34" s="303">
        <v>1.0840000000000001</v>
      </c>
      <c r="Z34" s="303">
        <v>0.84400000000000008</v>
      </c>
      <c r="AA34" s="303">
        <v>2.1340000000000003</v>
      </c>
      <c r="AB34" s="303">
        <v>2.1109999999999998</v>
      </c>
      <c r="AC34" s="303">
        <v>2.0249999999999999</v>
      </c>
      <c r="AD34" s="303">
        <v>1.0049999999999999</v>
      </c>
      <c r="AE34" s="298">
        <v>1.4239999999999999</v>
      </c>
      <c r="AF34" s="303">
        <v>1.5749999999999997</v>
      </c>
      <c r="AG34" s="298">
        <v>1.6500000000000001</v>
      </c>
      <c r="AH34" s="100">
        <f t="shared" si="4"/>
        <v>48.224000000000004</v>
      </c>
    </row>
    <row r="35" spans="1:34" ht="15">
      <c r="A35" s="73" t="s">
        <v>155</v>
      </c>
      <c r="B35" s="53">
        <f t="shared" si="3"/>
        <v>55.53799999999999</v>
      </c>
      <c r="C35" s="302">
        <v>3.76</v>
      </c>
      <c r="D35" s="303">
        <v>1.885</v>
      </c>
      <c r="E35" s="303">
        <v>2.6250000000000004</v>
      </c>
      <c r="F35" s="303">
        <v>0.26</v>
      </c>
      <c r="G35" s="303">
        <v>0.78900000000000003</v>
      </c>
      <c r="H35" s="303">
        <v>1.1100000000000001</v>
      </c>
      <c r="I35" s="303">
        <v>2.4080000000000004</v>
      </c>
      <c r="J35" s="303">
        <v>2.379</v>
      </c>
      <c r="K35" s="303">
        <v>1.722</v>
      </c>
      <c r="L35" s="303">
        <v>1.468</v>
      </c>
      <c r="M35" s="303">
        <v>0</v>
      </c>
      <c r="N35" s="303">
        <v>7.3999999999999996E-2</v>
      </c>
      <c r="O35" s="303">
        <v>1.0349999999999999</v>
      </c>
      <c r="P35" s="303">
        <v>1.08</v>
      </c>
      <c r="Q35" s="303">
        <v>1.492</v>
      </c>
      <c r="R35" s="303">
        <v>1.7949999999999997</v>
      </c>
      <c r="S35" s="303">
        <v>1.665</v>
      </c>
      <c r="T35" s="303">
        <v>0.85300000000000009</v>
      </c>
      <c r="U35" s="303">
        <v>0.32200000000000001</v>
      </c>
      <c r="V35" s="303">
        <v>2.4229999999999996</v>
      </c>
      <c r="W35" s="303">
        <v>1.54</v>
      </c>
      <c r="X35" s="303">
        <v>3.4760000000000004</v>
      </c>
      <c r="Y35" s="303">
        <v>2.58</v>
      </c>
      <c r="Z35" s="303">
        <v>2.6710000000000003</v>
      </c>
      <c r="AA35" s="303">
        <v>0.71</v>
      </c>
      <c r="AB35" s="303">
        <v>0.7</v>
      </c>
      <c r="AC35" s="303">
        <v>3.6859999999999999</v>
      </c>
      <c r="AD35" s="303">
        <v>6.161999999999999</v>
      </c>
      <c r="AE35" s="298">
        <v>2.931</v>
      </c>
      <c r="AF35" s="304">
        <v>1.9370000000000001</v>
      </c>
      <c r="AG35" s="298"/>
      <c r="AH35" s="100">
        <f t="shared" si="4"/>
        <v>55.53799999999999</v>
      </c>
    </row>
    <row r="36" spans="1:34" ht="15">
      <c r="A36" s="73" t="s">
        <v>156</v>
      </c>
      <c r="B36" s="53">
        <f t="shared" si="3"/>
        <v>37.871999999999993</v>
      </c>
      <c r="C36" s="302">
        <v>1.552</v>
      </c>
      <c r="D36" s="303">
        <v>0.65900000000000003</v>
      </c>
      <c r="E36" s="303">
        <v>3.7610000000000006</v>
      </c>
      <c r="F36" s="303">
        <v>1.5249999999999999</v>
      </c>
      <c r="G36" s="303">
        <v>2.9249999999999998</v>
      </c>
      <c r="H36" s="303">
        <v>1.88</v>
      </c>
      <c r="I36" s="303">
        <v>1.7869999999999999</v>
      </c>
      <c r="J36" s="303">
        <v>0.94</v>
      </c>
      <c r="K36" s="303">
        <v>0.39200000000000002</v>
      </c>
      <c r="L36" s="303">
        <v>0.54899999999999993</v>
      </c>
      <c r="M36" s="303">
        <v>1.19</v>
      </c>
      <c r="N36" s="303">
        <v>2.1749999999999998</v>
      </c>
      <c r="O36" s="303">
        <v>2.2770000000000001</v>
      </c>
      <c r="P36" s="303">
        <v>1.825</v>
      </c>
      <c r="Q36" s="303">
        <v>1.57</v>
      </c>
      <c r="R36" s="303">
        <v>0.46499999999999997</v>
      </c>
      <c r="S36" s="303">
        <v>0.54299999999999993</v>
      </c>
      <c r="T36" s="303">
        <v>1.48</v>
      </c>
      <c r="U36" s="303">
        <v>1.65</v>
      </c>
      <c r="V36" s="303">
        <v>1.48</v>
      </c>
      <c r="W36" s="303">
        <v>1.5300000000000002</v>
      </c>
      <c r="X36" s="303">
        <v>1.84</v>
      </c>
      <c r="Y36" s="303">
        <v>1.2869999999999999</v>
      </c>
      <c r="Z36" s="303">
        <v>0.13</v>
      </c>
      <c r="AA36" s="303">
        <v>0.25</v>
      </c>
      <c r="AB36" s="303">
        <v>0.15</v>
      </c>
      <c r="AC36" s="303">
        <v>0</v>
      </c>
      <c r="AD36" s="303">
        <v>0.9</v>
      </c>
      <c r="AE36" s="298">
        <v>0.25</v>
      </c>
      <c r="AF36" s="304">
        <v>0.3</v>
      </c>
      <c r="AG36" s="298">
        <v>0.61</v>
      </c>
      <c r="AH36" s="100">
        <f t="shared" si="4"/>
        <v>37.871999999999993</v>
      </c>
    </row>
    <row r="37" spans="1:34" ht="15">
      <c r="A37" s="200" t="s">
        <v>111</v>
      </c>
      <c r="B37" s="200">
        <f t="shared" ref="B37:AH37" si="5">SUM(B25:B36)</f>
        <v>510.26600000000002</v>
      </c>
      <c r="C37" s="100">
        <f>SUM(C25:C36)</f>
        <v>15.124000000000001</v>
      </c>
      <c r="D37" s="100">
        <f t="shared" si="5"/>
        <v>15.547000000000001</v>
      </c>
      <c r="E37" s="100">
        <f t="shared" si="5"/>
        <v>23.534999999999997</v>
      </c>
      <c r="F37" s="100">
        <f t="shared" si="5"/>
        <v>16.420000000000002</v>
      </c>
      <c r="G37" s="100">
        <f t="shared" si="5"/>
        <v>19.166</v>
      </c>
      <c r="H37" s="100">
        <f t="shared" si="5"/>
        <v>18.620999999999999</v>
      </c>
      <c r="I37" s="100">
        <f t="shared" si="5"/>
        <v>20.026000000000003</v>
      </c>
      <c r="J37" s="100">
        <f t="shared" si="5"/>
        <v>18.264000000000003</v>
      </c>
      <c r="K37" s="100">
        <f t="shared" si="5"/>
        <v>19.136000000000003</v>
      </c>
      <c r="L37" s="100">
        <f t="shared" si="5"/>
        <v>20.131</v>
      </c>
      <c r="M37" s="100">
        <f t="shared" si="5"/>
        <v>18.584000000000003</v>
      </c>
      <c r="N37" s="100">
        <f t="shared" si="5"/>
        <v>18.750000000000004</v>
      </c>
      <c r="O37" s="100">
        <f t="shared" si="5"/>
        <v>14.934999999999999</v>
      </c>
      <c r="P37" s="100">
        <f t="shared" si="5"/>
        <v>19.45</v>
      </c>
      <c r="Q37" s="100">
        <f t="shared" si="5"/>
        <v>13.981999999999999</v>
      </c>
      <c r="R37" s="100">
        <f t="shared" si="5"/>
        <v>14.385999999999999</v>
      </c>
      <c r="S37" s="100">
        <f t="shared" si="5"/>
        <v>15.446999999999999</v>
      </c>
      <c r="T37" s="100">
        <f t="shared" si="5"/>
        <v>18.177000000000003</v>
      </c>
      <c r="U37" s="100">
        <f t="shared" si="5"/>
        <v>17.381999999999998</v>
      </c>
      <c r="V37" s="100">
        <f t="shared" si="5"/>
        <v>16.190999999999999</v>
      </c>
      <c r="W37" s="100">
        <f t="shared" si="5"/>
        <v>17.454000000000001</v>
      </c>
      <c r="X37" s="100">
        <f t="shared" si="5"/>
        <v>18.108999999999998</v>
      </c>
      <c r="Y37" s="100">
        <f t="shared" si="5"/>
        <v>14.499000000000002</v>
      </c>
      <c r="Z37" s="100">
        <f t="shared" si="5"/>
        <v>15.343000000000002</v>
      </c>
      <c r="AA37" s="100">
        <f t="shared" si="5"/>
        <v>12.157</v>
      </c>
      <c r="AB37" s="100">
        <f t="shared" si="5"/>
        <v>12.721000000000002</v>
      </c>
      <c r="AC37" s="100">
        <f t="shared" si="5"/>
        <v>14.472</v>
      </c>
      <c r="AD37" s="100">
        <f t="shared" si="5"/>
        <v>21.393000000000001</v>
      </c>
      <c r="AE37" s="100">
        <f t="shared" si="5"/>
        <v>11.955000000000002</v>
      </c>
      <c r="AF37" s="100">
        <f t="shared" si="5"/>
        <v>11.487</v>
      </c>
      <c r="AG37" s="100">
        <f t="shared" si="5"/>
        <v>7.4220000000000006</v>
      </c>
      <c r="AH37" s="100">
        <f t="shared" si="5"/>
        <v>510.26600000000002</v>
      </c>
    </row>
    <row r="38" spans="1:34" ht="5.0999999999999996" customHeight="1">
      <c r="A38" s="49"/>
      <c r="B38" s="49"/>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row>
    <row r="39" spans="1:34" ht="15">
      <c r="A39" s="3854" t="s">
        <v>134</v>
      </c>
      <c r="B39" s="3855"/>
      <c r="C39" s="3856"/>
      <c r="D39" s="14"/>
      <c r="E39" s="14"/>
      <c r="F39" s="14"/>
      <c r="G39" s="14"/>
      <c r="H39" s="14"/>
      <c r="I39" s="14"/>
      <c r="J39" s="14"/>
      <c r="K39" s="14"/>
      <c r="L39" s="14"/>
      <c r="M39" s="98"/>
      <c r="N39" s="14"/>
      <c r="O39" s="14"/>
      <c r="P39" s="14"/>
      <c r="Q39" s="14"/>
      <c r="R39" s="14"/>
      <c r="S39" s="14"/>
      <c r="T39" s="14"/>
      <c r="U39" s="14"/>
      <c r="V39" s="14"/>
      <c r="W39" s="14"/>
      <c r="X39" s="14"/>
      <c r="Y39" s="14"/>
      <c r="Z39" s="14"/>
      <c r="AA39" s="14"/>
      <c r="AB39" s="14"/>
      <c r="AC39" s="14"/>
      <c r="AD39" s="14"/>
      <c r="AE39" s="14"/>
      <c r="AF39" s="14"/>
      <c r="AG39" s="14"/>
      <c r="AH39" s="1"/>
    </row>
    <row r="40" spans="1:34" ht="15">
      <c r="A40" s="8" t="s">
        <v>142</v>
      </c>
      <c r="B40" s="8" t="s">
        <v>143</v>
      </c>
      <c r="C40" s="372">
        <v>1</v>
      </c>
      <c r="D40" s="73">
        <v>2</v>
      </c>
      <c r="E40" s="73">
        <v>3</v>
      </c>
      <c r="F40" s="73">
        <v>4</v>
      </c>
      <c r="G40" s="73">
        <v>5</v>
      </c>
      <c r="H40" s="73">
        <v>6</v>
      </c>
      <c r="I40" s="73">
        <v>7</v>
      </c>
      <c r="J40" s="73">
        <v>8</v>
      </c>
      <c r="K40" s="73">
        <v>9</v>
      </c>
      <c r="L40" s="73">
        <v>10</v>
      </c>
      <c r="M40" s="73">
        <v>11</v>
      </c>
      <c r="N40" s="73">
        <v>12</v>
      </c>
      <c r="O40" s="73">
        <v>13</v>
      </c>
      <c r="P40" s="73">
        <v>14</v>
      </c>
      <c r="Q40" s="73">
        <v>15</v>
      </c>
      <c r="R40" s="73">
        <v>16</v>
      </c>
      <c r="S40" s="73">
        <v>17</v>
      </c>
      <c r="T40" s="73">
        <v>18</v>
      </c>
      <c r="U40" s="73">
        <v>19</v>
      </c>
      <c r="V40" s="73">
        <v>20</v>
      </c>
      <c r="W40" s="73">
        <v>21</v>
      </c>
      <c r="X40" s="73">
        <v>22</v>
      </c>
      <c r="Y40" s="73">
        <v>23</v>
      </c>
      <c r="Z40" s="73">
        <v>24</v>
      </c>
      <c r="AA40" s="73">
        <v>25</v>
      </c>
      <c r="AB40" s="73">
        <v>26</v>
      </c>
      <c r="AC40" s="73">
        <v>27</v>
      </c>
      <c r="AD40" s="73">
        <v>28</v>
      </c>
      <c r="AE40" s="73">
        <v>29</v>
      </c>
      <c r="AF40" s="73">
        <v>30</v>
      </c>
      <c r="AG40" s="73">
        <v>31</v>
      </c>
      <c r="AH40" s="87" t="s">
        <v>144</v>
      </c>
    </row>
    <row r="41" spans="1:34" ht="15">
      <c r="A41" s="363" t="s">
        <v>145</v>
      </c>
      <c r="B41" s="53">
        <f t="shared" ref="B41:B52" si="6">+AH41</f>
        <v>0</v>
      </c>
      <c r="C41" s="302">
        <v>0</v>
      </c>
      <c r="D41" s="297">
        <v>0</v>
      </c>
      <c r="E41" s="297">
        <v>0</v>
      </c>
      <c r="F41" s="297">
        <v>0</v>
      </c>
      <c r="G41" s="303">
        <v>0</v>
      </c>
      <c r="H41" s="303">
        <v>0</v>
      </c>
      <c r="I41" s="303">
        <v>0</v>
      </c>
      <c r="J41" s="303">
        <v>0</v>
      </c>
      <c r="K41" s="303">
        <v>0</v>
      </c>
      <c r="L41" s="303">
        <v>0</v>
      </c>
      <c r="M41" s="303">
        <v>0</v>
      </c>
      <c r="N41" s="303">
        <v>0</v>
      </c>
      <c r="O41" s="303">
        <v>0</v>
      </c>
      <c r="P41" s="303">
        <v>0</v>
      </c>
      <c r="Q41" s="297">
        <v>0</v>
      </c>
      <c r="R41" s="303">
        <v>0</v>
      </c>
      <c r="S41" s="303">
        <v>0</v>
      </c>
      <c r="T41" s="303">
        <v>0</v>
      </c>
      <c r="U41" s="303">
        <v>0</v>
      </c>
      <c r="V41" s="297">
        <v>0</v>
      </c>
      <c r="W41" s="297">
        <v>0</v>
      </c>
      <c r="X41" s="303">
        <v>0</v>
      </c>
      <c r="Y41" s="303">
        <v>0</v>
      </c>
      <c r="Z41" s="303">
        <v>0</v>
      </c>
      <c r="AA41" s="303">
        <v>0</v>
      </c>
      <c r="AB41" s="303">
        <v>0</v>
      </c>
      <c r="AC41" s="303">
        <v>0</v>
      </c>
      <c r="AD41" s="297">
        <v>0</v>
      </c>
      <c r="AE41" s="303">
        <v>0</v>
      </c>
      <c r="AF41" s="303">
        <v>0</v>
      </c>
      <c r="AG41" s="303">
        <v>0</v>
      </c>
      <c r="AH41" s="100">
        <f>SUM(C41:AG41)</f>
        <v>0</v>
      </c>
    </row>
    <row r="42" spans="1:34" ht="15">
      <c r="A42" s="363" t="s">
        <v>146</v>
      </c>
      <c r="B42" s="53">
        <f t="shared" si="6"/>
        <v>5.1000000000000004E-2</v>
      </c>
      <c r="C42" s="302">
        <v>0</v>
      </c>
      <c r="D42" s="303">
        <v>0</v>
      </c>
      <c r="E42" s="303">
        <v>0</v>
      </c>
      <c r="F42" s="303">
        <v>0</v>
      </c>
      <c r="G42" s="303">
        <v>0</v>
      </c>
      <c r="H42" s="303">
        <v>0</v>
      </c>
      <c r="I42" s="303">
        <v>0</v>
      </c>
      <c r="J42" s="303">
        <v>0</v>
      </c>
      <c r="K42" s="303">
        <v>0</v>
      </c>
      <c r="L42" s="303">
        <v>0</v>
      </c>
      <c r="M42" s="303">
        <v>0</v>
      </c>
      <c r="N42" s="303">
        <v>0</v>
      </c>
      <c r="O42" s="303">
        <v>0</v>
      </c>
      <c r="P42" s="303">
        <v>0</v>
      </c>
      <c r="Q42" s="303">
        <v>0</v>
      </c>
      <c r="R42" s="303">
        <v>2.5999999999999999E-2</v>
      </c>
      <c r="S42" s="303">
        <v>0</v>
      </c>
      <c r="T42" s="303">
        <v>0</v>
      </c>
      <c r="U42" s="303">
        <v>0</v>
      </c>
      <c r="V42" s="303">
        <v>0</v>
      </c>
      <c r="W42" s="303">
        <v>0</v>
      </c>
      <c r="X42" s="303">
        <v>2.5000000000000001E-2</v>
      </c>
      <c r="Y42" s="303">
        <v>0</v>
      </c>
      <c r="Z42" s="303">
        <v>0</v>
      </c>
      <c r="AA42" s="303">
        <v>0</v>
      </c>
      <c r="AB42" s="303">
        <v>0</v>
      </c>
      <c r="AC42" s="303">
        <v>0</v>
      </c>
      <c r="AD42" s="303">
        <v>0</v>
      </c>
      <c r="AE42" s="303">
        <v>0</v>
      </c>
      <c r="AF42" s="303"/>
      <c r="AG42" s="303"/>
      <c r="AH42" s="100">
        <f t="shared" ref="AH42:AH52" si="7">SUM(C42:AG42)</f>
        <v>5.1000000000000004E-2</v>
      </c>
    </row>
    <row r="43" spans="1:34" ht="15">
      <c r="A43" s="363" t="s">
        <v>147</v>
      </c>
      <c r="B43" s="53">
        <f t="shared" si="6"/>
        <v>2.5999999999999999E-2</v>
      </c>
      <c r="C43" s="665">
        <v>0</v>
      </c>
      <c r="D43" s="455">
        <v>0</v>
      </c>
      <c r="E43" s="666">
        <v>0</v>
      </c>
      <c r="F43" s="666">
        <v>0</v>
      </c>
      <c r="G43" s="666">
        <v>0</v>
      </c>
      <c r="H43" s="666">
        <v>0</v>
      </c>
      <c r="I43" s="666">
        <v>0</v>
      </c>
      <c r="J43" s="666">
        <v>0</v>
      </c>
      <c r="K43" s="666">
        <v>0</v>
      </c>
      <c r="L43" s="666">
        <v>0</v>
      </c>
      <c r="M43" s="666">
        <v>0</v>
      </c>
      <c r="N43" s="666">
        <v>8.0000000000000002E-3</v>
      </c>
      <c r="O43" s="666">
        <v>0</v>
      </c>
      <c r="P43" s="666">
        <v>0</v>
      </c>
      <c r="Q43" s="666">
        <v>0</v>
      </c>
      <c r="R43" s="666">
        <v>0</v>
      </c>
      <c r="S43" s="666">
        <v>0</v>
      </c>
      <c r="T43" s="666">
        <v>1.7999999999999999E-2</v>
      </c>
      <c r="U43" s="666">
        <v>0</v>
      </c>
      <c r="V43" s="666">
        <v>0</v>
      </c>
      <c r="W43" s="666">
        <v>0</v>
      </c>
      <c r="X43" s="666">
        <v>0</v>
      </c>
      <c r="Y43" s="666">
        <v>0</v>
      </c>
      <c r="Z43" s="666">
        <v>0</v>
      </c>
      <c r="AA43" s="666">
        <v>0</v>
      </c>
      <c r="AB43" s="666">
        <v>0</v>
      </c>
      <c r="AC43" s="666">
        <v>0</v>
      </c>
      <c r="AD43" s="666">
        <v>0</v>
      </c>
      <c r="AE43" s="666">
        <v>0</v>
      </c>
      <c r="AF43" s="666">
        <v>0</v>
      </c>
      <c r="AG43" s="666">
        <v>0</v>
      </c>
      <c r="AH43" s="100">
        <f t="shared" si="7"/>
        <v>2.5999999999999999E-2</v>
      </c>
    </row>
    <row r="44" spans="1:34" ht="15">
      <c r="A44" s="363" t="s">
        <v>148</v>
      </c>
      <c r="B44" s="53">
        <f t="shared" si="6"/>
        <v>7.0000000000000007E-2</v>
      </c>
      <c r="C44" s="296">
        <v>0</v>
      </c>
      <c r="D44" s="297">
        <v>0</v>
      </c>
      <c r="E44" s="298">
        <v>0</v>
      </c>
      <c r="F44" s="298">
        <v>0</v>
      </c>
      <c r="G44" s="298">
        <v>0</v>
      </c>
      <c r="H44" s="298">
        <v>0</v>
      </c>
      <c r="I44" s="298">
        <v>0</v>
      </c>
      <c r="J44" s="298">
        <v>0</v>
      </c>
      <c r="K44" s="298">
        <v>0</v>
      </c>
      <c r="L44" s="298">
        <v>0</v>
      </c>
      <c r="M44" s="298">
        <v>0</v>
      </c>
      <c r="N44" s="298">
        <v>0</v>
      </c>
      <c r="O44" s="298">
        <v>0</v>
      </c>
      <c r="P44" s="298">
        <v>0</v>
      </c>
      <c r="Q44" s="298">
        <v>0</v>
      </c>
      <c r="R44" s="298">
        <v>0</v>
      </c>
      <c r="S44" s="298">
        <v>0</v>
      </c>
      <c r="T44" s="298">
        <v>0</v>
      </c>
      <c r="U44" s="298">
        <v>3.0000000000000001E-3</v>
      </c>
      <c r="V44" s="298">
        <v>5.0000000000000001E-3</v>
      </c>
      <c r="W44" s="298">
        <v>3.5999999999999997E-2</v>
      </c>
      <c r="X44" s="298">
        <v>0</v>
      </c>
      <c r="Y44" s="298">
        <v>0.01</v>
      </c>
      <c r="Z44" s="298">
        <v>0</v>
      </c>
      <c r="AA44" s="298">
        <v>0</v>
      </c>
      <c r="AB44" s="298">
        <v>0</v>
      </c>
      <c r="AC44" s="298">
        <v>0</v>
      </c>
      <c r="AD44" s="298">
        <v>1.6E-2</v>
      </c>
      <c r="AE44" s="298">
        <v>0</v>
      </c>
      <c r="AF44" s="298">
        <v>0</v>
      </c>
      <c r="AG44" s="298"/>
      <c r="AH44" s="100">
        <f t="shared" si="7"/>
        <v>7.0000000000000007E-2</v>
      </c>
    </row>
    <row r="45" spans="1:34" ht="15">
      <c r="A45" s="363" t="s">
        <v>149</v>
      </c>
      <c r="B45" s="53">
        <f t="shared" si="6"/>
        <v>0</v>
      </c>
      <c r="C45" s="116">
        <v>0</v>
      </c>
      <c r="D45" s="99">
        <v>0</v>
      </c>
      <c r="E45" s="99">
        <v>0</v>
      </c>
      <c r="F45" s="99">
        <v>0</v>
      </c>
      <c r="G45" s="99">
        <v>0</v>
      </c>
      <c r="H45" s="99">
        <v>0</v>
      </c>
      <c r="I45" s="99">
        <v>0</v>
      </c>
      <c r="J45" s="99">
        <v>0</v>
      </c>
      <c r="K45" s="99">
        <v>0</v>
      </c>
      <c r="L45" s="99">
        <v>0</v>
      </c>
      <c r="M45" s="99">
        <v>0</v>
      </c>
      <c r="N45" s="99">
        <v>0</v>
      </c>
      <c r="O45" s="99">
        <v>0</v>
      </c>
      <c r="P45" s="99">
        <v>0</v>
      </c>
      <c r="Q45" s="99">
        <v>0</v>
      </c>
      <c r="R45" s="99">
        <v>0</v>
      </c>
      <c r="S45" s="99">
        <v>0</v>
      </c>
      <c r="T45" s="99">
        <v>0</v>
      </c>
      <c r="U45" s="99">
        <v>0</v>
      </c>
      <c r="V45" s="99">
        <v>0</v>
      </c>
      <c r="W45" s="99">
        <v>0</v>
      </c>
      <c r="X45" s="99">
        <v>0</v>
      </c>
      <c r="Y45" s="99">
        <v>0</v>
      </c>
      <c r="Z45" s="99">
        <v>0</v>
      </c>
      <c r="AA45" s="99">
        <v>0</v>
      </c>
      <c r="AB45" s="99">
        <v>0</v>
      </c>
      <c r="AC45" s="99">
        <v>0</v>
      </c>
      <c r="AD45" s="99">
        <v>0</v>
      </c>
      <c r="AE45" s="99">
        <v>0</v>
      </c>
      <c r="AF45" s="99">
        <v>0</v>
      </c>
      <c r="AG45" s="99">
        <v>0</v>
      </c>
      <c r="AH45" s="100">
        <f t="shared" si="7"/>
        <v>0</v>
      </c>
    </row>
    <row r="46" spans="1:34" ht="15">
      <c r="A46" s="363" t="s">
        <v>150</v>
      </c>
      <c r="B46" s="53">
        <f t="shared" si="6"/>
        <v>6.3E-2</v>
      </c>
      <c r="C46" s="116">
        <v>0</v>
      </c>
      <c r="D46" s="99">
        <v>0</v>
      </c>
      <c r="E46" s="99">
        <v>0</v>
      </c>
      <c r="F46" s="99">
        <v>0</v>
      </c>
      <c r="G46" s="99">
        <v>0</v>
      </c>
      <c r="H46" s="99">
        <v>0</v>
      </c>
      <c r="I46" s="99">
        <v>0</v>
      </c>
      <c r="J46" s="99">
        <v>0</v>
      </c>
      <c r="K46" s="99">
        <v>0</v>
      </c>
      <c r="L46" s="99">
        <v>0</v>
      </c>
      <c r="M46" s="99">
        <v>0</v>
      </c>
      <c r="N46" s="99">
        <v>0</v>
      </c>
      <c r="O46" s="99">
        <v>0</v>
      </c>
      <c r="P46" s="99">
        <v>3.5999999999999997E-2</v>
      </c>
      <c r="Q46" s="99">
        <v>0</v>
      </c>
      <c r="R46" s="99">
        <v>2.1000000000000001E-2</v>
      </c>
      <c r="S46" s="99">
        <v>0</v>
      </c>
      <c r="T46" s="99">
        <v>0</v>
      </c>
      <c r="U46" s="99">
        <v>0</v>
      </c>
      <c r="V46" s="99">
        <v>0</v>
      </c>
      <c r="W46" s="99">
        <v>6.0000000000000001E-3</v>
      </c>
      <c r="X46" s="99">
        <v>0</v>
      </c>
      <c r="Y46" s="99">
        <v>0</v>
      </c>
      <c r="Z46" s="99">
        <v>0</v>
      </c>
      <c r="AA46" s="99">
        <v>0</v>
      </c>
      <c r="AB46" s="99">
        <v>0</v>
      </c>
      <c r="AC46" s="99">
        <v>0</v>
      </c>
      <c r="AD46" s="99">
        <v>0</v>
      </c>
      <c r="AE46" s="99">
        <v>0</v>
      </c>
      <c r="AF46" s="99">
        <v>0</v>
      </c>
      <c r="AG46" s="99"/>
      <c r="AH46" s="100">
        <f t="shared" si="7"/>
        <v>6.3E-2</v>
      </c>
    </row>
    <row r="47" spans="1:34" ht="15">
      <c r="A47" s="73" t="s">
        <v>151</v>
      </c>
      <c r="B47" s="53">
        <f t="shared" si="6"/>
        <v>0.14200000000000002</v>
      </c>
      <c r="C47" s="116">
        <v>0</v>
      </c>
      <c r="D47" s="99">
        <v>0</v>
      </c>
      <c r="E47" s="99">
        <v>0</v>
      </c>
      <c r="F47" s="99">
        <v>0</v>
      </c>
      <c r="G47" s="99">
        <v>0</v>
      </c>
      <c r="H47" s="99">
        <v>0</v>
      </c>
      <c r="I47" s="99">
        <v>0</v>
      </c>
      <c r="J47" s="99">
        <v>0</v>
      </c>
      <c r="K47" s="99">
        <v>0</v>
      </c>
      <c r="L47" s="99">
        <v>0</v>
      </c>
      <c r="M47" s="99">
        <v>0</v>
      </c>
      <c r="N47" s="99">
        <v>0</v>
      </c>
      <c r="O47" s="99">
        <v>0</v>
      </c>
      <c r="P47" s="99">
        <v>0</v>
      </c>
      <c r="Q47" s="99">
        <v>0</v>
      </c>
      <c r="R47" s="99">
        <v>0</v>
      </c>
      <c r="S47" s="99">
        <v>0</v>
      </c>
      <c r="T47" s="99">
        <v>0</v>
      </c>
      <c r="U47" s="99">
        <v>0</v>
      </c>
      <c r="V47" s="99">
        <v>4.2000000000000003E-2</v>
      </c>
      <c r="W47" s="99">
        <v>0</v>
      </c>
      <c r="X47" s="99">
        <v>0</v>
      </c>
      <c r="Y47" s="99">
        <v>0</v>
      </c>
      <c r="Z47" s="99">
        <v>0</v>
      </c>
      <c r="AA47" s="99">
        <v>0</v>
      </c>
      <c r="AB47" s="99">
        <v>0</v>
      </c>
      <c r="AC47" s="99">
        <v>0</v>
      </c>
      <c r="AD47" s="99">
        <v>0.1</v>
      </c>
      <c r="AE47" s="99">
        <v>0</v>
      </c>
      <c r="AF47" s="99">
        <v>0</v>
      </c>
      <c r="AG47" s="99">
        <v>0</v>
      </c>
      <c r="AH47" s="100">
        <f t="shared" si="7"/>
        <v>0.14200000000000002</v>
      </c>
    </row>
    <row r="48" spans="1:34" ht="15">
      <c r="A48" s="73" t="s">
        <v>152</v>
      </c>
      <c r="B48" s="53">
        <f t="shared" si="6"/>
        <v>6.2E-2</v>
      </c>
      <c r="C48" s="99">
        <v>0</v>
      </c>
      <c r="D48" s="99">
        <v>0</v>
      </c>
      <c r="E48" s="99">
        <v>0</v>
      </c>
      <c r="F48" s="99">
        <v>0</v>
      </c>
      <c r="G48" s="99">
        <v>0</v>
      </c>
      <c r="H48" s="99">
        <v>0</v>
      </c>
      <c r="I48" s="99">
        <v>0</v>
      </c>
      <c r="J48" s="99">
        <v>5.6000000000000001E-2</v>
      </c>
      <c r="K48" s="99">
        <v>0</v>
      </c>
      <c r="L48" s="99">
        <v>6.0000000000000001E-3</v>
      </c>
      <c r="M48" s="99">
        <v>0</v>
      </c>
      <c r="N48" s="99">
        <v>0</v>
      </c>
      <c r="O48" s="99">
        <v>0</v>
      </c>
      <c r="P48" s="99">
        <v>0</v>
      </c>
      <c r="Q48" s="53">
        <v>0</v>
      </c>
      <c r="R48" s="53">
        <v>0</v>
      </c>
      <c r="S48" s="53">
        <v>0</v>
      </c>
      <c r="T48" s="53">
        <v>0</v>
      </c>
      <c r="U48" s="53">
        <v>0</v>
      </c>
      <c r="V48" s="53">
        <v>0</v>
      </c>
      <c r="W48" s="53">
        <v>0</v>
      </c>
      <c r="X48" s="53">
        <v>0</v>
      </c>
      <c r="Y48" s="53">
        <v>0</v>
      </c>
      <c r="Z48" s="53">
        <v>0</v>
      </c>
      <c r="AA48" s="53">
        <v>0</v>
      </c>
      <c r="AB48" s="53">
        <v>0</v>
      </c>
      <c r="AC48" s="53">
        <v>0</v>
      </c>
      <c r="AD48" s="53">
        <v>0</v>
      </c>
      <c r="AE48" s="53">
        <v>0</v>
      </c>
      <c r="AF48" s="53">
        <v>0</v>
      </c>
      <c r="AG48" s="53">
        <v>0</v>
      </c>
      <c r="AH48" s="100">
        <f t="shared" si="7"/>
        <v>6.2E-2</v>
      </c>
    </row>
    <row r="49" spans="1:34" ht="15">
      <c r="A49" s="73" t="s">
        <v>153</v>
      </c>
      <c r="B49" s="53">
        <f t="shared" si="6"/>
        <v>0</v>
      </c>
      <c r="C49" s="188" t="s">
        <v>162</v>
      </c>
      <c r="D49" s="188" t="s">
        <v>162</v>
      </c>
      <c r="E49" s="188" t="s">
        <v>162</v>
      </c>
      <c r="F49" s="188" t="s">
        <v>162</v>
      </c>
      <c r="G49" s="188" t="s">
        <v>162</v>
      </c>
      <c r="H49" s="188" t="s">
        <v>162</v>
      </c>
      <c r="I49" s="188" t="s">
        <v>162</v>
      </c>
      <c r="J49" s="188" t="s">
        <v>162</v>
      </c>
      <c r="K49" s="188" t="s">
        <v>162</v>
      </c>
      <c r="L49" s="188" t="s">
        <v>162</v>
      </c>
      <c r="M49" s="188" t="s">
        <v>162</v>
      </c>
      <c r="N49" s="188" t="s">
        <v>162</v>
      </c>
      <c r="O49" s="188" t="s">
        <v>162</v>
      </c>
      <c r="P49" s="188" t="s">
        <v>162</v>
      </c>
      <c r="Q49" s="188" t="s">
        <v>162</v>
      </c>
      <c r="R49" s="188" t="s">
        <v>162</v>
      </c>
      <c r="S49" s="188" t="s">
        <v>162</v>
      </c>
      <c r="T49" s="188" t="s">
        <v>162</v>
      </c>
      <c r="U49" s="188" t="s">
        <v>162</v>
      </c>
      <c r="V49" s="188" t="s">
        <v>162</v>
      </c>
      <c r="W49" s="188" t="s">
        <v>162</v>
      </c>
      <c r="X49" s="188" t="s">
        <v>162</v>
      </c>
      <c r="Y49" s="188" t="s">
        <v>162</v>
      </c>
      <c r="Z49" s="188" t="s">
        <v>162</v>
      </c>
      <c r="AA49" s="188" t="s">
        <v>162</v>
      </c>
      <c r="AB49" s="188" t="s">
        <v>162</v>
      </c>
      <c r="AC49" s="188" t="s">
        <v>162</v>
      </c>
      <c r="AD49" s="188" t="s">
        <v>162</v>
      </c>
      <c r="AE49" s="188" t="s">
        <v>162</v>
      </c>
      <c r="AF49" s="188" t="s">
        <v>162</v>
      </c>
      <c r="AG49" s="188" t="s">
        <v>162</v>
      </c>
      <c r="AH49" s="100">
        <f t="shared" si="7"/>
        <v>0</v>
      </c>
    </row>
    <row r="50" spans="1:34" ht="15">
      <c r="A50" s="73" t="s">
        <v>154</v>
      </c>
      <c r="B50" s="53">
        <f t="shared" si="6"/>
        <v>2.1999999999999999E-2</v>
      </c>
      <c r="C50" s="1894">
        <v>0</v>
      </c>
      <c r="D50" s="1894">
        <v>0</v>
      </c>
      <c r="E50" s="1894">
        <v>0</v>
      </c>
      <c r="F50" s="1894">
        <v>0</v>
      </c>
      <c r="G50" s="1894">
        <v>0</v>
      </c>
      <c r="H50" s="1894">
        <v>0</v>
      </c>
      <c r="I50" s="1894">
        <v>0</v>
      </c>
      <c r="J50" s="1894">
        <v>0</v>
      </c>
      <c r="K50" s="1894">
        <v>0</v>
      </c>
      <c r="L50" s="1894">
        <v>0</v>
      </c>
      <c r="M50" s="1894">
        <v>0</v>
      </c>
      <c r="N50" s="1894">
        <v>0</v>
      </c>
      <c r="O50" s="1894">
        <v>2.1999999999999999E-2</v>
      </c>
      <c r="P50" s="1894">
        <v>0</v>
      </c>
      <c r="Q50" s="1894">
        <v>0</v>
      </c>
      <c r="R50" s="1894">
        <v>0</v>
      </c>
      <c r="S50" s="1894">
        <v>0</v>
      </c>
      <c r="T50" s="1894">
        <v>0</v>
      </c>
      <c r="U50" s="1894">
        <v>0</v>
      </c>
      <c r="V50" s="1894">
        <v>0</v>
      </c>
      <c r="W50" s="1894">
        <v>0</v>
      </c>
      <c r="X50" s="1894">
        <v>0</v>
      </c>
      <c r="Y50" s="1894">
        <v>0</v>
      </c>
      <c r="Z50" s="1894">
        <v>0</v>
      </c>
      <c r="AA50" s="1894">
        <v>0</v>
      </c>
      <c r="AB50" s="1894">
        <v>0</v>
      </c>
      <c r="AC50" s="1894">
        <v>0</v>
      </c>
      <c r="AD50" s="1894">
        <v>0</v>
      </c>
      <c r="AE50" s="1894">
        <v>0</v>
      </c>
      <c r="AF50" s="1894">
        <v>0</v>
      </c>
      <c r="AG50" s="1893"/>
      <c r="AH50" s="100">
        <f t="shared" si="7"/>
        <v>2.1999999999999999E-2</v>
      </c>
    </row>
    <row r="51" spans="1:34" ht="15">
      <c r="A51" s="73" t="s">
        <v>155</v>
      </c>
      <c r="B51" s="53">
        <f t="shared" si="6"/>
        <v>0.14400000000000004</v>
      </c>
      <c r="C51" s="116">
        <v>0</v>
      </c>
      <c r="D51" s="99">
        <v>0</v>
      </c>
      <c r="E51" s="99">
        <v>0</v>
      </c>
      <c r="F51" s="99">
        <v>0</v>
      </c>
      <c r="G51" s="99">
        <v>0</v>
      </c>
      <c r="H51" s="99">
        <v>5.0000000000000001E-3</v>
      </c>
      <c r="I51" s="99">
        <v>0</v>
      </c>
      <c r="J51" s="99">
        <v>1.2E-2</v>
      </c>
      <c r="K51" s="99">
        <v>1.4E-2</v>
      </c>
      <c r="L51" s="99">
        <v>0</v>
      </c>
      <c r="M51" s="99">
        <v>0</v>
      </c>
      <c r="N51" s="99">
        <v>5.0000000000000001E-3</v>
      </c>
      <c r="O51" s="99">
        <v>3.5000000000000003E-2</v>
      </c>
      <c r="P51" s="99">
        <v>0</v>
      </c>
      <c r="Q51" s="99">
        <v>3.1E-2</v>
      </c>
      <c r="R51" s="99">
        <v>0</v>
      </c>
      <c r="S51" s="99">
        <v>0</v>
      </c>
      <c r="T51" s="99">
        <v>0</v>
      </c>
      <c r="U51" s="99">
        <v>0</v>
      </c>
      <c r="V51" s="99">
        <v>8.0000000000000002E-3</v>
      </c>
      <c r="W51" s="99">
        <v>6.0000000000000001E-3</v>
      </c>
      <c r="X51" s="99">
        <v>5.0000000000000001E-3</v>
      </c>
      <c r="Y51" s="99">
        <v>6.0000000000000001E-3</v>
      </c>
      <c r="Z51" s="99">
        <v>0</v>
      </c>
      <c r="AA51" s="99">
        <v>0</v>
      </c>
      <c r="AB51" s="99">
        <v>0</v>
      </c>
      <c r="AC51" s="99">
        <v>0</v>
      </c>
      <c r="AD51" s="99">
        <v>0.01</v>
      </c>
      <c r="AE51" s="99">
        <v>7.0000000000000001E-3</v>
      </c>
      <c r="AF51" s="99">
        <v>0</v>
      </c>
      <c r="AG51" s="99"/>
      <c r="AH51" s="100">
        <f t="shared" si="7"/>
        <v>0.14400000000000004</v>
      </c>
    </row>
    <row r="52" spans="1:34" ht="15">
      <c r="A52" s="73" t="s">
        <v>156</v>
      </c>
      <c r="B52" s="53">
        <f t="shared" si="6"/>
        <v>3.7999999999999999E-2</v>
      </c>
      <c r="C52" s="116">
        <v>0</v>
      </c>
      <c r="D52" s="99">
        <v>0</v>
      </c>
      <c r="E52" s="99">
        <v>0</v>
      </c>
      <c r="F52" s="99">
        <v>3.0000000000000001E-3</v>
      </c>
      <c r="G52" s="99">
        <v>0</v>
      </c>
      <c r="H52" s="99">
        <v>0</v>
      </c>
      <c r="I52" s="99">
        <v>0</v>
      </c>
      <c r="J52" s="99">
        <v>0</v>
      </c>
      <c r="K52" s="99">
        <v>0</v>
      </c>
      <c r="L52" s="99">
        <v>0</v>
      </c>
      <c r="M52" s="99">
        <v>0</v>
      </c>
      <c r="N52" s="99">
        <v>0</v>
      </c>
      <c r="O52" s="99">
        <v>0</v>
      </c>
      <c r="P52" s="99">
        <v>0</v>
      </c>
      <c r="Q52" s="99">
        <v>0</v>
      </c>
      <c r="R52" s="99">
        <v>0</v>
      </c>
      <c r="S52" s="99">
        <v>0</v>
      </c>
      <c r="T52" s="99">
        <v>1.4999999999999999E-2</v>
      </c>
      <c r="U52" s="99">
        <v>0</v>
      </c>
      <c r="V52" s="99">
        <v>0</v>
      </c>
      <c r="W52" s="99">
        <v>0</v>
      </c>
      <c r="X52" s="99">
        <v>0</v>
      </c>
      <c r="Y52" s="99">
        <v>0.02</v>
      </c>
      <c r="Z52" s="99">
        <v>0</v>
      </c>
      <c r="AA52" s="99">
        <v>0</v>
      </c>
      <c r="AB52" s="99">
        <v>0</v>
      </c>
      <c r="AC52" s="99">
        <v>0</v>
      </c>
      <c r="AD52" s="99">
        <v>0</v>
      </c>
      <c r="AE52" s="99">
        <v>0</v>
      </c>
      <c r="AF52" s="99">
        <v>0</v>
      </c>
      <c r="AG52" s="99">
        <v>0</v>
      </c>
      <c r="AH52" s="100">
        <f t="shared" si="7"/>
        <v>3.7999999999999999E-2</v>
      </c>
    </row>
    <row r="53" spans="1:34" ht="15">
      <c r="A53" s="200" t="s">
        <v>111</v>
      </c>
      <c r="B53" s="200">
        <f t="shared" ref="B53:AH53" si="8">SUM(B41:B52)</f>
        <v>0.6180000000000001</v>
      </c>
      <c r="C53" s="100">
        <f t="shared" si="8"/>
        <v>0</v>
      </c>
      <c r="D53" s="100">
        <f t="shared" si="8"/>
        <v>0</v>
      </c>
      <c r="E53" s="100">
        <f t="shared" si="8"/>
        <v>0</v>
      </c>
      <c r="F53" s="100">
        <f t="shared" si="8"/>
        <v>3.0000000000000001E-3</v>
      </c>
      <c r="G53" s="100">
        <f t="shared" si="8"/>
        <v>0</v>
      </c>
      <c r="H53" s="100">
        <f t="shared" si="8"/>
        <v>5.0000000000000001E-3</v>
      </c>
      <c r="I53" s="100">
        <f t="shared" si="8"/>
        <v>0</v>
      </c>
      <c r="J53" s="100">
        <f t="shared" si="8"/>
        <v>6.8000000000000005E-2</v>
      </c>
      <c r="K53" s="100">
        <f t="shared" si="8"/>
        <v>1.4E-2</v>
      </c>
      <c r="L53" s="100">
        <f t="shared" si="8"/>
        <v>6.0000000000000001E-3</v>
      </c>
      <c r="M53" s="100">
        <f t="shared" si="8"/>
        <v>0</v>
      </c>
      <c r="N53" s="100">
        <f t="shared" si="8"/>
        <v>1.3000000000000001E-2</v>
      </c>
      <c r="O53" s="100">
        <f t="shared" si="8"/>
        <v>5.7000000000000002E-2</v>
      </c>
      <c r="P53" s="100">
        <f t="shared" si="8"/>
        <v>3.5999999999999997E-2</v>
      </c>
      <c r="Q53" s="100">
        <f t="shared" si="8"/>
        <v>3.1E-2</v>
      </c>
      <c r="R53" s="100">
        <f t="shared" si="8"/>
        <v>4.7E-2</v>
      </c>
      <c r="S53" s="100">
        <f t="shared" si="8"/>
        <v>0</v>
      </c>
      <c r="T53" s="100">
        <f t="shared" si="8"/>
        <v>3.3000000000000002E-2</v>
      </c>
      <c r="U53" s="100">
        <f t="shared" si="8"/>
        <v>3.0000000000000001E-3</v>
      </c>
      <c r="V53" s="100">
        <f t="shared" si="8"/>
        <v>5.5E-2</v>
      </c>
      <c r="W53" s="100">
        <f t="shared" si="8"/>
        <v>4.7999999999999994E-2</v>
      </c>
      <c r="X53" s="100">
        <f t="shared" si="8"/>
        <v>3.0000000000000002E-2</v>
      </c>
      <c r="Y53" s="100">
        <f t="shared" si="8"/>
        <v>3.6000000000000004E-2</v>
      </c>
      <c r="Z53" s="100">
        <f t="shared" si="8"/>
        <v>0</v>
      </c>
      <c r="AA53" s="100">
        <f t="shared" si="8"/>
        <v>0</v>
      </c>
      <c r="AB53" s="100">
        <f t="shared" si="8"/>
        <v>0</v>
      </c>
      <c r="AC53" s="100">
        <f t="shared" si="8"/>
        <v>0</v>
      </c>
      <c r="AD53" s="100">
        <f t="shared" si="8"/>
        <v>0.126</v>
      </c>
      <c r="AE53" s="100">
        <f t="shared" si="8"/>
        <v>7.0000000000000001E-3</v>
      </c>
      <c r="AF53" s="100">
        <f t="shared" si="8"/>
        <v>0</v>
      </c>
      <c r="AG53" s="100">
        <f t="shared" si="8"/>
        <v>0</v>
      </c>
      <c r="AH53" s="100">
        <f t="shared" si="8"/>
        <v>0.6180000000000001</v>
      </c>
    </row>
    <row r="54" spans="1:34" ht="15">
      <c r="A54" s="49"/>
      <c r="B54" s="49"/>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ht="15">
      <c r="A55" s="3873" t="s">
        <v>135</v>
      </c>
      <c r="B55" s="3874"/>
      <c r="C55" s="3874"/>
      <c r="D55" s="3874"/>
      <c r="E55" s="3874"/>
      <c r="F55" s="3874"/>
      <c r="G55" s="3874"/>
      <c r="H55" s="3874"/>
      <c r="I55" s="3874"/>
      <c r="J55" s="3874"/>
      <c r="K55" s="3874"/>
      <c r="L55" s="3874"/>
      <c r="M55" s="3874"/>
      <c r="N55" s="3874"/>
      <c r="O55" s="3874"/>
      <c r="P55" s="3874"/>
      <c r="Q55" s="3874"/>
      <c r="R55" s="3875"/>
      <c r="S55" s="14"/>
      <c r="T55" s="14"/>
      <c r="U55" s="14"/>
      <c r="V55" s="14"/>
      <c r="W55" s="14"/>
      <c r="X55" s="14"/>
      <c r="Y55" s="14"/>
      <c r="Z55" s="14"/>
      <c r="AA55" s="14"/>
      <c r="AB55" s="14"/>
      <c r="AC55" s="14"/>
      <c r="AD55" s="14"/>
      <c r="AE55" s="14"/>
      <c r="AF55" s="14"/>
      <c r="AG55" s="14"/>
      <c r="AH55" s="1"/>
    </row>
    <row r="56" spans="1:34" ht="5.0999999999999996" customHeight="1">
      <c r="A56" s="14"/>
      <c r="B56" s="14"/>
      <c r="C56" s="14"/>
      <c r="D56" s="14"/>
      <c r="E56" s="14"/>
      <c r="F56" s="14"/>
      <c r="G56" s="14"/>
      <c r="H56" s="14"/>
      <c r="I56" s="14"/>
      <c r="J56" s="14"/>
      <c r="K56" s="14"/>
      <c r="L56" s="14"/>
      <c r="M56" s="98"/>
      <c r="N56" s="14"/>
      <c r="O56" s="14"/>
      <c r="P56" s="14"/>
      <c r="Q56" s="14"/>
      <c r="R56" s="14"/>
      <c r="S56" s="14"/>
      <c r="T56" s="14"/>
      <c r="U56" s="14"/>
      <c r="V56" s="14"/>
      <c r="W56" s="14"/>
      <c r="X56" s="14"/>
      <c r="Y56" s="14"/>
      <c r="Z56" s="14"/>
      <c r="AA56" s="14"/>
      <c r="AB56" s="14"/>
      <c r="AC56" s="14"/>
      <c r="AD56" s="14"/>
      <c r="AE56" s="14"/>
      <c r="AF56" s="14"/>
      <c r="AG56" s="14"/>
      <c r="AH56" s="1"/>
    </row>
    <row r="57" spans="1:34" ht="15">
      <c r="A57" s="3854" t="s">
        <v>132</v>
      </c>
      <c r="B57" s="3855"/>
      <c r="C57" s="3856"/>
      <c r="D57" s="14"/>
      <c r="E57" s="114"/>
      <c r="F57" s="14"/>
      <c r="G57" s="14"/>
      <c r="H57" s="3313"/>
      <c r="I57" s="14"/>
      <c r="J57" s="114"/>
      <c r="K57" s="14"/>
      <c r="L57" s="14"/>
      <c r="M57" s="98"/>
      <c r="N57" s="14"/>
      <c r="O57" s="14"/>
      <c r="P57" s="14"/>
      <c r="Q57" s="14"/>
      <c r="R57" s="14"/>
      <c r="S57" s="14"/>
      <c r="T57" s="14"/>
      <c r="U57" s="14"/>
      <c r="V57" s="14"/>
      <c r="W57" s="14"/>
      <c r="X57" s="14"/>
      <c r="Y57" s="14"/>
      <c r="Z57" s="14"/>
      <c r="AA57" s="14"/>
      <c r="AB57" s="14"/>
      <c r="AC57" s="14"/>
      <c r="AD57" s="14"/>
      <c r="AE57" s="14"/>
      <c r="AF57" s="14"/>
      <c r="AG57" s="14"/>
      <c r="AH57" s="1"/>
    </row>
    <row r="58" spans="1:34" ht="15">
      <c r="A58" s="8" t="s">
        <v>142</v>
      </c>
      <c r="B58" s="8" t="s">
        <v>143</v>
      </c>
      <c r="C58" s="372">
        <v>1</v>
      </c>
      <c r="D58" s="73">
        <v>2</v>
      </c>
      <c r="E58" s="73">
        <v>3</v>
      </c>
      <c r="F58" s="73">
        <v>4</v>
      </c>
      <c r="G58" s="73">
        <v>5</v>
      </c>
      <c r="H58" s="73">
        <v>6</v>
      </c>
      <c r="I58" s="73">
        <v>7</v>
      </c>
      <c r="J58" s="73">
        <v>8</v>
      </c>
      <c r="K58" s="73">
        <v>9</v>
      </c>
      <c r="L58" s="73">
        <v>10</v>
      </c>
      <c r="M58" s="73">
        <v>11</v>
      </c>
      <c r="N58" s="73">
        <v>12</v>
      </c>
      <c r="O58" s="73">
        <v>13</v>
      </c>
      <c r="P58" s="73">
        <v>14</v>
      </c>
      <c r="Q58" s="73">
        <v>15</v>
      </c>
      <c r="R58" s="73">
        <v>16</v>
      </c>
      <c r="S58" s="73">
        <v>17</v>
      </c>
      <c r="T58" s="73">
        <v>18</v>
      </c>
      <c r="U58" s="73">
        <v>19</v>
      </c>
      <c r="V58" s="73">
        <v>20</v>
      </c>
      <c r="W58" s="73">
        <v>21</v>
      </c>
      <c r="X58" s="73">
        <v>22</v>
      </c>
      <c r="Y58" s="73">
        <v>23</v>
      </c>
      <c r="Z58" s="73">
        <v>24</v>
      </c>
      <c r="AA58" s="73">
        <v>25</v>
      </c>
      <c r="AB58" s="73">
        <v>26</v>
      </c>
      <c r="AC58" s="73">
        <v>27</v>
      </c>
      <c r="AD58" s="73">
        <v>28</v>
      </c>
      <c r="AE58" s="73">
        <v>29</v>
      </c>
      <c r="AF58" s="73">
        <v>30</v>
      </c>
      <c r="AG58" s="73">
        <v>31</v>
      </c>
      <c r="AH58" s="87" t="s">
        <v>144</v>
      </c>
    </row>
    <row r="59" spans="1:34" ht="13.5" customHeight="1">
      <c r="A59" s="363" t="s">
        <v>145</v>
      </c>
      <c r="B59" s="2504">
        <f t="shared" ref="B59:B70" si="9">+AH59</f>
        <v>3.3679999999999999</v>
      </c>
      <c r="C59" s="1955">
        <v>0</v>
      </c>
      <c r="D59" s="1955">
        <v>0</v>
      </c>
      <c r="E59" s="1956">
        <v>8.5999999999999993E-2</v>
      </c>
      <c r="F59" s="1957">
        <v>7.0000000000000007E-2</v>
      </c>
      <c r="G59" s="1957">
        <v>2.5999999999999999E-2</v>
      </c>
      <c r="H59" s="1957">
        <v>0.104</v>
      </c>
      <c r="I59" s="1957">
        <v>0.159</v>
      </c>
      <c r="J59" s="1957">
        <v>1.2E-2</v>
      </c>
      <c r="K59" s="1957">
        <v>0.10100000000000001</v>
      </c>
      <c r="L59" s="1957">
        <v>0</v>
      </c>
      <c r="M59" s="1957">
        <v>0.38600000000000001</v>
      </c>
      <c r="N59" s="1957">
        <v>9.7000000000000003E-2</v>
      </c>
      <c r="O59" s="1957">
        <v>2.1000000000000001E-2</v>
      </c>
      <c r="P59" s="1957">
        <v>4.5999999999999999E-2</v>
      </c>
      <c r="Q59" s="1957">
        <v>2.1999999999999999E-2</v>
      </c>
      <c r="R59" s="1957">
        <v>0.16300000000000001</v>
      </c>
      <c r="S59" s="1957">
        <v>0.19600000000000001</v>
      </c>
      <c r="T59" s="1957">
        <v>0.25700000000000001</v>
      </c>
      <c r="U59" s="1957">
        <v>0.17299999999999999</v>
      </c>
      <c r="V59" s="1957">
        <v>0.185</v>
      </c>
      <c r="W59" s="1957">
        <v>0.27600000000000002</v>
      </c>
      <c r="X59" s="1957">
        <v>8.5999999999999993E-2</v>
      </c>
      <c r="Y59" s="1957">
        <v>0.16800000000000001</v>
      </c>
      <c r="Z59" s="1957">
        <v>9.6000000000000002E-2</v>
      </c>
      <c r="AA59" s="1957">
        <v>0.107</v>
      </c>
      <c r="AB59" s="1957">
        <v>0.11</v>
      </c>
      <c r="AC59" s="1957">
        <v>0.14599999999999999</v>
      </c>
      <c r="AD59" s="1957">
        <v>9.1999999999999998E-2</v>
      </c>
      <c r="AE59" s="1957">
        <v>3.7999999999999999E-2</v>
      </c>
      <c r="AF59" s="1957">
        <v>0.06</v>
      </c>
      <c r="AG59" s="1957">
        <v>8.5000000000000006E-2</v>
      </c>
      <c r="AH59" s="581">
        <f t="shared" ref="AH59:AH70" si="10">SUM(C59:AG59)</f>
        <v>3.3679999999999999</v>
      </c>
    </row>
    <row r="60" spans="1:34" ht="13.5" customHeight="1">
      <c r="A60" s="363" t="s">
        <v>146</v>
      </c>
      <c r="B60" s="2504">
        <f t="shared" si="9"/>
        <v>5.1040000000000001</v>
      </c>
      <c r="C60" s="1958">
        <v>8.5000000000000006E-2</v>
      </c>
      <c r="D60" s="1438">
        <v>9.7000000000000003E-2</v>
      </c>
      <c r="E60" s="1438">
        <v>6.6000000000000003E-2</v>
      </c>
      <c r="F60" s="1438">
        <v>0.153</v>
      </c>
      <c r="G60" s="1438">
        <v>3.5999999999999997E-2</v>
      </c>
      <c r="H60" s="1438">
        <v>0.28000000000000003</v>
      </c>
      <c r="I60" s="1438">
        <v>0.26500000000000001</v>
      </c>
      <c r="J60" s="1438">
        <v>0.245</v>
      </c>
      <c r="K60" s="1438">
        <v>0.42</v>
      </c>
      <c r="L60" s="1438">
        <v>0.217</v>
      </c>
      <c r="M60" s="1438">
        <v>0.19500000000000001</v>
      </c>
      <c r="N60" s="1438">
        <v>8.4000000000000005E-2</v>
      </c>
      <c r="O60" s="1438">
        <v>0.45500000000000002</v>
      </c>
      <c r="P60" s="1438">
        <v>0.54900000000000004</v>
      </c>
      <c r="Q60" s="1438">
        <v>0.32800000000000001</v>
      </c>
      <c r="R60" s="1438">
        <v>0.26900000000000002</v>
      </c>
      <c r="S60" s="1438">
        <v>0.32500000000000001</v>
      </c>
      <c r="T60" s="1438">
        <v>0.192</v>
      </c>
      <c r="U60" s="1438">
        <v>7.1999999999999995E-2</v>
      </c>
      <c r="V60" s="1438">
        <v>0.109</v>
      </c>
      <c r="W60" s="1438">
        <v>9.7000000000000003E-2</v>
      </c>
      <c r="X60" s="1438">
        <v>7.5999999999999998E-2</v>
      </c>
      <c r="Y60" s="1438">
        <v>7.5999999999999998E-2</v>
      </c>
      <c r="Z60" s="1438">
        <v>0.20300000000000001</v>
      </c>
      <c r="AA60" s="1438">
        <v>3.6999999999999998E-2</v>
      </c>
      <c r="AB60" s="1438">
        <v>3.5000000000000003E-2</v>
      </c>
      <c r="AC60" s="1438">
        <v>4.8000000000000001E-2</v>
      </c>
      <c r="AD60" s="1438">
        <v>2.3E-2</v>
      </c>
      <c r="AE60" s="1438">
        <v>6.7000000000000004E-2</v>
      </c>
      <c r="AF60" s="1438">
        <v>0</v>
      </c>
      <c r="AG60" s="1959">
        <v>0</v>
      </c>
      <c r="AH60" s="581">
        <f t="shared" si="10"/>
        <v>5.1040000000000001</v>
      </c>
    </row>
    <row r="61" spans="1:34" ht="13.5" customHeight="1">
      <c r="A61" s="363" t="s">
        <v>147</v>
      </c>
      <c r="B61" s="162">
        <f t="shared" si="9"/>
        <v>3.448</v>
      </c>
      <c r="C61" s="1960">
        <v>0.26600000000000001</v>
      </c>
      <c r="D61" s="1961">
        <v>0.17399999999999999</v>
      </c>
      <c r="E61" s="1961">
        <v>0.15</v>
      </c>
      <c r="F61" s="1961">
        <v>0</v>
      </c>
      <c r="G61" s="1961">
        <v>0.4</v>
      </c>
      <c r="H61" s="1961">
        <v>0.22500000000000001</v>
      </c>
      <c r="I61" s="1961">
        <v>0.57499999999999996</v>
      </c>
      <c r="J61" s="1961">
        <v>0.378</v>
      </c>
      <c r="K61" s="1961">
        <v>0.112</v>
      </c>
      <c r="L61" s="1961">
        <v>0.16</v>
      </c>
      <c r="M61" s="1961">
        <v>0.01</v>
      </c>
      <c r="N61" s="1961">
        <v>0.05</v>
      </c>
      <c r="O61" s="1961">
        <v>0.06</v>
      </c>
      <c r="P61" s="1961">
        <v>0.03</v>
      </c>
      <c r="Q61" s="1961">
        <v>0.13600000000000001</v>
      </c>
      <c r="R61" s="1961">
        <v>9.1999999999999998E-2</v>
      </c>
      <c r="S61" s="1961">
        <v>0.115</v>
      </c>
      <c r="T61" s="1961">
        <v>9.4E-2</v>
      </c>
      <c r="U61" s="1961">
        <v>0.17199999999999999</v>
      </c>
      <c r="V61" s="1961">
        <v>0.02</v>
      </c>
      <c r="W61" s="1961">
        <v>2.1999999999999999E-2</v>
      </c>
      <c r="X61" s="1961">
        <v>5.5E-2</v>
      </c>
      <c r="Y61" s="1961">
        <v>0</v>
      </c>
      <c r="Z61" s="1961">
        <v>0.04</v>
      </c>
      <c r="AA61" s="1961">
        <v>0</v>
      </c>
      <c r="AB61" s="1961">
        <v>0</v>
      </c>
      <c r="AC61" s="1961">
        <v>0</v>
      </c>
      <c r="AD61" s="1961">
        <v>0.01</v>
      </c>
      <c r="AE61" s="1961">
        <v>5.0999999999999997E-2</v>
      </c>
      <c r="AF61" s="1961">
        <v>4.4999999999999998E-2</v>
      </c>
      <c r="AG61" s="1962">
        <v>6.0000000000000001E-3</v>
      </c>
      <c r="AH61" s="581">
        <f t="shared" si="10"/>
        <v>3.448</v>
      </c>
    </row>
    <row r="62" spans="1:34" ht="13.5" customHeight="1">
      <c r="A62" s="363" t="s">
        <v>148</v>
      </c>
      <c r="B62" s="162">
        <f t="shared" si="9"/>
        <v>1.0550000000000002</v>
      </c>
      <c r="C62" s="1122">
        <v>0</v>
      </c>
      <c r="D62" s="1123">
        <v>6.4000000000000001E-2</v>
      </c>
      <c r="E62" s="1123">
        <v>4.0000000000000001E-3</v>
      </c>
      <c r="F62" s="1123">
        <v>0</v>
      </c>
      <c r="G62" s="1123">
        <v>0</v>
      </c>
      <c r="H62" s="1123">
        <v>0</v>
      </c>
      <c r="I62" s="1123">
        <v>0</v>
      </c>
      <c r="J62" s="1123">
        <v>0</v>
      </c>
      <c r="K62" s="1123">
        <v>0</v>
      </c>
      <c r="L62" s="1123">
        <v>0.01</v>
      </c>
      <c r="M62" s="1123">
        <v>4.0000000000000001E-3</v>
      </c>
      <c r="N62" s="1123">
        <v>6.2E-2</v>
      </c>
      <c r="O62" s="1123">
        <v>0.26</v>
      </c>
      <c r="P62" s="1123">
        <v>3.4000000000000002E-2</v>
      </c>
      <c r="Q62" s="1123">
        <v>2.8000000000000001E-2</v>
      </c>
      <c r="R62" s="1123">
        <v>3.6999999999999998E-2</v>
      </c>
      <c r="S62" s="1123">
        <v>3.1E-2</v>
      </c>
      <c r="T62" s="1123">
        <v>0</v>
      </c>
      <c r="U62" s="1123">
        <v>4.2999999999999997E-2</v>
      </c>
      <c r="V62" s="1123">
        <v>1.2E-2</v>
      </c>
      <c r="W62" s="1123">
        <v>1.0999999999999999E-2</v>
      </c>
      <c r="X62" s="1123">
        <v>0</v>
      </c>
      <c r="Y62" s="1123">
        <v>0.20399999999999999</v>
      </c>
      <c r="Z62" s="1123">
        <v>3.5000000000000003E-2</v>
      </c>
      <c r="AA62" s="1123">
        <v>0.03</v>
      </c>
      <c r="AB62" s="1123">
        <v>4.4999999999999998E-2</v>
      </c>
      <c r="AC62" s="1123">
        <v>4.8000000000000001E-2</v>
      </c>
      <c r="AD62" s="1123">
        <v>3.4000000000000002E-2</v>
      </c>
      <c r="AE62" s="1123">
        <v>3.4000000000000002E-2</v>
      </c>
      <c r="AF62" s="1123">
        <v>2.5000000000000001E-2</v>
      </c>
      <c r="AG62" s="1124">
        <v>0</v>
      </c>
      <c r="AH62" s="581">
        <f t="shared" si="10"/>
        <v>1.0550000000000002</v>
      </c>
    </row>
    <row r="63" spans="1:34" ht="13.5" customHeight="1">
      <c r="A63" s="363" t="s">
        <v>149</v>
      </c>
      <c r="B63" s="162">
        <f t="shared" si="9"/>
        <v>0.92200000000000026</v>
      </c>
      <c r="C63" s="2135">
        <v>8.0000000000000002E-3</v>
      </c>
      <c r="D63" s="2136">
        <v>6.0000000000000001E-3</v>
      </c>
      <c r="E63" s="2136">
        <v>0.19800000000000001</v>
      </c>
      <c r="F63" s="2136">
        <v>1.4999999999999999E-2</v>
      </c>
      <c r="G63" s="2136">
        <v>0</v>
      </c>
      <c r="H63" s="2136">
        <v>0</v>
      </c>
      <c r="I63" s="2136">
        <v>0</v>
      </c>
      <c r="J63" s="2136">
        <v>2.5000000000000001E-2</v>
      </c>
      <c r="K63" s="2136">
        <v>6.8000000000000005E-2</v>
      </c>
      <c r="L63" s="2136">
        <v>4.0000000000000001E-3</v>
      </c>
      <c r="M63" s="2136">
        <v>0.01</v>
      </c>
      <c r="N63" s="2136">
        <v>1.2E-2</v>
      </c>
      <c r="O63" s="2136">
        <v>0</v>
      </c>
      <c r="P63" s="2136">
        <v>0.20399999999999999</v>
      </c>
      <c r="Q63" s="2136">
        <v>3.7999999999999999E-2</v>
      </c>
      <c r="R63" s="2136">
        <v>4.1000000000000002E-2</v>
      </c>
      <c r="S63" s="2136">
        <v>5.8999999999999997E-2</v>
      </c>
      <c r="T63" s="2136">
        <v>0.01</v>
      </c>
      <c r="U63" s="2136">
        <v>1.0999999999999999E-2</v>
      </c>
      <c r="V63" s="2136">
        <v>5.0000000000000001E-3</v>
      </c>
      <c r="W63" s="2136">
        <v>6.0000000000000001E-3</v>
      </c>
      <c r="X63" s="2136">
        <v>0</v>
      </c>
      <c r="Y63" s="2136">
        <v>2.1999999999999999E-2</v>
      </c>
      <c r="Z63" s="2136">
        <v>1.2E-2</v>
      </c>
      <c r="AA63" s="2136">
        <v>0.01</v>
      </c>
      <c r="AB63" s="2136">
        <v>0</v>
      </c>
      <c r="AC63" s="2136">
        <v>0</v>
      </c>
      <c r="AD63" s="2136">
        <v>0</v>
      </c>
      <c r="AE63" s="2136">
        <v>0.02</v>
      </c>
      <c r="AF63" s="2136">
        <v>0.01</v>
      </c>
      <c r="AG63" s="2137">
        <v>0.128</v>
      </c>
      <c r="AH63" s="581">
        <f t="shared" si="10"/>
        <v>0.92200000000000026</v>
      </c>
    </row>
    <row r="64" spans="1:34" ht="13.5" customHeight="1">
      <c r="A64" s="363" t="s">
        <v>150</v>
      </c>
      <c r="B64" s="2882">
        <f t="shared" si="9"/>
        <v>6.7000000000000004E-2</v>
      </c>
      <c r="C64" s="2118">
        <v>0</v>
      </c>
      <c r="D64" s="2118">
        <v>0</v>
      </c>
      <c r="E64" s="2118">
        <v>0</v>
      </c>
      <c r="F64" s="2118">
        <v>0</v>
      </c>
      <c r="G64" s="2118">
        <v>0</v>
      </c>
      <c r="H64" s="2118">
        <v>0</v>
      </c>
      <c r="I64" s="2118">
        <v>0</v>
      </c>
      <c r="J64" s="2118">
        <v>0</v>
      </c>
      <c r="K64" s="2118">
        <v>0</v>
      </c>
      <c r="L64" s="2118">
        <v>0</v>
      </c>
      <c r="M64" s="2118">
        <v>0</v>
      </c>
      <c r="N64" s="2118">
        <v>0</v>
      </c>
      <c r="O64" s="2118">
        <v>0</v>
      </c>
      <c r="P64" s="2118">
        <v>0</v>
      </c>
      <c r="Q64" s="2118">
        <v>0</v>
      </c>
      <c r="R64" s="2118">
        <v>0</v>
      </c>
      <c r="S64" s="2118">
        <v>0</v>
      </c>
      <c r="T64" s="2118">
        <v>0</v>
      </c>
      <c r="U64" s="2118">
        <v>0</v>
      </c>
      <c r="V64" s="2118">
        <v>1.2E-2</v>
      </c>
      <c r="W64" s="2118">
        <v>0</v>
      </c>
      <c r="X64" s="2118">
        <v>1.7999999999999999E-2</v>
      </c>
      <c r="Y64" s="2118">
        <v>2.3E-2</v>
      </c>
      <c r="Z64" s="2118">
        <v>0</v>
      </c>
      <c r="AA64" s="2118">
        <v>0</v>
      </c>
      <c r="AB64" s="2118">
        <v>0</v>
      </c>
      <c r="AC64" s="2118">
        <v>6.0000000000000001E-3</v>
      </c>
      <c r="AD64" s="2118">
        <v>0</v>
      </c>
      <c r="AE64" s="2118">
        <v>0</v>
      </c>
      <c r="AF64" s="2118">
        <v>8.0000000000000002E-3</v>
      </c>
      <c r="AG64" s="2118">
        <v>0</v>
      </c>
      <c r="AH64" s="581">
        <f t="shared" si="10"/>
        <v>6.7000000000000004E-2</v>
      </c>
    </row>
    <row r="65" spans="1:34" ht="13.5" customHeight="1">
      <c r="A65" s="314" t="s">
        <v>151</v>
      </c>
      <c r="B65" s="2882">
        <f t="shared" si="9"/>
        <v>0.99500000000000022</v>
      </c>
      <c r="C65" s="2119">
        <v>0</v>
      </c>
      <c r="D65" s="2119">
        <v>0</v>
      </c>
      <c r="E65" s="2119">
        <v>0</v>
      </c>
      <c r="F65" s="2119">
        <v>0</v>
      </c>
      <c r="G65" s="2119">
        <v>0</v>
      </c>
      <c r="H65" s="2119">
        <v>0</v>
      </c>
      <c r="I65" s="2119">
        <v>0</v>
      </c>
      <c r="J65" s="2119">
        <v>4.2000000000000003E-2</v>
      </c>
      <c r="K65" s="2119">
        <v>3.4000000000000002E-2</v>
      </c>
      <c r="L65" s="2119">
        <v>5.8000000000000003E-2</v>
      </c>
      <c r="M65" s="2119">
        <v>0.06</v>
      </c>
      <c r="N65" s="2119">
        <v>7.4999999999999997E-2</v>
      </c>
      <c r="O65" s="2119">
        <v>0.04</v>
      </c>
      <c r="P65" s="2119">
        <v>2.7E-2</v>
      </c>
      <c r="Q65" s="2119">
        <v>0.05</v>
      </c>
      <c r="R65" s="2119">
        <v>0.16700000000000001</v>
      </c>
      <c r="S65" s="2119">
        <v>0.11899999999999999</v>
      </c>
      <c r="T65" s="2119">
        <v>9.7000000000000003E-2</v>
      </c>
      <c r="U65" s="2119">
        <v>0.03</v>
      </c>
      <c r="V65" s="2119">
        <v>2.9000000000000001E-2</v>
      </c>
      <c r="W65" s="2119">
        <v>8.9999999999999993E-3</v>
      </c>
      <c r="X65" s="2119">
        <v>2.3E-2</v>
      </c>
      <c r="Y65" s="2119">
        <v>3.5000000000000003E-2</v>
      </c>
      <c r="Z65" s="2119">
        <v>2.9000000000000001E-2</v>
      </c>
      <c r="AA65" s="2119">
        <v>1.7000000000000001E-2</v>
      </c>
      <c r="AB65" s="2119">
        <v>0</v>
      </c>
      <c r="AC65" s="2119">
        <v>5.3999999999999999E-2</v>
      </c>
      <c r="AD65" s="2119">
        <v>0</v>
      </c>
      <c r="AE65" s="2119">
        <v>0</v>
      </c>
      <c r="AF65" s="2119">
        <v>0</v>
      </c>
      <c r="AG65" s="2119">
        <v>0</v>
      </c>
      <c r="AH65" s="581">
        <f t="shared" si="10"/>
        <v>0.99500000000000022</v>
      </c>
    </row>
    <row r="66" spans="1:34" ht="15">
      <c r="A66" s="314" t="s">
        <v>152</v>
      </c>
      <c r="B66" s="162">
        <f t="shared" si="9"/>
        <v>1.2729999999999999</v>
      </c>
      <c r="C66" s="2138">
        <v>0</v>
      </c>
      <c r="D66" s="2138">
        <v>0</v>
      </c>
      <c r="E66" s="2138">
        <v>0</v>
      </c>
      <c r="F66" s="2138">
        <v>0</v>
      </c>
      <c r="G66" s="2138">
        <v>0</v>
      </c>
      <c r="H66" s="2138">
        <v>8.6999999999999994E-2</v>
      </c>
      <c r="I66" s="2138">
        <v>9.6000000000000002E-2</v>
      </c>
      <c r="J66" s="2138">
        <v>6.2E-2</v>
      </c>
      <c r="K66" s="2138">
        <v>0.113</v>
      </c>
      <c r="L66" s="2138">
        <v>0.246</v>
      </c>
      <c r="M66" s="2138">
        <v>0</v>
      </c>
      <c r="N66" s="2138">
        <v>0</v>
      </c>
      <c r="O66" s="2138">
        <v>0</v>
      </c>
      <c r="P66" s="2139">
        <v>1.4999999999999999E-2</v>
      </c>
      <c r="Q66" s="2139">
        <v>3.4000000000000002E-2</v>
      </c>
      <c r="R66" s="2139">
        <v>8.0000000000000002E-3</v>
      </c>
      <c r="S66" s="2139"/>
      <c r="T66" s="2139">
        <v>0.02</v>
      </c>
      <c r="U66" s="2139">
        <v>3.6999999999999998E-2</v>
      </c>
      <c r="V66" s="2139">
        <v>0.104</v>
      </c>
      <c r="W66" s="2139">
        <v>2.5000000000000001E-2</v>
      </c>
      <c r="X66" s="2139">
        <v>3.2000000000000001E-2</v>
      </c>
      <c r="Y66" s="2139">
        <v>1.4999999999999999E-2</v>
      </c>
      <c r="Z66" s="2139">
        <v>0.122</v>
      </c>
      <c r="AA66" s="2139">
        <v>1.9E-2</v>
      </c>
      <c r="AB66" s="2139">
        <v>3.3000000000000002E-2</v>
      </c>
      <c r="AC66" s="2139">
        <v>3.6999999999999998E-2</v>
      </c>
      <c r="AD66" s="2139">
        <v>7.8E-2</v>
      </c>
      <c r="AE66" s="2139">
        <v>0.02</v>
      </c>
      <c r="AF66" s="2139">
        <v>0.02</v>
      </c>
      <c r="AG66" s="2140">
        <v>0.05</v>
      </c>
      <c r="AH66" s="581">
        <f t="shared" si="10"/>
        <v>1.2729999999999999</v>
      </c>
    </row>
    <row r="67" spans="1:34" ht="15">
      <c r="A67" s="314" t="s">
        <v>153</v>
      </c>
      <c r="B67" s="162">
        <f t="shared" si="9"/>
        <v>0</v>
      </c>
      <c r="C67" s="630" t="s">
        <v>626</v>
      </c>
      <c r="D67" s="630" t="s">
        <v>626</v>
      </c>
      <c r="E67" s="630" t="s">
        <v>626</v>
      </c>
      <c r="F67" s="630" t="s">
        <v>626</v>
      </c>
      <c r="G67" s="630" t="s">
        <v>626</v>
      </c>
      <c r="H67" s="630" t="s">
        <v>626</v>
      </c>
      <c r="I67" s="630" t="s">
        <v>626</v>
      </c>
      <c r="J67" s="630" t="s">
        <v>626</v>
      </c>
      <c r="K67" s="630" t="s">
        <v>626</v>
      </c>
      <c r="L67" s="630" t="s">
        <v>626</v>
      </c>
      <c r="M67" s="630" t="s">
        <v>626</v>
      </c>
      <c r="N67" s="630" t="s">
        <v>626</v>
      </c>
      <c r="O67" s="630" t="s">
        <v>626</v>
      </c>
      <c r="P67" s="630" t="s">
        <v>626</v>
      </c>
      <c r="Q67" s="630" t="s">
        <v>626</v>
      </c>
      <c r="R67" s="630" t="s">
        <v>626</v>
      </c>
      <c r="S67" s="630" t="s">
        <v>626</v>
      </c>
      <c r="T67" s="630" t="s">
        <v>626</v>
      </c>
      <c r="U67" s="630" t="s">
        <v>626</v>
      </c>
      <c r="V67" s="630" t="s">
        <v>626</v>
      </c>
      <c r="W67" s="630" t="s">
        <v>626</v>
      </c>
      <c r="X67" s="630" t="s">
        <v>626</v>
      </c>
      <c r="Y67" s="630" t="s">
        <v>626</v>
      </c>
      <c r="Z67" s="630" t="s">
        <v>626</v>
      </c>
      <c r="AA67" s="630" t="s">
        <v>626</v>
      </c>
      <c r="AB67" s="630" t="s">
        <v>626</v>
      </c>
      <c r="AC67" s="630" t="s">
        <v>626</v>
      </c>
      <c r="AD67" s="630" t="s">
        <v>626</v>
      </c>
      <c r="AE67" s="630" t="s">
        <v>626</v>
      </c>
      <c r="AF67" s="630" t="s">
        <v>626</v>
      </c>
      <c r="AG67" s="630" t="s">
        <v>626</v>
      </c>
      <c r="AH67" s="581">
        <f t="shared" si="10"/>
        <v>0</v>
      </c>
    </row>
    <row r="68" spans="1:34" ht="15">
      <c r="A68" s="314" t="s">
        <v>154</v>
      </c>
      <c r="B68" s="162">
        <f t="shared" si="9"/>
        <v>11.145999999999999</v>
      </c>
      <c r="C68" s="578">
        <v>0</v>
      </c>
      <c r="D68" s="579">
        <v>0.09</v>
      </c>
      <c r="E68" s="579">
        <v>0</v>
      </c>
      <c r="F68" s="579">
        <v>0</v>
      </c>
      <c r="G68" s="579">
        <v>6.3E-2</v>
      </c>
      <c r="H68" s="579">
        <v>0</v>
      </c>
      <c r="I68" s="579">
        <v>0</v>
      </c>
      <c r="J68" s="579">
        <v>0.04</v>
      </c>
      <c r="K68" s="579">
        <v>3.4000000000000002E-2</v>
      </c>
      <c r="L68" s="579">
        <v>0.28599999999999998</v>
      </c>
      <c r="M68" s="579">
        <v>2.1999999999999999E-2</v>
      </c>
      <c r="N68" s="579">
        <v>7.0999999999999994E-2</v>
      </c>
      <c r="O68" s="579">
        <v>0.01</v>
      </c>
      <c r="P68" s="579">
        <v>6.9000000000000006E-2</v>
      </c>
      <c r="Q68" s="579">
        <v>0.13500000000000001</v>
      </c>
      <c r="R68" s="579">
        <v>2.3E-2</v>
      </c>
      <c r="S68" s="579">
        <v>2.9000000000000001E-2</v>
      </c>
      <c r="T68" s="579">
        <v>6.2E-2</v>
      </c>
      <c r="U68" s="579">
        <v>0.42099999999999999</v>
      </c>
      <c r="V68" s="579">
        <v>0.40500000000000003</v>
      </c>
      <c r="W68" s="579">
        <v>0.22500000000000001</v>
      </c>
      <c r="X68" s="579">
        <v>0.68</v>
      </c>
      <c r="Y68" s="579">
        <v>0.23799999999999999</v>
      </c>
      <c r="Z68" s="579">
        <v>0.56299999999999994</v>
      </c>
      <c r="AA68" s="579">
        <v>0.42</v>
      </c>
      <c r="AB68" s="579">
        <v>1.944</v>
      </c>
      <c r="AC68" s="579">
        <v>0.82499999999999996</v>
      </c>
      <c r="AD68" s="579">
        <v>0.68</v>
      </c>
      <c r="AE68" s="579">
        <v>1.1459999999999999</v>
      </c>
      <c r="AF68" s="579">
        <v>1.02</v>
      </c>
      <c r="AG68" s="579">
        <v>1.645</v>
      </c>
      <c r="AH68" s="581">
        <f t="shared" si="10"/>
        <v>11.145999999999999</v>
      </c>
    </row>
    <row r="69" spans="1:34" ht="15">
      <c r="A69" s="314" t="s">
        <v>155</v>
      </c>
      <c r="B69" s="162">
        <f t="shared" si="9"/>
        <v>20.161999999999999</v>
      </c>
      <c r="C69" s="578">
        <v>0.60699999999999998</v>
      </c>
      <c r="D69" s="579">
        <v>0.78900000000000003</v>
      </c>
      <c r="E69" s="579">
        <v>0.72199999999999998</v>
      </c>
      <c r="F69" s="579">
        <v>0.41</v>
      </c>
      <c r="G69" s="579">
        <v>1.571</v>
      </c>
      <c r="H69" s="579">
        <v>1.798</v>
      </c>
      <c r="I69" s="579">
        <v>0.59699999999999998</v>
      </c>
      <c r="J69" s="579">
        <v>0.33700000000000002</v>
      </c>
      <c r="K69" s="579">
        <v>0.36799999999999999</v>
      </c>
      <c r="L69" s="579">
        <v>0.17</v>
      </c>
      <c r="M69" s="579">
        <v>2.7E-2</v>
      </c>
      <c r="N69" s="579">
        <v>0.63</v>
      </c>
      <c r="O69" s="579">
        <v>1.274</v>
      </c>
      <c r="P69" s="579">
        <v>2.5779999999999998</v>
      </c>
      <c r="Q69" s="579">
        <v>2.0249999999999999</v>
      </c>
      <c r="R69" s="579">
        <v>1.347</v>
      </c>
      <c r="S69" s="579">
        <v>0.28000000000000003</v>
      </c>
      <c r="T69" s="579">
        <v>5.6000000000000001E-2</v>
      </c>
      <c r="U69" s="579">
        <v>0.11700000000000001</v>
      </c>
      <c r="V69" s="579">
        <v>0.23499999999999999</v>
      </c>
      <c r="W69" s="579">
        <v>0.309</v>
      </c>
      <c r="X69" s="579">
        <v>0.627</v>
      </c>
      <c r="Y69" s="579">
        <v>0.29499999999999998</v>
      </c>
      <c r="Z69" s="579">
        <v>0.39400000000000002</v>
      </c>
      <c r="AA69" s="579">
        <v>0.01</v>
      </c>
      <c r="AB69" s="579">
        <v>0.14799999999999999</v>
      </c>
      <c r="AC69" s="579">
        <v>0.12</v>
      </c>
      <c r="AD69" s="579">
        <v>0.75600000000000001</v>
      </c>
      <c r="AE69" s="579">
        <v>0.65</v>
      </c>
      <c r="AF69" s="579">
        <v>0.91500000000000004</v>
      </c>
      <c r="AG69" s="579">
        <v>0</v>
      </c>
      <c r="AH69" s="581">
        <f t="shared" si="10"/>
        <v>20.161999999999999</v>
      </c>
    </row>
    <row r="70" spans="1:34" ht="15">
      <c r="A70" s="314" t="s">
        <v>156</v>
      </c>
      <c r="B70" s="162">
        <f t="shared" si="9"/>
        <v>11.332999999999998</v>
      </c>
      <c r="C70" s="578">
        <v>0.89500000000000002</v>
      </c>
      <c r="D70" s="579">
        <v>0.1</v>
      </c>
      <c r="E70" s="579">
        <v>0.65</v>
      </c>
      <c r="F70" s="579">
        <v>0.98499999999999999</v>
      </c>
      <c r="G70" s="579">
        <v>1.2549999999999999</v>
      </c>
      <c r="H70" s="579">
        <v>1.22</v>
      </c>
      <c r="I70" s="579">
        <v>0.70099999999999996</v>
      </c>
      <c r="J70" s="579">
        <v>0.16400000000000001</v>
      </c>
      <c r="K70" s="579">
        <v>7.6999999999999999E-2</v>
      </c>
      <c r="L70" s="579">
        <v>1.0999999999999999E-2</v>
      </c>
      <c r="M70" s="579">
        <v>0.30499999999999999</v>
      </c>
      <c r="N70" s="579">
        <v>1.071</v>
      </c>
      <c r="O70" s="579">
        <v>0.49099999999999999</v>
      </c>
      <c r="P70" s="579">
        <v>0.63</v>
      </c>
      <c r="Q70" s="579">
        <v>0.47399999999999998</v>
      </c>
      <c r="R70" s="579">
        <v>9.2999999999999999E-2</v>
      </c>
      <c r="S70" s="579">
        <v>7.5999999999999998E-2</v>
      </c>
      <c r="T70" s="579">
        <v>0.186</v>
      </c>
      <c r="U70" s="579">
        <v>0.1</v>
      </c>
      <c r="V70" s="579">
        <v>0.15</v>
      </c>
      <c r="W70" s="579">
        <v>0.307</v>
      </c>
      <c r="X70" s="579">
        <v>0.247</v>
      </c>
      <c r="Y70" s="579">
        <v>0.20899999999999999</v>
      </c>
      <c r="Z70" s="579">
        <v>0</v>
      </c>
      <c r="AA70" s="579">
        <v>0</v>
      </c>
      <c r="AB70" s="579">
        <v>0</v>
      </c>
      <c r="AC70" s="579">
        <v>1.4E-2</v>
      </c>
      <c r="AD70" s="579">
        <v>0.34599999999999997</v>
      </c>
      <c r="AE70" s="579">
        <v>0.32900000000000001</v>
      </c>
      <c r="AF70" s="579">
        <v>0.14499999999999999</v>
      </c>
      <c r="AG70" s="579">
        <v>0.10199999999999999</v>
      </c>
      <c r="AH70" s="581">
        <f t="shared" si="10"/>
        <v>11.332999999999998</v>
      </c>
    </row>
    <row r="71" spans="1:34" ht="15">
      <c r="A71" s="200" t="s">
        <v>111</v>
      </c>
      <c r="B71" s="232">
        <f t="shared" ref="B71:AH71" si="11">SUM(B59:B70)</f>
        <v>58.872999999999998</v>
      </c>
      <c r="C71" s="100">
        <f>SUM(C59:C70)</f>
        <v>1.861</v>
      </c>
      <c r="D71" s="100">
        <f t="shared" si="11"/>
        <v>1.3200000000000003</v>
      </c>
      <c r="E71" s="100">
        <f t="shared" si="11"/>
        <v>1.8759999999999999</v>
      </c>
      <c r="F71" s="100">
        <f t="shared" si="11"/>
        <v>1.633</v>
      </c>
      <c r="G71" s="100">
        <f t="shared" si="11"/>
        <v>3.351</v>
      </c>
      <c r="H71" s="100">
        <f t="shared" si="11"/>
        <v>3.7139999999999995</v>
      </c>
      <c r="I71" s="100">
        <f t="shared" si="11"/>
        <v>2.3929999999999998</v>
      </c>
      <c r="J71" s="100">
        <f t="shared" si="11"/>
        <v>1.3049999999999999</v>
      </c>
      <c r="K71" s="100">
        <f t="shared" si="11"/>
        <v>1.327</v>
      </c>
      <c r="L71" s="100">
        <f t="shared" si="11"/>
        <v>1.1619999999999999</v>
      </c>
      <c r="M71" s="100">
        <f t="shared" si="11"/>
        <v>1.0190000000000001</v>
      </c>
      <c r="N71" s="100">
        <f t="shared" si="11"/>
        <v>2.1520000000000001</v>
      </c>
      <c r="O71" s="100">
        <f t="shared" si="11"/>
        <v>2.6110000000000002</v>
      </c>
      <c r="P71" s="100">
        <f t="shared" si="11"/>
        <v>4.1820000000000004</v>
      </c>
      <c r="Q71" s="100">
        <f t="shared" si="11"/>
        <v>3.2700000000000005</v>
      </c>
      <c r="R71" s="100">
        <f t="shared" si="11"/>
        <v>2.2400000000000002</v>
      </c>
      <c r="S71" s="100">
        <f t="shared" si="11"/>
        <v>1.23</v>
      </c>
      <c r="T71" s="100">
        <f t="shared" si="11"/>
        <v>0.97399999999999998</v>
      </c>
      <c r="U71" s="100">
        <f t="shared" si="11"/>
        <v>1.1760000000000002</v>
      </c>
      <c r="V71" s="100">
        <f t="shared" si="11"/>
        <v>1.266</v>
      </c>
      <c r="W71" s="100">
        <f t="shared" si="11"/>
        <v>1.2869999999999999</v>
      </c>
      <c r="X71" s="100">
        <f t="shared" si="11"/>
        <v>1.8439999999999999</v>
      </c>
      <c r="Y71" s="100">
        <f t="shared" si="11"/>
        <v>1.2850000000000001</v>
      </c>
      <c r="Z71" s="100">
        <f t="shared" si="11"/>
        <v>1.4940000000000002</v>
      </c>
      <c r="AA71" s="100">
        <f t="shared" si="11"/>
        <v>0.65</v>
      </c>
      <c r="AB71" s="100">
        <f t="shared" si="11"/>
        <v>2.3149999999999999</v>
      </c>
      <c r="AC71" s="100">
        <f t="shared" si="11"/>
        <v>1.2979999999999998</v>
      </c>
      <c r="AD71" s="100">
        <f t="shared" si="11"/>
        <v>2.0190000000000001</v>
      </c>
      <c r="AE71" s="100">
        <f t="shared" si="11"/>
        <v>2.355</v>
      </c>
      <c r="AF71" s="100">
        <f t="shared" si="11"/>
        <v>2.2479999999999998</v>
      </c>
      <c r="AG71" s="100">
        <f t="shared" si="11"/>
        <v>2.016</v>
      </c>
      <c r="AH71" s="100">
        <f t="shared" si="11"/>
        <v>58.872999999999998</v>
      </c>
    </row>
    <row r="72" spans="1:34" ht="15" customHeight="1">
      <c r="A72" s="49"/>
      <c r="B72" s="49"/>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ht="15" customHeight="1">
      <c r="A73" s="3854" t="s">
        <v>283</v>
      </c>
      <c r="B73" s="3855"/>
      <c r="C73" s="3856"/>
      <c r="D73" s="14"/>
      <c r="E73" s="14"/>
      <c r="F73" s="14"/>
      <c r="G73" s="14"/>
      <c r="H73" s="3313"/>
      <c r="I73" s="14"/>
      <c r="J73" s="14"/>
      <c r="K73" s="14"/>
      <c r="L73" s="14"/>
      <c r="M73" s="98"/>
      <c r="N73" s="14"/>
      <c r="O73" s="14"/>
      <c r="P73" s="14"/>
      <c r="Q73" s="14"/>
      <c r="R73" s="14"/>
      <c r="S73" s="14"/>
      <c r="T73" s="14"/>
      <c r="U73" s="14"/>
      <c r="V73" s="14"/>
      <c r="W73" s="14"/>
      <c r="X73" s="14"/>
      <c r="Y73" s="14"/>
      <c r="Z73" s="14"/>
      <c r="AA73" s="14"/>
      <c r="AB73" s="14"/>
      <c r="AC73" s="14"/>
      <c r="AD73" s="14"/>
      <c r="AE73" s="14"/>
      <c r="AF73" s="14"/>
      <c r="AG73" s="14"/>
      <c r="AH73" s="1"/>
    </row>
    <row r="74" spans="1:34" ht="15" customHeight="1">
      <c r="A74" s="8" t="s">
        <v>142</v>
      </c>
      <c r="B74" s="8" t="s">
        <v>143</v>
      </c>
      <c r="C74" s="372">
        <v>1</v>
      </c>
      <c r="D74" s="73">
        <v>2</v>
      </c>
      <c r="E74" s="73">
        <v>3</v>
      </c>
      <c r="F74" s="73">
        <v>4</v>
      </c>
      <c r="G74" s="73">
        <v>5</v>
      </c>
      <c r="H74" s="73">
        <v>6</v>
      </c>
      <c r="I74" s="73">
        <v>7</v>
      </c>
      <c r="J74" s="73">
        <v>8</v>
      </c>
      <c r="K74" s="73">
        <v>9</v>
      </c>
      <c r="L74" s="73">
        <v>10</v>
      </c>
      <c r="M74" s="73">
        <v>11</v>
      </c>
      <c r="N74" s="73">
        <v>12</v>
      </c>
      <c r="O74" s="73">
        <v>13</v>
      </c>
      <c r="P74" s="73">
        <v>14</v>
      </c>
      <c r="Q74" s="73">
        <v>15</v>
      </c>
      <c r="R74" s="73">
        <v>16</v>
      </c>
      <c r="S74" s="73">
        <v>17</v>
      </c>
      <c r="T74" s="73">
        <v>18</v>
      </c>
      <c r="U74" s="73">
        <v>19</v>
      </c>
      <c r="V74" s="73">
        <v>20</v>
      </c>
      <c r="W74" s="73">
        <v>21</v>
      </c>
      <c r="X74" s="73">
        <v>22</v>
      </c>
      <c r="Y74" s="73">
        <v>23</v>
      </c>
      <c r="Z74" s="73">
        <v>24</v>
      </c>
      <c r="AA74" s="73">
        <v>25</v>
      </c>
      <c r="AB74" s="73">
        <v>26</v>
      </c>
      <c r="AC74" s="73">
        <v>27</v>
      </c>
      <c r="AD74" s="73">
        <v>28</v>
      </c>
      <c r="AE74" s="73">
        <v>29</v>
      </c>
      <c r="AF74" s="73">
        <v>30</v>
      </c>
      <c r="AG74" s="73">
        <v>31</v>
      </c>
      <c r="AH74" s="87" t="s">
        <v>144</v>
      </c>
    </row>
    <row r="75" spans="1:34" ht="15" customHeight="1">
      <c r="A75" s="363" t="s">
        <v>145</v>
      </c>
      <c r="B75" s="53">
        <f t="shared" ref="B75:B86" si="12">+AH75</f>
        <v>0</v>
      </c>
      <c r="C75" s="2120">
        <v>0</v>
      </c>
      <c r="D75" s="2120">
        <v>0</v>
      </c>
      <c r="E75" s="2120">
        <v>0</v>
      </c>
      <c r="F75" s="2120">
        <v>0</v>
      </c>
      <c r="G75" s="2120">
        <v>0</v>
      </c>
      <c r="H75" s="2120">
        <v>0</v>
      </c>
      <c r="I75" s="2120">
        <v>0</v>
      </c>
      <c r="J75" s="2120">
        <v>0</v>
      </c>
      <c r="K75" s="2120">
        <v>0</v>
      </c>
      <c r="L75" s="2120">
        <v>0</v>
      </c>
      <c r="M75" s="2120">
        <v>0</v>
      </c>
      <c r="N75" s="2120">
        <v>0</v>
      </c>
      <c r="O75" s="2120">
        <v>0</v>
      </c>
      <c r="P75" s="2120">
        <v>0</v>
      </c>
      <c r="Q75" s="2120">
        <v>0</v>
      </c>
      <c r="R75" s="2120">
        <v>0</v>
      </c>
      <c r="S75" s="2120">
        <v>0</v>
      </c>
      <c r="T75" s="2120">
        <v>0</v>
      </c>
      <c r="U75" s="2120">
        <v>0</v>
      </c>
      <c r="V75" s="2120">
        <v>0</v>
      </c>
      <c r="W75" s="2120">
        <v>0</v>
      </c>
      <c r="X75" s="2120">
        <v>0</v>
      </c>
      <c r="Y75" s="2120">
        <v>0</v>
      </c>
      <c r="Z75" s="2120">
        <v>0</v>
      </c>
      <c r="AA75" s="2120">
        <v>0</v>
      </c>
      <c r="AB75" s="2120">
        <v>0</v>
      </c>
      <c r="AC75" s="2120">
        <v>0</v>
      </c>
      <c r="AD75" s="2120">
        <v>0</v>
      </c>
      <c r="AE75" s="2120">
        <v>0</v>
      </c>
      <c r="AF75" s="2120">
        <v>0</v>
      </c>
      <c r="AG75" s="2120">
        <v>0</v>
      </c>
      <c r="AH75" s="100">
        <f t="shared" ref="AH75:AH86" si="13">SUM(C75:AG75)</f>
        <v>0</v>
      </c>
    </row>
    <row r="76" spans="1:34" ht="15" customHeight="1">
      <c r="A76" s="363" t="s">
        <v>146</v>
      </c>
      <c r="B76" s="53">
        <f t="shared" si="12"/>
        <v>39.854999999999997</v>
      </c>
      <c r="C76" s="2120">
        <v>0</v>
      </c>
      <c r="D76" s="2120">
        <v>0</v>
      </c>
      <c r="E76" s="2120">
        <v>0</v>
      </c>
      <c r="F76" s="2120">
        <v>0</v>
      </c>
      <c r="G76" s="2120">
        <v>0</v>
      </c>
      <c r="H76" s="2120">
        <v>0</v>
      </c>
      <c r="I76" s="2120">
        <v>0</v>
      </c>
      <c r="J76" s="2120">
        <v>0</v>
      </c>
      <c r="K76" s="2120">
        <v>0</v>
      </c>
      <c r="L76" s="2120">
        <v>0</v>
      </c>
      <c r="M76" s="2120">
        <v>0</v>
      </c>
      <c r="N76" s="2120">
        <v>0</v>
      </c>
      <c r="O76" s="2120">
        <v>0</v>
      </c>
      <c r="P76" s="2120">
        <v>0</v>
      </c>
      <c r="Q76" s="2120">
        <v>0</v>
      </c>
      <c r="R76" s="2120">
        <v>4.46</v>
      </c>
      <c r="S76" s="2120">
        <v>4.3040000000000003</v>
      </c>
      <c r="T76" s="2120">
        <v>5.4160000000000004</v>
      </c>
      <c r="U76" s="2120">
        <v>2</v>
      </c>
      <c r="V76" s="2120">
        <v>0</v>
      </c>
      <c r="W76" s="2120">
        <v>4.2880000000000003</v>
      </c>
      <c r="X76" s="2120">
        <v>3.42</v>
      </c>
      <c r="Y76" s="2120">
        <v>2.8519999999999999</v>
      </c>
      <c r="Z76" s="2120">
        <v>3.36</v>
      </c>
      <c r="AA76" s="2120">
        <v>4.1150000000000002</v>
      </c>
      <c r="AB76" s="2120">
        <v>1.46</v>
      </c>
      <c r="AC76" s="2120">
        <v>0</v>
      </c>
      <c r="AD76" s="2120">
        <v>1.88</v>
      </c>
      <c r="AE76" s="2120">
        <v>2.2999999999999998</v>
      </c>
      <c r="AF76" s="2120">
        <v>0</v>
      </c>
      <c r="AG76" s="2120">
        <v>0</v>
      </c>
      <c r="AH76" s="100">
        <f>SUM(C76:AG76)</f>
        <v>39.854999999999997</v>
      </c>
    </row>
    <row r="77" spans="1:34" ht="15" customHeight="1">
      <c r="A77" s="363" t="s">
        <v>147</v>
      </c>
      <c r="B77" s="53">
        <f t="shared" si="12"/>
        <v>69.034999999999997</v>
      </c>
      <c r="C77" s="2121">
        <v>2.4380000000000002</v>
      </c>
      <c r="D77" s="2122">
        <v>2.6339999999999999</v>
      </c>
      <c r="E77" s="2122">
        <v>5.6779999999999999</v>
      </c>
      <c r="F77" s="2122">
        <v>0.8</v>
      </c>
      <c r="G77" s="2122">
        <v>6.8000000000000005E-2</v>
      </c>
      <c r="H77" s="2122">
        <v>1.272</v>
      </c>
      <c r="I77" s="2122">
        <v>1.85</v>
      </c>
      <c r="J77" s="2122">
        <v>2.2730000000000001</v>
      </c>
      <c r="K77" s="2122">
        <v>2.984</v>
      </c>
      <c r="L77" s="2122">
        <v>6.1159999999999997</v>
      </c>
      <c r="M77" s="2122">
        <v>2.1440000000000001</v>
      </c>
      <c r="N77" s="2122">
        <v>0</v>
      </c>
      <c r="O77" s="2122">
        <v>2.222</v>
      </c>
      <c r="P77" s="2122">
        <v>3.0680000000000001</v>
      </c>
      <c r="Q77" s="2122">
        <v>2.548</v>
      </c>
      <c r="R77" s="2122">
        <v>2.1440000000000001</v>
      </c>
      <c r="S77" s="2122">
        <v>3.528</v>
      </c>
      <c r="T77" s="2122">
        <v>2.052</v>
      </c>
      <c r="U77" s="2122">
        <v>0</v>
      </c>
      <c r="V77" s="2122">
        <v>1.97</v>
      </c>
      <c r="W77" s="2122">
        <v>2.9329999999999998</v>
      </c>
      <c r="X77" s="2122">
        <v>3.1970000000000001</v>
      </c>
      <c r="Y77" s="2122">
        <v>4.0039999999999996</v>
      </c>
      <c r="Z77" s="2122">
        <v>2.2200000000000002</v>
      </c>
      <c r="AA77" s="2122">
        <v>1.262</v>
      </c>
      <c r="AB77" s="2122">
        <v>0</v>
      </c>
      <c r="AC77" s="2122">
        <v>0.84399999999999997</v>
      </c>
      <c r="AD77" s="2122">
        <v>1.3260000000000001</v>
      </c>
      <c r="AE77" s="2122">
        <v>2.0219999999999998</v>
      </c>
      <c r="AF77" s="2122">
        <v>2.8039999999999998</v>
      </c>
      <c r="AG77" s="2122">
        <v>2.6339999999999999</v>
      </c>
      <c r="AH77" s="100">
        <f t="shared" si="13"/>
        <v>69.034999999999997</v>
      </c>
    </row>
    <row r="78" spans="1:34" ht="15" customHeight="1">
      <c r="A78" s="363" t="s">
        <v>148</v>
      </c>
      <c r="B78" s="53">
        <f t="shared" si="12"/>
        <v>54.178999999999995</v>
      </c>
      <c r="C78" s="2123">
        <v>1.522</v>
      </c>
      <c r="D78" s="2124">
        <v>0.14799999999999999</v>
      </c>
      <c r="E78" s="2124">
        <v>2.0550000000000002</v>
      </c>
      <c r="F78" s="2124">
        <v>1.5820000000000001</v>
      </c>
      <c r="G78" s="2124">
        <v>2.714</v>
      </c>
      <c r="H78" s="2124">
        <v>3.05</v>
      </c>
      <c r="I78" s="2124">
        <v>3.786</v>
      </c>
      <c r="J78" s="2124">
        <v>1.3160000000000001</v>
      </c>
      <c r="K78" s="2124">
        <v>0</v>
      </c>
      <c r="L78" s="2124">
        <v>1.512</v>
      </c>
      <c r="M78" s="2124">
        <v>2.2519999999999998</v>
      </c>
      <c r="N78" s="2124">
        <v>2.3679999999999999</v>
      </c>
      <c r="O78" s="2124">
        <v>2.4169999999999998</v>
      </c>
      <c r="P78" s="2124">
        <v>2.5539999999999998</v>
      </c>
      <c r="Q78" s="2124">
        <v>1.698</v>
      </c>
      <c r="R78" s="2124">
        <v>0</v>
      </c>
      <c r="S78" s="2124">
        <v>0.20399999999999999</v>
      </c>
      <c r="T78" s="2124">
        <v>1.839</v>
      </c>
      <c r="U78" s="2124">
        <v>1.3839999999999999</v>
      </c>
      <c r="V78" s="2124">
        <v>2.222</v>
      </c>
      <c r="W78" s="2124">
        <v>3.5539999999999998</v>
      </c>
      <c r="X78" s="2124">
        <v>1.8819999999999999</v>
      </c>
      <c r="Y78" s="2124">
        <v>0</v>
      </c>
      <c r="Z78" s="2124">
        <v>1.6220000000000001</v>
      </c>
      <c r="AA78" s="2124">
        <v>2.9180000000000001</v>
      </c>
      <c r="AB78" s="2124">
        <v>2.4279999999999999</v>
      </c>
      <c r="AC78" s="2124">
        <v>3</v>
      </c>
      <c r="AD78" s="2124">
        <v>2.956</v>
      </c>
      <c r="AE78" s="2124">
        <v>1.196</v>
      </c>
      <c r="AF78" s="2124">
        <v>0</v>
      </c>
      <c r="AG78" s="2125">
        <v>0</v>
      </c>
      <c r="AH78" s="100">
        <f t="shared" si="13"/>
        <v>54.178999999999995</v>
      </c>
    </row>
    <row r="79" spans="1:34" ht="15" customHeight="1">
      <c r="A79" s="363" t="s">
        <v>149</v>
      </c>
      <c r="B79" s="53">
        <f t="shared" si="12"/>
        <v>49.5</v>
      </c>
      <c r="C79" s="2121">
        <v>1.3939999999999999</v>
      </c>
      <c r="D79" s="2122">
        <v>2.9319999999999999</v>
      </c>
      <c r="E79" s="2122">
        <v>1.446</v>
      </c>
      <c r="F79" s="2122">
        <v>2.3159999999999998</v>
      </c>
      <c r="G79" s="2122">
        <v>4.12</v>
      </c>
      <c r="H79" s="2122">
        <v>1.698</v>
      </c>
      <c r="I79" s="2122">
        <v>0</v>
      </c>
      <c r="J79" s="2122">
        <v>2.048</v>
      </c>
      <c r="K79" s="2122">
        <v>2.7639999999999998</v>
      </c>
      <c r="L79" s="2122">
        <v>2.9140000000000001</v>
      </c>
      <c r="M79" s="2122">
        <v>2.2120000000000002</v>
      </c>
      <c r="N79" s="2122">
        <v>2.15</v>
      </c>
      <c r="O79" s="2122">
        <v>0.47799999999999998</v>
      </c>
      <c r="P79" s="2122">
        <v>0</v>
      </c>
      <c r="Q79" s="2122">
        <v>1.6819999999999999</v>
      </c>
      <c r="R79" s="2122">
        <v>2.42</v>
      </c>
      <c r="S79" s="2122">
        <v>3.0819999999999999</v>
      </c>
      <c r="T79" s="2122">
        <v>2.8</v>
      </c>
      <c r="U79" s="2122">
        <v>3.206</v>
      </c>
      <c r="V79" s="2122">
        <v>1.22</v>
      </c>
      <c r="W79" s="2122">
        <v>0</v>
      </c>
      <c r="X79" s="2122">
        <v>1.304</v>
      </c>
      <c r="Y79" s="2122">
        <v>2.3519999999999999</v>
      </c>
      <c r="Z79" s="2122">
        <v>1.786</v>
      </c>
      <c r="AA79" s="2122">
        <v>0</v>
      </c>
      <c r="AB79" s="2122">
        <v>0</v>
      </c>
      <c r="AC79" s="2122">
        <v>0</v>
      </c>
      <c r="AD79" s="2122">
        <v>0</v>
      </c>
      <c r="AE79" s="2122">
        <v>0.94799999999999995</v>
      </c>
      <c r="AF79" s="2122">
        <v>1.0760000000000001</v>
      </c>
      <c r="AG79" s="2126">
        <v>1.1519999999999999</v>
      </c>
      <c r="AH79" s="100">
        <f t="shared" si="13"/>
        <v>49.5</v>
      </c>
    </row>
    <row r="80" spans="1:34" ht="15" customHeight="1">
      <c r="A80" s="363" t="s">
        <v>150</v>
      </c>
      <c r="B80" s="53">
        <f t="shared" si="12"/>
        <v>28.498000000000001</v>
      </c>
      <c r="C80" s="2130">
        <v>2.5</v>
      </c>
      <c r="D80" s="2130">
        <v>1.504</v>
      </c>
      <c r="E80" s="2130">
        <v>9.1999999999999998E-2</v>
      </c>
      <c r="F80" s="2130">
        <v>0</v>
      </c>
      <c r="G80" s="2130">
        <v>0.22600000000000001</v>
      </c>
      <c r="H80" s="2130">
        <v>0.36799999999999999</v>
      </c>
      <c r="I80" s="2130">
        <v>0</v>
      </c>
      <c r="J80" s="2130">
        <v>0.70199999999999996</v>
      </c>
      <c r="K80" s="2130">
        <v>2.5859999999999999</v>
      </c>
      <c r="L80" s="2130">
        <v>1.0680000000000001</v>
      </c>
      <c r="M80" s="2130">
        <v>0</v>
      </c>
      <c r="N80" s="2130">
        <v>0</v>
      </c>
      <c r="O80" s="2130">
        <v>0</v>
      </c>
      <c r="P80" s="2130">
        <v>0.64800000000000002</v>
      </c>
      <c r="Q80" s="2130">
        <v>1.216</v>
      </c>
      <c r="R80" s="2130">
        <v>0</v>
      </c>
      <c r="S80" s="2130">
        <v>0</v>
      </c>
      <c r="T80" s="2130">
        <v>0</v>
      </c>
      <c r="U80" s="2130">
        <v>0.81799999999999995</v>
      </c>
      <c r="V80" s="2130">
        <v>1.5980000000000001</v>
      </c>
      <c r="W80" s="2130">
        <v>1.6279999999999999</v>
      </c>
      <c r="X80" s="2130">
        <v>2.6059999999999999</v>
      </c>
      <c r="Y80" s="2130">
        <v>2.2200000000000002</v>
      </c>
      <c r="Z80" s="2130">
        <v>0.85599999999999998</v>
      </c>
      <c r="AA80" s="2130">
        <v>0</v>
      </c>
      <c r="AB80" s="2130">
        <v>0.85</v>
      </c>
      <c r="AC80" s="2130">
        <v>1.756</v>
      </c>
      <c r="AD80" s="2130">
        <v>1.0900000000000001</v>
      </c>
      <c r="AE80" s="2130">
        <v>1.96</v>
      </c>
      <c r="AF80" s="2130">
        <v>2.206</v>
      </c>
      <c r="AG80" s="2130">
        <v>0</v>
      </c>
      <c r="AH80" s="100">
        <f t="shared" si="13"/>
        <v>28.498000000000001</v>
      </c>
    </row>
    <row r="81" spans="1:34" ht="15" customHeight="1">
      <c r="A81" s="314" t="s">
        <v>151</v>
      </c>
      <c r="B81" s="53">
        <f>+AH81</f>
        <v>48.935999999999993</v>
      </c>
      <c r="C81" s="2130">
        <v>0</v>
      </c>
      <c r="D81" s="2130">
        <v>0</v>
      </c>
      <c r="E81" s="2130">
        <v>0</v>
      </c>
      <c r="F81" s="2130">
        <v>1.0760000000000001</v>
      </c>
      <c r="G81" s="2130">
        <v>0</v>
      </c>
      <c r="H81" s="2130">
        <v>2.323</v>
      </c>
      <c r="I81" s="2130">
        <v>1.962</v>
      </c>
      <c r="J81" s="2130">
        <v>1.04</v>
      </c>
      <c r="K81" s="2130">
        <v>0</v>
      </c>
      <c r="L81" s="2130">
        <v>0</v>
      </c>
      <c r="M81" s="2130">
        <v>1.774</v>
      </c>
      <c r="N81" s="2130">
        <v>2.8220000000000001</v>
      </c>
      <c r="O81" s="2130">
        <v>3.42</v>
      </c>
      <c r="P81" s="2130">
        <v>0</v>
      </c>
      <c r="Q81" s="2130">
        <v>1.968</v>
      </c>
      <c r="R81" s="2130">
        <v>0</v>
      </c>
      <c r="S81" s="2130">
        <v>2.282</v>
      </c>
      <c r="T81" s="2130">
        <v>3.5339999999999998</v>
      </c>
      <c r="U81" s="2130">
        <v>3.2120000000000002</v>
      </c>
      <c r="V81" s="2130">
        <v>0.7</v>
      </c>
      <c r="W81" s="2130">
        <v>3.024</v>
      </c>
      <c r="X81" s="2130">
        <v>1.4259999999999999</v>
      </c>
      <c r="Y81" s="2130">
        <v>0</v>
      </c>
      <c r="Z81" s="2130">
        <v>3.7320000000000002</v>
      </c>
      <c r="AA81" s="2130">
        <v>3.1379999999999999</v>
      </c>
      <c r="AB81" s="2130">
        <v>2.4159999999999999</v>
      </c>
      <c r="AC81" s="2130">
        <v>2.3340000000000001</v>
      </c>
      <c r="AD81" s="2130">
        <v>2.9140000000000001</v>
      </c>
      <c r="AE81" s="2130">
        <v>1.3580000000000001</v>
      </c>
      <c r="AF81" s="2130">
        <v>0</v>
      </c>
      <c r="AG81" s="2130">
        <v>2.4809999999999999</v>
      </c>
      <c r="AH81" s="100">
        <f t="shared" si="13"/>
        <v>48.935999999999993</v>
      </c>
    </row>
    <row r="82" spans="1:34" ht="15" customHeight="1">
      <c r="A82" s="314" t="s">
        <v>152</v>
      </c>
      <c r="B82" s="53">
        <f t="shared" si="12"/>
        <v>77.956999999999994</v>
      </c>
      <c r="C82" s="2127">
        <v>3.7280000000000002</v>
      </c>
      <c r="D82" s="2128">
        <v>0</v>
      </c>
      <c r="E82" s="2128">
        <v>0</v>
      </c>
      <c r="F82" s="2128">
        <v>3.1160000000000001</v>
      </c>
      <c r="G82" s="2128">
        <v>1.056</v>
      </c>
      <c r="H82" s="2128">
        <v>0</v>
      </c>
      <c r="I82" s="2128">
        <v>1.8839999999999999</v>
      </c>
      <c r="J82" s="2128">
        <v>2.7719999999999998</v>
      </c>
      <c r="K82" s="2128">
        <v>3.0760000000000001</v>
      </c>
      <c r="L82" s="2128">
        <v>2.798</v>
      </c>
      <c r="M82" s="2128">
        <v>4.1779999999999999</v>
      </c>
      <c r="N82" s="2128">
        <v>1.3360000000000001</v>
      </c>
      <c r="O82" s="2128">
        <v>0</v>
      </c>
      <c r="P82" s="2128">
        <v>2.694</v>
      </c>
      <c r="Q82" s="2128">
        <v>1.8560000000000001</v>
      </c>
      <c r="R82" s="2128">
        <v>0</v>
      </c>
      <c r="S82" s="2128">
        <v>0</v>
      </c>
      <c r="T82" s="2128">
        <v>3.2</v>
      </c>
      <c r="U82" s="2128">
        <v>1.786</v>
      </c>
      <c r="V82" s="2128">
        <v>0</v>
      </c>
      <c r="W82" s="2128">
        <v>3.5659999999999998</v>
      </c>
      <c r="X82" s="2128">
        <v>3.06</v>
      </c>
      <c r="Y82" s="2128">
        <v>3.6739999999999999</v>
      </c>
      <c r="Z82" s="2128">
        <v>4.5439999999999996</v>
      </c>
      <c r="AA82" s="2128">
        <v>5.55</v>
      </c>
      <c r="AB82" s="2128">
        <v>1.746</v>
      </c>
      <c r="AC82" s="2128">
        <v>0</v>
      </c>
      <c r="AD82" s="2128">
        <v>5.3819999999999997</v>
      </c>
      <c r="AE82" s="2128">
        <v>4.6509999999999998</v>
      </c>
      <c r="AF82" s="2128">
        <v>4.774</v>
      </c>
      <c r="AG82" s="2129">
        <v>7.53</v>
      </c>
      <c r="AH82" s="100">
        <f t="shared" si="13"/>
        <v>77.956999999999994</v>
      </c>
    </row>
    <row r="83" spans="1:34" ht="15" customHeight="1">
      <c r="A83" s="314" t="s">
        <v>153</v>
      </c>
      <c r="B83" s="53">
        <f t="shared" si="12"/>
        <v>0</v>
      </c>
      <c r="C83" s="188" t="s">
        <v>162</v>
      </c>
      <c r="D83" s="188" t="s">
        <v>162</v>
      </c>
      <c r="E83" s="188" t="s">
        <v>162</v>
      </c>
      <c r="F83" s="188" t="s">
        <v>162</v>
      </c>
      <c r="G83" s="188" t="s">
        <v>162</v>
      </c>
      <c r="H83" s="188" t="s">
        <v>162</v>
      </c>
      <c r="I83" s="188" t="s">
        <v>162</v>
      </c>
      <c r="J83" s="188" t="s">
        <v>162</v>
      </c>
      <c r="K83" s="188" t="s">
        <v>162</v>
      </c>
      <c r="L83" s="188" t="s">
        <v>162</v>
      </c>
      <c r="M83" s="188" t="s">
        <v>162</v>
      </c>
      <c r="N83" s="188" t="s">
        <v>162</v>
      </c>
      <c r="O83" s="188" t="s">
        <v>162</v>
      </c>
      <c r="P83" s="188" t="s">
        <v>162</v>
      </c>
      <c r="Q83" s="188" t="s">
        <v>162</v>
      </c>
      <c r="R83" s="188" t="s">
        <v>162</v>
      </c>
      <c r="S83" s="188" t="s">
        <v>162</v>
      </c>
      <c r="T83" s="188" t="s">
        <v>162</v>
      </c>
      <c r="U83" s="188" t="s">
        <v>162</v>
      </c>
      <c r="V83" s="188" t="s">
        <v>162</v>
      </c>
      <c r="W83" s="188" t="s">
        <v>162</v>
      </c>
      <c r="X83" s="188" t="s">
        <v>162</v>
      </c>
      <c r="Y83" s="188" t="s">
        <v>162</v>
      </c>
      <c r="Z83" s="188" t="s">
        <v>162</v>
      </c>
      <c r="AA83" s="188" t="s">
        <v>162</v>
      </c>
      <c r="AB83" s="188" t="s">
        <v>162</v>
      </c>
      <c r="AC83" s="188" t="s">
        <v>162</v>
      </c>
      <c r="AD83" s="188" t="s">
        <v>162</v>
      </c>
      <c r="AE83" s="188" t="s">
        <v>162</v>
      </c>
      <c r="AF83" s="188" t="s">
        <v>162</v>
      </c>
      <c r="AG83" s="188" t="s">
        <v>162</v>
      </c>
      <c r="AH83" s="100">
        <f t="shared" si="13"/>
        <v>0</v>
      </c>
    </row>
    <row r="84" spans="1:34" ht="15" customHeight="1">
      <c r="A84" s="314" t="s">
        <v>154</v>
      </c>
      <c r="B84" s="53">
        <f t="shared" si="12"/>
        <v>54.508000000000003</v>
      </c>
      <c r="C84" s="99">
        <v>0</v>
      </c>
      <c r="D84" s="99">
        <v>2.29</v>
      </c>
      <c r="E84" s="99">
        <v>1.923</v>
      </c>
      <c r="F84" s="99">
        <v>1.875</v>
      </c>
      <c r="G84" s="99">
        <v>2.8319999999999999</v>
      </c>
      <c r="H84" s="99">
        <v>2.9609999999999999</v>
      </c>
      <c r="I84" s="99">
        <v>0.27700000000000002</v>
      </c>
      <c r="J84" s="99">
        <v>0</v>
      </c>
      <c r="K84" s="99">
        <v>2.028</v>
      </c>
      <c r="L84" s="99">
        <v>2.0840000000000001</v>
      </c>
      <c r="M84" s="99">
        <v>2.456</v>
      </c>
      <c r="N84" s="99">
        <v>2.3199999999999998</v>
      </c>
      <c r="O84" s="99">
        <v>3.0950000000000002</v>
      </c>
      <c r="P84" s="99">
        <v>1.042</v>
      </c>
      <c r="Q84" s="99">
        <v>0</v>
      </c>
      <c r="R84" s="99">
        <v>1.8959999999999999</v>
      </c>
      <c r="S84" s="99">
        <v>1.9319999999999999</v>
      </c>
      <c r="T84" s="99">
        <v>2.1859999999999999</v>
      </c>
      <c r="U84" s="99">
        <v>2.359</v>
      </c>
      <c r="V84" s="99">
        <v>3.077</v>
      </c>
      <c r="W84" s="99">
        <v>0.92300000000000004</v>
      </c>
      <c r="X84" s="99">
        <v>0</v>
      </c>
      <c r="Y84" s="99">
        <v>1.6910000000000001</v>
      </c>
      <c r="Z84" s="99">
        <v>2.4260000000000002</v>
      </c>
      <c r="AA84" s="99">
        <v>1.7370000000000001</v>
      </c>
      <c r="AB84" s="99">
        <v>2.681</v>
      </c>
      <c r="AC84" s="99">
        <v>2.8759999999999999</v>
      </c>
      <c r="AD84" s="99">
        <v>0.218</v>
      </c>
      <c r="AE84" s="99">
        <v>0</v>
      </c>
      <c r="AF84" s="99">
        <v>2.2450000000000001</v>
      </c>
      <c r="AG84" s="99">
        <v>3.0779999999999998</v>
      </c>
      <c r="AH84" s="100">
        <f t="shared" si="13"/>
        <v>54.508000000000003</v>
      </c>
    </row>
    <row r="85" spans="1:34" ht="15" customHeight="1">
      <c r="A85" s="314" t="s">
        <v>155</v>
      </c>
      <c r="B85" s="53">
        <f t="shared" si="12"/>
        <v>50.838000000000001</v>
      </c>
      <c r="C85" s="99">
        <v>1.625</v>
      </c>
      <c r="D85" s="99">
        <v>1.946</v>
      </c>
      <c r="E85" s="99">
        <v>2.7010000000000001</v>
      </c>
      <c r="F85" s="99">
        <v>0</v>
      </c>
      <c r="G85" s="99">
        <v>0</v>
      </c>
      <c r="H85" s="99">
        <v>2.7029999999999998</v>
      </c>
      <c r="I85" s="99">
        <v>2.2709999999999999</v>
      </c>
      <c r="J85" s="99">
        <v>2.3559999999999999</v>
      </c>
      <c r="K85" s="99">
        <v>0.36499999999999999</v>
      </c>
      <c r="L85" s="99">
        <v>3.266</v>
      </c>
      <c r="M85" s="99">
        <v>1.4990000000000001</v>
      </c>
      <c r="N85" s="99">
        <v>0</v>
      </c>
      <c r="O85" s="99">
        <v>2.1459999999999999</v>
      </c>
      <c r="P85" s="99">
        <v>2.4350000000000001</v>
      </c>
      <c r="Q85" s="99">
        <v>1.9730000000000001</v>
      </c>
      <c r="R85" s="99">
        <v>2.1949999999999998</v>
      </c>
      <c r="S85" s="99">
        <v>2.141</v>
      </c>
      <c r="T85" s="99">
        <v>0.94</v>
      </c>
      <c r="U85" s="99">
        <v>0</v>
      </c>
      <c r="V85" s="99">
        <v>2.266</v>
      </c>
      <c r="W85" s="99">
        <v>3.9940000000000002</v>
      </c>
      <c r="X85" s="99">
        <v>2.85</v>
      </c>
      <c r="Y85" s="99">
        <v>2.101</v>
      </c>
      <c r="Z85" s="99">
        <v>2.3860000000000001</v>
      </c>
      <c r="AA85" s="99">
        <v>1.379</v>
      </c>
      <c r="AB85" s="99">
        <v>0</v>
      </c>
      <c r="AC85" s="99">
        <v>1.448</v>
      </c>
      <c r="AD85" s="99">
        <v>1.367</v>
      </c>
      <c r="AE85" s="99">
        <v>1.151</v>
      </c>
      <c r="AF85" s="99">
        <v>1.3340000000000001</v>
      </c>
      <c r="AG85" s="99">
        <v>0</v>
      </c>
      <c r="AH85" s="100">
        <f t="shared" si="13"/>
        <v>50.838000000000001</v>
      </c>
    </row>
    <row r="86" spans="1:34" ht="15" customHeight="1">
      <c r="A86" s="314" t="s">
        <v>156</v>
      </c>
      <c r="B86" s="53">
        <f t="shared" si="12"/>
        <v>46.552000000000014</v>
      </c>
      <c r="C86" s="99">
        <v>2.4670000000000001</v>
      </c>
      <c r="D86" s="99">
        <v>1.157</v>
      </c>
      <c r="E86" s="99">
        <v>0</v>
      </c>
      <c r="F86" s="99">
        <v>1.6919999999999999</v>
      </c>
      <c r="G86" s="99">
        <v>1.972</v>
      </c>
      <c r="H86" s="99">
        <v>1.855</v>
      </c>
      <c r="I86" s="99">
        <v>2.1520000000000001</v>
      </c>
      <c r="J86" s="99">
        <v>1.915</v>
      </c>
      <c r="K86" s="99">
        <v>1.3360000000000001</v>
      </c>
      <c r="L86" s="99">
        <v>0</v>
      </c>
      <c r="M86" s="99">
        <v>1.6779999999999999</v>
      </c>
      <c r="N86" s="99">
        <v>2.399</v>
      </c>
      <c r="O86" s="99">
        <v>2.0630000000000002</v>
      </c>
      <c r="P86" s="99">
        <v>2.637</v>
      </c>
      <c r="Q86" s="99">
        <v>3.3620000000000001</v>
      </c>
      <c r="R86" s="99">
        <v>0.995</v>
      </c>
      <c r="S86" s="99">
        <v>0</v>
      </c>
      <c r="T86" s="99">
        <v>2.0790000000000002</v>
      </c>
      <c r="U86" s="99">
        <v>0.15</v>
      </c>
      <c r="V86" s="99">
        <v>2.181</v>
      </c>
      <c r="W86" s="99">
        <v>2.2519999999999998</v>
      </c>
      <c r="X86" s="99">
        <v>2.8220000000000001</v>
      </c>
      <c r="Y86" s="99">
        <v>0.90100000000000002</v>
      </c>
      <c r="Z86" s="99">
        <v>0</v>
      </c>
      <c r="AA86" s="99">
        <v>0</v>
      </c>
      <c r="AB86" s="99">
        <v>0.16400000000000001</v>
      </c>
      <c r="AC86" s="99">
        <v>1.6240000000000001</v>
      </c>
      <c r="AD86" s="99">
        <v>3.306</v>
      </c>
      <c r="AE86" s="99">
        <v>1.764</v>
      </c>
      <c r="AF86" s="99">
        <v>0.91600000000000004</v>
      </c>
      <c r="AG86" s="99">
        <v>0.71299999999999997</v>
      </c>
      <c r="AH86" s="100">
        <f t="shared" si="13"/>
        <v>46.552000000000014</v>
      </c>
    </row>
    <row r="87" spans="1:34" ht="15" customHeight="1">
      <c r="A87" s="200" t="s">
        <v>111</v>
      </c>
      <c r="B87" s="200">
        <f>SUM(B75:B86)</f>
        <v>519.85799999999995</v>
      </c>
      <c r="C87" s="100"/>
      <c r="D87" s="100"/>
      <c r="E87" s="100"/>
      <c r="F87" s="100"/>
      <c r="G87" s="100"/>
      <c r="H87" s="100"/>
      <c r="I87" s="100"/>
      <c r="J87" s="100"/>
      <c r="K87" s="100"/>
      <c r="L87" s="100"/>
      <c r="M87" s="100"/>
      <c r="N87" s="100"/>
      <c r="O87" s="100"/>
      <c r="P87" s="100"/>
      <c r="Q87" s="100"/>
      <c r="R87" s="100"/>
      <c r="S87" s="100"/>
      <c r="T87" s="100"/>
      <c r="U87" s="100"/>
      <c r="V87" s="100"/>
      <c r="W87" s="100"/>
      <c r="X87" s="100"/>
      <c r="Y87" s="100"/>
      <c r="Z87" s="100"/>
      <c r="AA87" s="100"/>
      <c r="AB87" s="100"/>
      <c r="AC87" s="100"/>
      <c r="AD87" s="100"/>
      <c r="AE87" s="100"/>
      <c r="AF87" s="100"/>
      <c r="AG87" s="100"/>
      <c r="AH87" s="100">
        <f>SUM(AH75:AH86)</f>
        <v>519.85799999999995</v>
      </c>
    </row>
    <row r="88" spans="1:34" ht="3.75" customHeight="1">
      <c r="A88" s="49"/>
      <c r="B88" s="49"/>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34" ht="15" customHeight="1">
      <c r="A89" s="3854" t="s">
        <v>284</v>
      </c>
      <c r="B89" s="3855"/>
      <c r="C89" s="3856"/>
      <c r="D89" s="14"/>
      <c r="E89" s="14"/>
      <c r="F89" s="3026" t="s">
        <v>1309</v>
      </c>
      <c r="G89" s="14"/>
      <c r="H89" s="14"/>
      <c r="I89" s="14"/>
      <c r="J89" s="14"/>
      <c r="K89" s="14"/>
      <c r="L89" s="14"/>
      <c r="M89" s="98"/>
      <c r="N89" s="14"/>
      <c r="O89" s="14"/>
      <c r="P89" s="14"/>
      <c r="Q89" s="14"/>
      <c r="R89" s="14"/>
      <c r="S89" s="14"/>
      <c r="T89" s="14"/>
      <c r="U89" s="14"/>
      <c r="V89" s="14"/>
      <c r="W89" s="14"/>
      <c r="X89" s="14"/>
      <c r="Y89" s="14"/>
      <c r="Z89" s="14"/>
      <c r="AA89" s="14"/>
      <c r="AB89" s="14"/>
      <c r="AC89" s="14"/>
      <c r="AD89" s="14"/>
      <c r="AE89" s="14"/>
      <c r="AF89" s="14"/>
      <c r="AG89" s="14"/>
      <c r="AH89" s="1"/>
    </row>
    <row r="90" spans="1:34" ht="15" customHeight="1" thickBot="1">
      <c r="A90" s="8" t="s">
        <v>142</v>
      </c>
      <c r="B90" s="8" t="s">
        <v>143</v>
      </c>
      <c r="C90" s="372">
        <v>1</v>
      </c>
      <c r="D90" s="73">
        <v>2</v>
      </c>
      <c r="E90" s="73">
        <v>3</v>
      </c>
      <c r="F90" s="73">
        <v>4</v>
      </c>
      <c r="G90" s="73">
        <v>5</v>
      </c>
      <c r="H90" s="73">
        <v>6</v>
      </c>
      <c r="I90" s="73">
        <v>7</v>
      </c>
      <c r="J90" s="73">
        <v>8</v>
      </c>
      <c r="K90" s="73">
        <v>9</v>
      </c>
      <c r="L90" s="73">
        <v>10</v>
      </c>
      <c r="M90" s="73">
        <v>11</v>
      </c>
      <c r="N90" s="73">
        <v>12</v>
      </c>
      <c r="O90" s="73">
        <v>13</v>
      </c>
      <c r="P90" s="73">
        <v>14</v>
      </c>
      <c r="Q90" s="73">
        <v>15</v>
      </c>
      <c r="R90" s="73">
        <v>16</v>
      </c>
      <c r="S90" s="73">
        <v>17</v>
      </c>
      <c r="T90" s="73">
        <v>18</v>
      </c>
      <c r="U90" s="73">
        <v>19</v>
      </c>
      <c r="V90" s="73">
        <v>20</v>
      </c>
      <c r="W90" s="73">
        <v>21</v>
      </c>
      <c r="X90" s="73">
        <v>22</v>
      </c>
      <c r="Y90" s="73">
        <v>23</v>
      </c>
      <c r="Z90" s="73">
        <v>24</v>
      </c>
      <c r="AA90" s="73">
        <v>25</v>
      </c>
      <c r="AB90" s="73">
        <v>26</v>
      </c>
      <c r="AC90" s="73">
        <v>27</v>
      </c>
      <c r="AD90" s="73">
        <v>28</v>
      </c>
      <c r="AE90" s="73">
        <v>29</v>
      </c>
      <c r="AF90" s="73">
        <v>30</v>
      </c>
      <c r="AG90" s="73">
        <v>31</v>
      </c>
      <c r="AH90" s="87" t="s">
        <v>144</v>
      </c>
    </row>
    <row r="91" spans="1:34" ht="15" customHeight="1">
      <c r="A91" s="363" t="s">
        <v>145</v>
      </c>
      <c r="B91" s="53">
        <f t="shared" ref="B91:B102" si="14">+AH91</f>
        <v>0</v>
      </c>
      <c r="C91" s="880">
        <v>0</v>
      </c>
      <c r="D91" s="881">
        <v>0</v>
      </c>
      <c r="E91" s="881">
        <v>0</v>
      </c>
      <c r="F91" s="881">
        <v>0</v>
      </c>
      <c r="G91" s="881">
        <v>0</v>
      </c>
      <c r="H91" s="881">
        <v>0</v>
      </c>
      <c r="I91" s="881">
        <v>0</v>
      </c>
      <c r="J91" s="881">
        <v>0</v>
      </c>
      <c r="K91" s="881">
        <v>0</v>
      </c>
      <c r="L91" s="881">
        <v>0</v>
      </c>
      <c r="M91" s="881">
        <v>0</v>
      </c>
      <c r="N91" s="881">
        <v>0</v>
      </c>
      <c r="O91" s="881">
        <v>0</v>
      </c>
      <c r="P91" s="881">
        <v>0</v>
      </c>
      <c r="Q91" s="881">
        <v>0</v>
      </c>
      <c r="R91" s="882">
        <v>0</v>
      </c>
      <c r="S91" s="882">
        <v>0</v>
      </c>
      <c r="T91" s="882">
        <v>0</v>
      </c>
      <c r="U91" s="882">
        <v>0</v>
      </c>
      <c r="V91" s="882">
        <v>0</v>
      </c>
      <c r="W91" s="882">
        <v>0</v>
      </c>
      <c r="X91" s="882">
        <v>0</v>
      </c>
      <c r="Y91" s="882">
        <v>0</v>
      </c>
      <c r="Z91" s="882">
        <v>0</v>
      </c>
      <c r="AA91" s="882">
        <v>0</v>
      </c>
      <c r="AB91" s="882">
        <v>0</v>
      </c>
      <c r="AC91" s="882">
        <v>0</v>
      </c>
      <c r="AD91" s="882">
        <v>0</v>
      </c>
      <c r="AE91" s="882">
        <v>0</v>
      </c>
      <c r="AF91" s="882">
        <v>0</v>
      </c>
      <c r="AG91" s="882">
        <v>0</v>
      </c>
      <c r="AH91" s="87">
        <f t="shared" ref="AH91:AH102" si="15">SUM(C91:AG91)</f>
        <v>0</v>
      </c>
    </row>
    <row r="92" spans="1:34" ht="15" customHeight="1">
      <c r="A92" s="363" t="s">
        <v>146</v>
      </c>
      <c r="B92" s="53">
        <f t="shared" si="14"/>
        <v>5.45</v>
      </c>
      <c r="C92" s="1133">
        <v>0</v>
      </c>
      <c r="D92" s="1134">
        <v>0</v>
      </c>
      <c r="E92" s="1134">
        <v>0</v>
      </c>
      <c r="F92" s="1134">
        <v>0</v>
      </c>
      <c r="G92" s="1134">
        <v>0</v>
      </c>
      <c r="H92" s="1134">
        <v>0</v>
      </c>
      <c r="I92" s="1134">
        <v>0</v>
      </c>
      <c r="J92" s="1134">
        <v>0</v>
      </c>
      <c r="K92" s="1134">
        <v>0</v>
      </c>
      <c r="L92" s="1134">
        <v>0</v>
      </c>
      <c r="M92" s="1134">
        <v>0</v>
      </c>
      <c r="N92" s="1134">
        <v>0</v>
      </c>
      <c r="O92" s="1134">
        <v>0</v>
      </c>
      <c r="P92" s="1134">
        <v>0</v>
      </c>
      <c r="Q92" s="1134">
        <v>0</v>
      </c>
      <c r="R92" s="1131">
        <v>0.43</v>
      </c>
      <c r="S92" s="1131">
        <v>0.46</v>
      </c>
      <c r="T92" s="1131">
        <v>0.37</v>
      </c>
      <c r="U92" s="1131">
        <v>0</v>
      </c>
      <c r="V92" s="1131">
        <v>0</v>
      </c>
      <c r="W92" s="1131">
        <v>0.6</v>
      </c>
      <c r="X92" s="1131">
        <v>0.7</v>
      </c>
      <c r="Y92" s="1131">
        <v>0.65</v>
      </c>
      <c r="Z92" s="1131">
        <v>0.68</v>
      </c>
      <c r="AA92" s="1131">
        <v>0.69</v>
      </c>
      <c r="AB92" s="1131">
        <v>0</v>
      </c>
      <c r="AC92" s="1131">
        <v>0</v>
      </c>
      <c r="AD92" s="1131">
        <v>0.3</v>
      </c>
      <c r="AE92" s="1131">
        <v>0.56999999999999995</v>
      </c>
      <c r="AF92" s="1131">
        <v>0</v>
      </c>
      <c r="AG92" s="1132">
        <v>0</v>
      </c>
      <c r="AH92" s="87">
        <f t="shared" si="15"/>
        <v>5.45</v>
      </c>
    </row>
    <row r="93" spans="1:34" ht="15" customHeight="1">
      <c r="A93" s="363" t="s">
        <v>147</v>
      </c>
      <c r="B93" s="53">
        <f t="shared" si="14"/>
        <v>6.3500000000000014</v>
      </c>
      <c r="C93" s="1128">
        <v>0.68</v>
      </c>
      <c r="D93" s="1129">
        <v>0.7</v>
      </c>
      <c r="E93" s="1135">
        <v>0.65</v>
      </c>
      <c r="F93" s="1135">
        <v>0</v>
      </c>
      <c r="G93" s="1135">
        <v>0</v>
      </c>
      <c r="H93" s="1129">
        <v>0.18</v>
      </c>
      <c r="I93" s="1129">
        <v>0.2</v>
      </c>
      <c r="J93" s="1129">
        <v>0.51</v>
      </c>
      <c r="K93" s="1129">
        <v>0.92</v>
      </c>
      <c r="L93" s="1129">
        <v>0.35</v>
      </c>
      <c r="M93" s="1135">
        <v>0</v>
      </c>
      <c r="N93" s="1135">
        <v>0</v>
      </c>
      <c r="O93" s="1135">
        <v>0</v>
      </c>
      <c r="P93" s="1129">
        <v>0.35</v>
      </c>
      <c r="Q93" s="1129">
        <v>0.41</v>
      </c>
      <c r="R93" s="1129">
        <v>0</v>
      </c>
      <c r="S93" s="1129">
        <v>7.0000000000000007E-2</v>
      </c>
      <c r="T93" s="1129">
        <v>0</v>
      </c>
      <c r="U93" s="1129">
        <v>0</v>
      </c>
      <c r="V93" s="1129">
        <v>0</v>
      </c>
      <c r="W93" s="1129">
        <v>0</v>
      </c>
      <c r="X93" s="1129">
        <v>0.2</v>
      </c>
      <c r="Y93" s="1129">
        <v>0.15</v>
      </c>
      <c r="Z93" s="1129">
        <v>0.2</v>
      </c>
      <c r="AA93" s="1129">
        <v>0</v>
      </c>
      <c r="AB93" s="1129">
        <v>0</v>
      </c>
      <c r="AC93" s="1129">
        <v>0</v>
      </c>
      <c r="AD93" s="1129">
        <v>0.15</v>
      </c>
      <c r="AE93" s="1129">
        <v>0.2</v>
      </c>
      <c r="AF93" s="1129">
        <v>0.2</v>
      </c>
      <c r="AG93" s="1129">
        <v>0.23</v>
      </c>
      <c r="AH93" s="87">
        <f t="shared" si="15"/>
        <v>6.3500000000000014</v>
      </c>
    </row>
    <row r="94" spans="1:34" ht="15" customHeight="1">
      <c r="A94" s="363" t="s">
        <v>148</v>
      </c>
      <c r="B94" s="53">
        <f t="shared" si="14"/>
        <v>4.3199999999999994</v>
      </c>
      <c r="C94" s="1128">
        <v>0</v>
      </c>
      <c r="D94" s="1128">
        <v>0</v>
      </c>
      <c r="E94" s="1128">
        <v>0.17</v>
      </c>
      <c r="F94" s="1128">
        <v>0.04</v>
      </c>
      <c r="G94" s="1128">
        <v>0.2</v>
      </c>
      <c r="H94" s="1128">
        <v>0.1</v>
      </c>
      <c r="I94" s="1128">
        <v>0.1</v>
      </c>
      <c r="J94" s="1128">
        <v>0</v>
      </c>
      <c r="K94" s="1128">
        <v>0</v>
      </c>
      <c r="L94" s="1128">
        <v>0</v>
      </c>
      <c r="M94" s="1128">
        <v>0.06</v>
      </c>
      <c r="N94" s="1129">
        <v>0.05</v>
      </c>
      <c r="O94" s="1129">
        <v>0</v>
      </c>
      <c r="P94" s="1129">
        <v>0.09</v>
      </c>
      <c r="Q94" s="1129">
        <v>0</v>
      </c>
      <c r="R94" s="1129">
        <v>0</v>
      </c>
      <c r="S94" s="1129">
        <v>0.2</v>
      </c>
      <c r="T94" s="1129">
        <v>0.15</v>
      </c>
      <c r="U94" s="1129">
        <v>0.33</v>
      </c>
      <c r="V94" s="1129">
        <v>0.39</v>
      </c>
      <c r="W94" s="1129">
        <v>0.22</v>
      </c>
      <c r="X94" s="1129">
        <v>0.1</v>
      </c>
      <c r="Y94" s="1129">
        <v>0.2</v>
      </c>
      <c r="Z94" s="1129">
        <v>0.3</v>
      </c>
      <c r="AA94" s="1129">
        <v>0.47</v>
      </c>
      <c r="AB94" s="1129">
        <v>0.33</v>
      </c>
      <c r="AC94" s="1129">
        <v>0.4</v>
      </c>
      <c r="AD94" s="1129">
        <v>0.32</v>
      </c>
      <c r="AE94" s="1129">
        <v>0.1</v>
      </c>
      <c r="AF94" s="1129">
        <v>0</v>
      </c>
      <c r="AG94" s="1129">
        <v>0</v>
      </c>
      <c r="AH94" s="87">
        <f t="shared" si="15"/>
        <v>4.3199999999999994</v>
      </c>
    </row>
    <row r="95" spans="1:34" ht="15" customHeight="1">
      <c r="A95" s="363" t="s">
        <v>149</v>
      </c>
      <c r="B95" s="53">
        <f t="shared" si="14"/>
        <v>8.129999999999999</v>
      </c>
      <c r="C95" s="1128">
        <v>0</v>
      </c>
      <c r="D95" s="1129">
        <v>0.35</v>
      </c>
      <c r="E95" s="1129">
        <v>0.3</v>
      </c>
      <c r="F95" s="1129">
        <v>0.25</v>
      </c>
      <c r="G95" s="1129">
        <v>0.3</v>
      </c>
      <c r="H95" s="1129">
        <v>0</v>
      </c>
      <c r="I95" s="1129">
        <v>0</v>
      </c>
      <c r="J95" s="1129">
        <v>0.4</v>
      </c>
      <c r="K95" s="1129">
        <v>0</v>
      </c>
      <c r="L95" s="1129">
        <v>0.27</v>
      </c>
      <c r="M95" s="1129">
        <v>0.48</v>
      </c>
      <c r="N95" s="1129">
        <v>0.28999999999999998</v>
      </c>
      <c r="O95" s="1129">
        <v>0</v>
      </c>
      <c r="P95" s="1129">
        <v>0</v>
      </c>
      <c r="Q95" s="1129">
        <v>0.06</v>
      </c>
      <c r="R95" s="1129">
        <v>0.51</v>
      </c>
      <c r="S95" s="1129">
        <v>0.65</v>
      </c>
      <c r="T95" s="1129">
        <v>0.3</v>
      </c>
      <c r="U95" s="1129">
        <v>0.55000000000000004</v>
      </c>
      <c r="V95" s="1129">
        <v>0</v>
      </c>
      <c r="W95" s="1129">
        <v>0</v>
      </c>
      <c r="X95" s="1129">
        <v>0</v>
      </c>
      <c r="Y95" s="1129">
        <v>0.65</v>
      </c>
      <c r="Z95" s="1129">
        <v>0.51</v>
      </c>
      <c r="AA95" s="1129">
        <v>0.48</v>
      </c>
      <c r="AB95" s="1129">
        <v>0</v>
      </c>
      <c r="AC95" s="1129">
        <v>0.18</v>
      </c>
      <c r="AD95" s="1129">
        <v>0</v>
      </c>
      <c r="AE95" s="1129">
        <v>0.45</v>
      </c>
      <c r="AF95" s="1129">
        <v>0.65</v>
      </c>
      <c r="AG95" s="1130">
        <v>0.5</v>
      </c>
      <c r="AH95" s="100">
        <f t="shared" si="15"/>
        <v>8.129999999999999</v>
      </c>
    </row>
    <row r="96" spans="1:34" ht="15" customHeight="1">
      <c r="A96" s="363" t="s">
        <v>150</v>
      </c>
      <c r="B96" s="53">
        <f>+AH96</f>
        <v>4.9099999999999993</v>
      </c>
      <c r="C96" s="480">
        <v>0.45</v>
      </c>
      <c r="D96" s="480">
        <v>0.4</v>
      </c>
      <c r="E96" s="480">
        <v>0</v>
      </c>
      <c r="F96" s="480">
        <v>0</v>
      </c>
      <c r="G96" s="480">
        <v>0</v>
      </c>
      <c r="H96" s="480">
        <v>0</v>
      </c>
      <c r="I96" s="480">
        <v>0.2</v>
      </c>
      <c r="J96" s="480">
        <v>0.15</v>
      </c>
      <c r="K96" s="480">
        <v>0.12</v>
      </c>
      <c r="L96" s="480">
        <v>0</v>
      </c>
      <c r="M96" s="480">
        <v>0</v>
      </c>
      <c r="N96" s="480">
        <v>0</v>
      </c>
      <c r="O96" s="480">
        <v>0</v>
      </c>
      <c r="P96" s="480">
        <v>0.5</v>
      </c>
      <c r="Q96" s="480">
        <v>0.43</v>
      </c>
      <c r="R96" s="480">
        <v>0</v>
      </c>
      <c r="S96" s="480">
        <v>0</v>
      </c>
      <c r="T96" s="480">
        <v>0</v>
      </c>
      <c r="U96" s="480">
        <v>0.1</v>
      </c>
      <c r="V96" s="480">
        <v>0.45</v>
      </c>
      <c r="W96" s="480">
        <v>0.35</v>
      </c>
      <c r="X96" s="480">
        <v>0.61</v>
      </c>
      <c r="Y96" s="480">
        <v>0.05</v>
      </c>
      <c r="Z96" s="480">
        <v>0</v>
      </c>
      <c r="AA96" s="480">
        <v>0</v>
      </c>
      <c r="AB96" s="480">
        <v>0</v>
      </c>
      <c r="AC96" s="480">
        <v>0.4</v>
      </c>
      <c r="AD96" s="480">
        <v>0.35</v>
      </c>
      <c r="AE96" s="480">
        <v>0.35</v>
      </c>
      <c r="AF96" s="480">
        <v>0</v>
      </c>
      <c r="AG96" s="480">
        <v>0</v>
      </c>
      <c r="AH96" s="100">
        <f t="shared" ref="AH96:AH101" si="16">SUM(C96:AG96)</f>
        <v>4.9099999999999993</v>
      </c>
    </row>
    <row r="97" spans="1:34" ht="15" customHeight="1">
      <c r="A97" s="314" t="s">
        <v>151</v>
      </c>
      <c r="B97" s="53">
        <f>+AH97</f>
        <v>2.3899999999999997</v>
      </c>
      <c r="C97" s="2131">
        <v>0</v>
      </c>
      <c r="D97" s="2131">
        <v>0</v>
      </c>
      <c r="E97" s="2131">
        <v>0</v>
      </c>
      <c r="F97" s="2131">
        <v>0</v>
      </c>
      <c r="G97" s="2131">
        <v>0.5</v>
      </c>
      <c r="H97" s="2131">
        <v>0</v>
      </c>
      <c r="I97" s="2131">
        <v>0</v>
      </c>
      <c r="J97" s="2131">
        <v>0</v>
      </c>
      <c r="K97" s="2131">
        <v>0</v>
      </c>
      <c r="L97" s="2131">
        <v>0</v>
      </c>
      <c r="M97" s="2131">
        <v>0.4</v>
      </c>
      <c r="N97" s="2131">
        <v>0.5</v>
      </c>
      <c r="O97" s="2131">
        <v>0</v>
      </c>
      <c r="P97" s="2131">
        <v>0</v>
      </c>
      <c r="Q97" s="2131">
        <v>0</v>
      </c>
      <c r="R97" s="2131">
        <v>0</v>
      </c>
      <c r="S97" s="2131">
        <v>0</v>
      </c>
      <c r="T97" s="2131">
        <v>0.15</v>
      </c>
      <c r="U97" s="2131">
        <v>0</v>
      </c>
      <c r="V97" s="2131">
        <v>0</v>
      </c>
      <c r="W97" s="2131">
        <v>0.2</v>
      </c>
      <c r="X97" s="2131">
        <v>0</v>
      </c>
      <c r="Y97" s="2131">
        <v>0</v>
      </c>
      <c r="Z97" s="2131">
        <v>0.4</v>
      </c>
      <c r="AA97" s="2131">
        <v>0.08</v>
      </c>
      <c r="AB97" s="2131">
        <v>7.0000000000000007E-2</v>
      </c>
      <c r="AC97" s="2131">
        <v>0</v>
      </c>
      <c r="AD97" s="2131">
        <v>0.09</v>
      </c>
      <c r="AE97" s="2131">
        <v>0</v>
      </c>
      <c r="AF97" s="2131">
        <v>0</v>
      </c>
      <c r="AG97" s="2131">
        <v>0</v>
      </c>
      <c r="AH97" s="100">
        <f t="shared" si="16"/>
        <v>2.3899999999999997</v>
      </c>
    </row>
    <row r="98" spans="1:34" ht="15" customHeight="1">
      <c r="A98" s="314" t="s">
        <v>152</v>
      </c>
      <c r="B98" s="53">
        <f t="shared" si="14"/>
        <v>4.55</v>
      </c>
      <c r="C98" s="2132">
        <v>0.25</v>
      </c>
      <c r="D98" s="2133">
        <v>0</v>
      </c>
      <c r="E98" s="2133">
        <v>0.1</v>
      </c>
      <c r="F98" s="2133">
        <v>0.27</v>
      </c>
      <c r="G98" s="2133">
        <v>0.09</v>
      </c>
      <c r="H98" s="2133">
        <v>0</v>
      </c>
      <c r="I98" s="2133">
        <v>0.16</v>
      </c>
      <c r="J98" s="2133">
        <v>7.0000000000000007E-2</v>
      </c>
      <c r="K98" s="2133">
        <v>0.06</v>
      </c>
      <c r="L98" s="2133">
        <v>0.28000000000000003</v>
      </c>
      <c r="M98" s="2133">
        <v>0.04</v>
      </c>
      <c r="N98" s="2133">
        <v>0</v>
      </c>
      <c r="O98" s="2133">
        <v>0.1</v>
      </c>
      <c r="P98" s="2133">
        <v>0.12</v>
      </c>
      <c r="Q98" s="2133">
        <v>0.25</v>
      </c>
      <c r="R98" s="2133">
        <v>0.25</v>
      </c>
      <c r="S98" s="2133">
        <v>0</v>
      </c>
      <c r="T98" s="2133">
        <v>0.15</v>
      </c>
      <c r="U98" s="2133">
        <v>0</v>
      </c>
      <c r="V98" s="2133">
        <v>0</v>
      </c>
      <c r="W98" s="2133">
        <v>0.2</v>
      </c>
      <c r="X98" s="2133">
        <v>0.25</v>
      </c>
      <c r="Y98" s="2133">
        <v>0.25</v>
      </c>
      <c r="Z98" s="2133">
        <v>0.15</v>
      </c>
      <c r="AA98" s="2133">
        <v>0.3</v>
      </c>
      <c r="AB98" s="2133">
        <v>0.09</v>
      </c>
      <c r="AC98" s="2133">
        <v>0.1</v>
      </c>
      <c r="AD98" s="2133">
        <v>0.34</v>
      </c>
      <c r="AE98" s="2133">
        <v>0.28000000000000003</v>
      </c>
      <c r="AF98" s="2133">
        <v>0.15</v>
      </c>
      <c r="AG98" s="2134">
        <v>0.25</v>
      </c>
      <c r="AH98" s="100">
        <f t="shared" si="16"/>
        <v>4.55</v>
      </c>
    </row>
    <row r="99" spans="1:34" ht="15" customHeight="1">
      <c r="A99" s="314" t="s">
        <v>153</v>
      </c>
      <c r="B99" s="53">
        <f t="shared" si="14"/>
        <v>0</v>
      </c>
      <c r="C99" s="188" t="s">
        <v>311</v>
      </c>
      <c r="D99" s="188" t="s">
        <v>311</v>
      </c>
      <c r="E99" s="188" t="s">
        <v>311</v>
      </c>
      <c r="F99" s="188" t="s">
        <v>311</v>
      </c>
      <c r="G99" s="188" t="s">
        <v>311</v>
      </c>
      <c r="H99" s="188" t="s">
        <v>311</v>
      </c>
      <c r="I99" s="188" t="s">
        <v>311</v>
      </c>
      <c r="J99" s="188" t="s">
        <v>311</v>
      </c>
      <c r="K99" s="188" t="s">
        <v>311</v>
      </c>
      <c r="L99" s="188" t="s">
        <v>311</v>
      </c>
      <c r="M99" s="188" t="s">
        <v>311</v>
      </c>
      <c r="N99" s="188" t="s">
        <v>311</v>
      </c>
      <c r="O99" s="188" t="s">
        <v>311</v>
      </c>
      <c r="P99" s="188" t="s">
        <v>311</v>
      </c>
      <c r="Q99" s="188" t="s">
        <v>311</v>
      </c>
      <c r="R99" s="188" t="s">
        <v>311</v>
      </c>
      <c r="S99" s="188" t="s">
        <v>311</v>
      </c>
      <c r="T99" s="188" t="s">
        <v>311</v>
      </c>
      <c r="U99" s="188" t="s">
        <v>311</v>
      </c>
      <c r="V99" s="188" t="s">
        <v>311</v>
      </c>
      <c r="W99" s="188" t="s">
        <v>311</v>
      </c>
      <c r="X99" s="188" t="s">
        <v>311</v>
      </c>
      <c r="Y99" s="188" t="s">
        <v>311</v>
      </c>
      <c r="Z99" s="188" t="s">
        <v>311</v>
      </c>
      <c r="AA99" s="188" t="s">
        <v>311</v>
      </c>
      <c r="AB99" s="188" t="s">
        <v>311</v>
      </c>
      <c r="AC99" s="188" t="s">
        <v>311</v>
      </c>
      <c r="AD99" s="188" t="s">
        <v>311</v>
      </c>
      <c r="AE99" s="188" t="s">
        <v>311</v>
      </c>
      <c r="AF99" s="188" t="s">
        <v>311</v>
      </c>
      <c r="AG99" s="188" t="s">
        <v>311</v>
      </c>
      <c r="AH99" s="100">
        <f t="shared" si="16"/>
        <v>0</v>
      </c>
    </row>
    <row r="100" spans="1:34" ht="15" customHeight="1">
      <c r="A100" s="314" t="s">
        <v>154</v>
      </c>
      <c r="B100" s="53">
        <f t="shared" si="14"/>
        <v>5.22</v>
      </c>
      <c r="C100" s="53">
        <v>0</v>
      </c>
      <c r="D100" s="53">
        <v>0.32</v>
      </c>
      <c r="E100" s="53">
        <v>0.35</v>
      </c>
      <c r="F100" s="53">
        <v>0.1</v>
      </c>
      <c r="G100" s="53">
        <v>0.32</v>
      </c>
      <c r="H100" s="53">
        <v>0.28000000000000003</v>
      </c>
      <c r="I100" s="53">
        <v>0</v>
      </c>
      <c r="J100" s="53">
        <v>0</v>
      </c>
      <c r="K100" s="53">
        <v>0.12</v>
      </c>
      <c r="L100" s="53">
        <v>0.1</v>
      </c>
      <c r="M100" s="53">
        <v>0.34</v>
      </c>
      <c r="N100" s="53">
        <v>0.1</v>
      </c>
      <c r="O100" s="53">
        <v>0.38</v>
      </c>
      <c r="P100" s="53">
        <v>0</v>
      </c>
      <c r="Q100" s="53">
        <v>0</v>
      </c>
      <c r="R100" s="53">
        <v>0</v>
      </c>
      <c r="S100" s="53">
        <v>0</v>
      </c>
      <c r="T100" s="53">
        <v>0.4</v>
      </c>
      <c r="U100" s="53">
        <v>0.32</v>
      </c>
      <c r="V100" s="53">
        <v>0.39</v>
      </c>
      <c r="W100" s="53">
        <v>0.11</v>
      </c>
      <c r="X100" s="53">
        <v>0.14000000000000001</v>
      </c>
      <c r="Y100" s="53">
        <v>0</v>
      </c>
      <c r="Z100" s="53">
        <v>0.4</v>
      </c>
      <c r="AA100" s="53">
        <v>0.1</v>
      </c>
      <c r="AB100" s="53">
        <v>0.25</v>
      </c>
      <c r="AC100" s="53">
        <v>0.25</v>
      </c>
      <c r="AD100" s="53">
        <v>0</v>
      </c>
      <c r="AE100" s="53">
        <v>0.15</v>
      </c>
      <c r="AF100" s="53">
        <v>0.1</v>
      </c>
      <c r="AG100" s="53">
        <v>0.2</v>
      </c>
      <c r="AH100" s="100">
        <f t="shared" si="16"/>
        <v>5.22</v>
      </c>
    </row>
    <row r="101" spans="1:34" ht="15" customHeight="1">
      <c r="A101" s="314" t="s">
        <v>155</v>
      </c>
      <c r="B101" s="53">
        <f t="shared" si="14"/>
        <v>6.0600000000000005</v>
      </c>
      <c r="C101" s="53">
        <v>0.25</v>
      </c>
      <c r="D101" s="53">
        <v>0.42</v>
      </c>
      <c r="E101" s="53">
        <v>0.32</v>
      </c>
      <c r="F101" s="53">
        <v>0</v>
      </c>
      <c r="G101" s="53">
        <v>0</v>
      </c>
      <c r="H101" s="53">
        <v>0</v>
      </c>
      <c r="I101" s="53">
        <v>0.25</v>
      </c>
      <c r="J101" s="53">
        <v>0.3</v>
      </c>
      <c r="K101" s="53">
        <v>0.2</v>
      </c>
      <c r="L101" s="53">
        <v>0.25</v>
      </c>
      <c r="M101" s="53">
        <v>0.12</v>
      </c>
      <c r="N101" s="53">
        <v>0.1</v>
      </c>
      <c r="O101" s="53">
        <v>0.1</v>
      </c>
      <c r="P101" s="53">
        <v>0.41</v>
      </c>
      <c r="Q101" s="53">
        <v>0.2</v>
      </c>
      <c r="R101" s="53">
        <v>0.2</v>
      </c>
      <c r="S101" s="53">
        <v>0.25</v>
      </c>
      <c r="T101" s="53">
        <v>0</v>
      </c>
      <c r="U101" s="53">
        <v>0.13</v>
      </c>
      <c r="V101" s="53">
        <v>0.26</v>
      </c>
      <c r="W101" s="53">
        <v>0.42</v>
      </c>
      <c r="X101" s="53">
        <v>0.39</v>
      </c>
      <c r="Y101" s="53">
        <v>0.12</v>
      </c>
      <c r="Z101" s="53">
        <v>0.1</v>
      </c>
      <c r="AA101" s="53">
        <v>0</v>
      </c>
      <c r="AB101" s="53">
        <v>0</v>
      </c>
      <c r="AC101" s="53">
        <v>0.25</v>
      </c>
      <c r="AD101" s="53">
        <v>0.32</v>
      </c>
      <c r="AE101" s="53">
        <v>0.4</v>
      </c>
      <c r="AF101" s="53">
        <v>0.3</v>
      </c>
      <c r="AG101" s="53">
        <v>0</v>
      </c>
      <c r="AH101" s="100">
        <f t="shared" si="16"/>
        <v>6.0600000000000005</v>
      </c>
    </row>
    <row r="102" spans="1:34" ht="15" customHeight="1">
      <c r="A102" s="314" t="s">
        <v>156</v>
      </c>
      <c r="B102" s="53">
        <f t="shared" si="14"/>
        <v>3.8420000000000001</v>
      </c>
      <c r="C102" s="53">
        <v>0.15</v>
      </c>
      <c r="D102" s="53">
        <v>0</v>
      </c>
      <c r="E102" s="53">
        <v>0</v>
      </c>
      <c r="F102" s="53">
        <v>0</v>
      </c>
      <c r="G102" s="53">
        <v>0.21199999999999999</v>
      </c>
      <c r="H102" s="53">
        <v>0.33</v>
      </c>
      <c r="I102" s="53">
        <v>0.2</v>
      </c>
      <c r="J102" s="53">
        <v>0</v>
      </c>
      <c r="K102" s="53">
        <v>0</v>
      </c>
      <c r="L102" s="53">
        <v>0</v>
      </c>
      <c r="M102" s="53">
        <v>0</v>
      </c>
      <c r="N102" s="53">
        <v>0.3</v>
      </c>
      <c r="O102" s="53">
        <v>0.25</v>
      </c>
      <c r="P102" s="53">
        <v>0.3</v>
      </c>
      <c r="Q102" s="53">
        <v>0.25</v>
      </c>
      <c r="R102" s="53">
        <v>0.12</v>
      </c>
      <c r="S102" s="53">
        <v>0</v>
      </c>
      <c r="T102" s="53">
        <v>0.25</v>
      </c>
      <c r="U102" s="53">
        <v>0.1</v>
      </c>
      <c r="V102" s="53">
        <v>0.12</v>
      </c>
      <c r="W102" s="53">
        <v>0.15</v>
      </c>
      <c r="X102" s="53">
        <v>0.3</v>
      </c>
      <c r="Y102" s="53">
        <v>0.12</v>
      </c>
      <c r="Z102" s="53">
        <v>0</v>
      </c>
      <c r="AA102" s="53">
        <v>0</v>
      </c>
      <c r="AB102" s="53">
        <v>0.08</v>
      </c>
      <c r="AC102" s="53">
        <v>0.36</v>
      </c>
      <c r="AD102" s="53">
        <v>0.25</v>
      </c>
      <c r="AE102" s="53">
        <v>0</v>
      </c>
      <c r="AF102" s="53">
        <v>0</v>
      </c>
      <c r="AG102" s="53">
        <v>0</v>
      </c>
      <c r="AH102" s="100">
        <f t="shared" si="15"/>
        <v>3.8420000000000001</v>
      </c>
    </row>
    <row r="103" spans="1:34" ht="15" customHeight="1">
      <c r="A103" s="200" t="s">
        <v>111</v>
      </c>
      <c r="B103" s="200">
        <f>SUM(B91:B102)</f>
        <v>51.222000000000001</v>
      </c>
      <c r="C103" s="103"/>
      <c r="D103" s="103"/>
      <c r="E103" s="103"/>
      <c r="F103" s="103"/>
      <c r="G103" s="103"/>
      <c r="H103" s="103"/>
      <c r="I103" s="103"/>
      <c r="J103" s="103"/>
      <c r="K103" s="103"/>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0">
        <f>SUM(AH90:AH102)</f>
        <v>51.222000000000001</v>
      </c>
    </row>
    <row r="104" spans="1:34" ht="20.25" customHeight="1">
      <c r="A104" s="49"/>
      <c r="B104" s="49"/>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5">
      <c r="A105" s="3884" t="s">
        <v>500</v>
      </c>
      <c r="B105" s="3885"/>
      <c r="C105" s="3886"/>
      <c r="D105" s="14"/>
      <c r="E105" s="14"/>
      <c r="F105" s="14"/>
      <c r="G105" s="14"/>
      <c r="H105" s="14"/>
      <c r="I105" s="14"/>
      <c r="J105" s="14"/>
      <c r="K105" s="14"/>
      <c r="L105" s="14"/>
      <c r="M105" s="98"/>
      <c r="N105" s="14"/>
      <c r="O105" s="14"/>
      <c r="P105" s="14"/>
      <c r="Q105" s="14"/>
      <c r="R105" s="14"/>
      <c r="S105" s="14"/>
      <c r="T105" s="14"/>
      <c r="U105" s="14"/>
      <c r="V105" s="14"/>
      <c r="W105" s="14"/>
      <c r="X105" s="14"/>
      <c r="Y105" s="14"/>
      <c r="Z105" s="14"/>
      <c r="AA105" s="14"/>
      <c r="AB105" s="14"/>
      <c r="AC105" s="14"/>
      <c r="AD105" s="14"/>
      <c r="AE105" s="14"/>
      <c r="AF105" s="14"/>
      <c r="AG105" s="14"/>
      <c r="AH105" s="1"/>
    </row>
    <row r="106" spans="1:34" ht="15">
      <c r="A106" s="8" t="s">
        <v>142</v>
      </c>
      <c r="B106" s="8" t="s">
        <v>143</v>
      </c>
      <c r="C106" s="372">
        <v>1</v>
      </c>
      <c r="D106" s="73">
        <v>2</v>
      </c>
      <c r="E106" s="73">
        <v>3</v>
      </c>
      <c r="F106" s="73">
        <v>4</v>
      </c>
      <c r="G106" s="73">
        <v>5</v>
      </c>
      <c r="H106" s="73">
        <v>6</v>
      </c>
      <c r="I106" s="73">
        <v>7</v>
      </c>
      <c r="J106" s="73">
        <v>8</v>
      </c>
      <c r="K106" s="73">
        <v>9</v>
      </c>
      <c r="L106" s="73">
        <v>10</v>
      </c>
      <c r="M106" s="73">
        <v>11</v>
      </c>
      <c r="N106" s="73">
        <v>12</v>
      </c>
      <c r="O106" s="73">
        <v>13</v>
      </c>
      <c r="P106" s="73">
        <v>14</v>
      </c>
      <c r="Q106" s="73">
        <v>15</v>
      </c>
      <c r="R106" s="73">
        <v>16</v>
      </c>
      <c r="S106" s="73">
        <v>17</v>
      </c>
      <c r="T106" s="73">
        <v>18</v>
      </c>
      <c r="U106" s="73">
        <v>19</v>
      </c>
      <c r="V106" s="73">
        <v>20</v>
      </c>
      <c r="W106" s="73">
        <v>21</v>
      </c>
      <c r="X106" s="73">
        <v>22</v>
      </c>
      <c r="Y106" s="73">
        <v>23</v>
      </c>
      <c r="Z106" s="73">
        <v>24</v>
      </c>
      <c r="AA106" s="73">
        <v>25</v>
      </c>
      <c r="AB106" s="73">
        <v>26</v>
      </c>
      <c r="AC106" s="73">
        <v>27</v>
      </c>
      <c r="AD106" s="73">
        <v>28</v>
      </c>
      <c r="AE106" s="73">
        <v>29</v>
      </c>
      <c r="AF106" s="73">
        <v>30</v>
      </c>
      <c r="AG106" s="73">
        <v>31</v>
      </c>
      <c r="AH106" s="87" t="s">
        <v>144</v>
      </c>
    </row>
    <row r="107" spans="1:34" ht="15">
      <c r="A107" s="363" t="s">
        <v>145</v>
      </c>
      <c r="B107" s="53">
        <f t="shared" ref="B107:B117" si="17">+AH107</f>
        <v>117.621</v>
      </c>
      <c r="C107" s="73">
        <v>0</v>
      </c>
      <c r="D107" s="73">
        <v>0</v>
      </c>
      <c r="E107" s="162">
        <v>4.726</v>
      </c>
      <c r="F107" s="73">
        <v>2.7879999999999998</v>
      </c>
      <c r="G107" s="73">
        <v>5.3540000000000001</v>
      </c>
      <c r="H107" s="73">
        <v>2.6680000000000001</v>
      </c>
      <c r="I107" s="73">
        <v>6.2679999999999998</v>
      </c>
      <c r="J107" s="73">
        <v>4.202</v>
      </c>
      <c r="K107" s="73">
        <v>2.4500000000000002</v>
      </c>
      <c r="L107" s="73">
        <v>4.8819999999999997</v>
      </c>
      <c r="M107" s="73">
        <v>6.5620000000000003</v>
      </c>
      <c r="N107" s="73">
        <v>8.3640000000000008</v>
      </c>
      <c r="O107" s="73">
        <v>6.8360000000000003</v>
      </c>
      <c r="P107" s="73">
        <v>5.9619999999999997</v>
      </c>
      <c r="Q107" s="73">
        <v>3.92</v>
      </c>
      <c r="R107" s="73">
        <v>1.05</v>
      </c>
      <c r="S107" s="73">
        <v>3.548</v>
      </c>
      <c r="T107" s="73">
        <v>2.8519999999999999</v>
      </c>
      <c r="U107" s="73">
        <v>4.6879999999999997</v>
      </c>
      <c r="V107" s="73">
        <v>5.2039999999999997</v>
      </c>
      <c r="W107" s="189">
        <v>4.3959999999999999</v>
      </c>
      <c r="X107" s="73">
        <v>3.2509999999999999</v>
      </c>
      <c r="Y107" s="73">
        <v>1.706</v>
      </c>
      <c r="Z107" s="73">
        <v>4.1900000000000004</v>
      </c>
      <c r="AA107" s="73">
        <v>3.4359999999999999</v>
      </c>
      <c r="AB107" s="73">
        <v>6.0620000000000003</v>
      </c>
      <c r="AC107" s="73">
        <v>3.37</v>
      </c>
      <c r="AD107" s="73">
        <v>3.5979999999999999</v>
      </c>
      <c r="AE107" s="73">
        <v>3.05</v>
      </c>
      <c r="AF107" s="73">
        <v>0</v>
      </c>
      <c r="AG107" s="73">
        <v>2.238</v>
      </c>
      <c r="AH107" s="87">
        <f t="shared" ref="AH107:AH112" si="18">SUM(C107:AG107)</f>
        <v>117.621</v>
      </c>
    </row>
    <row r="108" spans="1:34" ht="15">
      <c r="A108" s="363" t="s">
        <v>146</v>
      </c>
      <c r="B108" s="53">
        <f t="shared" si="17"/>
        <v>57.135999999999996</v>
      </c>
      <c r="C108" s="73">
        <v>4.1959999999999997</v>
      </c>
      <c r="D108" s="73">
        <v>6.78</v>
      </c>
      <c r="E108" s="73">
        <v>7.3360000000000003</v>
      </c>
      <c r="F108" s="73">
        <v>11.416</v>
      </c>
      <c r="G108" s="73">
        <v>1.782</v>
      </c>
      <c r="H108" s="73">
        <v>3.3450000000000002</v>
      </c>
      <c r="I108" s="73">
        <v>5.3029999999999999</v>
      </c>
      <c r="J108" s="73">
        <v>1.452</v>
      </c>
      <c r="K108" s="73">
        <v>1.1639999999999999</v>
      </c>
      <c r="L108" s="73">
        <v>2.464</v>
      </c>
      <c r="M108" s="73">
        <v>2.02</v>
      </c>
      <c r="N108" s="73">
        <v>0.33800000000000002</v>
      </c>
      <c r="O108" s="73">
        <v>4.45</v>
      </c>
      <c r="P108" s="73">
        <v>5.09</v>
      </c>
      <c r="Q108" s="73"/>
      <c r="R108" s="73"/>
      <c r="S108" s="73"/>
      <c r="T108" s="73"/>
      <c r="U108" s="73"/>
      <c r="V108" s="73"/>
      <c r="W108" s="73"/>
      <c r="X108" s="73"/>
      <c r="Y108" s="73"/>
      <c r="Z108" s="73"/>
      <c r="AA108" s="73"/>
      <c r="AB108" s="73"/>
      <c r="AC108" s="73"/>
      <c r="AD108" s="73"/>
      <c r="AE108" s="73"/>
      <c r="AF108" s="73"/>
      <c r="AG108" s="73"/>
      <c r="AH108" s="87">
        <f t="shared" si="18"/>
        <v>57.135999999999996</v>
      </c>
    </row>
    <row r="109" spans="1:34" ht="15">
      <c r="A109" s="314" t="s">
        <v>147</v>
      </c>
      <c r="B109" s="53">
        <f t="shared" si="17"/>
        <v>0</v>
      </c>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c r="AA109" s="73"/>
      <c r="AB109" s="73"/>
      <c r="AC109" s="73"/>
      <c r="AD109" s="73"/>
      <c r="AE109" s="73"/>
      <c r="AF109" s="73"/>
      <c r="AG109" s="73"/>
      <c r="AH109" s="87">
        <f t="shared" si="18"/>
        <v>0</v>
      </c>
    </row>
    <row r="110" spans="1:34" ht="15">
      <c r="A110" s="314" t="s">
        <v>148</v>
      </c>
      <c r="B110" s="53">
        <f t="shared" si="17"/>
        <v>0</v>
      </c>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c r="AA110" s="73"/>
      <c r="AB110" s="73"/>
      <c r="AC110" s="73"/>
      <c r="AD110" s="73"/>
      <c r="AE110" s="73"/>
      <c r="AF110" s="73"/>
      <c r="AG110" s="73"/>
      <c r="AH110" s="87">
        <f t="shared" si="18"/>
        <v>0</v>
      </c>
    </row>
    <row r="111" spans="1:34" ht="15">
      <c r="A111" s="314" t="s">
        <v>149</v>
      </c>
      <c r="B111" s="53">
        <f t="shared" si="17"/>
        <v>0</v>
      </c>
      <c r="C111" s="99"/>
      <c r="D111" s="99"/>
      <c r="E111" s="99"/>
      <c r="F111" s="99"/>
      <c r="G111" s="99"/>
      <c r="H111" s="99"/>
      <c r="I111" s="99"/>
      <c r="J111" s="99"/>
      <c r="K111" s="99"/>
      <c r="L111" s="99"/>
      <c r="M111" s="99"/>
      <c r="N111" s="99"/>
      <c r="O111" s="99"/>
      <c r="P111" s="99"/>
      <c r="Q111" s="99"/>
      <c r="R111" s="99"/>
      <c r="S111" s="99"/>
      <c r="T111" s="99"/>
      <c r="U111" s="99"/>
      <c r="V111" s="99"/>
      <c r="W111" s="99"/>
      <c r="X111" s="99"/>
      <c r="Y111" s="99"/>
      <c r="Z111" s="99"/>
      <c r="AA111" s="99"/>
      <c r="AB111" s="99"/>
      <c r="AC111" s="99"/>
      <c r="AD111" s="99"/>
      <c r="AE111" s="99"/>
      <c r="AF111" s="99"/>
      <c r="AG111" s="99"/>
      <c r="AH111" s="100">
        <f t="shared" si="18"/>
        <v>0</v>
      </c>
    </row>
    <row r="112" spans="1:34" ht="15">
      <c r="A112" s="314" t="s">
        <v>150</v>
      </c>
      <c r="B112" s="53">
        <f t="shared" si="17"/>
        <v>0</v>
      </c>
      <c r="C112" s="99"/>
      <c r="D112" s="99"/>
      <c r="E112" s="99"/>
      <c r="F112" s="99"/>
      <c r="G112" s="99"/>
      <c r="H112" s="99"/>
      <c r="I112" s="99"/>
      <c r="J112" s="99"/>
      <c r="K112" s="99"/>
      <c r="L112" s="99"/>
      <c r="M112" s="99"/>
      <c r="N112" s="99"/>
      <c r="O112" s="99"/>
      <c r="P112" s="99"/>
      <c r="Q112" s="99"/>
      <c r="R112" s="99"/>
      <c r="S112" s="99"/>
      <c r="T112" s="99"/>
      <c r="U112" s="99"/>
      <c r="V112" s="99"/>
      <c r="W112" s="99"/>
      <c r="X112" s="99"/>
      <c r="Y112" s="99"/>
      <c r="Z112" s="99"/>
      <c r="AA112" s="99"/>
      <c r="AB112" s="99"/>
      <c r="AC112" s="99"/>
      <c r="AD112" s="99"/>
      <c r="AE112" s="99"/>
      <c r="AF112" s="99"/>
      <c r="AG112" s="99"/>
      <c r="AH112" s="100">
        <f t="shared" si="18"/>
        <v>0</v>
      </c>
    </row>
    <row r="113" spans="1:34" ht="15">
      <c r="A113" s="314" t="s">
        <v>151</v>
      </c>
      <c r="B113" s="53">
        <f t="shared" si="17"/>
        <v>0</v>
      </c>
      <c r="C113" s="99"/>
      <c r="D113" s="99"/>
      <c r="E113" s="99"/>
      <c r="F113" s="99"/>
      <c r="G113" s="99"/>
      <c r="H113" s="99"/>
      <c r="I113" s="99"/>
      <c r="J113" s="99"/>
      <c r="K113" s="99"/>
      <c r="L113" s="99"/>
      <c r="M113" s="99"/>
      <c r="N113" s="99"/>
      <c r="O113" s="99"/>
      <c r="P113" s="99"/>
      <c r="Q113" s="99"/>
      <c r="R113" s="99"/>
      <c r="S113" s="99"/>
      <c r="T113" s="99"/>
      <c r="U113" s="99"/>
      <c r="V113" s="99"/>
      <c r="W113" s="99"/>
      <c r="X113" s="99"/>
      <c r="Y113" s="99"/>
      <c r="Z113" s="99"/>
      <c r="AA113" s="99"/>
      <c r="AB113" s="99"/>
      <c r="AC113" s="99"/>
      <c r="AD113" s="99"/>
      <c r="AE113" s="99"/>
      <c r="AF113" s="99"/>
      <c r="AG113" s="99"/>
      <c r="AH113" s="100"/>
    </row>
    <row r="114" spans="1:34" ht="15">
      <c r="A114" s="314" t="s">
        <v>152</v>
      </c>
      <c r="B114" s="53">
        <f t="shared" si="17"/>
        <v>0</v>
      </c>
      <c r="C114" s="99"/>
      <c r="D114" s="99"/>
      <c r="E114" s="99"/>
      <c r="F114" s="99"/>
      <c r="G114" s="99"/>
      <c r="H114" s="99"/>
      <c r="I114" s="99"/>
      <c r="J114" s="99"/>
      <c r="K114" s="99"/>
      <c r="L114" s="99"/>
      <c r="M114" s="99"/>
      <c r="N114" s="99"/>
      <c r="O114" s="99"/>
      <c r="P114" s="99"/>
      <c r="Q114" s="99"/>
      <c r="R114" s="99"/>
      <c r="S114" s="99"/>
      <c r="T114" s="99"/>
      <c r="U114" s="99"/>
      <c r="V114" s="99"/>
      <c r="W114" s="99"/>
      <c r="X114" s="99"/>
      <c r="Y114" s="99"/>
      <c r="Z114" s="99"/>
      <c r="AA114" s="99"/>
      <c r="AB114" s="99"/>
      <c r="AC114" s="99"/>
      <c r="AD114" s="99"/>
      <c r="AE114" s="99"/>
      <c r="AF114" s="99"/>
      <c r="AG114" s="99"/>
      <c r="AH114" s="100"/>
    </row>
    <row r="115" spans="1:34" ht="15">
      <c r="A115" s="314" t="s">
        <v>153</v>
      </c>
      <c r="B115" s="53">
        <f t="shared" si="17"/>
        <v>0</v>
      </c>
      <c r="C115" s="188" t="s">
        <v>162</v>
      </c>
      <c r="D115" s="188" t="s">
        <v>162</v>
      </c>
      <c r="E115" s="188" t="s">
        <v>162</v>
      </c>
      <c r="F115" s="188" t="s">
        <v>162</v>
      </c>
      <c r="G115" s="188" t="s">
        <v>162</v>
      </c>
      <c r="H115" s="188" t="s">
        <v>162</v>
      </c>
      <c r="I115" s="188" t="s">
        <v>162</v>
      </c>
      <c r="J115" s="188" t="s">
        <v>162</v>
      </c>
      <c r="K115" s="188" t="s">
        <v>162</v>
      </c>
      <c r="L115" s="188" t="s">
        <v>162</v>
      </c>
      <c r="M115" s="188" t="s">
        <v>162</v>
      </c>
      <c r="N115" s="188" t="s">
        <v>162</v>
      </c>
      <c r="O115" s="188" t="s">
        <v>162</v>
      </c>
      <c r="P115" s="188" t="s">
        <v>162</v>
      </c>
      <c r="Q115" s="188" t="s">
        <v>162</v>
      </c>
      <c r="R115" s="188" t="s">
        <v>162</v>
      </c>
      <c r="S115" s="188" t="s">
        <v>162</v>
      </c>
      <c r="T115" s="188" t="s">
        <v>162</v>
      </c>
      <c r="U115" s="188" t="s">
        <v>162</v>
      </c>
      <c r="V115" s="188" t="s">
        <v>162</v>
      </c>
      <c r="W115" s="188" t="s">
        <v>162</v>
      </c>
      <c r="X115" s="188" t="s">
        <v>162</v>
      </c>
      <c r="Y115" s="188" t="s">
        <v>162</v>
      </c>
      <c r="Z115" s="188" t="s">
        <v>162</v>
      </c>
      <c r="AA115" s="188" t="s">
        <v>162</v>
      </c>
      <c r="AB115" s="188" t="s">
        <v>162</v>
      </c>
      <c r="AC115" s="188" t="s">
        <v>162</v>
      </c>
      <c r="AD115" s="188" t="s">
        <v>162</v>
      </c>
      <c r="AE115" s="188" t="s">
        <v>162</v>
      </c>
      <c r="AF115" s="188" t="s">
        <v>162</v>
      </c>
      <c r="AG115" s="188" t="s">
        <v>162</v>
      </c>
      <c r="AH115" s="100"/>
    </row>
    <row r="116" spans="1:34" ht="15">
      <c r="A116" s="314" t="s">
        <v>154</v>
      </c>
      <c r="B116" s="53">
        <f t="shared" si="17"/>
        <v>0</v>
      </c>
      <c r="C116" s="99"/>
      <c r="D116" s="99"/>
      <c r="E116" s="99"/>
      <c r="F116" s="99"/>
      <c r="G116" s="99"/>
      <c r="H116" s="99"/>
      <c r="I116" s="99"/>
      <c r="J116" s="99"/>
      <c r="K116" s="99"/>
      <c r="L116" s="99"/>
      <c r="M116" s="99"/>
      <c r="N116" s="99"/>
      <c r="O116" s="99"/>
      <c r="P116" s="99"/>
      <c r="Q116" s="99"/>
      <c r="R116" s="99"/>
      <c r="S116" s="99"/>
      <c r="T116" s="99"/>
      <c r="U116" s="99"/>
      <c r="V116" s="99"/>
      <c r="W116" s="99"/>
      <c r="X116" s="99"/>
      <c r="Y116" s="99"/>
      <c r="Z116" s="99"/>
      <c r="AA116" s="99"/>
      <c r="AB116" s="99"/>
      <c r="AC116" s="99"/>
      <c r="AD116" s="99"/>
      <c r="AE116" s="99"/>
      <c r="AF116" s="99"/>
      <c r="AG116" s="99"/>
      <c r="AH116" s="100"/>
    </row>
    <row r="117" spans="1:34" ht="15">
      <c r="A117" s="314" t="s">
        <v>155</v>
      </c>
      <c r="B117" s="53">
        <f t="shared" si="17"/>
        <v>0</v>
      </c>
      <c r="C117" s="99"/>
      <c r="D117" s="99"/>
      <c r="E117" s="99"/>
      <c r="F117" s="99"/>
      <c r="G117" s="99"/>
      <c r="H117" s="99"/>
      <c r="I117" s="99"/>
      <c r="J117" s="99"/>
      <c r="K117" s="99"/>
      <c r="L117" s="99"/>
      <c r="M117" s="99"/>
      <c r="N117" s="99"/>
      <c r="O117" s="99"/>
      <c r="P117" s="99"/>
      <c r="Q117" s="99"/>
      <c r="R117" s="99"/>
      <c r="S117" s="99"/>
      <c r="T117" s="99"/>
      <c r="U117" s="99"/>
      <c r="V117" s="99"/>
      <c r="W117" s="99"/>
      <c r="X117" s="99"/>
      <c r="Y117" s="99"/>
      <c r="Z117" s="99"/>
      <c r="AA117" s="99"/>
      <c r="AB117" s="99"/>
      <c r="AC117" s="99"/>
      <c r="AD117" s="99"/>
      <c r="AE117" s="99"/>
      <c r="AF117" s="99"/>
      <c r="AG117" s="99"/>
      <c r="AH117" s="100"/>
    </row>
    <row r="118" spans="1:34" ht="15">
      <c r="A118" s="314" t="s">
        <v>156</v>
      </c>
      <c r="B118" s="306">
        <f>+AH118</f>
        <v>0</v>
      </c>
      <c r="C118" s="99"/>
      <c r="D118" s="99"/>
      <c r="E118" s="99"/>
      <c r="F118" s="99"/>
      <c r="G118" s="99"/>
      <c r="H118" s="99"/>
      <c r="I118" s="99"/>
      <c r="J118" s="99"/>
      <c r="K118" s="99"/>
      <c r="L118" s="99"/>
      <c r="M118" s="99"/>
      <c r="N118" s="99"/>
      <c r="O118" s="99"/>
      <c r="P118" s="99"/>
      <c r="Q118" s="99"/>
      <c r="R118" s="99"/>
      <c r="S118" s="99"/>
      <c r="T118" s="99"/>
      <c r="U118" s="99"/>
      <c r="V118" s="99"/>
      <c r="W118" s="99"/>
      <c r="X118" s="99"/>
      <c r="Y118" s="99"/>
      <c r="Z118" s="99"/>
      <c r="AA118" s="99"/>
      <c r="AB118" s="99"/>
      <c r="AC118" s="99"/>
      <c r="AD118" s="99"/>
      <c r="AE118" s="99"/>
      <c r="AF118" s="99"/>
      <c r="AG118" s="99"/>
      <c r="AH118" s="100">
        <f>SUM(C118:AG118)</f>
        <v>0</v>
      </c>
    </row>
    <row r="119" spans="1:34" ht="15">
      <c r="A119" s="200" t="s">
        <v>111</v>
      </c>
      <c r="B119" s="585">
        <f>SUM(B107:B118)</f>
        <v>174.75700000000001</v>
      </c>
      <c r="C119" s="100"/>
      <c r="D119" s="100"/>
      <c r="E119" s="100"/>
      <c r="F119" s="100"/>
      <c r="G119" s="100"/>
      <c r="H119" s="100"/>
      <c r="I119" s="100"/>
      <c r="J119" s="100"/>
      <c r="K119" s="100"/>
      <c r="L119" s="100"/>
      <c r="M119" s="100"/>
      <c r="N119" s="100"/>
      <c r="O119" s="100"/>
      <c r="P119" s="100"/>
      <c r="Q119" s="100"/>
      <c r="R119" s="100"/>
      <c r="S119" s="100"/>
      <c r="T119" s="100"/>
      <c r="U119" s="100"/>
      <c r="V119" s="100"/>
      <c r="W119" s="100"/>
      <c r="X119" s="100"/>
      <c r="Y119" s="100"/>
      <c r="Z119" s="100"/>
      <c r="AA119" s="100"/>
      <c r="AB119" s="100"/>
      <c r="AC119" s="100"/>
      <c r="AD119" s="100"/>
      <c r="AE119" s="100"/>
      <c r="AF119" s="100"/>
      <c r="AG119" s="100"/>
      <c r="AH119" s="100">
        <f>SUM(AH106:AH118)</f>
        <v>174.75700000000001</v>
      </c>
    </row>
    <row r="120" spans="1:34" ht="15" customHeight="1">
      <c r="A120" s="49"/>
      <c r="B120" s="49"/>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5" customHeight="1">
      <c r="A121" s="3854" t="s">
        <v>489</v>
      </c>
      <c r="B121" s="3855"/>
      <c r="C121" s="3856"/>
      <c r="D121" s="14"/>
      <c r="E121" s="3313"/>
      <c r="F121" s="14"/>
      <c r="G121" s="14"/>
      <c r="H121" s="14"/>
      <c r="I121" s="14"/>
      <c r="J121" s="14"/>
      <c r="K121" s="14"/>
      <c r="L121" s="14"/>
      <c r="M121" s="98"/>
      <c r="N121" s="14"/>
      <c r="O121" s="14"/>
      <c r="P121" s="14"/>
      <c r="Q121" s="14"/>
      <c r="R121" s="14"/>
      <c r="S121" s="14"/>
      <c r="T121" s="14"/>
      <c r="U121" s="14"/>
      <c r="V121" s="14"/>
      <c r="W121" s="14"/>
      <c r="X121" s="14"/>
      <c r="Y121" s="14"/>
      <c r="Z121" s="14"/>
      <c r="AA121" s="14"/>
      <c r="AB121" s="14"/>
      <c r="AC121" s="14"/>
      <c r="AD121" s="14"/>
      <c r="AE121" s="14"/>
      <c r="AF121" s="14"/>
      <c r="AG121" s="14"/>
      <c r="AH121" s="1"/>
    </row>
    <row r="122" spans="1:34" ht="15" customHeight="1">
      <c r="A122" s="8" t="s">
        <v>142</v>
      </c>
      <c r="B122" s="8" t="s">
        <v>143</v>
      </c>
      <c r="C122" s="372">
        <v>1</v>
      </c>
      <c r="D122" s="73">
        <v>2</v>
      </c>
      <c r="E122" s="73">
        <v>3</v>
      </c>
      <c r="F122" s="73">
        <v>4</v>
      </c>
      <c r="G122" s="73">
        <v>5</v>
      </c>
      <c r="H122" s="73">
        <v>6</v>
      </c>
      <c r="I122" s="73">
        <v>7</v>
      </c>
      <c r="J122" s="73">
        <v>8</v>
      </c>
      <c r="K122" s="73">
        <v>9</v>
      </c>
      <c r="L122" s="73">
        <v>10</v>
      </c>
      <c r="M122" s="73">
        <v>11</v>
      </c>
      <c r="N122" s="73">
        <v>12</v>
      </c>
      <c r="O122" s="73">
        <v>13</v>
      </c>
      <c r="P122" s="73">
        <v>14</v>
      </c>
      <c r="Q122" s="73">
        <v>15</v>
      </c>
      <c r="R122" s="73">
        <v>16</v>
      </c>
      <c r="S122" s="73">
        <v>17</v>
      </c>
      <c r="T122" s="73">
        <v>18</v>
      </c>
      <c r="U122" s="73">
        <v>19</v>
      </c>
      <c r="V122" s="73">
        <v>20</v>
      </c>
      <c r="W122" s="73">
        <v>21</v>
      </c>
      <c r="X122" s="73">
        <v>22</v>
      </c>
      <c r="Y122" s="73">
        <v>23</v>
      </c>
      <c r="Z122" s="73">
        <v>24</v>
      </c>
      <c r="AA122" s="73">
        <v>25</v>
      </c>
      <c r="AB122" s="73">
        <v>26</v>
      </c>
      <c r="AC122" s="73">
        <v>27</v>
      </c>
      <c r="AD122" s="73">
        <v>28</v>
      </c>
      <c r="AE122" s="73">
        <v>29</v>
      </c>
      <c r="AF122" s="73">
        <v>30</v>
      </c>
      <c r="AG122" s="73">
        <v>31</v>
      </c>
      <c r="AH122" s="87" t="s">
        <v>144</v>
      </c>
    </row>
    <row r="123" spans="1:34" ht="15" customHeight="1">
      <c r="A123" s="363" t="s">
        <v>145</v>
      </c>
      <c r="B123" s="53">
        <f t="shared" ref="B123:B134" si="19">+AH123</f>
        <v>0</v>
      </c>
      <c r="C123" s="650">
        <v>0</v>
      </c>
      <c r="D123" s="650">
        <v>0</v>
      </c>
      <c r="E123" s="937">
        <v>0</v>
      </c>
      <c r="F123" s="650">
        <v>0</v>
      </c>
      <c r="G123" s="650">
        <v>0</v>
      </c>
      <c r="H123" s="650">
        <v>0</v>
      </c>
      <c r="I123" s="650">
        <v>0</v>
      </c>
      <c r="J123" s="650">
        <v>0</v>
      </c>
      <c r="K123" s="650">
        <v>0</v>
      </c>
      <c r="L123" s="650">
        <v>0</v>
      </c>
      <c r="M123" s="650">
        <v>0</v>
      </c>
      <c r="N123" s="650">
        <v>0</v>
      </c>
      <c r="O123" s="650">
        <v>0</v>
      </c>
      <c r="P123" s="650">
        <v>0</v>
      </c>
      <c r="Q123" s="650">
        <v>0</v>
      </c>
      <c r="R123" s="650">
        <v>0</v>
      </c>
      <c r="S123" s="650">
        <v>0</v>
      </c>
      <c r="T123" s="650">
        <v>0</v>
      </c>
      <c r="U123" s="650">
        <v>0</v>
      </c>
      <c r="V123" s="650">
        <v>0</v>
      </c>
      <c r="W123" s="646">
        <v>0</v>
      </c>
      <c r="X123" s="650">
        <v>0</v>
      </c>
      <c r="Y123" s="650">
        <v>0</v>
      </c>
      <c r="Z123" s="650">
        <v>0</v>
      </c>
      <c r="AA123" s="650">
        <v>0</v>
      </c>
      <c r="AB123" s="650">
        <v>0</v>
      </c>
      <c r="AC123" s="650">
        <v>0</v>
      </c>
      <c r="AD123" s="650">
        <v>0</v>
      </c>
      <c r="AE123" s="650">
        <v>0</v>
      </c>
      <c r="AF123" s="650">
        <v>0</v>
      </c>
      <c r="AG123" s="650">
        <v>0</v>
      </c>
      <c r="AH123" s="73">
        <f>SUM(C123:AG123)</f>
        <v>0</v>
      </c>
    </row>
    <row r="124" spans="1:34" ht="15" customHeight="1">
      <c r="A124" s="363" t="s">
        <v>146</v>
      </c>
      <c r="B124" s="53">
        <f t="shared" si="19"/>
        <v>30.065000000000005</v>
      </c>
      <c r="C124" s="650">
        <v>0</v>
      </c>
      <c r="D124" s="650">
        <v>0</v>
      </c>
      <c r="E124" s="650">
        <v>0</v>
      </c>
      <c r="F124" s="650">
        <v>0</v>
      </c>
      <c r="G124" s="650">
        <v>0</v>
      </c>
      <c r="H124" s="650">
        <v>0</v>
      </c>
      <c r="I124" s="650">
        <v>0</v>
      </c>
      <c r="J124" s="650">
        <v>0</v>
      </c>
      <c r="K124" s="650">
        <v>0</v>
      </c>
      <c r="L124" s="650">
        <v>0</v>
      </c>
      <c r="M124" s="650">
        <v>0</v>
      </c>
      <c r="N124" s="650">
        <v>0</v>
      </c>
      <c r="O124" s="650">
        <v>0</v>
      </c>
      <c r="P124" s="650">
        <v>0</v>
      </c>
      <c r="Q124" s="650">
        <v>0</v>
      </c>
      <c r="R124" s="650">
        <v>2.3260000000000001</v>
      </c>
      <c r="S124" s="650">
        <v>4.9140000000000006</v>
      </c>
      <c r="T124" s="650">
        <v>2.9180000000000001</v>
      </c>
      <c r="U124" s="650">
        <v>0.45999999999999996</v>
      </c>
      <c r="V124" s="650">
        <v>0</v>
      </c>
      <c r="W124" s="650">
        <v>2.2799999999999998</v>
      </c>
      <c r="X124" s="650">
        <v>2.08</v>
      </c>
      <c r="Y124" s="650">
        <v>3.847</v>
      </c>
      <c r="Z124" s="650">
        <v>3.5910000000000006</v>
      </c>
      <c r="AA124" s="650">
        <v>4.5090000000000003</v>
      </c>
      <c r="AB124" s="650">
        <v>0.34000000000000008</v>
      </c>
      <c r="AC124" s="650">
        <v>0</v>
      </c>
      <c r="AD124" s="650">
        <v>0.7300000000000002</v>
      </c>
      <c r="AE124" s="650">
        <v>2.0700000000000007</v>
      </c>
      <c r="AF124" s="650">
        <v>0</v>
      </c>
      <c r="AG124" s="650">
        <v>0</v>
      </c>
      <c r="AH124" s="73">
        <f t="shared" ref="AH124:AH134" si="20">SUM(C124:AG124)</f>
        <v>30.065000000000005</v>
      </c>
    </row>
    <row r="125" spans="1:34" ht="15" customHeight="1">
      <c r="A125" s="363" t="s">
        <v>147</v>
      </c>
      <c r="B125" s="53">
        <f t="shared" si="19"/>
        <v>50.154000000000003</v>
      </c>
      <c r="C125" s="1128">
        <v>1.4339999999999993</v>
      </c>
      <c r="D125" s="1129">
        <v>3.6819999999999995</v>
      </c>
      <c r="E125" s="1129">
        <v>3.3180000000000009</v>
      </c>
      <c r="F125" s="1129">
        <v>0.36399999999999988</v>
      </c>
      <c r="G125" s="1129">
        <v>0</v>
      </c>
      <c r="H125" s="1129">
        <v>1.5920000000000001</v>
      </c>
      <c r="I125" s="1129">
        <v>3.6</v>
      </c>
      <c r="J125" s="1129">
        <v>2.4959999999999996</v>
      </c>
      <c r="K125" s="1129">
        <v>3.5570000000000004</v>
      </c>
      <c r="L125" s="1129">
        <v>3.0790000000000002</v>
      </c>
      <c r="M125" s="1129">
        <v>0.42799999999999994</v>
      </c>
      <c r="N125" s="1129">
        <v>0</v>
      </c>
      <c r="O125" s="1129">
        <v>0.85599999999999987</v>
      </c>
      <c r="P125" s="1129">
        <v>2.5700000000000003</v>
      </c>
      <c r="Q125" s="1129">
        <v>1.9200000000000002</v>
      </c>
      <c r="R125" s="1129">
        <v>1.3399999999999999</v>
      </c>
      <c r="S125" s="1129">
        <v>2.1020000000000003</v>
      </c>
      <c r="T125" s="1129">
        <v>0.36799999999999988</v>
      </c>
      <c r="U125" s="1129">
        <v>0</v>
      </c>
      <c r="V125" s="1129">
        <v>1.9920000000000002</v>
      </c>
      <c r="W125" s="1129">
        <v>2.4619999999999997</v>
      </c>
      <c r="X125" s="1129">
        <v>1.6819999999999997</v>
      </c>
      <c r="Y125" s="1129">
        <v>2.8440000000000007</v>
      </c>
      <c r="Z125" s="1129">
        <v>1.514</v>
      </c>
      <c r="AA125" s="1129">
        <v>0.19599999999999995</v>
      </c>
      <c r="AB125" s="1129">
        <v>0</v>
      </c>
      <c r="AC125" s="1129">
        <v>1.4500000000000002</v>
      </c>
      <c r="AD125" s="1129">
        <v>1.08</v>
      </c>
      <c r="AE125" s="1129">
        <v>1.2760000000000005</v>
      </c>
      <c r="AF125" s="1129">
        <v>1.546</v>
      </c>
      <c r="AG125" s="1130">
        <v>1.4059999999999997</v>
      </c>
      <c r="AH125" s="73">
        <f t="shared" si="20"/>
        <v>50.154000000000003</v>
      </c>
    </row>
    <row r="126" spans="1:34" ht="15" customHeight="1">
      <c r="A126" s="363" t="s">
        <v>148</v>
      </c>
      <c r="B126" s="53">
        <f t="shared" si="19"/>
        <v>43.161000000000001</v>
      </c>
      <c r="C126" s="1128">
        <v>0.44999999999999996</v>
      </c>
      <c r="D126" s="1129">
        <v>0.33999999999999997</v>
      </c>
      <c r="E126" s="1129">
        <v>2.1270000000000002</v>
      </c>
      <c r="F126" s="1129">
        <v>1.8659999999999999</v>
      </c>
      <c r="G126" s="1129">
        <v>1.506</v>
      </c>
      <c r="H126" s="1129">
        <v>2.7580000000000005</v>
      </c>
      <c r="I126" s="1129">
        <v>3.0759999999999996</v>
      </c>
      <c r="J126" s="1129">
        <v>0.34999999999999987</v>
      </c>
      <c r="K126" s="1129">
        <v>0</v>
      </c>
      <c r="L126" s="1129">
        <v>0.85000000000000009</v>
      </c>
      <c r="M126" s="1129">
        <v>1.2920000000000003</v>
      </c>
      <c r="N126" s="1129">
        <v>2.3439999999999999</v>
      </c>
      <c r="O126" s="1129">
        <v>2.0140000000000002</v>
      </c>
      <c r="P126" s="1129">
        <v>1.9660000000000004</v>
      </c>
      <c r="Q126" s="1129">
        <v>0.246</v>
      </c>
      <c r="R126" s="1129">
        <v>0</v>
      </c>
      <c r="S126" s="1129">
        <v>0</v>
      </c>
      <c r="T126" s="1129">
        <v>1.9420000000000002</v>
      </c>
      <c r="U126" s="1129">
        <v>1.9849999999999999</v>
      </c>
      <c r="V126" s="1129">
        <v>3.2270000000000003</v>
      </c>
      <c r="W126" s="1129">
        <v>3.7279999999999998</v>
      </c>
      <c r="X126" s="1129">
        <v>7.5999999999999929E-2</v>
      </c>
      <c r="Y126" s="1129">
        <v>0.2</v>
      </c>
      <c r="Z126" s="1129">
        <v>1.7199999999999995</v>
      </c>
      <c r="AA126" s="1129">
        <v>3.0840000000000005</v>
      </c>
      <c r="AB126" s="1129">
        <v>2.1159999999999997</v>
      </c>
      <c r="AC126" s="1129">
        <v>2.2360000000000002</v>
      </c>
      <c r="AD126" s="1129">
        <v>1.2620000000000002</v>
      </c>
      <c r="AE126" s="1129">
        <v>0.4</v>
      </c>
      <c r="AF126" s="1129">
        <v>0</v>
      </c>
      <c r="AG126" s="1130">
        <v>0</v>
      </c>
      <c r="AH126" s="73">
        <f t="shared" si="20"/>
        <v>43.161000000000001</v>
      </c>
    </row>
    <row r="127" spans="1:34" ht="15" customHeight="1">
      <c r="A127" s="363" t="s">
        <v>149</v>
      </c>
      <c r="B127" s="53">
        <f t="shared" si="19"/>
        <v>38.257999999999996</v>
      </c>
      <c r="C127" s="1128">
        <v>0.37800000000000011</v>
      </c>
      <c r="D127" s="1129">
        <v>1.3120000000000003</v>
      </c>
      <c r="E127" s="1129">
        <v>1.306</v>
      </c>
      <c r="F127" s="1129">
        <v>2.5019999999999998</v>
      </c>
      <c r="G127" s="1129">
        <v>2.2610000000000001</v>
      </c>
      <c r="H127" s="1129">
        <v>0.31999999999999984</v>
      </c>
      <c r="I127" s="1129">
        <v>0.05</v>
      </c>
      <c r="J127" s="1129">
        <v>0.69799999999999984</v>
      </c>
      <c r="K127" s="1129">
        <v>2.2580000000000005</v>
      </c>
      <c r="L127" s="1129">
        <v>1.6539999999999999</v>
      </c>
      <c r="M127" s="1129">
        <v>2.1219999999999999</v>
      </c>
      <c r="N127" s="1129">
        <v>1.6839999999999997</v>
      </c>
      <c r="O127" s="1129">
        <v>0.26600000000000001</v>
      </c>
      <c r="P127" s="1129">
        <v>0</v>
      </c>
      <c r="Q127" s="1129">
        <v>0.56599999999999984</v>
      </c>
      <c r="R127" s="1129">
        <v>2.0060000000000002</v>
      </c>
      <c r="S127" s="1129">
        <v>1.8880000000000003</v>
      </c>
      <c r="T127" s="1129">
        <v>4.4210000000000003</v>
      </c>
      <c r="U127" s="1129">
        <v>3.915</v>
      </c>
      <c r="V127" s="1129">
        <v>0.28800000000000003</v>
      </c>
      <c r="W127" s="1129">
        <v>0.2</v>
      </c>
      <c r="X127" s="1129">
        <v>1.534</v>
      </c>
      <c r="Y127" s="1129">
        <v>1.367</v>
      </c>
      <c r="Z127" s="1129">
        <v>1.97</v>
      </c>
      <c r="AA127" s="1129">
        <v>1.1300000000000001</v>
      </c>
      <c r="AB127" s="1129">
        <v>0</v>
      </c>
      <c r="AC127" s="1129">
        <v>0</v>
      </c>
      <c r="AD127" s="1129">
        <v>0</v>
      </c>
      <c r="AE127" s="1129">
        <v>0.37000000000000005</v>
      </c>
      <c r="AF127" s="1129">
        <v>0.71399999999999986</v>
      </c>
      <c r="AG127" s="1129">
        <v>1.0780000000000001</v>
      </c>
      <c r="AH127" s="103">
        <f t="shared" si="20"/>
        <v>38.257999999999996</v>
      </c>
    </row>
    <row r="128" spans="1:34" ht="15" customHeight="1">
      <c r="A128" s="363" t="s">
        <v>150</v>
      </c>
      <c r="B128" s="53">
        <f t="shared" si="19"/>
        <v>22.332000000000004</v>
      </c>
      <c r="C128" s="480">
        <v>2.0579999999999998</v>
      </c>
      <c r="D128" s="480">
        <v>3.2640000000000002</v>
      </c>
      <c r="E128" s="480">
        <v>0.19999999999999998</v>
      </c>
      <c r="F128" s="480">
        <v>0</v>
      </c>
      <c r="G128" s="480">
        <v>1.6440000000000001</v>
      </c>
      <c r="H128" s="480">
        <v>0.42600000000000005</v>
      </c>
      <c r="I128" s="480">
        <v>0.96599999999999997</v>
      </c>
      <c r="J128" s="480">
        <v>0.84</v>
      </c>
      <c r="K128" s="480">
        <v>1.69</v>
      </c>
      <c r="L128" s="480">
        <v>0.22599999999999998</v>
      </c>
      <c r="M128" s="480">
        <v>0.03</v>
      </c>
      <c r="N128" s="480">
        <v>0.06</v>
      </c>
      <c r="O128" s="480">
        <v>0</v>
      </c>
      <c r="P128" s="480">
        <v>0.33399999999999996</v>
      </c>
      <c r="Q128" s="480">
        <v>0.51000000000000023</v>
      </c>
      <c r="R128" s="480">
        <v>0</v>
      </c>
      <c r="S128" s="480">
        <v>0</v>
      </c>
      <c r="T128" s="480">
        <v>0</v>
      </c>
      <c r="U128" s="480">
        <v>0.57200000000000006</v>
      </c>
      <c r="V128" s="480">
        <v>1.8389999999999997</v>
      </c>
      <c r="W128" s="480">
        <v>2.0189999999999997</v>
      </c>
      <c r="X128" s="480">
        <v>1.1380000000000003</v>
      </c>
      <c r="Y128" s="480">
        <v>0.50799999999999979</v>
      </c>
      <c r="Z128" s="480">
        <v>0.17200000000000004</v>
      </c>
      <c r="AA128" s="480">
        <v>0</v>
      </c>
      <c r="AB128" s="480">
        <v>0.48000000000000009</v>
      </c>
      <c r="AC128" s="480">
        <v>0.50000000000000011</v>
      </c>
      <c r="AD128" s="480">
        <v>1.1019999999999999</v>
      </c>
      <c r="AE128" s="480">
        <v>1.0579999999999998</v>
      </c>
      <c r="AF128" s="480">
        <v>0.69600000000000017</v>
      </c>
      <c r="AG128" s="480">
        <v>0</v>
      </c>
      <c r="AH128" s="103">
        <f t="shared" si="20"/>
        <v>22.332000000000004</v>
      </c>
    </row>
    <row r="129" spans="1:34" ht="15" customHeight="1">
      <c r="A129" s="314" t="s">
        <v>151</v>
      </c>
      <c r="B129" s="53">
        <f t="shared" si="19"/>
        <v>42.104999999999997</v>
      </c>
      <c r="C129" s="53">
        <v>0</v>
      </c>
      <c r="D129" s="99">
        <v>0</v>
      </c>
      <c r="E129" s="99">
        <v>0</v>
      </c>
      <c r="F129" s="99">
        <v>0.48399999999999999</v>
      </c>
      <c r="G129" s="99">
        <v>0.44599999999999995</v>
      </c>
      <c r="H129" s="99">
        <v>2.6410000000000005</v>
      </c>
      <c r="I129" s="99">
        <v>2.9729999999999999</v>
      </c>
      <c r="J129" s="99">
        <v>0.21999999999999997</v>
      </c>
      <c r="K129" s="99">
        <v>0</v>
      </c>
      <c r="L129" s="99">
        <v>0</v>
      </c>
      <c r="M129" s="99">
        <v>1.3000000000000003</v>
      </c>
      <c r="N129" s="99">
        <v>1.7430000000000003</v>
      </c>
      <c r="O129" s="99">
        <v>2.0720000000000001</v>
      </c>
      <c r="P129" s="99">
        <v>6.6000000000000003E-2</v>
      </c>
      <c r="Q129" s="99">
        <v>0.29800000000000004</v>
      </c>
      <c r="R129" s="99">
        <v>0</v>
      </c>
      <c r="S129" s="99">
        <v>0.8919999999999999</v>
      </c>
      <c r="T129" s="99">
        <v>2.3340000000000001</v>
      </c>
      <c r="U129" s="99">
        <v>0.93000000000000016</v>
      </c>
      <c r="V129" s="99">
        <v>0</v>
      </c>
      <c r="W129" s="99">
        <v>2.9059999999999997</v>
      </c>
      <c r="X129" s="99">
        <v>0.17800000000000016</v>
      </c>
      <c r="Y129" s="99">
        <v>0</v>
      </c>
      <c r="Z129" s="99">
        <v>1.5079999999999996</v>
      </c>
      <c r="AA129" s="99">
        <v>3.9039999999999999</v>
      </c>
      <c r="AB129" s="99">
        <v>5.8330000000000002</v>
      </c>
      <c r="AC129" s="99">
        <v>5.8320000000000007</v>
      </c>
      <c r="AD129" s="99">
        <v>4.1370000000000005</v>
      </c>
      <c r="AE129" s="99">
        <v>0.2759999999999998</v>
      </c>
      <c r="AF129" s="99">
        <v>0.16</v>
      </c>
      <c r="AG129" s="99">
        <v>0.97199999999999998</v>
      </c>
      <c r="AH129" s="103">
        <f t="shared" si="20"/>
        <v>42.104999999999997</v>
      </c>
    </row>
    <row r="130" spans="1:34" ht="15" customHeight="1">
      <c r="A130" s="314" t="s">
        <v>152</v>
      </c>
      <c r="B130" s="53">
        <f t="shared" si="19"/>
        <v>68.188000000000002</v>
      </c>
      <c r="C130" s="2127">
        <v>2.3319999999999994</v>
      </c>
      <c r="D130" s="2128">
        <v>0.25</v>
      </c>
      <c r="E130" s="2128">
        <v>0.35</v>
      </c>
      <c r="F130" s="2128">
        <v>3.1680000000000001</v>
      </c>
      <c r="G130" s="2128">
        <v>0.47800000000000009</v>
      </c>
      <c r="H130" s="2128">
        <v>0.4</v>
      </c>
      <c r="I130" s="2128">
        <v>2.762</v>
      </c>
      <c r="J130" s="2128">
        <v>2.5200000000000005</v>
      </c>
      <c r="K130" s="2128">
        <v>2.6760000000000002</v>
      </c>
      <c r="L130" s="2128">
        <v>1.9600000000000002</v>
      </c>
      <c r="M130" s="2128">
        <v>2.7859999999999996</v>
      </c>
      <c r="N130" s="2128">
        <v>0.65199999999999991</v>
      </c>
      <c r="O130" s="2128">
        <v>0</v>
      </c>
      <c r="P130" s="2128">
        <v>1.5640000000000001</v>
      </c>
      <c r="Q130" s="2128">
        <v>0.28199999999999981</v>
      </c>
      <c r="R130" s="2128">
        <v>0.2</v>
      </c>
      <c r="S130" s="2128">
        <v>0.4</v>
      </c>
      <c r="T130" s="2128">
        <v>3.9019999999999997</v>
      </c>
      <c r="U130" s="2128">
        <v>0.59799999999999986</v>
      </c>
      <c r="V130" s="2128">
        <v>0</v>
      </c>
      <c r="W130" s="2128">
        <v>4.6329999999999991</v>
      </c>
      <c r="X130" s="2128">
        <v>3.5029999999999997</v>
      </c>
      <c r="Y130" s="2128">
        <v>2.528</v>
      </c>
      <c r="Z130" s="2128">
        <v>4.7429999999999994</v>
      </c>
      <c r="AA130" s="2128">
        <v>3.9980000000000011</v>
      </c>
      <c r="AB130" s="2128">
        <v>0.32000000000000017</v>
      </c>
      <c r="AC130" s="2128">
        <v>0.75</v>
      </c>
      <c r="AD130" s="2128">
        <v>4.2640000000000011</v>
      </c>
      <c r="AE130" s="2128">
        <v>3.7730000000000006</v>
      </c>
      <c r="AF130" s="2128">
        <v>5.6079999999999997</v>
      </c>
      <c r="AG130" s="2129">
        <v>6.7879999999999994</v>
      </c>
      <c r="AH130" s="103">
        <f t="shared" si="20"/>
        <v>68.188000000000002</v>
      </c>
    </row>
    <row r="131" spans="1:34" ht="15" customHeight="1">
      <c r="A131" s="314" t="s">
        <v>153</v>
      </c>
      <c r="B131" s="53">
        <f t="shared" si="19"/>
        <v>0</v>
      </c>
      <c r="C131" s="188" t="s">
        <v>318</v>
      </c>
      <c r="D131" s="188" t="s">
        <v>318</v>
      </c>
      <c r="E131" s="188" t="s">
        <v>318</v>
      </c>
      <c r="F131" s="188" t="s">
        <v>318</v>
      </c>
      <c r="G131" s="188" t="s">
        <v>318</v>
      </c>
      <c r="H131" s="188" t="s">
        <v>318</v>
      </c>
      <c r="I131" s="188" t="s">
        <v>318</v>
      </c>
      <c r="J131" s="188" t="s">
        <v>318</v>
      </c>
      <c r="K131" s="188" t="s">
        <v>318</v>
      </c>
      <c r="L131" s="188" t="s">
        <v>318</v>
      </c>
      <c r="M131" s="188" t="s">
        <v>318</v>
      </c>
      <c r="N131" s="188" t="s">
        <v>318</v>
      </c>
      <c r="O131" s="188" t="s">
        <v>318</v>
      </c>
      <c r="P131" s="188" t="s">
        <v>318</v>
      </c>
      <c r="Q131" s="188" t="s">
        <v>318</v>
      </c>
      <c r="R131" s="188" t="s">
        <v>318</v>
      </c>
      <c r="S131" s="188" t="s">
        <v>318</v>
      </c>
      <c r="T131" s="188" t="s">
        <v>318</v>
      </c>
      <c r="U131" s="188" t="s">
        <v>318</v>
      </c>
      <c r="V131" s="188" t="s">
        <v>318</v>
      </c>
      <c r="W131" s="188" t="s">
        <v>318</v>
      </c>
      <c r="X131" s="188" t="s">
        <v>318</v>
      </c>
      <c r="Y131" s="188" t="s">
        <v>318</v>
      </c>
      <c r="Z131" s="188" t="s">
        <v>318</v>
      </c>
      <c r="AA131" s="188" t="s">
        <v>318</v>
      </c>
      <c r="AB131" s="188" t="s">
        <v>318</v>
      </c>
      <c r="AC131" s="188" t="s">
        <v>318</v>
      </c>
      <c r="AD131" s="188" t="s">
        <v>318</v>
      </c>
      <c r="AE131" s="188" t="s">
        <v>318</v>
      </c>
      <c r="AF131" s="188" t="s">
        <v>318</v>
      </c>
      <c r="AG131" s="188" t="s">
        <v>318</v>
      </c>
      <c r="AH131" s="103">
        <f t="shared" si="20"/>
        <v>0</v>
      </c>
    </row>
    <row r="132" spans="1:34" ht="15" customHeight="1">
      <c r="A132" s="314" t="s">
        <v>154</v>
      </c>
      <c r="B132" s="53">
        <f t="shared" si="19"/>
        <v>76.766999999999996</v>
      </c>
      <c r="C132" s="53">
        <v>9.6000000000000002E-2</v>
      </c>
      <c r="D132" s="99">
        <v>2.15</v>
      </c>
      <c r="E132" s="99">
        <v>5.7150000000000007</v>
      </c>
      <c r="F132" s="99">
        <v>4.87</v>
      </c>
      <c r="G132" s="99">
        <v>4.4719999999999995</v>
      </c>
      <c r="H132" s="99">
        <v>3.8839999999999995</v>
      </c>
      <c r="I132" s="99">
        <v>0.5</v>
      </c>
      <c r="J132" s="99">
        <v>0.92500000000000004</v>
      </c>
      <c r="K132" s="99">
        <v>4.2190000000000003</v>
      </c>
      <c r="L132" s="99">
        <v>3.8449999999999998</v>
      </c>
      <c r="M132" s="99">
        <v>2.1339999999999999</v>
      </c>
      <c r="N132" s="99">
        <v>3.5680000000000005</v>
      </c>
      <c r="O132" s="99">
        <v>4.9020000000000001</v>
      </c>
      <c r="P132" s="99">
        <v>0.27600000000000002</v>
      </c>
      <c r="Q132" s="99">
        <v>0</v>
      </c>
      <c r="R132" s="99">
        <v>2.6500000000000004</v>
      </c>
      <c r="S132" s="99">
        <v>4.67</v>
      </c>
      <c r="T132" s="99">
        <v>2.9510000000000001</v>
      </c>
      <c r="U132" s="99">
        <v>4.3090000000000002</v>
      </c>
      <c r="V132" s="99">
        <v>2.6359999999999997</v>
      </c>
      <c r="W132" s="99">
        <v>0.47299999999999998</v>
      </c>
      <c r="X132" s="99">
        <v>0.06</v>
      </c>
      <c r="Y132" s="99">
        <v>1.6990000000000001</v>
      </c>
      <c r="Z132" s="99">
        <v>2.4389999999999996</v>
      </c>
      <c r="AA132" s="99">
        <v>1.9219999999999997</v>
      </c>
      <c r="AB132" s="99">
        <v>3.3600000000000003</v>
      </c>
      <c r="AC132" s="99">
        <v>3.5100000000000002</v>
      </c>
      <c r="AD132" s="99">
        <v>0.19099999999999998</v>
      </c>
      <c r="AE132" s="99">
        <v>0</v>
      </c>
      <c r="AF132" s="99">
        <v>0.79399999999999971</v>
      </c>
      <c r="AG132" s="99">
        <v>3.5470000000000002</v>
      </c>
      <c r="AH132" s="103">
        <f t="shared" si="20"/>
        <v>76.766999999999996</v>
      </c>
    </row>
    <row r="133" spans="1:34" ht="15" customHeight="1">
      <c r="A133" s="314" t="s">
        <v>155</v>
      </c>
      <c r="B133" s="53">
        <f t="shared" si="19"/>
        <v>51.541999999999994</v>
      </c>
      <c r="C133" s="53">
        <v>1.262</v>
      </c>
      <c r="D133" s="99">
        <v>2.3330000000000002</v>
      </c>
      <c r="E133" s="99">
        <v>4.9450000000000003</v>
      </c>
      <c r="F133" s="99">
        <v>0.08</v>
      </c>
      <c r="G133" s="99">
        <v>1.1499999999999999</v>
      </c>
      <c r="H133" s="99">
        <v>2.0580000000000003</v>
      </c>
      <c r="I133" s="99">
        <v>3.5860000000000003</v>
      </c>
      <c r="J133" s="99">
        <v>3.1510000000000007</v>
      </c>
      <c r="K133" s="99">
        <v>0.4499999999999999</v>
      </c>
      <c r="L133" s="99">
        <v>3.9169999999999998</v>
      </c>
      <c r="M133" s="99">
        <v>0.50799999999999967</v>
      </c>
      <c r="N133" s="99">
        <v>0</v>
      </c>
      <c r="O133" s="99">
        <v>0.8330000000000003</v>
      </c>
      <c r="P133" s="99">
        <v>1.8319999999999996</v>
      </c>
      <c r="Q133" s="99">
        <v>2.1749999999999998</v>
      </c>
      <c r="R133" s="99">
        <v>2.2479999999999998</v>
      </c>
      <c r="S133" s="99">
        <v>1.4209999999999998</v>
      </c>
      <c r="T133" s="99">
        <v>0.31699999999999995</v>
      </c>
      <c r="U133" s="99">
        <v>0.2</v>
      </c>
      <c r="V133" s="99">
        <v>1.6509999999999996</v>
      </c>
      <c r="W133" s="99">
        <v>2.9899999999999998</v>
      </c>
      <c r="X133" s="99">
        <v>2.6899999999999995</v>
      </c>
      <c r="Y133" s="99">
        <v>3.601</v>
      </c>
      <c r="Z133" s="99">
        <v>1.113</v>
      </c>
      <c r="AA133" s="99">
        <v>0.71799999999999997</v>
      </c>
      <c r="AB133" s="99">
        <v>0</v>
      </c>
      <c r="AC133" s="99">
        <v>1.5670000000000002</v>
      </c>
      <c r="AD133" s="99">
        <v>1.9069999999999998</v>
      </c>
      <c r="AE133" s="99">
        <v>1.2629999999999999</v>
      </c>
      <c r="AF133" s="99">
        <v>1.5759999999999998</v>
      </c>
      <c r="AG133" s="99">
        <v>0</v>
      </c>
      <c r="AH133" s="103">
        <f t="shared" si="20"/>
        <v>51.541999999999994</v>
      </c>
    </row>
    <row r="134" spans="1:34" ht="15" customHeight="1">
      <c r="A134" s="314" t="s">
        <v>156</v>
      </c>
      <c r="B134" s="53">
        <f t="shared" si="19"/>
        <v>27.388999999999999</v>
      </c>
      <c r="C134" s="53">
        <v>1.7530000000000001</v>
      </c>
      <c r="D134" s="99">
        <v>0.14500000000000002</v>
      </c>
      <c r="E134" s="99">
        <v>0</v>
      </c>
      <c r="F134" s="99">
        <v>1.163</v>
      </c>
      <c r="G134" s="99">
        <v>1.3699999999999999</v>
      </c>
      <c r="H134" s="99">
        <v>1.8219999999999996</v>
      </c>
      <c r="I134" s="99">
        <v>1.4770000000000001</v>
      </c>
      <c r="J134" s="99">
        <v>0.45900000000000007</v>
      </c>
      <c r="K134" s="99">
        <v>0.33899999999999997</v>
      </c>
      <c r="L134" s="99">
        <v>0</v>
      </c>
      <c r="M134" s="99">
        <v>1.0939999999999999</v>
      </c>
      <c r="N134" s="99">
        <v>1.6199999999999999</v>
      </c>
      <c r="O134" s="99">
        <v>2.4759999999999995</v>
      </c>
      <c r="P134" s="99">
        <v>1.502</v>
      </c>
      <c r="Q134" s="99">
        <v>2.4870000000000001</v>
      </c>
      <c r="R134" s="99">
        <v>0.14100000000000001</v>
      </c>
      <c r="S134" s="99">
        <v>0</v>
      </c>
      <c r="T134" s="99">
        <v>1.367</v>
      </c>
      <c r="U134" s="99">
        <v>0.26900000000000002</v>
      </c>
      <c r="V134" s="99">
        <v>0.78899999999999981</v>
      </c>
      <c r="W134" s="99">
        <v>0.753</v>
      </c>
      <c r="X134" s="99">
        <v>0.68799999999999994</v>
      </c>
      <c r="Y134" s="99">
        <v>0.36</v>
      </c>
      <c r="Z134" s="99">
        <v>0</v>
      </c>
      <c r="AA134" s="99">
        <v>0</v>
      </c>
      <c r="AB134" s="99">
        <v>7.5999999999999998E-2</v>
      </c>
      <c r="AC134" s="99">
        <v>1.0760000000000001</v>
      </c>
      <c r="AD134" s="99">
        <v>2.4160000000000004</v>
      </c>
      <c r="AE134" s="99">
        <v>1.2470000000000001</v>
      </c>
      <c r="AF134" s="99">
        <v>0.15499999999999992</v>
      </c>
      <c r="AG134" s="99">
        <v>0.34500000000000008</v>
      </c>
      <c r="AH134" s="103">
        <f t="shared" si="20"/>
        <v>27.388999999999999</v>
      </c>
    </row>
    <row r="135" spans="1:34" ht="15" customHeight="1">
      <c r="A135" s="200" t="s">
        <v>111</v>
      </c>
      <c r="B135" s="232">
        <f>SUM(B123:B134)</f>
        <v>449.96099999999996</v>
      </c>
      <c r="C135" s="103"/>
      <c r="D135" s="100"/>
      <c r="E135" s="100"/>
      <c r="F135" s="100"/>
      <c r="G135" s="100"/>
      <c r="H135" s="100"/>
      <c r="I135" s="100"/>
      <c r="J135" s="100"/>
      <c r="K135" s="100"/>
      <c r="L135" s="100"/>
      <c r="M135" s="100"/>
      <c r="N135" s="100"/>
      <c r="O135" s="100"/>
      <c r="P135" s="100"/>
      <c r="Q135" s="100"/>
      <c r="R135" s="100"/>
      <c r="S135" s="100"/>
      <c r="T135" s="100"/>
      <c r="U135" s="100"/>
      <c r="V135" s="100"/>
      <c r="W135" s="100"/>
      <c r="X135" s="100"/>
      <c r="Y135" s="100"/>
      <c r="Z135" s="100"/>
      <c r="AA135" s="100"/>
      <c r="AB135" s="100"/>
      <c r="AC135" s="100"/>
      <c r="AD135" s="100"/>
      <c r="AE135" s="100"/>
      <c r="AF135" s="100"/>
      <c r="AG135" s="100"/>
      <c r="AH135" s="103">
        <f>SUM(AH122:AH134)</f>
        <v>449.96099999999996</v>
      </c>
    </row>
    <row r="136" spans="1:34" ht="5.0999999999999996" customHeight="1">
      <c r="A136" s="49"/>
      <c r="B136" s="49"/>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5">
      <c r="A137" s="3854" t="s">
        <v>134</v>
      </c>
      <c r="B137" s="3855"/>
      <c r="C137" s="3856"/>
      <c r="D137" s="14"/>
      <c r="E137" s="14"/>
      <c r="F137" s="14"/>
      <c r="G137" s="3313"/>
      <c r="H137" s="14"/>
      <c r="I137" s="14"/>
      <c r="J137" s="14"/>
      <c r="K137" s="14"/>
      <c r="L137" s="14"/>
      <c r="M137" s="98"/>
      <c r="N137" s="14"/>
      <c r="O137" s="14"/>
      <c r="P137" s="14"/>
      <c r="Q137" s="14"/>
      <c r="R137" s="14"/>
      <c r="S137" s="14"/>
      <c r="T137" s="14"/>
      <c r="U137" s="14"/>
      <c r="V137" s="14"/>
      <c r="W137" s="14"/>
      <c r="X137" s="14"/>
      <c r="Y137" s="14"/>
      <c r="Z137" s="14"/>
      <c r="AA137" s="14"/>
      <c r="AB137" s="14"/>
      <c r="AC137" s="14"/>
      <c r="AD137" s="14"/>
      <c r="AE137" s="14"/>
      <c r="AF137" s="14"/>
      <c r="AG137" s="14"/>
      <c r="AH137" s="1"/>
    </row>
    <row r="138" spans="1:34" ht="15">
      <c r="A138" s="8" t="s">
        <v>142</v>
      </c>
      <c r="B138" s="8" t="s">
        <v>143</v>
      </c>
      <c r="C138" s="372">
        <v>1</v>
      </c>
      <c r="D138" s="73">
        <v>2</v>
      </c>
      <c r="E138" s="73">
        <v>3</v>
      </c>
      <c r="F138" s="73">
        <v>4</v>
      </c>
      <c r="G138" s="73">
        <v>5</v>
      </c>
      <c r="H138" s="73">
        <v>6</v>
      </c>
      <c r="I138" s="73">
        <v>7</v>
      </c>
      <c r="J138" s="73">
        <v>8</v>
      </c>
      <c r="K138" s="73">
        <v>9</v>
      </c>
      <c r="L138" s="73">
        <v>10</v>
      </c>
      <c r="M138" s="73">
        <v>11</v>
      </c>
      <c r="N138" s="73">
        <v>12</v>
      </c>
      <c r="O138" s="73">
        <v>13</v>
      </c>
      <c r="P138" s="73">
        <v>14</v>
      </c>
      <c r="Q138" s="73">
        <v>15</v>
      </c>
      <c r="R138" s="73">
        <v>16</v>
      </c>
      <c r="S138" s="73">
        <v>17</v>
      </c>
      <c r="T138" s="73">
        <v>18</v>
      </c>
      <c r="U138" s="73">
        <v>19</v>
      </c>
      <c r="V138" s="73">
        <v>20</v>
      </c>
      <c r="W138" s="73">
        <v>21</v>
      </c>
      <c r="X138" s="73">
        <v>22</v>
      </c>
      <c r="Y138" s="73">
        <v>23</v>
      </c>
      <c r="Z138" s="73">
        <v>24</v>
      </c>
      <c r="AA138" s="73">
        <v>25</v>
      </c>
      <c r="AB138" s="73">
        <v>26</v>
      </c>
      <c r="AC138" s="73">
        <v>27</v>
      </c>
      <c r="AD138" s="73">
        <v>28</v>
      </c>
      <c r="AE138" s="73">
        <v>29</v>
      </c>
      <c r="AF138" s="73">
        <v>30</v>
      </c>
      <c r="AG138" s="73">
        <v>31</v>
      </c>
      <c r="AH138" s="87" t="s">
        <v>144</v>
      </c>
    </row>
    <row r="139" spans="1:34" ht="15">
      <c r="A139" s="363" t="s">
        <v>145</v>
      </c>
      <c r="B139" s="53">
        <f t="shared" ref="B139:B150" si="21">+AH139</f>
        <v>71.790999999999997</v>
      </c>
      <c r="C139" s="480">
        <v>0</v>
      </c>
      <c r="D139" s="480">
        <v>0.46</v>
      </c>
      <c r="E139" s="480">
        <v>4.0330000000000004</v>
      </c>
      <c r="F139" s="480">
        <v>4.641</v>
      </c>
      <c r="G139" s="480">
        <v>3.0369999999999999</v>
      </c>
      <c r="H139" s="480">
        <v>3.335</v>
      </c>
      <c r="I139" s="480">
        <v>1.498</v>
      </c>
      <c r="J139" s="480">
        <v>0.12</v>
      </c>
      <c r="K139" s="480">
        <v>3.323</v>
      </c>
      <c r="L139" s="480">
        <v>2.85</v>
      </c>
      <c r="M139" s="480">
        <v>0.16</v>
      </c>
      <c r="N139" s="480">
        <v>1.94</v>
      </c>
      <c r="O139" s="480">
        <v>1.59</v>
      </c>
      <c r="P139" s="480">
        <v>2.3450000000000002</v>
      </c>
      <c r="Q139" s="480">
        <v>0.14000000000000001</v>
      </c>
      <c r="R139" s="480">
        <v>1.86</v>
      </c>
      <c r="S139" s="480">
        <v>4.13</v>
      </c>
      <c r="T139" s="480">
        <v>3.1120000000000001</v>
      </c>
      <c r="U139" s="480">
        <v>1.71</v>
      </c>
      <c r="V139" s="480">
        <v>2.609</v>
      </c>
      <c r="W139" s="1121">
        <v>1.34</v>
      </c>
      <c r="X139" s="480">
        <v>0.41</v>
      </c>
      <c r="Y139" s="480">
        <v>3.1850000000000001</v>
      </c>
      <c r="Z139" s="480">
        <v>3.0049999999999999</v>
      </c>
      <c r="AA139" s="480">
        <v>3.78</v>
      </c>
      <c r="AB139" s="480">
        <v>3.2360000000000002</v>
      </c>
      <c r="AC139" s="480">
        <v>5.4649999999999999</v>
      </c>
      <c r="AD139" s="480">
        <v>0.76</v>
      </c>
      <c r="AE139" s="480">
        <v>0.13</v>
      </c>
      <c r="AF139" s="480">
        <v>3.6949999999999998</v>
      </c>
      <c r="AG139" s="480">
        <v>3.8919999999999999</v>
      </c>
      <c r="AH139" s="100">
        <f>SUM(C139:AG139)</f>
        <v>71.790999999999997</v>
      </c>
    </row>
    <row r="140" spans="1:34" ht="15">
      <c r="A140" s="363" t="s">
        <v>146</v>
      </c>
      <c r="B140" s="53">
        <f t="shared" si="21"/>
        <v>90.896000000000015</v>
      </c>
      <c r="C140" s="577">
        <v>4.32</v>
      </c>
      <c r="D140" s="480">
        <v>3.875</v>
      </c>
      <c r="E140" s="480">
        <v>4.3520000000000003</v>
      </c>
      <c r="F140" s="480">
        <v>3.37</v>
      </c>
      <c r="G140" s="480">
        <v>0.15</v>
      </c>
      <c r="H140" s="480">
        <v>2.403</v>
      </c>
      <c r="I140" s="480">
        <v>6.1449999999999996</v>
      </c>
      <c r="J140" s="480">
        <v>6.15</v>
      </c>
      <c r="K140" s="480">
        <v>6.75</v>
      </c>
      <c r="L140" s="480">
        <v>5.3710000000000004</v>
      </c>
      <c r="M140" s="480">
        <v>2.5099999999999998</v>
      </c>
      <c r="N140" s="480">
        <v>0.52</v>
      </c>
      <c r="O140" s="480">
        <v>2.73</v>
      </c>
      <c r="P140" s="480">
        <v>3.6480000000000001</v>
      </c>
      <c r="Q140" s="480">
        <v>3.4590000000000001</v>
      </c>
      <c r="R140" s="480">
        <v>3.6150000000000002</v>
      </c>
      <c r="S140" s="480">
        <v>3.395</v>
      </c>
      <c r="T140" s="480">
        <v>1.64</v>
      </c>
      <c r="U140" s="480">
        <v>0.93</v>
      </c>
      <c r="V140" s="480">
        <v>3.14</v>
      </c>
      <c r="W140" s="480">
        <v>3.3180000000000001</v>
      </c>
      <c r="X140" s="480">
        <v>3.9</v>
      </c>
      <c r="Y140" s="480">
        <v>3.0249999999999999</v>
      </c>
      <c r="Z140" s="480">
        <v>4.46</v>
      </c>
      <c r="AA140" s="480">
        <v>2.76</v>
      </c>
      <c r="AB140" s="480">
        <v>0.08</v>
      </c>
      <c r="AC140" s="480">
        <v>1.46</v>
      </c>
      <c r="AD140" s="480">
        <v>1.33</v>
      </c>
      <c r="AE140" s="480">
        <v>2.09</v>
      </c>
      <c r="AF140" s="480">
        <v>0</v>
      </c>
      <c r="AG140" s="480">
        <v>0</v>
      </c>
      <c r="AH140" s="100">
        <f t="shared" ref="AH140:AH150" si="22">SUM(C140:AG140)</f>
        <v>90.896000000000015</v>
      </c>
    </row>
    <row r="141" spans="1:34" ht="15">
      <c r="A141" s="363" t="s">
        <v>147</v>
      </c>
      <c r="B141" s="53">
        <f t="shared" si="21"/>
        <v>94.599000000000004</v>
      </c>
      <c r="C141" s="577">
        <v>1.65</v>
      </c>
      <c r="D141" s="480">
        <v>2.69</v>
      </c>
      <c r="E141" s="480">
        <v>0.56999999999999995</v>
      </c>
      <c r="F141" s="480">
        <v>0.03</v>
      </c>
      <c r="G141" s="480">
        <v>0.4</v>
      </c>
      <c r="H141" s="480">
        <v>1.93</v>
      </c>
      <c r="I141" s="480">
        <v>4.79</v>
      </c>
      <c r="J141" s="480">
        <v>4.6589999999999998</v>
      </c>
      <c r="K141" s="480">
        <v>4.1100000000000003</v>
      </c>
      <c r="L141" s="480">
        <v>0.48</v>
      </c>
      <c r="M141" s="480">
        <v>0</v>
      </c>
      <c r="N141" s="480">
        <v>3.16</v>
      </c>
      <c r="O141" s="480">
        <v>2.93</v>
      </c>
      <c r="P141" s="480">
        <v>3.875</v>
      </c>
      <c r="Q141" s="480">
        <v>6.1619999999999999</v>
      </c>
      <c r="R141" s="480">
        <v>5.51</v>
      </c>
      <c r="S141" s="480">
        <v>0.73</v>
      </c>
      <c r="T141" s="480">
        <v>0.03</v>
      </c>
      <c r="U141" s="480">
        <v>9.73</v>
      </c>
      <c r="V141" s="480">
        <v>5.13</v>
      </c>
      <c r="W141" s="480">
        <v>4.3899999999999997</v>
      </c>
      <c r="X141" s="480">
        <v>8.0500000000000007</v>
      </c>
      <c r="Y141" s="480">
        <v>3.83</v>
      </c>
      <c r="Z141" s="480">
        <v>0.83499999999999996</v>
      </c>
      <c r="AA141" s="480">
        <v>0.08</v>
      </c>
      <c r="AB141" s="480">
        <v>2.2799999999999998</v>
      </c>
      <c r="AC141" s="480">
        <v>2.5249999999999999</v>
      </c>
      <c r="AD141" s="480">
        <v>2.8780000000000001</v>
      </c>
      <c r="AE141" s="480">
        <v>4.8550000000000004</v>
      </c>
      <c r="AF141" s="480">
        <v>5.61</v>
      </c>
      <c r="AG141" s="480">
        <v>0.7</v>
      </c>
      <c r="AH141" s="100">
        <f t="shared" si="22"/>
        <v>94.599000000000004</v>
      </c>
    </row>
    <row r="142" spans="1:34" ht="15">
      <c r="A142" s="363" t="s">
        <v>148</v>
      </c>
      <c r="B142" s="53">
        <f t="shared" si="21"/>
        <v>60.407999999999994</v>
      </c>
      <c r="C142" s="1122">
        <v>0.2</v>
      </c>
      <c r="D142" s="1123">
        <v>4.407</v>
      </c>
      <c r="E142" s="1123">
        <v>7.4269999999999996</v>
      </c>
      <c r="F142" s="1123">
        <v>5.22</v>
      </c>
      <c r="G142" s="1123">
        <v>1.145</v>
      </c>
      <c r="H142" s="1123">
        <v>0.67</v>
      </c>
      <c r="I142" s="1123">
        <v>0.27</v>
      </c>
      <c r="J142" s="1123">
        <v>7.0000000000000007E-2</v>
      </c>
      <c r="K142" s="1123">
        <v>0.2</v>
      </c>
      <c r="L142" s="1123">
        <v>0</v>
      </c>
      <c r="M142" s="1123">
        <v>0.71</v>
      </c>
      <c r="N142" s="1123">
        <v>2.012</v>
      </c>
      <c r="O142" s="1123">
        <v>2.6240000000000001</v>
      </c>
      <c r="P142" s="1123">
        <v>0.32</v>
      </c>
      <c r="Q142" s="1123">
        <v>0.05</v>
      </c>
      <c r="R142" s="1123">
        <v>1.3480000000000001</v>
      </c>
      <c r="S142" s="1123">
        <v>0.78100000000000003</v>
      </c>
      <c r="T142" s="1123">
        <v>2.0179999999999998</v>
      </c>
      <c r="U142" s="1123">
        <v>3.19</v>
      </c>
      <c r="V142" s="1123">
        <v>4.8029999999999999</v>
      </c>
      <c r="W142" s="1123">
        <v>0.23</v>
      </c>
      <c r="X142" s="1123">
        <v>0</v>
      </c>
      <c r="Y142" s="1123">
        <v>5</v>
      </c>
      <c r="Z142" s="1123">
        <v>4.0549999999999997</v>
      </c>
      <c r="AA142" s="1123">
        <v>4.08</v>
      </c>
      <c r="AB142" s="1123">
        <v>2.645</v>
      </c>
      <c r="AC142" s="1123">
        <v>2.9649999999999999</v>
      </c>
      <c r="AD142" s="1123">
        <v>2.1949999999999998</v>
      </c>
      <c r="AE142" s="1123">
        <v>0.3</v>
      </c>
      <c r="AF142" s="1123">
        <v>1.4730000000000001</v>
      </c>
      <c r="AG142" s="1124">
        <v>0</v>
      </c>
      <c r="AH142" s="100">
        <f t="shared" si="22"/>
        <v>60.407999999999994</v>
      </c>
    </row>
    <row r="143" spans="1:34" ht="15">
      <c r="A143" s="363" t="s">
        <v>149</v>
      </c>
      <c r="B143" s="53">
        <f t="shared" si="21"/>
        <v>49.791999999999987</v>
      </c>
      <c r="C143" s="1125">
        <v>0.41</v>
      </c>
      <c r="D143" s="1126">
        <v>0.13</v>
      </c>
      <c r="E143" s="1126">
        <v>0.94499999999999995</v>
      </c>
      <c r="F143" s="1126">
        <v>0.61499999999999999</v>
      </c>
      <c r="G143" s="1126">
        <v>0.31</v>
      </c>
      <c r="H143" s="1126">
        <v>0.08</v>
      </c>
      <c r="I143" s="1126">
        <v>0.78200000000000003</v>
      </c>
      <c r="J143" s="1126">
        <v>2.4849999999999999</v>
      </c>
      <c r="K143" s="1126">
        <v>4.2119999999999997</v>
      </c>
      <c r="L143" s="1126">
        <v>3.0870000000000002</v>
      </c>
      <c r="M143" s="1126">
        <v>2.4849999999999999</v>
      </c>
      <c r="N143" s="1126">
        <v>0.78</v>
      </c>
      <c r="O143" s="1126">
        <v>0</v>
      </c>
      <c r="P143" s="1126">
        <v>1.04</v>
      </c>
      <c r="Q143" s="1126">
        <v>4.01</v>
      </c>
      <c r="R143" s="1126">
        <v>7.6349999999999998</v>
      </c>
      <c r="S143" s="1126">
        <v>3.9249999999999998</v>
      </c>
      <c r="T143" s="1126">
        <v>3.782</v>
      </c>
      <c r="U143" s="1126">
        <v>1.135</v>
      </c>
      <c r="V143" s="1126">
        <v>0</v>
      </c>
      <c r="W143" s="1126">
        <v>0.56999999999999995</v>
      </c>
      <c r="X143" s="1126">
        <v>2.1779999999999999</v>
      </c>
      <c r="Y143" s="1126">
        <v>3.7839999999999998</v>
      </c>
      <c r="Z143" s="1126">
        <v>2.9369999999999998</v>
      </c>
      <c r="AA143" s="1126">
        <v>0</v>
      </c>
      <c r="AB143" s="1126">
        <v>0</v>
      </c>
      <c r="AC143" s="1126">
        <v>0</v>
      </c>
      <c r="AD143" s="1126">
        <v>0</v>
      </c>
      <c r="AE143" s="1126">
        <v>2.2250000000000001</v>
      </c>
      <c r="AF143" s="1126">
        <v>0.15</v>
      </c>
      <c r="AG143" s="1127">
        <v>0.1</v>
      </c>
      <c r="AH143" s="100">
        <f t="shared" si="22"/>
        <v>49.791999999999987</v>
      </c>
    </row>
    <row r="144" spans="1:34" ht="15">
      <c r="A144" s="363" t="s">
        <v>150</v>
      </c>
      <c r="B144" s="53">
        <f t="shared" si="21"/>
        <v>66.816999999999993</v>
      </c>
      <c r="C144" s="577">
        <v>3.08</v>
      </c>
      <c r="D144" s="480">
        <v>1.84</v>
      </c>
      <c r="E144" s="480">
        <v>0</v>
      </c>
      <c r="F144" s="480">
        <v>0</v>
      </c>
      <c r="G144" s="480">
        <v>0</v>
      </c>
      <c r="H144" s="480">
        <v>3.8650000000000002</v>
      </c>
      <c r="I144" s="480">
        <v>3.07</v>
      </c>
      <c r="J144" s="480">
        <v>2.5569999999999999</v>
      </c>
      <c r="K144" s="480">
        <v>1.835</v>
      </c>
      <c r="L144" s="480">
        <v>0.03</v>
      </c>
      <c r="M144" s="480">
        <v>8.1809999999999992</v>
      </c>
      <c r="N144" s="480">
        <v>0</v>
      </c>
      <c r="O144" s="480">
        <v>0</v>
      </c>
      <c r="P144" s="480">
        <v>4.01</v>
      </c>
      <c r="Q144" s="480">
        <v>4.8150000000000004</v>
      </c>
      <c r="R144" s="480">
        <v>0.15</v>
      </c>
      <c r="S144" s="480">
        <v>0</v>
      </c>
      <c r="T144" s="480">
        <v>0</v>
      </c>
      <c r="U144" s="480">
        <v>3.3969999999999998</v>
      </c>
      <c r="V144" s="480">
        <v>2.75</v>
      </c>
      <c r="W144" s="480">
        <v>2.48</v>
      </c>
      <c r="X144" s="480">
        <v>0.93100000000000005</v>
      </c>
      <c r="Y144" s="480">
        <v>0.14000000000000001</v>
      </c>
      <c r="Z144" s="480">
        <v>0</v>
      </c>
      <c r="AA144" s="480">
        <v>1.65</v>
      </c>
      <c r="AB144" s="480">
        <v>2.75</v>
      </c>
      <c r="AC144" s="480">
        <v>5.9660000000000002</v>
      </c>
      <c r="AD144" s="480">
        <v>7.6050000000000004</v>
      </c>
      <c r="AE144" s="480">
        <v>5.0750000000000002</v>
      </c>
      <c r="AF144" s="480">
        <v>0.64</v>
      </c>
      <c r="AG144" s="480">
        <v>0</v>
      </c>
      <c r="AH144" s="100">
        <f t="shared" si="22"/>
        <v>66.816999999999993</v>
      </c>
    </row>
    <row r="145" spans="1:34" ht="15">
      <c r="A145" s="314" t="s">
        <v>151</v>
      </c>
      <c r="B145" s="3027">
        <f t="shared" si="21"/>
        <v>159.16900000000001</v>
      </c>
      <c r="C145" s="577">
        <v>0</v>
      </c>
      <c r="D145" s="480">
        <v>0</v>
      </c>
      <c r="E145" s="480">
        <v>0.36</v>
      </c>
      <c r="F145" s="480">
        <v>0.49</v>
      </c>
      <c r="G145" s="480">
        <v>3.9550000000000001</v>
      </c>
      <c r="H145" s="480">
        <v>6.28</v>
      </c>
      <c r="I145" s="480">
        <v>4.4969999999999999</v>
      </c>
      <c r="J145" s="480">
        <v>0.56999999999999995</v>
      </c>
      <c r="K145" s="480">
        <v>3.33</v>
      </c>
      <c r="L145" s="480">
        <v>2.0579999999999998</v>
      </c>
      <c r="M145" s="480">
        <v>0.65500000000000003</v>
      </c>
      <c r="N145" s="480">
        <v>10.407999999999999</v>
      </c>
      <c r="O145" s="480">
        <v>9.298</v>
      </c>
      <c r="P145" s="480">
        <v>0.95299999999999996</v>
      </c>
      <c r="Q145" s="480">
        <v>0.11</v>
      </c>
      <c r="R145" s="480">
        <v>6.585</v>
      </c>
      <c r="S145" s="480">
        <v>8.9260000000000002</v>
      </c>
      <c r="T145" s="480">
        <v>11.414999999999999</v>
      </c>
      <c r="U145" s="480">
        <v>6.8730000000000002</v>
      </c>
      <c r="V145" s="480">
        <v>10.81</v>
      </c>
      <c r="W145" s="480">
        <v>1.022</v>
      </c>
      <c r="X145" s="480">
        <v>0.25</v>
      </c>
      <c r="Y145" s="480">
        <v>15.29</v>
      </c>
      <c r="Z145" s="480">
        <v>17.878</v>
      </c>
      <c r="AA145" s="480">
        <v>2.8929999999999998</v>
      </c>
      <c r="AB145" s="480">
        <v>1.042</v>
      </c>
      <c r="AC145" s="480">
        <v>4.4169999999999998</v>
      </c>
      <c r="AD145" s="480">
        <v>0.06</v>
      </c>
      <c r="AE145" s="480">
        <v>0</v>
      </c>
      <c r="AF145" s="480">
        <v>13.212999999999999</v>
      </c>
      <c r="AG145" s="480">
        <v>15.531000000000001</v>
      </c>
      <c r="AH145" s="100">
        <f t="shared" si="22"/>
        <v>159.16900000000001</v>
      </c>
    </row>
    <row r="146" spans="1:34" ht="15">
      <c r="A146" s="314" t="s">
        <v>152</v>
      </c>
      <c r="B146" s="3027">
        <f t="shared" si="21"/>
        <v>524.28300000000002</v>
      </c>
      <c r="C146" s="577">
        <v>0.29499999999999998</v>
      </c>
      <c r="D146" s="480">
        <v>0</v>
      </c>
      <c r="E146" s="480">
        <v>3.77</v>
      </c>
      <c r="F146" s="480">
        <v>9.4009999999999998</v>
      </c>
      <c r="G146" s="480">
        <v>0.28499999999999998</v>
      </c>
      <c r="H146" s="480">
        <v>19.553999999999998</v>
      </c>
      <c r="I146" s="480">
        <v>19.940000000000001</v>
      </c>
      <c r="J146" s="480">
        <v>16.45</v>
      </c>
      <c r="K146" s="480">
        <v>11.554</v>
      </c>
      <c r="L146" s="480">
        <v>15.775</v>
      </c>
      <c r="M146" s="480">
        <v>6.8000000000000005E-2</v>
      </c>
      <c r="N146" s="480">
        <v>0</v>
      </c>
      <c r="O146" s="480">
        <v>8.4700000000000006</v>
      </c>
      <c r="P146" s="480">
        <v>26.27</v>
      </c>
      <c r="Q146" s="576">
        <v>2.94</v>
      </c>
      <c r="R146" s="576">
        <v>0</v>
      </c>
      <c r="S146" s="576">
        <v>5.3949999999999996</v>
      </c>
      <c r="T146" s="576">
        <v>30.082000000000001</v>
      </c>
      <c r="U146" s="576">
        <v>9.5000000000000001E-2</v>
      </c>
      <c r="V146" s="576">
        <v>41.625</v>
      </c>
      <c r="W146" s="576">
        <v>28.834</v>
      </c>
      <c r="X146" s="576">
        <v>17.712</v>
      </c>
      <c r="Y146" s="576">
        <v>33.005000000000003</v>
      </c>
      <c r="Z146" s="576">
        <v>31.425999999999998</v>
      </c>
      <c r="AA146" s="576">
        <v>0.03</v>
      </c>
      <c r="AB146" s="576">
        <v>0.25</v>
      </c>
      <c r="AC146" s="576">
        <v>37.844000000000001</v>
      </c>
      <c r="AD146" s="576">
        <v>39.235999999999997</v>
      </c>
      <c r="AE146" s="576">
        <v>35.975000000000001</v>
      </c>
      <c r="AF146" s="576">
        <v>45.375999999999998</v>
      </c>
      <c r="AG146" s="576">
        <v>42.625999999999998</v>
      </c>
      <c r="AH146" s="100">
        <f t="shared" si="22"/>
        <v>524.28300000000002</v>
      </c>
    </row>
    <row r="147" spans="1:34" ht="15">
      <c r="A147" s="314" t="s">
        <v>153</v>
      </c>
      <c r="B147" s="3027">
        <f t="shared" si="21"/>
        <v>0</v>
      </c>
      <c r="C147" s="188" t="s">
        <v>318</v>
      </c>
      <c r="D147" s="188" t="s">
        <v>318</v>
      </c>
      <c r="E147" s="188" t="s">
        <v>318</v>
      </c>
      <c r="F147" s="188" t="s">
        <v>318</v>
      </c>
      <c r="G147" s="188" t="s">
        <v>318</v>
      </c>
      <c r="H147" s="188" t="s">
        <v>318</v>
      </c>
      <c r="I147" s="188" t="s">
        <v>318</v>
      </c>
      <c r="J147" s="188" t="s">
        <v>318</v>
      </c>
      <c r="K147" s="188" t="s">
        <v>318</v>
      </c>
      <c r="L147" s="188" t="s">
        <v>318</v>
      </c>
      <c r="M147" s="188" t="s">
        <v>318</v>
      </c>
      <c r="N147" s="188" t="s">
        <v>318</v>
      </c>
      <c r="O147" s="188" t="s">
        <v>318</v>
      </c>
      <c r="P147" s="188" t="s">
        <v>318</v>
      </c>
      <c r="Q147" s="188" t="s">
        <v>318</v>
      </c>
      <c r="R147" s="188" t="s">
        <v>318</v>
      </c>
      <c r="S147" s="188" t="s">
        <v>318</v>
      </c>
      <c r="T147" s="188" t="s">
        <v>318</v>
      </c>
      <c r="U147" s="188" t="s">
        <v>318</v>
      </c>
      <c r="V147" s="188" t="s">
        <v>318</v>
      </c>
      <c r="W147" s="188" t="s">
        <v>318</v>
      </c>
      <c r="X147" s="188" t="s">
        <v>318</v>
      </c>
      <c r="Y147" s="188" t="s">
        <v>318</v>
      </c>
      <c r="Z147" s="188" t="s">
        <v>318</v>
      </c>
      <c r="AA147" s="188" t="s">
        <v>318</v>
      </c>
      <c r="AB147" s="188" t="s">
        <v>318</v>
      </c>
      <c r="AC147" s="188" t="s">
        <v>318</v>
      </c>
      <c r="AD147" s="188" t="s">
        <v>318</v>
      </c>
      <c r="AE147" s="188" t="s">
        <v>318</v>
      </c>
      <c r="AF147" s="188" t="s">
        <v>318</v>
      </c>
      <c r="AG147" s="188" t="s">
        <v>318</v>
      </c>
      <c r="AH147" s="100">
        <f t="shared" si="22"/>
        <v>0</v>
      </c>
    </row>
    <row r="148" spans="1:34" ht="15">
      <c r="A148" s="314" t="s">
        <v>154</v>
      </c>
      <c r="B148" s="3027">
        <f t="shared" si="21"/>
        <v>894.9499999999997</v>
      </c>
      <c r="C148" s="577">
        <v>43.314999999999998</v>
      </c>
      <c r="D148" s="480">
        <v>35.896999999999998</v>
      </c>
      <c r="E148" s="480">
        <v>50.637</v>
      </c>
      <c r="F148" s="480">
        <v>69.680999999999997</v>
      </c>
      <c r="G148" s="480">
        <v>51.267000000000003</v>
      </c>
      <c r="H148" s="480">
        <v>1</v>
      </c>
      <c r="I148" s="480">
        <v>8.5000000000000006E-2</v>
      </c>
      <c r="J148" s="480">
        <v>59.048000000000002</v>
      </c>
      <c r="K148" s="480">
        <v>55.35</v>
      </c>
      <c r="L148" s="480">
        <v>26.443999999999999</v>
      </c>
      <c r="M148" s="480">
        <v>24.454000000000001</v>
      </c>
      <c r="N148" s="99">
        <v>43.95</v>
      </c>
      <c r="O148" s="99">
        <v>2.0699999999999998</v>
      </c>
      <c r="P148" s="99">
        <v>0</v>
      </c>
      <c r="Q148" s="99">
        <v>28.388000000000002</v>
      </c>
      <c r="R148" s="99">
        <v>30.969000000000001</v>
      </c>
      <c r="S148" s="99">
        <v>40.994</v>
      </c>
      <c r="T148" s="99">
        <v>42.271000000000001</v>
      </c>
      <c r="U148" s="99">
        <v>38.159999999999997</v>
      </c>
      <c r="V148" s="99">
        <v>0.64</v>
      </c>
      <c r="W148" s="99">
        <v>0</v>
      </c>
      <c r="X148" s="99">
        <v>32.280999999999999</v>
      </c>
      <c r="Y148" s="99">
        <v>49.018999999999998</v>
      </c>
      <c r="Z148" s="99">
        <v>45.192</v>
      </c>
      <c r="AA148" s="99">
        <v>36.548000000000002</v>
      </c>
      <c r="AB148" s="99">
        <v>34.853000000000002</v>
      </c>
      <c r="AC148" s="99">
        <v>0.36</v>
      </c>
      <c r="AD148" s="99">
        <v>1.4999999999999999E-2</v>
      </c>
      <c r="AE148" s="99">
        <v>20.327000000000002</v>
      </c>
      <c r="AF148" s="99">
        <v>25.459</v>
      </c>
      <c r="AG148" s="99">
        <v>6.2759999999999998</v>
      </c>
      <c r="AH148" s="100">
        <f t="shared" si="22"/>
        <v>894.9499999999997</v>
      </c>
    </row>
    <row r="149" spans="1:34" ht="15">
      <c r="A149" s="314" t="s">
        <v>155</v>
      </c>
      <c r="B149" s="53">
        <f>+AH149</f>
        <v>160.68100000000004</v>
      </c>
      <c r="C149" s="577">
        <v>0</v>
      </c>
      <c r="D149" s="480">
        <v>0</v>
      </c>
      <c r="E149" s="480">
        <v>0</v>
      </c>
      <c r="F149" s="480">
        <v>0</v>
      </c>
      <c r="G149" s="480">
        <v>0</v>
      </c>
      <c r="H149" s="480">
        <v>0</v>
      </c>
      <c r="I149" s="480">
        <v>0</v>
      </c>
      <c r="J149" s="480">
        <v>0</v>
      </c>
      <c r="K149" s="480">
        <v>0</v>
      </c>
      <c r="L149" s="480">
        <v>0</v>
      </c>
      <c r="M149" s="480">
        <v>0</v>
      </c>
      <c r="N149" s="99">
        <v>0</v>
      </c>
      <c r="O149" s="99">
        <v>0</v>
      </c>
      <c r="P149" s="99">
        <v>0</v>
      </c>
      <c r="Q149" s="99">
        <v>13.704000000000001</v>
      </c>
      <c r="R149" s="99">
        <v>19.623999999999999</v>
      </c>
      <c r="S149" s="99">
        <v>0.25</v>
      </c>
      <c r="T149" s="99">
        <v>7.8E-2</v>
      </c>
      <c r="U149" s="99">
        <v>16.521999999999998</v>
      </c>
      <c r="V149" s="99">
        <v>20.719000000000001</v>
      </c>
      <c r="W149" s="99">
        <v>12.782999999999999</v>
      </c>
      <c r="X149" s="99">
        <v>10.852</v>
      </c>
      <c r="Y149" s="99">
        <v>0</v>
      </c>
      <c r="Z149" s="99">
        <v>0</v>
      </c>
      <c r="AA149" s="99">
        <v>0.05</v>
      </c>
      <c r="AB149" s="99">
        <v>14.897</v>
      </c>
      <c r="AC149" s="99">
        <v>16.198</v>
      </c>
      <c r="AD149" s="99">
        <v>16.292999999999999</v>
      </c>
      <c r="AE149" s="99">
        <v>18.710999999999999</v>
      </c>
      <c r="AF149" s="99">
        <v>0</v>
      </c>
      <c r="AG149" s="99">
        <v>0</v>
      </c>
      <c r="AH149" s="100">
        <f t="shared" si="22"/>
        <v>160.68100000000004</v>
      </c>
    </row>
    <row r="150" spans="1:34" ht="15">
      <c r="A150" s="314" t="s">
        <v>156</v>
      </c>
      <c r="B150" s="53">
        <f t="shared" si="21"/>
        <v>46.976000000000006</v>
      </c>
      <c r="C150" s="577">
        <v>0</v>
      </c>
      <c r="D150" s="480">
        <v>0</v>
      </c>
      <c r="E150" s="480">
        <v>0</v>
      </c>
      <c r="F150" s="480">
        <v>0</v>
      </c>
      <c r="G150" s="480">
        <v>0</v>
      </c>
      <c r="H150" s="480">
        <v>0</v>
      </c>
      <c r="I150" s="480">
        <v>0</v>
      </c>
      <c r="J150" s="480">
        <v>0</v>
      </c>
      <c r="K150" s="480">
        <v>0</v>
      </c>
      <c r="L150" s="480">
        <v>0.41699999999999982</v>
      </c>
      <c r="M150" s="480">
        <v>0.95599999999999952</v>
      </c>
      <c r="N150" s="99">
        <v>0</v>
      </c>
      <c r="O150" s="99">
        <v>0.15</v>
      </c>
      <c r="P150" s="99">
        <v>7.979000000000001</v>
      </c>
      <c r="Q150" s="99">
        <v>0.22700000000000001</v>
      </c>
      <c r="R150" s="99">
        <v>0.36299999999999999</v>
      </c>
      <c r="S150" s="99">
        <v>0</v>
      </c>
      <c r="T150" s="99">
        <v>0</v>
      </c>
      <c r="U150" s="99">
        <v>0</v>
      </c>
      <c r="V150" s="99">
        <v>2.15</v>
      </c>
      <c r="W150" s="99">
        <v>12.124000000000001</v>
      </c>
      <c r="X150" s="99">
        <v>1.1499999999999999</v>
      </c>
      <c r="Y150" s="99">
        <v>0.19</v>
      </c>
      <c r="Z150" s="99">
        <v>4.9370000000000003</v>
      </c>
      <c r="AA150" s="99">
        <v>0.2</v>
      </c>
      <c r="AB150" s="99">
        <v>0.44500000000000001</v>
      </c>
      <c r="AC150" s="99">
        <v>0.26800000000000002</v>
      </c>
      <c r="AD150" s="99">
        <v>6.7380000000000004</v>
      </c>
      <c r="AE150" s="99">
        <v>4.3620000000000001</v>
      </c>
      <c r="AF150" s="99">
        <v>0.12</v>
      </c>
      <c r="AG150" s="99">
        <v>4.2</v>
      </c>
      <c r="AH150" s="100">
        <f t="shared" si="22"/>
        <v>46.976000000000006</v>
      </c>
    </row>
    <row r="151" spans="1:34" ht="15">
      <c r="A151" s="200" t="s">
        <v>111</v>
      </c>
      <c r="B151" s="232">
        <f t="shared" ref="B151:AH151" si="23">SUM(B139:B150)</f>
        <v>2220.3620000000001</v>
      </c>
      <c r="C151" s="100">
        <f>SUM(C139:C150)</f>
        <v>53.269999999999996</v>
      </c>
      <c r="D151" s="100">
        <f t="shared" si="23"/>
        <v>49.298999999999999</v>
      </c>
      <c r="E151" s="100">
        <f t="shared" si="23"/>
        <v>72.093999999999994</v>
      </c>
      <c r="F151" s="100">
        <f t="shared" si="23"/>
        <v>93.447999999999993</v>
      </c>
      <c r="G151" s="100">
        <f t="shared" si="23"/>
        <v>60.549000000000007</v>
      </c>
      <c r="H151" s="100">
        <f t="shared" si="23"/>
        <v>39.116999999999997</v>
      </c>
      <c r="I151" s="100">
        <f t="shared" si="23"/>
        <v>41.077000000000005</v>
      </c>
      <c r="J151" s="100">
        <f t="shared" si="23"/>
        <v>92.109000000000009</v>
      </c>
      <c r="K151" s="100">
        <f t="shared" si="23"/>
        <v>90.664000000000001</v>
      </c>
      <c r="L151" s="100">
        <f t="shared" si="23"/>
        <v>56.512</v>
      </c>
      <c r="M151" s="100">
        <f t="shared" si="23"/>
        <v>40.179000000000002</v>
      </c>
      <c r="N151" s="100">
        <f t="shared" si="23"/>
        <v>62.77</v>
      </c>
      <c r="O151" s="100">
        <f t="shared" si="23"/>
        <v>29.862000000000002</v>
      </c>
      <c r="P151" s="100">
        <f t="shared" si="23"/>
        <v>50.44</v>
      </c>
      <c r="Q151" s="100">
        <f t="shared" si="23"/>
        <v>64.004999999999995</v>
      </c>
      <c r="R151" s="100">
        <f t="shared" si="23"/>
        <v>77.658999999999992</v>
      </c>
      <c r="S151" s="100">
        <f t="shared" si="23"/>
        <v>68.525999999999996</v>
      </c>
      <c r="T151" s="100">
        <f t="shared" si="23"/>
        <v>94.427999999999997</v>
      </c>
      <c r="U151" s="100">
        <f t="shared" si="23"/>
        <v>81.74199999999999</v>
      </c>
      <c r="V151" s="100">
        <f t="shared" si="23"/>
        <v>94.376000000000005</v>
      </c>
      <c r="W151" s="100">
        <f t="shared" si="23"/>
        <v>67.090999999999994</v>
      </c>
      <c r="X151" s="100">
        <f t="shared" si="23"/>
        <v>77.713999999999999</v>
      </c>
      <c r="Y151" s="100">
        <f t="shared" si="23"/>
        <v>116.46799999999999</v>
      </c>
      <c r="Z151" s="100">
        <f t="shared" si="23"/>
        <v>114.72500000000001</v>
      </c>
      <c r="AA151" s="100">
        <f t="shared" si="23"/>
        <v>52.070999999999998</v>
      </c>
      <c r="AB151" s="100">
        <f t="shared" si="23"/>
        <v>62.478000000000002</v>
      </c>
      <c r="AC151" s="100">
        <f t="shared" si="23"/>
        <v>77.468000000000004</v>
      </c>
      <c r="AD151" s="100">
        <f t="shared" si="23"/>
        <v>77.11</v>
      </c>
      <c r="AE151" s="100">
        <f t="shared" si="23"/>
        <v>94.05</v>
      </c>
      <c r="AF151" s="100">
        <f t="shared" si="23"/>
        <v>95.736000000000004</v>
      </c>
      <c r="AG151" s="100">
        <f t="shared" si="23"/>
        <v>73.325000000000003</v>
      </c>
      <c r="AH151" s="100">
        <f t="shared" si="23"/>
        <v>2220.3620000000001</v>
      </c>
    </row>
    <row r="152" spans="1:34" ht="15">
      <c r="A152" s="49"/>
      <c r="B152" s="49"/>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5">
      <c r="A153" s="3873" t="s">
        <v>137</v>
      </c>
      <c r="B153" s="3874"/>
      <c r="C153" s="3874"/>
      <c r="D153" s="3874"/>
      <c r="E153" s="3874"/>
      <c r="F153" s="3874"/>
      <c r="G153" s="3874"/>
      <c r="H153" s="3874"/>
      <c r="I153" s="3874"/>
      <c r="J153" s="3874"/>
      <c r="K153" s="3874"/>
      <c r="L153" s="3874"/>
      <c r="M153" s="3874"/>
      <c r="N153" s="3874"/>
      <c r="O153" s="3874"/>
      <c r="P153" s="3874"/>
      <c r="Q153" s="3874"/>
      <c r="R153" s="3875"/>
      <c r="S153" s="14"/>
      <c r="T153" s="114"/>
      <c r="U153" s="14"/>
      <c r="V153" s="14"/>
      <c r="W153" s="14"/>
      <c r="X153" s="14"/>
      <c r="Y153" s="14"/>
      <c r="Z153" s="14"/>
      <c r="AA153" s="14"/>
      <c r="AB153" s="14"/>
      <c r="AC153" s="14"/>
      <c r="AD153" s="14"/>
      <c r="AE153" s="14"/>
      <c r="AF153" s="14"/>
      <c r="AG153" s="14"/>
      <c r="AH153" s="1"/>
    </row>
    <row r="154" spans="1:34" ht="5.0999999999999996" customHeight="1">
      <c r="A154" s="14"/>
      <c r="B154" s="14"/>
      <c r="C154" s="14"/>
      <c r="D154" s="14"/>
      <c r="E154" s="14"/>
      <c r="F154" s="14"/>
      <c r="G154" s="14"/>
      <c r="H154" s="14"/>
      <c r="I154" s="14"/>
      <c r="J154" s="14"/>
      <c r="K154" s="14"/>
      <c r="L154" s="14"/>
      <c r="M154" s="98"/>
      <c r="N154" s="14"/>
      <c r="O154" s="14"/>
      <c r="P154" s="14"/>
      <c r="Q154" s="14"/>
      <c r="R154" s="14"/>
      <c r="S154" s="14"/>
      <c r="T154" s="14"/>
      <c r="U154" s="14"/>
      <c r="V154" s="14"/>
      <c r="W154" s="14"/>
      <c r="X154" s="14"/>
      <c r="Y154" s="14"/>
      <c r="Z154" s="14"/>
      <c r="AA154" s="14"/>
      <c r="AB154" s="14"/>
      <c r="AC154" s="14"/>
      <c r="AD154" s="14"/>
      <c r="AE154" s="14"/>
      <c r="AF154" s="14"/>
      <c r="AG154" s="14"/>
      <c r="AH154" s="1"/>
    </row>
    <row r="155" spans="1:34" ht="15">
      <c r="A155" s="3854" t="s">
        <v>132</v>
      </c>
      <c r="B155" s="3855"/>
      <c r="C155" s="3856"/>
      <c r="D155" s="14"/>
      <c r="E155" s="14"/>
      <c r="F155" s="14"/>
      <c r="G155" s="14"/>
      <c r="H155" s="14"/>
      <c r="I155" s="14"/>
      <c r="J155" s="14"/>
      <c r="K155" s="14"/>
      <c r="L155" s="14"/>
      <c r="M155" s="98"/>
      <c r="N155" s="14"/>
      <c r="O155" s="14"/>
      <c r="P155" s="14"/>
      <c r="Q155" s="14"/>
      <c r="R155" s="14"/>
      <c r="S155" s="14"/>
      <c r="T155" s="14"/>
      <c r="U155" s="14"/>
      <c r="V155" s="14"/>
      <c r="W155" s="14"/>
      <c r="X155" s="14"/>
      <c r="Y155" s="14"/>
      <c r="Z155" s="14"/>
      <c r="AA155" s="14"/>
      <c r="AB155" s="14"/>
      <c r="AC155" s="14"/>
      <c r="AD155" s="14"/>
      <c r="AE155" s="14"/>
      <c r="AF155" s="14"/>
      <c r="AG155" s="14"/>
      <c r="AH155" s="1"/>
    </row>
    <row r="156" spans="1:34" ht="15">
      <c r="A156" s="8" t="s">
        <v>142</v>
      </c>
      <c r="B156" s="8" t="s">
        <v>143</v>
      </c>
      <c r="C156" s="73">
        <v>1</v>
      </c>
      <c r="D156" s="73">
        <v>2</v>
      </c>
      <c r="E156" s="73">
        <v>3</v>
      </c>
      <c r="F156" s="73">
        <v>4</v>
      </c>
      <c r="G156" s="73">
        <v>5</v>
      </c>
      <c r="H156" s="73">
        <v>6</v>
      </c>
      <c r="I156" s="73">
        <v>7</v>
      </c>
      <c r="J156" s="73">
        <v>8</v>
      </c>
      <c r="K156" s="73">
        <v>9</v>
      </c>
      <c r="L156" s="73">
        <v>10</v>
      </c>
      <c r="M156" s="73">
        <v>11</v>
      </c>
      <c r="N156" s="73">
        <v>12</v>
      </c>
      <c r="O156" s="73">
        <v>13</v>
      </c>
      <c r="P156" s="73">
        <v>14</v>
      </c>
      <c r="Q156" s="73">
        <v>15</v>
      </c>
      <c r="R156" s="73">
        <v>16</v>
      </c>
      <c r="S156" s="73">
        <v>17</v>
      </c>
      <c r="T156" s="73">
        <v>18</v>
      </c>
      <c r="U156" s="73">
        <v>19</v>
      </c>
      <c r="V156" s="73">
        <v>20</v>
      </c>
      <c r="W156" s="73">
        <v>21</v>
      </c>
      <c r="X156" s="73">
        <v>22</v>
      </c>
      <c r="Y156" s="73">
        <v>23</v>
      </c>
      <c r="Z156" s="73">
        <v>24</v>
      </c>
      <c r="AA156" s="73">
        <v>25</v>
      </c>
      <c r="AB156" s="73">
        <v>26</v>
      </c>
      <c r="AC156" s="73">
        <v>27</v>
      </c>
      <c r="AD156" s="73">
        <v>28</v>
      </c>
      <c r="AE156" s="73">
        <v>29</v>
      </c>
      <c r="AF156" s="73">
        <v>30</v>
      </c>
      <c r="AG156" s="73">
        <v>31</v>
      </c>
      <c r="AH156" s="87" t="s">
        <v>144</v>
      </c>
    </row>
    <row r="157" spans="1:34" ht="15">
      <c r="A157" s="363" t="s">
        <v>145</v>
      </c>
      <c r="B157" s="162">
        <f t="shared" ref="B157:B168" si="24">+AH157</f>
        <v>0.251</v>
      </c>
      <c r="C157" s="449"/>
      <c r="D157" s="450"/>
      <c r="E157" s="450">
        <v>2.5000000000000001E-2</v>
      </c>
      <c r="F157" s="450">
        <v>0.03</v>
      </c>
      <c r="G157" s="450"/>
      <c r="H157" s="450">
        <v>5.0000000000000001E-3</v>
      </c>
      <c r="I157" s="450"/>
      <c r="J157" s="450">
        <v>4.8000000000000001E-2</v>
      </c>
      <c r="K157" s="450"/>
      <c r="L157" s="450">
        <v>7.0000000000000007E-2</v>
      </c>
      <c r="M157" s="450"/>
      <c r="N157" s="450"/>
      <c r="O157" s="450"/>
      <c r="P157" s="450">
        <v>5.0000000000000001E-3</v>
      </c>
      <c r="Q157" s="451"/>
      <c r="R157" s="450">
        <v>4.3999999999999997E-2</v>
      </c>
      <c r="S157" s="450"/>
      <c r="T157" s="450">
        <v>6.0000000000000001E-3</v>
      </c>
      <c r="U157" s="452">
        <v>4.0000000000000001E-3</v>
      </c>
      <c r="V157" s="452"/>
      <c r="W157" s="452">
        <v>6.0000000000000001E-3</v>
      </c>
      <c r="X157" s="452">
        <v>5.0000000000000001E-3</v>
      </c>
      <c r="Y157" s="450"/>
      <c r="Z157" s="450"/>
      <c r="AA157" s="450"/>
      <c r="AB157" s="450"/>
      <c r="AC157" s="450"/>
      <c r="AD157" s="450"/>
      <c r="AE157" s="450"/>
      <c r="AF157" s="450">
        <v>3.0000000000000001E-3</v>
      </c>
      <c r="AG157" s="450"/>
      <c r="AH157" s="100">
        <f>SUM(C157:AG157)</f>
        <v>0.251</v>
      </c>
    </row>
    <row r="158" spans="1:34" ht="15">
      <c r="A158" s="363" t="s">
        <v>146</v>
      </c>
      <c r="B158" s="162">
        <f t="shared" si="24"/>
        <v>6.2E-2</v>
      </c>
      <c r="C158" s="449"/>
      <c r="D158" s="450"/>
      <c r="E158" s="450"/>
      <c r="F158" s="450"/>
      <c r="G158" s="450"/>
      <c r="H158" s="450"/>
      <c r="I158" s="450">
        <v>6.0000000000000001E-3</v>
      </c>
      <c r="J158" s="450">
        <v>4.0000000000000001E-3</v>
      </c>
      <c r="K158" s="450"/>
      <c r="L158" s="450"/>
      <c r="M158" s="450"/>
      <c r="N158" s="450"/>
      <c r="O158" s="450"/>
      <c r="P158" s="450">
        <v>7.0000000000000001E-3</v>
      </c>
      <c r="Q158" s="450"/>
      <c r="R158" s="450">
        <v>3.0000000000000001E-3</v>
      </c>
      <c r="S158" s="450"/>
      <c r="T158" s="450"/>
      <c r="U158" s="450"/>
      <c r="V158" s="450">
        <v>1.0999999999999999E-2</v>
      </c>
      <c r="W158" s="450">
        <v>1.6E-2</v>
      </c>
      <c r="X158" s="450"/>
      <c r="Y158" s="450"/>
      <c r="Z158" s="450">
        <v>8.0000000000000002E-3</v>
      </c>
      <c r="AA158" s="450"/>
      <c r="AB158" s="450">
        <v>7.0000000000000001E-3</v>
      </c>
      <c r="AC158" s="450"/>
      <c r="AD158" s="450"/>
      <c r="AE158" s="450"/>
      <c r="AF158" s="450"/>
      <c r="AG158" s="450"/>
      <c r="AH158" s="100">
        <f t="shared" ref="AH158:AH168" si="25">SUM(C158:AG158)</f>
        <v>6.2E-2</v>
      </c>
    </row>
    <row r="159" spans="1:34" ht="15">
      <c r="A159" s="363" t="s">
        <v>147</v>
      </c>
      <c r="B159" s="162">
        <f t="shared" si="24"/>
        <v>0.39900000000000008</v>
      </c>
      <c r="C159" s="820"/>
      <c r="D159" s="450">
        <v>2.8000000000000001E-2</v>
      </c>
      <c r="E159" s="644">
        <v>5.6000000000000001E-2</v>
      </c>
      <c r="F159" s="644"/>
      <c r="G159" s="644"/>
      <c r="H159" s="644"/>
      <c r="I159" s="644"/>
      <c r="J159" s="644"/>
      <c r="K159" s="644"/>
      <c r="L159" s="644"/>
      <c r="M159" s="644"/>
      <c r="N159" s="644"/>
      <c r="O159" s="644">
        <v>6.3E-2</v>
      </c>
      <c r="P159" s="644"/>
      <c r="Q159" s="644">
        <v>5.6000000000000001E-2</v>
      </c>
      <c r="R159" s="451"/>
      <c r="S159" s="644"/>
      <c r="T159" s="644"/>
      <c r="U159" s="644"/>
      <c r="V159" s="644"/>
      <c r="W159" s="644"/>
      <c r="X159" s="644"/>
      <c r="Y159" s="644"/>
      <c r="Z159" s="644"/>
      <c r="AA159" s="644">
        <v>8.4000000000000005E-2</v>
      </c>
      <c r="AB159" s="644">
        <v>2.8000000000000001E-2</v>
      </c>
      <c r="AC159" s="644">
        <v>1.4999999999999999E-2</v>
      </c>
      <c r="AD159" s="644">
        <v>4.1000000000000002E-2</v>
      </c>
      <c r="AE159" s="644"/>
      <c r="AF159" s="644"/>
      <c r="AG159" s="644">
        <v>2.8000000000000001E-2</v>
      </c>
      <c r="AH159" s="100">
        <f t="shared" si="25"/>
        <v>0.39900000000000008</v>
      </c>
    </row>
    <row r="160" spans="1:34" ht="15">
      <c r="A160" s="363" t="s">
        <v>148</v>
      </c>
      <c r="B160" s="162">
        <f t="shared" si="24"/>
        <v>0.33599999999999997</v>
      </c>
      <c r="C160" s="820"/>
      <c r="D160" s="450"/>
      <c r="E160" s="644"/>
      <c r="F160" s="644">
        <v>4.0000000000000001E-3</v>
      </c>
      <c r="G160" s="644">
        <v>3.0000000000000001E-3</v>
      </c>
      <c r="H160" s="644">
        <v>4.0000000000000001E-3</v>
      </c>
      <c r="I160" s="644">
        <v>6.0000000000000001E-3</v>
      </c>
      <c r="J160" s="644">
        <v>1.2E-2</v>
      </c>
      <c r="K160" s="644">
        <v>4.4999999999999998E-2</v>
      </c>
      <c r="L160" s="644">
        <v>0.01</v>
      </c>
      <c r="M160" s="847"/>
      <c r="N160" s="847"/>
      <c r="O160" s="847"/>
      <c r="P160" s="847"/>
      <c r="Q160" s="847"/>
      <c r="R160" s="847"/>
      <c r="S160" s="847"/>
      <c r="T160" s="847"/>
      <c r="U160" s="847">
        <v>0.03</v>
      </c>
      <c r="V160" s="847"/>
      <c r="W160" s="847">
        <v>4.7E-2</v>
      </c>
      <c r="X160" s="847"/>
      <c r="Y160" s="847">
        <v>0.02</v>
      </c>
      <c r="Z160" s="847"/>
      <c r="AA160" s="847">
        <v>0.125</v>
      </c>
      <c r="AB160" s="847"/>
      <c r="AC160" s="847">
        <v>0.03</v>
      </c>
      <c r="AD160" s="644"/>
      <c r="AE160" s="644"/>
      <c r="AF160" s="644"/>
      <c r="AG160" s="644"/>
      <c r="AH160" s="100">
        <f t="shared" si="25"/>
        <v>0.33599999999999997</v>
      </c>
    </row>
    <row r="161" spans="1:34" ht="15">
      <c r="A161" s="363" t="s">
        <v>149</v>
      </c>
      <c r="B161" s="162">
        <f t="shared" si="24"/>
        <v>0.24999999999999994</v>
      </c>
      <c r="C161" s="820"/>
      <c r="D161" s="450"/>
      <c r="E161" s="644"/>
      <c r="F161" s="644"/>
      <c r="G161" s="644">
        <v>1.7999999999999999E-2</v>
      </c>
      <c r="H161" s="644">
        <v>0.13</v>
      </c>
      <c r="I161" s="644">
        <v>1.7999999999999999E-2</v>
      </c>
      <c r="J161" s="644">
        <v>1.7999999999999999E-2</v>
      </c>
      <c r="K161" s="644">
        <v>2.5000000000000001E-2</v>
      </c>
      <c r="L161" s="921">
        <v>1.7999999999999999E-2</v>
      </c>
      <c r="M161" s="922">
        <v>1.6E-2</v>
      </c>
      <c r="N161" s="922">
        <v>7.0000000000000001E-3</v>
      </c>
      <c r="O161" s="922"/>
      <c r="P161" s="922"/>
      <c r="Q161" s="922"/>
      <c r="R161" s="922"/>
      <c r="S161" s="922"/>
      <c r="T161" s="922"/>
      <c r="U161" s="922"/>
      <c r="V161" s="922"/>
      <c r="W161" s="922"/>
      <c r="X161" s="922"/>
      <c r="Y161" s="922"/>
      <c r="Z161" s="922"/>
      <c r="AA161" s="922"/>
      <c r="AB161" s="922"/>
      <c r="AC161" s="922"/>
      <c r="AD161"/>
      <c r="AE161" s="644"/>
      <c r="AF161" s="644"/>
      <c r="AG161" s="644"/>
      <c r="AH161" s="100">
        <f t="shared" si="25"/>
        <v>0.24999999999999994</v>
      </c>
    </row>
    <row r="162" spans="1:34" ht="15">
      <c r="A162" s="363" t="s">
        <v>150</v>
      </c>
      <c r="B162" s="162">
        <f t="shared" si="24"/>
        <v>0.65</v>
      </c>
      <c r="C162" s="820"/>
      <c r="D162" s="450"/>
      <c r="E162" s="644"/>
      <c r="F162" s="644"/>
      <c r="G162" s="644"/>
      <c r="H162" s="644"/>
      <c r="I162" s="644"/>
      <c r="J162" s="644">
        <v>0.02</v>
      </c>
      <c r="K162" s="644"/>
      <c r="L162" s="644"/>
      <c r="M162" s="1392"/>
      <c r="N162" s="1392"/>
      <c r="O162" s="1392"/>
      <c r="P162" s="1392"/>
      <c r="Q162" s="1392"/>
      <c r="R162" s="1392"/>
      <c r="S162" s="1392"/>
      <c r="T162" s="1392"/>
      <c r="U162" s="1392">
        <v>0.03</v>
      </c>
      <c r="V162" s="1392">
        <v>0.04</v>
      </c>
      <c r="W162" s="1392"/>
      <c r="X162" s="1392"/>
      <c r="Y162" s="1392"/>
      <c r="Z162" s="1392"/>
      <c r="AA162" s="1392">
        <v>0.56000000000000005</v>
      </c>
      <c r="AB162" s="1392"/>
      <c r="AC162" s="1392"/>
      <c r="AD162" s="644"/>
      <c r="AE162" s="644"/>
      <c r="AF162" s="644"/>
      <c r="AG162" s="644"/>
      <c r="AH162" s="100">
        <f t="shared" si="25"/>
        <v>0.65</v>
      </c>
    </row>
    <row r="163" spans="1:34" ht="15">
      <c r="A163" s="73" t="s">
        <v>151</v>
      </c>
      <c r="B163" s="162">
        <f t="shared" si="24"/>
        <v>1.036</v>
      </c>
      <c r="C163" s="116"/>
      <c r="D163" s="99"/>
      <c r="E163" s="99"/>
      <c r="F163" s="99"/>
      <c r="G163" s="99"/>
      <c r="H163" s="99"/>
      <c r="I163" s="99"/>
      <c r="J163" s="99"/>
      <c r="K163" s="99"/>
      <c r="L163" s="99"/>
      <c r="M163" s="99"/>
      <c r="N163" s="99"/>
      <c r="O163" s="99"/>
      <c r="P163" s="99"/>
      <c r="Q163" s="99"/>
      <c r="R163" s="99"/>
      <c r="S163" s="99"/>
      <c r="T163" s="99"/>
      <c r="U163" s="99">
        <v>1.036</v>
      </c>
      <c r="V163" s="99"/>
      <c r="W163" s="99"/>
      <c r="X163" s="99"/>
      <c r="Y163" s="99"/>
      <c r="Z163" s="99"/>
      <c r="AA163" s="99"/>
      <c r="AB163" s="99"/>
      <c r="AC163" s="99"/>
      <c r="AD163" s="99"/>
      <c r="AE163" s="99"/>
      <c r="AF163" s="99"/>
      <c r="AG163" s="99"/>
      <c r="AH163" s="100">
        <f t="shared" si="25"/>
        <v>1.036</v>
      </c>
    </row>
    <row r="164" spans="1:34" ht="15">
      <c r="A164" s="73" t="s">
        <v>152</v>
      </c>
      <c r="B164" s="162">
        <f t="shared" si="24"/>
        <v>0.53200000000000003</v>
      </c>
      <c r="C164" s="116"/>
      <c r="D164" s="99"/>
      <c r="E164" s="99"/>
      <c r="F164" s="99">
        <v>0.112</v>
      </c>
      <c r="G164" s="99">
        <v>0.42</v>
      </c>
      <c r="H164" s="99"/>
      <c r="I164" s="99"/>
      <c r="J164" s="99"/>
      <c r="K164" s="99"/>
      <c r="L164" s="99"/>
      <c r="M164" s="99"/>
      <c r="N164" s="99"/>
      <c r="O164" s="99"/>
      <c r="P164" s="99"/>
      <c r="Q164" s="53"/>
      <c r="R164" s="53"/>
      <c r="S164" s="53"/>
      <c r="T164" s="53"/>
      <c r="U164" s="53"/>
      <c r="V164" s="53"/>
      <c r="W164" s="53"/>
      <c r="X164" s="53"/>
      <c r="Y164" s="53"/>
      <c r="Z164" s="53"/>
      <c r="AA164" s="53"/>
      <c r="AB164" s="53"/>
      <c r="AC164" s="53"/>
      <c r="AD164" s="53"/>
      <c r="AE164" s="53"/>
      <c r="AF164" s="53"/>
      <c r="AG164" s="53"/>
      <c r="AH164" s="100">
        <f t="shared" si="25"/>
        <v>0.53200000000000003</v>
      </c>
    </row>
    <row r="165" spans="1:34" ht="15">
      <c r="A165" s="73" t="s">
        <v>153</v>
      </c>
      <c r="B165" s="162">
        <f t="shared" si="24"/>
        <v>0</v>
      </c>
      <c r="C165" s="188" t="s">
        <v>318</v>
      </c>
      <c r="D165" s="188" t="s">
        <v>318</v>
      </c>
      <c r="E165" s="188" t="s">
        <v>318</v>
      </c>
      <c r="F165" s="188" t="s">
        <v>318</v>
      </c>
      <c r="G165" s="188" t="s">
        <v>318</v>
      </c>
      <c r="H165" s="188" t="s">
        <v>318</v>
      </c>
      <c r="I165" s="188" t="s">
        <v>318</v>
      </c>
      <c r="J165" s="188" t="s">
        <v>318</v>
      </c>
      <c r="K165" s="188" t="s">
        <v>318</v>
      </c>
      <c r="L165" s="188" t="s">
        <v>318</v>
      </c>
      <c r="M165" s="188" t="s">
        <v>318</v>
      </c>
      <c r="N165" s="188" t="s">
        <v>318</v>
      </c>
      <c r="O165" s="188" t="s">
        <v>318</v>
      </c>
      <c r="P165" s="188" t="s">
        <v>318</v>
      </c>
      <c r="Q165" s="188" t="s">
        <v>318</v>
      </c>
      <c r="R165" s="188" t="s">
        <v>318</v>
      </c>
      <c r="S165" s="188" t="s">
        <v>318</v>
      </c>
      <c r="T165" s="188" t="s">
        <v>318</v>
      </c>
      <c r="U165" s="188" t="s">
        <v>318</v>
      </c>
      <c r="V165" s="188" t="s">
        <v>318</v>
      </c>
      <c r="W165" s="188" t="s">
        <v>318</v>
      </c>
      <c r="X165" s="188" t="s">
        <v>318</v>
      </c>
      <c r="Y165" s="188" t="s">
        <v>318</v>
      </c>
      <c r="Z165" s="188" t="s">
        <v>318</v>
      </c>
      <c r="AA165" s="188" t="s">
        <v>318</v>
      </c>
      <c r="AB165" s="188" t="s">
        <v>318</v>
      </c>
      <c r="AC165" s="188" t="s">
        <v>318</v>
      </c>
      <c r="AD165" s="188" t="s">
        <v>318</v>
      </c>
      <c r="AE165" s="188" t="s">
        <v>318</v>
      </c>
      <c r="AF165" s="188" t="s">
        <v>318</v>
      </c>
      <c r="AG165" s="188" t="s">
        <v>318</v>
      </c>
      <c r="AH165" s="100">
        <f t="shared" si="25"/>
        <v>0</v>
      </c>
    </row>
    <row r="166" spans="1:34" ht="15">
      <c r="A166" s="73" t="s">
        <v>154</v>
      </c>
      <c r="B166" s="162">
        <f t="shared" si="24"/>
        <v>0</v>
      </c>
      <c r="C166" s="116"/>
      <c r="D166" s="99"/>
      <c r="E166" s="99"/>
      <c r="F166" s="99"/>
      <c r="G166" s="99"/>
      <c r="H166" s="99"/>
      <c r="I166" s="99"/>
      <c r="J166" s="99"/>
      <c r="K166" s="99"/>
      <c r="L166" s="99"/>
      <c r="M166" s="99"/>
      <c r="N166" s="99"/>
      <c r="O166" s="99"/>
      <c r="P166" s="99"/>
      <c r="Q166" s="99"/>
      <c r="R166" s="99"/>
      <c r="S166" s="99"/>
      <c r="T166" s="99"/>
      <c r="U166" s="99"/>
      <c r="V166" s="99"/>
      <c r="W166" s="99"/>
      <c r="X166" s="99"/>
      <c r="Y166" s="99"/>
      <c r="Z166" s="99"/>
      <c r="AA166" s="99"/>
      <c r="AB166" s="99"/>
      <c r="AC166" s="99"/>
      <c r="AD166" s="99"/>
      <c r="AE166" s="99"/>
      <c r="AF166" s="99"/>
      <c r="AG166" s="99"/>
      <c r="AH166" s="100">
        <f t="shared" si="25"/>
        <v>0</v>
      </c>
    </row>
    <row r="167" spans="1:34" ht="15">
      <c r="A167" s="73" t="s">
        <v>155</v>
      </c>
      <c r="B167" s="162">
        <f t="shared" si="24"/>
        <v>0</v>
      </c>
      <c r="C167" s="116"/>
      <c r="D167" s="99"/>
      <c r="E167" s="99"/>
      <c r="F167" s="99"/>
      <c r="G167" s="99"/>
      <c r="H167" s="99"/>
      <c r="I167" s="99"/>
      <c r="J167" s="99"/>
      <c r="K167" s="99"/>
      <c r="L167" s="99"/>
      <c r="M167" s="99"/>
      <c r="N167" s="99"/>
      <c r="O167" s="99"/>
      <c r="P167" s="99"/>
      <c r="Q167" s="99"/>
      <c r="R167" s="99"/>
      <c r="S167" s="99"/>
      <c r="T167" s="99"/>
      <c r="U167" s="99"/>
      <c r="V167" s="99"/>
      <c r="W167" s="99"/>
      <c r="X167" s="99"/>
      <c r="Y167" s="99"/>
      <c r="Z167" s="99"/>
      <c r="AA167" s="99"/>
      <c r="AB167" s="99"/>
      <c r="AC167" s="99"/>
      <c r="AD167" s="99"/>
      <c r="AE167" s="99"/>
      <c r="AF167" s="99"/>
      <c r="AG167" s="99"/>
      <c r="AH167" s="100">
        <f t="shared" si="25"/>
        <v>0</v>
      </c>
    </row>
    <row r="168" spans="1:34" ht="15">
      <c r="A168" s="73" t="s">
        <v>156</v>
      </c>
      <c r="B168" s="162">
        <f t="shared" si="24"/>
        <v>0</v>
      </c>
      <c r="C168" s="116"/>
      <c r="D168" s="99"/>
      <c r="E168" s="99"/>
      <c r="F168" s="99"/>
      <c r="G168" s="99"/>
      <c r="H168" s="99"/>
      <c r="I168" s="99"/>
      <c r="J168" s="99"/>
      <c r="K168" s="99"/>
      <c r="L168" s="99"/>
      <c r="M168" s="99"/>
      <c r="N168" s="99"/>
      <c r="O168" s="99"/>
      <c r="P168" s="99"/>
      <c r="Q168" s="99"/>
      <c r="R168" s="99"/>
      <c r="S168" s="99"/>
      <c r="T168" s="99"/>
      <c r="U168" s="99"/>
      <c r="V168" s="99"/>
      <c r="W168" s="99"/>
      <c r="X168" s="99"/>
      <c r="Y168" s="99"/>
      <c r="Z168" s="99"/>
      <c r="AA168" s="99"/>
      <c r="AB168" s="99"/>
      <c r="AC168" s="99"/>
      <c r="AD168" s="99"/>
      <c r="AE168" s="99"/>
      <c r="AF168" s="99"/>
      <c r="AG168" s="99"/>
      <c r="AH168" s="100">
        <f t="shared" si="25"/>
        <v>0</v>
      </c>
    </row>
    <row r="169" spans="1:34" ht="15">
      <c r="A169" s="200" t="s">
        <v>111</v>
      </c>
      <c r="B169" s="232">
        <f t="shared" ref="B169:AH169" si="26">SUM(B157:B168)</f>
        <v>3.516</v>
      </c>
      <c r="C169" s="100">
        <f t="shared" si="26"/>
        <v>0</v>
      </c>
      <c r="D169" s="100">
        <f t="shared" si="26"/>
        <v>2.8000000000000001E-2</v>
      </c>
      <c r="E169" s="100">
        <f t="shared" si="26"/>
        <v>8.1000000000000003E-2</v>
      </c>
      <c r="F169" s="100">
        <f t="shared" si="26"/>
        <v>0.14600000000000002</v>
      </c>
      <c r="G169" s="100">
        <f t="shared" si="26"/>
        <v>0.441</v>
      </c>
      <c r="H169" s="100">
        <f t="shared" si="26"/>
        <v>0.13900000000000001</v>
      </c>
      <c r="I169" s="100">
        <f t="shared" si="26"/>
        <v>0.03</v>
      </c>
      <c r="J169" s="100">
        <f t="shared" si="26"/>
        <v>0.10200000000000001</v>
      </c>
      <c r="K169" s="100">
        <f t="shared" si="26"/>
        <v>7.0000000000000007E-2</v>
      </c>
      <c r="L169" s="100">
        <f t="shared" si="26"/>
        <v>9.8000000000000004E-2</v>
      </c>
      <c r="M169" s="100">
        <f t="shared" si="26"/>
        <v>1.6E-2</v>
      </c>
      <c r="N169" s="100">
        <f t="shared" si="26"/>
        <v>7.0000000000000001E-3</v>
      </c>
      <c r="O169" s="100">
        <f t="shared" si="26"/>
        <v>6.3E-2</v>
      </c>
      <c r="P169" s="100">
        <f t="shared" si="26"/>
        <v>1.2E-2</v>
      </c>
      <c r="Q169" s="100">
        <f t="shared" si="26"/>
        <v>5.6000000000000001E-2</v>
      </c>
      <c r="R169" s="100">
        <f t="shared" si="26"/>
        <v>4.7E-2</v>
      </c>
      <c r="S169" s="100">
        <f t="shared" si="26"/>
        <v>0</v>
      </c>
      <c r="T169" s="100">
        <f t="shared" si="26"/>
        <v>6.0000000000000001E-3</v>
      </c>
      <c r="U169" s="100">
        <f t="shared" si="26"/>
        <v>1.1000000000000001</v>
      </c>
      <c r="V169" s="100">
        <f t="shared" si="26"/>
        <v>5.1000000000000004E-2</v>
      </c>
      <c r="W169" s="100">
        <f t="shared" si="26"/>
        <v>6.9000000000000006E-2</v>
      </c>
      <c r="X169" s="100">
        <f t="shared" si="26"/>
        <v>5.0000000000000001E-3</v>
      </c>
      <c r="Y169" s="100">
        <f t="shared" si="26"/>
        <v>0.02</v>
      </c>
      <c r="Z169" s="100">
        <f t="shared" si="26"/>
        <v>8.0000000000000002E-3</v>
      </c>
      <c r="AA169" s="100">
        <f t="shared" si="26"/>
        <v>0.76900000000000013</v>
      </c>
      <c r="AB169" s="100">
        <f t="shared" si="26"/>
        <v>3.5000000000000003E-2</v>
      </c>
      <c r="AC169" s="100">
        <f t="shared" si="26"/>
        <v>4.4999999999999998E-2</v>
      </c>
      <c r="AD169" s="100">
        <f t="shared" si="26"/>
        <v>4.1000000000000002E-2</v>
      </c>
      <c r="AE169" s="100">
        <f t="shared" si="26"/>
        <v>0</v>
      </c>
      <c r="AF169" s="100">
        <f t="shared" si="26"/>
        <v>3.0000000000000001E-3</v>
      </c>
      <c r="AG169" s="100">
        <f t="shared" si="26"/>
        <v>2.8000000000000001E-2</v>
      </c>
      <c r="AH169" s="100">
        <f t="shared" si="26"/>
        <v>3.516</v>
      </c>
    </row>
    <row r="170" spans="1:34" ht="5.0999999999999996" customHeight="1">
      <c r="A170" s="49"/>
      <c r="B170" s="49"/>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row>
    <row r="171" spans="1:34" ht="15">
      <c r="A171" s="3854" t="s">
        <v>134</v>
      </c>
      <c r="B171" s="3855"/>
      <c r="C171" s="3856"/>
      <c r="D171" s="14"/>
      <c r="E171" s="14"/>
      <c r="F171" s="14"/>
      <c r="G171" s="14"/>
      <c r="H171" s="14"/>
      <c r="I171" s="14"/>
      <c r="J171" s="14"/>
      <c r="K171" s="14"/>
      <c r="L171" s="14"/>
      <c r="M171" s="98"/>
      <c r="N171" s="14"/>
      <c r="O171" s="14"/>
      <c r="P171" s="14"/>
      <c r="Q171" s="14"/>
      <c r="R171" s="14"/>
      <c r="S171" s="14"/>
      <c r="T171" s="14"/>
      <c r="U171" s="14"/>
      <c r="V171" s="14"/>
      <c r="W171" s="14"/>
      <c r="X171" s="14"/>
      <c r="Y171" s="14"/>
      <c r="Z171" s="14"/>
      <c r="AA171" s="14"/>
      <c r="AB171" s="14"/>
      <c r="AC171" s="14"/>
      <c r="AD171" s="14"/>
      <c r="AE171" s="14"/>
      <c r="AF171" s="14"/>
      <c r="AG171" s="14"/>
      <c r="AH171" s="1"/>
    </row>
    <row r="172" spans="1:34" ht="15">
      <c r="A172" s="8" t="s">
        <v>142</v>
      </c>
      <c r="B172" s="8" t="s">
        <v>143</v>
      </c>
      <c r="C172" s="73">
        <v>1</v>
      </c>
      <c r="D172" s="73">
        <v>2</v>
      </c>
      <c r="E172" s="73">
        <v>3</v>
      </c>
      <c r="F172" s="73">
        <v>4</v>
      </c>
      <c r="G172" s="73">
        <v>5</v>
      </c>
      <c r="H172" s="73">
        <v>6</v>
      </c>
      <c r="I172" s="73">
        <v>7</v>
      </c>
      <c r="J172" s="73">
        <v>8</v>
      </c>
      <c r="K172" s="73">
        <v>9</v>
      </c>
      <c r="L172" s="73">
        <v>10</v>
      </c>
      <c r="M172" s="73">
        <v>11</v>
      </c>
      <c r="N172" s="73">
        <v>12</v>
      </c>
      <c r="O172" s="73">
        <v>13</v>
      </c>
      <c r="P172" s="73">
        <v>14</v>
      </c>
      <c r="Q172" s="73">
        <v>15</v>
      </c>
      <c r="R172" s="73">
        <v>16</v>
      </c>
      <c r="S172" s="73">
        <v>17</v>
      </c>
      <c r="T172" s="73">
        <v>18</v>
      </c>
      <c r="U172" s="73">
        <v>19</v>
      </c>
      <c r="V172" s="73">
        <v>20</v>
      </c>
      <c r="W172" s="73">
        <v>21</v>
      </c>
      <c r="X172" s="73">
        <v>22</v>
      </c>
      <c r="Y172" s="73">
        <v>23</v>
      </c>
      <c r="Z172" s="73">
        <v>24</v>
      </c>
      <c r="AA172" s="73">
        <v>25</v>
      </c>
      <c r="AB172" s="73">
        <v>26</v>
      </c>
      <c r="AC172" s="73">
        <v>27</v>
      </c>
      <c r="AD172" s="73">
        <v>28</v>
      </c>
      <c r="AE172" s="73">
        <v>29</v>
      </c>
      <c r="AF172" s="73">
        <v>30</v>
      </c>
      <c r="AG172" s="73">
        <v>31</v>
      </c>
      <c r="AH172" s="87" t="s">
        <v>144</v>
      </c>
    </row>
    <row r="173" spans="1:34" ht="15">
      <c r="A173" s="363" t="s">
        <v>145</v>
      </c>
      <c r="B173" s="53">
        <f t="shared" ref="B173:B184" si="27">+AH173</f>
        <v>124.60900000000001</v>
      </c>
      <c r="C173" s="450"/>
      <c r="D173" s="450">
        <v>0.38</v>
      </c>
      <c r="E173" s="450">
        <v>0.94599999999999995</v>
      </c>
      <c r="F173" s="450">
        <v>1.528</v>
      </c>
      <c r="G173" s="450">
        <v>2.1640000000000001</v>
      </c>
      <c r="H173" s="450">
        <v>1.056</v>
      </c>
      <c r="I173" s="450">
        <v>2.6230000000000002</v>
      </c>
      <c r="J173" s="450">
        <v>5.3479999999999999</v>
      </c>
      <c r="K173" s="450">
        <v>10.333</v>
      </c>
      <c r="L173" s="450">
        <v>10.004</v>
      </c>
      <c r="M173" s="450">
        <v>9.4480000000000004</v>
      </c>
      <c r="N173" s="450">
        <v>5.2050000000000001</v>
      </c>
      <c r="O173" s="450">
        <v>2.1579999999999999</v>
      </c>
      <c r="P173" s="450">
        <v>2.2440000000000002</v>
      </c>
      <c r="Q173" s="450">
        <v>3.44</v>
      </c>
      <c r="R173" s="450">
        <v>17.518000000000001</v>
      </c>
      <c r="S173" s="450">
        <v>8.7230000000000008</v>
      </c>
      <c r="T173" s="450">
        <v>7.8159999999999998</v>
      </c>
      <c r="U173" s="450">
        <v>5.2169999999999996</v>
      </c>
      <c r="V173" s="450">
        <v>1.667</v>
      </c>
      <c r="W173" s="450">
        <v>2.214</v>
      </c>
      <c r="X173" s="450">
        <v>2.4940000000000002</v>
      </c>
      <c r="Y173" s="450">
        <v>2.5219999999999998</v>
      </c>
      <c r="Z173" s="452">
        <v>2.6739999999999999</v>
      </c>
      <c r="AA173" s="450">
        <v>3.3959999999999999</v>
      </c>
      <c r="AB173" s="450">
        <v>2.6850000000000001</v>
      </c>
      <c r="AC173" s="450">
        <v>1.4510000000000001</v>
      </c>
      <c r="AD173" s="450">
        <v>3.8940000000000001</v>
      </c>
      <c r="AE173" s="450">
        <v>2.7490000000000001</v>
      </c>
      <c r="AF173" s="450">
        <v>1.9179999999999999</v>
      </c>
      <c r="AG173" s="450">
        <v>0.79400000000000004</v>
      </c>
      <c r="AH173" s="100">
        <f>SUM(C173:AG173)</f>
        <v>124.60900000000001</v>
      </c>
    </row>
    <row r="174" spans="1:34" ht="15">
      <c r="A174" s="363" t="s">
        <v>146</v>
      </c>
      <c r="B174" s="53">
        <f t="shared" si="27"/>
        <v>52.024000000000001</v>
      </c>
      <c r="C174" s="450">
        <v>0.58699999999999997</v>
      </c>
      <c r="D174" s="450">
        <v>1.5640000000000001</v>
      </c>
      <c r="E174" s="450">
        <v>1.0840000000000001</v>
      </c>
      <c r="F174" s="450">
        <v>1.573</v>
      </c>
      <c r="G174" s="450">
        <v>3.1280000000000001</v>
      </c>
      <c r="H174" s="450">
        <v>0.76800000000000002</v>
      </c>
      <c r="I174" s="450">
        <v>2.7</v>
      </c>
      <c r="J174" s="450">
        <v>1.546</v>
      </c>
      <c r="K174" s="450">
        <v>0.96099999999999997</v>
      </c>
      <c r="L174" s="450">
        <v>0.44</v>
      </c>
      <c r="M174" s="450">
        <v>0.30599999999999999</v>
      </c>
      <c r="N174" s="450">
        <v>0.45600000000000002</v>
      </c>
      <c r="O174" s="450">
        <v>0.65800000000000003</v>
      </c>
      <c r="P174" s="450">
        <v>0.68300000000000005</v>
      </c>
      <c r="Q174" s="1470">
        <v>1.6160000000000001</v>
      </c>
      <c r="R174" s="450">
        <v>1.4039999999999999</v>
      </c>
      <c r="S174" s="450">
        <v>3.04</v>
      </c>
      <c r="T174" s="644">
        <v>2.9380000000000002</v>
      </c>
      <c r="U174" s="450">
        <v>1.9419999999999999</v>
      </c>
      <c r="V174" s="450">
        <v>2.1269999999999998</v>
      </c>
      <c r="W174" s="450">
        <v>0.79600000000000004</v>
      </c>
      <c r="X174" s="450">
        <v>0.46800000000000003</v>
      </c>
      <c r="Y174" s="450">
        <v>1.228</v>
      </c>
      <c r="Z174" s="450">
        <v>0.59399999999999997</v>
      </c>
      <c r="AA174" s="450">
        <v>2.99</v>
      </c>
      <c r="AB174" s="450">
        <v>1.3720000000000001</v>
      </c>
      <c r="AC174" s="450">
        <v>5.8680000000000003</v>
      </c>
      <c r="AD174" s="450">
        <v>6.5259999999999998</v>
      </c>
      <c r="AE174" s="731">
        <v>2.661</v>
      </c>
      <c r="AF174" s="450"/>
      <c r="AG174" s="450"/>
      <c r="AH174" s="100">
        <f t="shared" ref="AH174:AH184" si="28">SUM(C174:AG174)</f>
        <v>52.024000000000001</v>
      </c>
    </row>
    <row r="175" spans="1:34" ht="15">
      <c r="A175" s="363" t="s">
        <v>147</v>
      </c>
      <c r="B175" s="53">
        <f t="shared" si="27"/>
        <v>81.405999999999992</v>
      </c>
      <c r="C175" s="644">
        <v>5.3659999999999997</v>
      </c>
      <c r="D175" s="450">
        <v>3.2610000000000001</v>
      </c>
      <c r="E175" s="644">
        <v>1.5740000000000001</v>
      </c>
      <c r="F175" s="644">
        <v>0.14000000000000001</v>
      </c>
      <c r="G175" s="1933">
        <v>0.28000000000000003</v>
      </c>
      <c r="H175" s="644">
        <v>0.2</v>
      </c>
      <c r="I175" s="452">
        <v>1.8759999999999999</v>
      </c>
      <c r="J175" s="644">
        <v>1.7390000000000001</v>
      </c>
      <c r="K175" s="644">
        <v>1.1200000000000001</v>
      </c>
      <c r="L175" s="644">
        <v>4.7039999999999997</v>
      </c>
      <c r="M175" s="644">
        <v>1.7849999999999999</v>
      </c>
      <c r="N175" s="644">
        <v>6.9320000000000004</v>
      </c>
      <c r="O175" s="644">
        <v>1.41</v>
      </c>
      <c r="P175" s="644">
        <v>3.3730000000000002</v>
      </c>
      <c r="Q175" s="644">
        <v>3.0720000000000001</v>
      </c>
      <c r="R175" s="644">
        <v>2.6360000000000001</v>
      </c>
      <c r="S175" s="644">
        <v>1.218</v>
      </c>
      <c r="T175" s="644">
        <v>0.3</v>
      </c>
      <c r="U175" s="644">
        <v>2.2160000000000002</v>
      </c>
      <c r="V175" s="644">
        <v>5.3</v>
      </c>
      <c r="W175" s="644">
        <v>2.9820000000000002</v>
      </c>
      <c r="X175" s="644">
        <v>2.1019999999999999</v>
      </c>
      <c r="Y175" s="644">
        <v>2.504</v>
      </c>
      <c r="Z175" s="644">
        <v>5.33</v>
      </c>
      <c r="AA175" s="644">
        <v>1.496</v>
      </c>
      <c r="AB175" s="1934">
        <v>5.0039999999999996</v>
      </c>
      <c r="AC175" s="1934">
        <v>2.4220000000000002</v>
      </c>
      <c r="AD175" s="644">
        <v>2.734</v>
      </c>
      <c r="AE175" s="644">
        <v>2.036</v>
      </c>
      <c r="AF175" s="644">
        <v>4.08</v>
      </c>
      <c r="AG175" s="644">
        <v>2.214</v>
      </c>
      <c r="AH175" s="100">
        <f t="shared" si="28"/>
        <v>81.405999999999992</v>
      </c>
    </row>
    <row r="176" spans="1:34" ht="15">
      <c r="A176" s="363" t="s">
        <v>148</v>
      </c>
      <c r="B176" s="53">
        <f t="shared" si="27"/>
        <v>77.407999999999987</v>
      </c>
      <c r="C176" s="644">
        <v>1.4319999999999999</v>
      </c>
      <c r="D176" s="450">
        <v>5.5119999999999996</v>
      </c>
      <c r="E176" s="644">
        <v>3.9020000000000001</v>
      </c>
      <c r="F176" s="644">
        <v>3.9710000000000001</v>
      </c>
      <c r="G176" s="644">
        <v>1.6359999999999999</v>
      </c>
      <c r="H176" s="644">
        <v>0.54800000000000004</v>
      </c>
      <c r="I176" s="644">
        <v>0.85799999999999998</v>
      </c>
      <c r="J176" s="644">
        <v>1.526</v>
      </c>
      <c r="K176" s="644">
        <v>1</v>
      </c>
      <c r="L176" s="644">
        <v>1.8660000000000001</v>
      </c>
      <c r="M176" s="644">
        <v>0.84399999999999997</v>
      </c>
      <c r="N176" s="644">
        <v>2.0859999999999999</v>
      </c>
      <c r="O176" s="644">
        <v>1.232</v>
      </c>
      <c r="P176" s="644">
        <v>0.62</v>
      </c>
      <c r="Q176" s="644"/>
      <c r="R176" s="644">
        <v>0.42</v>
      </c>
      <c r="S176" s="644">
        <v>1.1200000000000001</v>
      </c>
      <c r="T176" s="644">
        <v>6.641</v>
      </c>
      <c r="U176" s="644">
        <v>3.774</v>
      </c>
      <c r="V176" s="644">
        <v>4.8639999999999999</v>
      </c>
      <c r="W176" s="644">
        <v>3.12</v>
      </c>
      <c r="X176" s="644">
        <v>6.2279999999999998</v>
      </c>
      <c r="Y176" s="644">
        <v>4.8159999999999998</v>
      </c>
      <c r="Z176" s="644">
        <v>4.2240000000000002</v>
      </c>
      <c r="AA176" s="644">
        <v>2.484</v>
      </c>
      <c r="AB176" s="644">
        <v>3.4660000000000002</v>
      </c>
      <c r="AC176" s="644">
        <v>3.3919999999999999</v>
      </c>
      <c r="AD176" s="452">
        <v>2.2919999999999998</v>
      </c>
      <c r="AE176" s="644">
        <v>1.31</v>
      </c>
      <c r="AF176" s="644">
        <v>2.2240000000000002</v>
      </c>
      <c r="AG176" s="644"/>
      <c r="AH176" s="100">
        <f t="shared" si="28"/>
        <v>77.407999999999987</v>
      </c>
    </row>
    <row r="177" spans="1:34" ht="15">
      <c r="A177" s="363" t="s">
        <v>149</v>
      </c>
      <c r="B177" s="53">
        <f t="shared" si="27"/>
        <v>75.405999999999992</v>
      </c>
      <c r="C177" s="644">
        <v>0.65</v>
      </c>
      <c r="D177" s="450"/>
      <c r="E177" s="644"/>
      <c r="F177" s="644">
        <v>1</v>
      </c>
      <c r="G177" s="644">
        <v>0.92800000000000005</v>
      </c>
      <c r="H177" s="644">
        <v>0.1</v>
      </c>
      <c r="I177" s="644">
        <v>0.96499999999999997</v>
      </c>
      <c r="J177" s="644">
        <v>6.3620000000000001</v>
      </c>
      <c r="K177" s="644">
        <v>7.3849999999999998</v>
      </c>
      <c r="L177" s="644">
        <v>6.7220000000000004</v>
      </c>
      <c r="M177" s="644">
        <v>6.0419999999999998</v>
      </c>
      <c r="N177" s="644">
        <v>2.63</v>
      </c>
      <c r="O177" s="644">
        <v>1.0640000000000001</v>
      </c>
      <c r="P177" s="644">
        <v>4.4219999999999997</v>
      </c>
      <c r="Q177" s="644">
        <v>3.36</v>
      </c>
      <c r="R177" s="644">
        <v>2.1720000000000002</v>
      </c>
      <c r="S177" s="644">
        <v>2.3519999999999999</v>
      </c>
      <c r="T177" s="644">
        <v>2.282</v>
      </c>
      <c r="U177" s="644">
        <v>1.6839999999999999</v>
      </c>
      <c r="V177" s="644">
        <v>1.196</v>
      </c>
      <c r="W177" s="644">
        <v>5.5179999999999998</v>
      </c>
      <c r="X177" s="644">
        <v>4.3819999999999997</v>
      </c>
      <c r="Y177" s="644">
        <v>5.032</v>
      </c>
      <c r="Z177" s="644">
        <v>6.8440000000000003</v>
      </c>
      <c r="AA177" s="644"/>
      <c r="AB177" s="644"/>
      <c r="AC177" s="644"/>
      <c r="AD177" s="644"/>
      <c r="AE177" s="644">
        <v>0.23</v>
      </c>
      <c r="AF177" s="644">
        <v>0.41</v>
      </c>
      <c r="AG177" s="644">
        <v>1.6739999999999999</v>
      </c>
      <c r="AH177" s="100">
        <f t="shared" si="28"/>
        <v>75.405999999999992</v>
      </c>
    </row>
    <row r="178" spans="1:34" ht="15">
      <c r="A178" s="363" t="s">
        <v>150</v>
      </c>
      <c r="B178" s="53">
        <f t="shared" si="27"/>
        <v>15.517999999999999</v>
      </c>
      <c r="C178" s="644">
        <v>0.82799999999999996</v>
      </c>
      <c r="D178" s="450">
        <v>2.8000000000000001E-2</v>
      </c>
      <c r="E178" s="644"/>
      <c r="F178" s="644">
        <v>0.02</v>
      </c>
      <c r="G178" s="644">
        <v>8.4000000000000005E-2</v>
      </c>
      <c r="H178" s="644"/>
      <c r="I178" s="644"/>
      <c r="J178" s="644">
        <v>0.49399999999999999</v>
      </c>
      <c r="K178" s="644">
        <v>0.442</v>
      </c>
      <c r="L178" s="644">
        <v>7.0000000000000007E-2</v>
      </c>
      <c r="M178" s="644">
        <v>0.89600000000000002</v>
      </c>
      <c r="N178" s="644"/>
      <c r="O178" s="644"/>
      <c r="P178" s="644"/>
      <c r="Q178" s="644"/>
      <c r="R178" s="644"/>
      <c r="S178" s="644"/>
      <c r="T178" s="644"/>
      <c r="U178" s="644"/>
      <c r="V178" s="644">
        <v>0.28599999999999998</v>
      </c>
      <c r="W178" s="644"/>
      <c r="X178" s="644">
        <v>1.0640000000000001</v>
      </c>
      <c r="Y178" s="644"/>
      <c r="Z178" s="644"/>
      <c r="AA178" s="644">
        <v>3.0259999999999998</v>
      </c>
      <c r="AB178" s="644">
        <v>4.1100000000000003</v>
      </c>
      <c r="AC178" s="644">
        <v>2.9319999999999999</v>
      </c>
      <c r="AD178" s="644">
        <v>1.07</v>
      </c>
      <c r="AE178" s="644">
        <v>0.16800000000000001</v>
      </c>
      <c r="AF178" s="644"/>
      <c r="AG178" s="644"/>
      <c r="AH178" s="100">
        <f t="shared" si="28"/>
        <v>15.517999999999999</v>
      </c>
    </row>
    <row r="179" spans="1:34" ht="15">
      <c r="A179" s="73" t="s">
        <v>151</v>
      </c>
      <c r="B179" s="53">
        <f t="shared" si="27"/>
        <v>44.121999999999986</v>
      </c>
      <c r="C179" s="847">
        <v>0.14799999999999999</v>
      </c>
      <c r="D179" s="450"/>
      <c r="E179" s="644">
        <v>2.8000000000000001E-2</v>
      </c>
      <c r="F179" s="644">
        <v>2.8000000000000001E-2</v>
      </c>
      <c r="G179" s="644"/>
      <c r="H179" s="644"/>
      <c r="I179" s="644"/>
      <c r="J179" s="1935">
        <v>0.05</v>
      </c>
      <c r="K179" s="644">
        <v>3.2360000000000002</v>
      </c>
      <c r="L179" s="644">
        <v>5.6520000000000001</v>
      </c>
      <c r="M179" s="644">
        <v>5.3259999999999996</v>
      </c>
      <c r="N179" s="644"/>
      <c r="O179" s="644">
        <v>0.05</v>
      </c>
      <c r="P179" s="644">
        <v>0.49</v>
      </c>
      <c r="Q179" s="644"/>
      <c r="R179" s="644">
        <v>0.24</v>
      </c>
      <c r="S179" s="644">
        <v>6.024</v>
      </c>
      <c r="T179" s="644">
        <v>4.8179999999999996</v>
      </c>
      <c r="U179" s="644">
        <v>6.1980000000000004</v>
      </c>
      <c r="V179" s="644">
        <v>2.0960000000000001</v>
      </c>
      <c r="W179" s="644">
        <v>0.35399999999999998</v>
      </c>
      <c r="X179" s="644">
        <v>5.6000000000000001E-2</v>
      </c>
      <c r="Y179" s="644">
        <v>0.78400000000000003</v>
      </c>
      <c r="Z179" s="644"/>
      <c r="AA179" s="644"/>
      <c r="AB179" s="644">
        <v>0.14000000000000001</v>
      </c>
      <c r="AC179" s="644">
        <v>1.4</v>
      </c>
      <c r="AD179" s="644">
        <v>5.6000000000000001E-2</v>
      </c>
      <c r="AE179" s="644">
        <v>5.6000000000000001E-2</v>
      </c>
      <c r="AF179" s="644">
        <v>3.976</v>
      </c>
      <c r="AG179" s="644">
        <v>2.9159999999999999</v>
      </c>
      <c r="AH179" s="100">
        <f t="shared" si="28"/>
        <v>44.121999999999986</v>
      </c>
    </row>
    <row r="180" spans="1:34" ht="15">
      <c r="A180" s="73" t="s">
        <v>152</v>
      </c>
      <c r="B180" s="53">
        <f t="shared" si="27"/>
        <v>192.48499999999999</v>
      </c>
      <c r="C180" s="1936"/>
      <c r="D180" s="1936"/>
      <c r="E180" s="1936"/>
      <c r="F180" s="1936">
        <v>1.3740000000000001</v>
      </c>
      <c r="G180" s="1936">
        <v>6.18</v>
      </c>
      <c r="H180" s="450">
        <v>11.068</v>
      </c>
      <c r="I180" s="450">
        <v>12.244</v>
      </c>
      <c r="J180" s="450">
        <v>14.36</v>
      </c>
      <c r="K180" s="644">
        <v>19.286000000000001</v>
      </c>
      <c r="L180" s="450">
        <v>0.89900000000000002</v>
      </c>
      <c r="M180" s="450"/>
      <c r="N180" s="450"/>
      <c r="O180" s="450"/>
      <c r="P180" s="450">
        <v>2.266</v>
      </c>
      <c r="Q180" s="450"/>
      <c r="R180" s="450"/>
      <c r="S180" s="731">
        <v>5.5659999999999998</v>
      </c>
      <c r="T180" s="450">
        <v>5.5640000000000001</v>
      </c>
      <c r="U180" s="450">
        <v>3.26</v>
      </c>
      <c r="V180" s="450">
        <v>12.837999999999999</v>
      </c>
      <c r="W180" s="450">
        <v>10.134</v>
      </c>
      <c r="X180" s="450"/>
      <c r="Y180" s="450"/>
      <c r="Z180" s="450">
        <v>15.396000000000001</v>
      </c>
      <c r="AA180" s="450">
        <v>1.66</v>
      </c>
      <c r="AB180" s="450">
        <v>0.63600000000000001</v>
      </c>
      <c r="AC180" s="450">
        <v>15</v>
      </c>
      <c r="AD180" s="450">
        <v>12.79</v>
      </c>
      <c r="AE180" s="450"/>
      <c r="AF180" s="450">
        <v>12.476000000000001</v>
      </c>
      <c r="AG180" s="450">
        <v>29.488</v>
      </c>
      <c r="AH180" s="100">
        <f t="shared" si="28"/>
        <v>192.48499999999999</v>
      </c>
    </row>
    <row r="181" spans="1:34" ht="15">
      <c r="A181" s="73" t="s">
        <v>153</v>
      </c>
      <c r="B181" s="53">
        <f t="shared" si="27"/>
        <v>0</v>
      </c>
      <c r="C181" s="630" t="s">
        <v>162</v>
      </c>
      <c r="D181" s="630" t="s">
        <v>162</v>
      </c>
      <c r="E181" s="630" t="s">
        <v>162</v>
      </c>
      <c r="F181" s="630" t="s">
        <v>162</v>
      </c>
      <c r="G181" s="630" t="s">
        <v>162</v>
      </c>
      <c r="H181" s="630" t="s">
        <v>162</v>
      </c>
      <c r="I181" s="630" t="s">
        <v>162</v>
      </c>
      <c r="J181" s="630" t="s">
        <v>162</v>
      </c>
      <c r="K181" s="630" t="s">
        <v>162</v>
      </c>
      <c r="L181" s="630" t="s">
        <v>162</v>
      </c>
      <c r="M181" s="630" t="s">
        <v>162</v>
      </c>
      <c r="N181" s="630" t="s">
        <v>162</v>
      </c>
      <c r="O181" s="630" t="s">
        <v>162</v>
      </c>
      <c r="P181" s="630" t="s">
        <v>162</v>
      </c>
      <c r="Q181" s="630" t="s">
        <v>162</v>
      </c>
      <c r="R181" s="630" t="s">
        <v>162</v>
      </c>
      <c r="S181" s="630" t="s">
        <v>162</v>
      </c>
      <c r="T181" s="630" t="s">
        <v>162</v>
      </c>
      <c r="U181" s="630" t="s">
        <v>162</v>
      </c>
      <c r="V181" s="630" t="s">
        <v>162</v>
      </c>
      <c r="W181" s="630" t="s">
        <v>162</v>
      </c>
      <c r="X181" s="630" t="s">
        <v>162</v>
      </c>
      <c r="Y181" s="630" t="s">
        <v>162</v>
      </c>
      <c r="Z181" s="630" t="s">
        <v>162</v>
      </c>
      <c r="AA181" s="630" t="s">
        <v>162</v>
      </c>
      <c r="AB181" s="630" t="s">
        <v>162</v>
      </c>
      <c r="AC181" s="630" t="s">
        <v>162</v>
      </c>
      <c r="AD181" s="630" t="s">
        <v>162</v>
      </c>
      <c r="AE181" s="630" t="s">
        <v>162</v>
      </c>
      <c r="AF181" s="630" t="s">
        <v>162</v>
      </c>
      <c r="AG181" s="630" t="s">
        <v>162</v>
      </c>
      <c r="AH181" s="100">
        <f t="shared" si="28"/>
        <v>0</v>
      </c>
    </row>
    <row r="182" spans="1:34" ht="15">
      <c r="A182" s="73" t="s">
        <v>154</v>
      </c>
      <c r="B182" s="53">
        <f t="shared" si="27"/>
        <v>140.93899999999999</v>
      </c>
      <c r="C182" s="116">
        <v>1.76</v>
      </c>
      <c r="D182" s="99">
        <v>14.808</v>
      </c>
      <c r="E182" s="99">
        <v>18.518000000000001</v>
      </c>
      <c r="F182" s="99">
        <v>4.9939999999999998</v>
      </c>
      <c r="G182" s="99">
        <v>0.04</v>
      </c>
      <c r="H182" s="99">
        <v>0.33600000000000002</v>
      </c>
      <c r="I182" s="99">
        <v>0</v>
      </c>
      <c r="J182" s="99">
        <v>0.84</v>
      </c>
      <c r="K182" s="99">
        <v>7.51</v>
      </c>
      <c r="L182" s="99">
        <v>9.7680000000000007</v>
      </c>
      <c r="M182" s="99">
        <v>3.23</v>
      </c>
      <c r="N182" s="99">
        <v>2.1560000000000001</v>
      </c>
      <c r="O182" s="99">
        <v>1.3520000000000001</v>
      </c>
      <c r="P182" s="99">
        <v>0.3</v>
      </c>
      <c r="Q182" s="99">
        <v>0.25</v>
      </c>
      <c r="R182" s="99">
        <v>5.1440000000000001</v>
      </c>
      <c r="S182" s="99">
        <v>7.3520000000000003</v>
      </c>
      <c r="T182" s="99">
        <v>5.0140000000000002</v>
      </c>
      <c r="U182" s="99">
        <v>7.2140000000000004</v>
      </c>
      <c r="V182" s="99">
        <v>3.8940000000000001</v>
      </c>
      <c r="W182" s="99">
        <v>0.13</v>
      </c>
      <c r="X182" s="99">
        <v>1.113</v>
      </c>
      <c r="Y182" s="99">
        <v>1.8520000000000001</v>
      </c>
      <c r="Z182" s="99">
        <v>3.76</v>
      </c>
      <c r="AA182" s="99">
        <v>5.3959999999999999</v>
      </c>
      <c r="AB182" s="99">
        <v>6.35</v>
      </c>
      <c r="AC182" s="99">
        <v>0.112</v>
      </c>
      <c r="AD182" s="99">
        <v>0</v>
      </c>
      <c r="AE182" s="99">
        <v>0</v>
      </c>
      <c r="AF182" s="99">
        <v>11.141999999999999</v>
      </c>
      <c r="AG182" s="99">
        <v>16.603999999999999</v>
      </c>
      <c r="AH182" s="100">
        <f t="shared" si="28"/>
        <v>140.93899999999999</v>
      </c>
    </row>
    <row r="183" spans="1:34" ht="15">
      <c r="A183" s="73" t="s">
        <v>155</v>
      </c>
      <c r="B183" s="162">
        <f t="shared" si="27"/>
        <v>144.208</v>
      </c>
      <c r="C183" s="326">
        <v>9.8520000000000003</v>
      </c>
      <c r="D183" s="102">
        <v>14.766</v>
      </c>
      <c r="E183" s="102">
        <v>11.77</v>
      </c>
      <c r="F183" s="102">
        <v>8.4000000000000005E-2</v>
      </c>
      <c r="G183" s="102">
        <v>0.2</v>
      </c>
      <c r="H183" s="102">
        <v>0.15</v>
      </c>
      <c r="I183" s="102">
        <v>0</v>
      </c>
      <c r="J183" s="102">
        <v>0</v>
      </c>
      <c r="K183" s="102">
        <v>0</v>
      </c>
      <c r="L183" s="102">
        <v>0</v>
      </c>
      <c r="M183" s="102">
        <v>0</v>
      </c>
      <c r="N183" s="102">
        <v>0</v>
      </c>
      <c r="O183" s="102">
        <v>0</v>
      </c>
      <c r="P183" s="102">
        <v>9.26</v>
      </c>
      <c r="Q183" s="102">
        <v>13.137</v>
      </c>
      <c r="R183" s="102">
        <v>12.531000000000001</v>
      </c>
      <c r="S183" s="102">
        <v>1.94</v>
      </c>
      <c r="T183" s="102">
        <v>0.2</v>
      </c>
      <c r="U183" s="102">
        <v>1.48</v>
      </c>
      <c r="V183" s="102">
        <v>6.66</v>
      </c>
      <c r="W183" s="102">
        <v>14.708</v>
      </c>
      <c r="X183" s="102">
        <v>12.348000000000001</v>
      </c>
      <c r="Y183" s="102">
        <v>0.74</v>
      </c>
      <c r="Z183" s="102">
        <v>0.84599999999999997</v>
      </c>
      <c r="AA183" s="102">
        <v>0.7</v>
      </c>
      <c r="AB183" s="102">
        <v>3.0179999999999998</v>
      </c>
      <c r="AC183" s="102">
        <v>2.9580000000000002</v>
      </c>
      <c r="AD183" s="102">
        <v>6.9720000000000004</v>
      </c>
      <c r="AE183" s="102">
        <v>9.4960000000000004</v>
      </c>
      <c r="AF183" s="102">
        <v>10.391999999999999</v>
      </c>
      <c r="AG183" s="102"/>
      <c r="AH183" s="100">
        <f t="shared" si="28"/>
        <v>144.208</v>
      </c>
    </row>
    <row r="184" spans="1:34" ht="15">
      <c r="A184" s="73" t="s">
        <v>156</v>
      </c>
      <c r="B184" s="53">
        <f t="shared" si="27"/>
        <v>20.433999999999997</v>
      </c>
      <c r="C184" s="116">
        <v>11.79</v>
      </c>
      <c r="D184" s="99">
        <v>1</v>
      </c>
      <c r="E184" s="99">
        <v>1.54</v>
      </c>
      <c r="F184" s="99">
        <v>1.9039999999999999</v>
      </c>
      <c r="G184" s="99">
        <v>4.2</v>
      </c>
      <c r="H184" s="99"/>
      <c r="I184" s="99"/>
      <c r="J184" s="99"/>
      <c r="K184" s="99"/>
      <c r="L184" s="99"/>
      <c r="M184" s="99"/>
      <c r="N184" s="99"/>
      <c r="O184" s="99"/>
      <c r="P184" s="99"/>
      <c r="Q184" s="99"/>
      <c r="R184" s="99"/>
      <c r="S184" s="99"/>
      <c r="T184" s="99"/>
      <c r="U184" s="99"/>
      <c r="V184" s="99"/>
      <c r="W184" s="99"/>
      <c r="X184" s="99"/>
      <c r="Y184" s="99"/>
      <c r="Z184" s="99"/>
      <c r="AA184" s="99"/>
      <c r="AB184" s="99"/>
      <c r="AC184" s="99"/>
      <c r="AD184" s="99"/>
      <c r="AE184" s="99"/>
      <c r="AF184" s="99"/>
      <c r="AG184" s="99"/>
      <c r="AH184" s="100">
        <f t="shared" si="28"/>
        <v>20.433999999999997</v>
      </c>
    </row>
    <row r="185" spans="1:34" ht="15">
      <c r="A185" s="200" t="s">
        <v>111</v>
      </c>
      <c r="B185" s="200">
        <f t="shared" ref="B185:AH185" si="29">SUM(B173:B184)</f>
        <v>968.55899999999986</v>
      </c>
      <c r="C185" s="100">
        <f t="shared" si="29"/>
        <v>32.412999999999997</v>
      </c>
      <c r="D185" s="100">
        <f t="shared" si="29"/>
        <v>41.318999999999996</v>
      </c>
      <c r="E185" s="100">
        <f t="shared" si="29"/>
        <v>39.362000000000002</v>
      </c>
      <c r="F185" s="100">
        <f t="shared" si="29"/>
        <v>16.616</v>
      </c>
      <c r="G185" s="100">
        <f t="shared" si="29"/>
        <v>18.84</v>
      </c>
      <c r="H185" s="100">
        <f t="shared" si="29"/>
        <v>14.226000000000001</v>
      </c>
      <c r="I185" s="100">
        <f t="shared" si="29"/>
        <v>21.265999999999998</v>
      </c>
      <c r="J185" s="100">
        <f t="shared" si="29"/>
        <v>32.265000000000001</v>
      </c>
      <c r="K185" s="100">
        <f t="shared" si="29"/>
        <v>51.273000000000003</v>
      </c>
      <c r="L185" s="100">
        <f t="shared" si="29"/>
        <v>40.125</v>
      </c>
      <c r="M185" s="100">
        <f t="shared" si="29"/>
        <v>27.876999999999999</v>
      </c>
      <c r="N185" s="100">
        <f t="shared" si="29"/>
        <v>19.465</v>
      </c>
      <c r="O185" s="100">
        <f t="shared" si="29"/>
        <v>7.9240000000000004</v>
      </c>
      <c r="P185" s="100">
        <f t="shared" si="29"/>
        <v>23.658000000000001</v>
      </c>
      <c r="Q185" s="100">
        <f t="shared" si="29"/>
        <v>24.875</v>
      </c>
      <c r="R185" s="100">
        <f t="shared" si="29"/>
        <v>42.064999999999998</v>
      </c>
      <c r="S185" s="100">
        <f t="shared" si="29"/>
        <v>37.335000000000001</v>
      </c>
      <c r="T185" s="100">
        <f t="shared" si="29"/>
        <v>35.573000000000008</v>
      </c>
      <c r="U185" s="100">
        <f t="shared" si="29"/>
        <v>32.984999999999992</v>
      </c>
      <c r="V185" s="100">
        <f t="shared" si="29"/>
        <v>40.927999999999997</v>
      </c>
      <c r="W185" s="100">
        <f t="shared" si="29"/>
        <v>39.955999999999996</v>
      </c>
      <c r="X185" s="100">
        <f t="shared" si="29"/>
        <v>30.255000000000003</v>
      </c>
      <c r="Y185" s="100">
        <f t="shared" si="29"/>
        <v>19.477999999999998</v>
      </c>
      <c r="Z185" s="100">
        <f t="shared" si="29"/>
        <v>39.667999999999992</v>
      </c>
      <c r="AA185" s="100">
        <f t="shared" si="29"/>
        <v>21.148</v>
      </c>
      <c r="AB185" s="100">
        <f t="shared" si="29"/>
        <v>26.780999999999999</v>
      </c>
      <c r="AC185" s="100">
        <f t="shared" si="29"/>
        <v>35.535000000000004</v>
      </c>
      <c r="AD185" s="100">
        <f t="shared" si="29"/>
        <v>36.333999999999996</v>
      </c>
      <c r="AE185" s="100">
        <f t="shared" si="29"/>
        <v>18.706</v>
      </c>
      <c r="AF185" s="100">
        <f t="shared" si="29"/>
        <v>46.617999999999995</v>
      </c>
      <c r="AG185" s="100">
        <f t="shared" si="29"/>
        <v>53.69</v>
      </c>
      <c r="AH185" s="100">
        <f t="shared" si="29"/>
        <v>968.55899999999986</v>
      </c>
    </row>
    <row r="186" spans="1:34" ht="15">
      <c r="A186" s="49"/>
      <c r="B186" s="49"/>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row>
    <row r="187" spans="1:34" ht="15">
      <c r="A187" s="3873" t="s">
        <v>138</v>
      </c>
      <c r="B187" s="3874"/>
      <c r="C187" s="3874"/>
      <c r="D187" s="3874"/>
      <c r="E187" s="3874"/>
      <c r="F187" s="3874"/>
      <c r="G187" s="3874"/>
      <c r="H187" s="3874"/>
      <c r="I187" s="3874"/>
      <c r="J187" s="3874"/>
      <c r="K187" s="3874"/>
      <c r="L187" s="3874"/>
      <c r="M187" s="3874"/>
      <c r="N187" s="3874"/>
      <c r="O187" s="3874"/>
      <c r="P187" s="3874"/>
      <c r="Q187" s="3874"/>
      <c r="R187" s="3875"/>
      <c r="S187" s="14"/>
      <c r="T187" s="14"/>
      <c r="U187" s="14"/>
      <c r="V187" s="14"/>
      <c r="W187" s="14"/>
      <c r="X187" s="14"/>
      <c r="Y187" s="14"/>
      <c r="Z187" s="14"/>
      <c r="AA187" s="14"/>
      <c r="AB187" s="14"/>
      <c r="AC187" s="14"/>
      <c r="AD187" s="14"/>
      <c r="AE187" s="14"/>
      <c r="AF187" s="14"/>
      <c r="AG187" s="14"/>
      <c r="AH187" s="1"/>
    </row>
    <row r="188" spans="1:34" ht="5.0999999999999996" customHeight="1">
      <c r="A188" s="14"/>
      <c r="B188" s="14"/>
      <c r="C188" s="14"/>
      <c r="D188" s="14"/>
      <c r="E188" s="14"/>
      <c r="F188" s="14"/>
      <c r="G188" s="14"/>
      <c r="H188" s="14"/>
      <c r="I188" s="14"/>
      <c r="J188" s="14"/>
      <c r="K188" s="14"/>
      <c r="L188" s="14"/>
      <c r="M188" s="98"/>
      <c r="N188" s="14"/>
      <c r="O188" s="14"/>
      <c r="P188" s="14"/>
      <c r="Q188" s="14"/>
      <c r="R188" s="14"/>
      <c r="S188" s="14"/>
      <c r="T188" s="14"/>
      <c r="U188" s="14"/>
      <c r="V188" s="14"/>
      <c r="W188" s="14"/>
      <c r="X188" s="14"/>
      <c r="Y188" s="14"/>
      <c r="Z188" s="14"/>
      <c r="AA188" s="14"/>
      <c r="AB188" s="14"/>
      <c r="AC188" s="14"/>
      <c r="AD188" s="14"/>
      <c r="AE188" s="14"/>
      <c r="AF188" s="14"/>
      <c r="AG188" s="14"/>
      <c r="AH188" s="1"/>
    </row>
    <row r="189" spans="1:34" ht="15">
      <c r="A189" s="3854" t="s">
        <v>139</v>
      </c>
      <c r="B189" s="3855"/>
      <c r="C189" s="3856"/>
      <c r="D189" s="14"/>
      <c r="E189" s="14"/>
      <c r="F189" s="14"/>
      <c r="G189" s="14"/>
      <c r="H189" s="14"/>
      <c r="I189" s="14"/>
      <c r="J189" s="14"/>
      <c r="K189" s="114"/>
      <c r="L189" s="14"/>
      <c r="M189" s="98"/>
      <c r="N189" s="14"/>
      <c r="O189" s="14"/>
      <c r="P189" s="14"/>
      <c r="Q189" s="14"/>
      <c r="R189" s="14"/>
      <c r="S189" s="14"/>
      <c r="T189" s="14"/>
      <c r="U189" s="14"/>
      <c r="V189" s="14"/>
      <c r="W189" s="14"/>
      <c r="X189" s="14"/>
      <c r="Y189" s="14"/>
      <c r="Z189" s="14"/>
      <c r="AA189" s="14"/>
      <c r="AB189" s="14"/>
      <c r="AC189" s="14"/>
      <c r="AD189" s="14"/>
      <c r="AE189" s="14"/>
      <c r="AF189" s="14"/>
      <c r="AG189" s="14"/>
      <c r="AH189" s="1"/>
    </row>
    <row r="190" spans="1:34" ht="15">
      <c r="A190" s="8" t="s">
        <v>142</v>
      </c>
      <c r="B190" s="8" t="s">
        <v>143</v>
      </c>
      <c r="C190" s="372">
        <v>1</v>
      </c>
      <c r="D190" s="73">
        <v>2</v>
      </c>
      <c r="E190" s="73">
        <v>3</v>
      </c>
      <c r="F190" s="73">
        <v>4</v>
      </c>
      <c r="G190" s="73">
        <v>5</v>
      </c>
      <c r="H190" s="73">
        <v>6</v>
      </c>
      <c r="I190" s="73">
        <v>7</v>
      </c>
      <c r="J190" s="73">
        <v>8</v>
      </c>
      <c r="K190" s="73">
        <v>9</v>
      </c>
      <c r="L190" s="73">
        <v>10</v>
      </c>
      <c r="M190" s="73">
        <v>11</v>
      </c>
      <c r="N190" s="73">
        <v>12</v>
      </c>
      <c r="O190" s="73">
        <v>13</v>
      </c>
      <c r="P190" s="73">
        <v>14</v>
      </c>
      <c r="Q190" s="73">
        <v>15</v>
      </c>
      <c r="R190" s="73">
        <v>16</v>
      </c>
      <c r="S190" s="73">
        <v>17</v>
      </c>
      <c r="T190" s="73">
        <v>18</v>
      </c>
      <c r="U190" s="73">
        <v>19</v>
      </c>
      <c r="V190" s="73">
        <v>20</v>
      </c>
      <c r="W190" s="73">
        <v>21</v>
      </c>
      <c r="X190" s="73">
        <v>22</v>
      </c>
      <c r="Y190" s="73">
        <v>23</v>
      </c>
      <c r="Z190" s="73">
        <v>24</v>
      </c>
      <c r="AA190" s="73">
        <v>25</v>
      </c>
      <c r="AB190" s="73">
        <v>26</v>
      </c>
      <c r="AC190" s="73">
        <v>27</v>
      </c>
      <c r="AD190" s="73">
        <v>28</v>
      </c>
      <c r="AE190" s="73">
        <v>29</v>
      </c>
      <c r="AF190" s="73">
        <v>30</v>
      </c>
      <c r="AG190" s="73">
        <v>31</v>
      </c>
      <c r="AH190" s="87" t="s">
        <v>144</v>
      </c>
    </row>
    <row r="191" spans="1:34" ht="15">
      <c r="A191" s="363" t="s">
        <v>145</v>
      </c>
      <c r="B191" s="53">
        <f t="shared" ref="B191:B202" si="30">+AH191</f>
        <v>26.425000000000004</v>
      </c>
      <c r="C191" s="446"/>
      <c r="D191" s="446"/>
      <c r="E191" s="446">
        <v>1.35</v>
      </c>
      <c r="F191" s="446"/>
      <c r="G191" s="446"/>
      <c r="H191" s="446"/>
      <c r="I191" s="446"/>
      <c r="J191" s="446"/>
      <c r="K191" s="446">
        <v>2.16</v>
      </c>
      <c r="L191" s="446">
        <v>1.161</v>
      </c>
      <c r="M191" s="446"/>
      <c r="N191" s="446"/>
      <c r="O191" s="446"/>
      <c r="P191" s="446"/>
      <c r="Q191" s="446"/>
      <c r="R191" s="446">
        <v>0.45900000000000002</v>
      </c>
      <c r="S191" s="446">
        <v>3.5100000000000002</v>
      </c>
      <c r="T191" s="99">
        <v>2.5380000000000003</v>
      </c>
      <c r="U191" s="99"/>
      <c r="V191" s="99"/>
      <c r="W191" s="99"/>
      <c r="X191" s="99"/>
      <c r="Y191" s="99">
        <v>5.5</v>
      </c>
      <c r="Z191" s="99"/>
      <c r="AA191" s="99">
        <v>2.4569999999999999</v>
      </c>
      <c r="AB191" s="99">
        <v>1.08</v>
      </c>
      <c r="AC191" s="99">
        <v>1.7549999999999999</v>
      </c>
      <c r="AD191" s="99"/>
      <c r="AE191" s="99"/>
      <c r="AF191" s="99">
        <v>2.4300000000000002</v>
      </c>
      <c r="AG191" s="99">
        <v>2.0250000000000004</v>
      </c>
      <c r="AH191" s="100">
        <f>SUM(C191:AG191)</f>
        <v>26.425000000000004</v>
      </c>
    </row>
    <row r="192" spans="1:34" ht="15">
      <c r="A192" s="363" t="s">
        <v>146</v>
      </c>
      <c r="B192" s="53">
        <f t="shared" si="30"/>
        <v>54.914000000000009</v>
      </c>
      <c r="C192" s="116">
        <v>3.4569999999999999</v>
      </c>
      <c r="D192" s="99">
        <v>6.0750000000000002</v>
      </c>
      <c r="E192" s="99">
        <v>1.6740000000000002</v>
      </c>
      <c r="F192" s="99"/>
      <c r="G192" s="99"/>
      <c r="H192" s="99"/>
      <c r="I192" s="99">
        <v>2.242</v>
      </c>
      <c r="J192" s="99">
        <v>3.5910000000000002</v>
      </c>
      <c r="K192" s="99">
        <v>3.3210000000000002</v>
      </c>
      <c r="L192" s="99">
        <v>4.1310000000000002</v>
      </c>
      <c r="M192" s="99"/>
      <c r="N192" s="99"/>
      <c r="O192" s="99"/>
      <c r="P192" s="99">
        <v>4.59</v>
      </c>
      <c r="Q192" s="99">
        <v>1.35</v>
      </c>
      <c r="R192" s="99">
        <v>0.2</v>
      </c>
      <c r="S192" s="99"/>
      <c r="T192" s="99"/>
      <c r="U192" s="99"/>
      <c r="V192" s="99"/>
      <c r="W192" s="99">
        <v>1.2150000000000001</v>
      </c>
      <c r="X192" s="99">
        <v>6.1559999999999997</v>
      </c>
      <c r="Y192" s="99">
        <v>3.0779999999999998</v>
      </c>
      <c r="Z192" s="99">
        <v>8.9600000000000009</v>
      </c>
      <c r="AA192" s="99"/>
      <c r="AB192" s="99"/>
      <c r="AC192" s="99">
        <v>1.04</v>
      </c>
      <c r="AD192" s="99">
        <v>2.6190000000000002</v>
      </c>
      <c r="AE192" s="99">
        <v>1.2150000000000001</v>
      </c>
      <c r="AF192" s="99"/>
      <c r="AG192" s="99"/>
      <c r="AH192" s="100">
        <f t="shared" ref="AH192:AH202" si="31">SUM(C192:AG192)</f>
        <v>54.914000000000009</v>
      </c>
    </row>
    <row r="193" spans="1:78" ht="15">
      <c r="A193" s="363" t="s">
        <v>147</v>
      </c>
      <c r="B193" s="53">
        <f t="shared" si="30"/>
        <v>150.363</v>
      </c>
      <c r="C193" s="447">
        <v>10.349</v>
      </c>
      <c r="D193" s="448">
        <v>6.8040000000000003</v>
      </c>
      <c r="E193" s="448"/>
      <c r="F193" s="448"/>
      <c r="G193" s="448"/>
      <c r="H193" s="448">
        <v>1.62</v>
      </c>
      <c r="I193" s="448">
        <v>1.4850000000000001</v>
      </c>
      <c r="J193" s="448">
        <v>7.9649999999999999</v>
      </c>
      <c r="K193" s="448">
        <v>9.1319999999999997</v>
      </c>
      <c r="L193" s="448"/>
      <c r="M193" s="448"/>
      <c r="N193" s="448">
        <v>2.133</v>
      </c>
      <c r="O193" s="448">
        <v>8.0739999999999998</v>
      </c>
      <c r="P193" s="448">
        <v>9.4730000000000008</v>
      </c>
      <c r="Q193" s="884">
        <v>11.681000000000001</v>
      </c>
      <c r="R193" s="884">
        <v>5.9640000000000004</v>
      </c>
      <c r="S193" s="884"/>
      <c r="T193" s="884"/>
      <c r="U193" s="884">
        <v>4.1040000000000001</v>
      </c>
      <c r="V193" s="884">
        <v>5.7510000000000003</v>
      </c>
      <c r="W193" s="884">
        <v>3.51</v>
      </c>
      <c r="X193" s="884">
        <v>1.65</v>
      </c>
      <c r="Y193" s="884">
        <v>0.77400000000000002</v>
      </c>
      <c r="Z193" s="884"/>
      <c r="AA193" s="884"/>
      <c r="AB193" s="884">
        <v>1.026</v>
      </c>
      <c r="AC193" s="884">
        <v>11.934000000000001</v>
      </c>
      <c r="AD193" s="884">
        <v>11.057000000000002</v>
      </c>
      <c r="AE193" s="884">
        <v>19.386999999999997</v>
      </c>
      <c r="AF193" s="884">
        <v>16.489999999999998</v>
      </c>
      <c r="AG193" s="448"/>
      <c r="AH193" s="100">
        <f t="shared" si="31"/>
        <v>150.363</v>
      </c>
    </row>
    <row r="194" spans="1:78" ht="15">
      <c r="A194" s="363" t="s">
        <v>148</v>
      </c>
      <c r="B194" s="53">
        <f t="shared" si="30"/>
        <v>81.314999999999998</v>
      </c>
      <c r="C194" s="447"/>
      <c r="D194" s="448">
        <v>11.499000000000001</v>
      </c>
      <c r="E194" s="448">
        <v>13.888999999999999</v>
      </c>
      <c r="F194" s="448">
        <v>27.768000000000001</v>
      </c>
      <c r="G194" s="448">
        <v>3.77</v>
      </c>
      <c r="H194" s="448"/>
      <c r="I194" s="448">
        <v>0.17</v>
      </c>
      <c r="J194" s="448"/>
      <c r="K194" s="448"/>
      <c r="L194" s="448"/>
      <c r="M194" s="448"/>
      <c r="N194" s="448"/>
      <c r="O194" s="448">
        <v>2.3759999999999999</v>
      </c>
      <c r="P194" s="448"/>
      <c r="Q194" s="448"/>
      <c r="R194" s="448"/>
      <c r="S194" s="448">
        <v>0.89100000000000001</v>
      </c>
      <c r="T194" s="448"/>
      <c r="U194" s="448"/>
      <c r="V194" s="448">
        <v>2.16</v>
      </c>
      <c r="W194" s="448"/>
      <c r="X194" s="448"/>
      <c r="Y194" s="448">
        <v>3.4020000000000001</v>
      </c>
      <c r="Z194" s="448"/>
      <c r="AA194" s="448">
        <v>0.621</v>
      </c>
      <c r="AB194" s="448">
        <v>2.4300000000000002</v>
      </c>
      <c r="AC194" s="448">
        <v>7.0739999999999998</v>
      </c>
      <c r="AD194" s="448"/>
      <c r="AE194" s="448"/>
      <c r="AF194" s="448">
        <v>5.2649999999999997</v>
      </c>
      <c r="AG194" s="448"/>
      <c r="AH194" s="100">
        <f t="shared" si="31"/>
        <v>81.314999999999998</v>
      </c>
    </row>
    <row r="195" spans="1:78" ht="15">
      <c r="A195" s="363" t="s">
        <v>149</v>
      </c>
      <c r="B195" s="53">
        <f t="shared" si="30"/>
        <v>47.57</v>
      </c>
      <c r="C195" s="447"/>
      <c r="D195" s="448"/>
      <c r="E195" s="448"/>
      <c r="F195" s="448">
        <v>3.0510000000000002</v>
      </c>
      <c r="G195" s="448"/>
      <c r="H195" s="448"/>
      <c r="I195" s="448">
        <v>3.6720000000000002</v>
      </c>
      <c r="J195" s="448">
        <v>6.08</v>
      </c>
      <c r="K195" s="448">
        <v>8.2910000000000004</v>
      </c>
      <c r="L195" s="448">
        <v>4.9950000000000001</v>
      </c>
      <c r="M195" s="448">
        <v>4.43</v>
      </c>
      <c r="N195" s="448"/>
      <c r="O195" s="448"/>
      <c r="P195" s="448"/>
      <c r="Q195" s="448"/>
      <c r="R195" s="448"/>
      <c r="S195" s="448"/>
      <c r="T195" s="448">
        <v>2.16</v>
      </c>
      <c r="U195" s="448"/>
      <c r="V195" s="448"/>
      <c r="W195" s="448"/>
      <c r="X195" s="448">
        <v>7.3310000000000004</v>
      </c>
      <c r="Y195" s="448">
        <v>3.726</v>
      </c>
      <c r="Z195" s="448">
        <v>0.67500000000000004</v>
      </c>
      <c r="AA195" s="448"/>
      <c r="AB195" s="448"/>
      <c r="AC195" s="448"/>
      <c r="AD195" s="448"/>
      <c r="AE195" s="448"/>
      <c r="AF195" s="448">
        <v>2.484</v>
      </c>
      <c r="AG195" s="448">
        <v>0.67500000000000004</v>
      </c>
      <c r="AH195" s="100">
        <f t="shared" si="31"/>
        <v>47.57</v>
      </c>
    </row>
    <row r="196" spans="1:78" ht="15">
      <c r="A196" s="363" t="s">
        <v>150</v>
      </c>
      <c r="B196" s="53">
        <f t="shared" si="30"/>
        <v>16.896000000000001</v>
      </c>
      <c r="C196" s="99">
        <v>5.58</v>
      </c>
      <c r="D196" s="99"/>
      <c r="E196" s="99"/>
      <c r="F196" s="99">
        <v>2.7269999999999999</v>
      </c>
      <c r="G196" s="99">
        <v>1.2989999999999999</v>
      </c>
      <c r="H196" s="99"/>
      <c r="I196" s="99">
        <v>1.4850000000000001</v>
      </c>
      <c r="J196" s="99">
        <v>1.7549999999999999</v>
      </c>
      <c r="K196" s="99"/>
      <c r="L196" s="99"/>
      <c r="M196" s="99"/>
      <c r="N196" s="99"/>
      <c r="O196" s="99"/>
      <c r="P196" s="99"/>
      <c r="Q196" s="99">
        <v>0.54</v>
      </c>
      <c r="R196" s="99"/>
      <c r="S196" s="99"/>
      <c r="T196" s="99"/>
      <c r="U196" s="99">
        <v>2.16</v>
      </c>
      <c r="V196" s="99"/>
      <c r="W196" s="99"/>
      <c r="X196" s="99"/>
      <c r="Y196" s="99"/>
      <c r="Z196" s="99"/>
      <c r="AA196" s="99">
        <v>1.35</v>
      </c>
      <c r="AB196" s="99"/>
      <c r="AC196" s="99"/>
      <c r="AD196" s="99"/>
      <c r="AE196" s="99"/>
      <c r="AF196" s="99"/>
      <c r="AG196" s="99"/>
      <c r="AH196" s="100">
        <f t="shared" si="31"/>
        <v>16.896000000000001</v>
      </c>
    </row>
    <row r="197" spans="1:78" ht="15">
      <c r="A197" s="314" t="s">
        <v>151</v>
      </c>
      <c r="B197" s="53">
        <f t="shared" si="30"/>
        <v>36.670999999999999</v>
      </c>
      <c r="C197" s="102"/>
      <c r="D197" s="99"/>
      <c r="E197" s="99"/>
      <c r="F197" s="99"/>
      <c r="G197" s="99"/>
      <c r="H197" s="99">
        <v>3.51</v>
      </c>
      <c r="I197" s="99">
        <v>4.8869999999999996</v>
      </c>
      <c r="J197" s="99"/>
      <c r="K197" s="99"/>
      <c r="L197" s="99">
        <v>5.5350000000000001</v>
      </c>
      <c r="M197" s="99"/>
      <c r="N197" s="99"/>
      <c r="O197" s="99"/>
      <c r="P197" s="99"/>
      <c r="Q197" s="99"/>
      <c r="R197" s="99"/>
      <c r="S197" s="99">
        <v>1.35</v>
      </c>
      <c r="T197" s="99">
        <v>3.105</v>
      </c>
      <c r="U197" s="99">
        <v>2.754</v>
      </c>
      <c r="V197" s="99"/>
      <c r="W197" s="99"/>
      <c r="X197" s="99"/>
      <c r="Y197" s="99"/>
      <c r="Z197" s="99"/>
      <c r="AA197" s="99"/>
      <c r="AB197" s="99">
        <v>4.92</v>
      </c>
      <c r="AC197" s="99">
        <v>3.59</v>
      </c>
      <c r="AD197" s="99"/>
      <c r="AE197" s="99"/>
      <c r="AF197" s="99">
        <v>2.48</v>
      </c>
      <c r="AG197" s="99">
        <v>4.54</v>
      </c>
      <c r="AH197" s="100">
        <f t="shared" si="31"/>
        <v>36.670999999999999</v>
      </c>
    </row>
    <row r="198" spans="1:78" ht="15">
      <c r="A198" s="314" t="s">
        <v>152</v>
      </c>
      <c r="B198" s="53">
        <f t="shared" si="30"/>
        <v>80.869</v>
      </c>
      <c r="C198" s="102"/>
      <c r="D198" s="99"/>
      <c r="E198" s="99">
        <v>1.72</v>
      </c>
      <c r="F198" s="99"/>
      <c r="G198" s="99"/>
      <c r="H198" s="99">
        <v>10.978</v>
      </c>
      <c r="I198" s="99">
        <v>5.5</v>
      </c>
      <c r="J198" s="99">
        <v>9.5079999999999991</v>
      </c>
      <c r="K198" s="99">
        <v>8.86</v>
      </c>
      <c r="L198" s="99">
        <v>2.0299999999999998</v>
      </c>
      <c r="M198" s="99"/>
      <c r="N198" s="99"/>
      <c r="O198" s="99"/>
      <c r="P198" s="99"/>
      <c r="Q198" s="53"/>
      <c r="R198" s="53"/>
      <c r="S198" s="53">
        <v>4.92</v>
      </c>
      <c r="T198" s="53"/>
      <c r="U198" s="53"/>
      <c r="V198" s="53">
        <v>4.8869999999999996</v>
      </c>
      <c r="W198" s="53"/>
      <c r="X198" s="53"/>
      <c r="Y198" s="53"/>
      <c r="Z198" s="53"/>
      <c r="AA198" s="53"/>
      <c r="AB198" s="53"/>
      <c r="AC198" s="53">
        <v>8.4239999999999995</v>
      </c>
      <c r="AD198" s="53">
        <v>4.7519999999999998</v>
      </c>
      <c r="AE198" s="53"/>
      <c r="AF198" s="53">
        <v>2.2650000000000001</v>
      </c>
      <c r="AG198" s="53">
        <v>17.024999999999999</v>
      </c>
      <c r="AH198" s="100">
        <f t="shared" si="31"/>
        <v>80.869</v>
      </c>
    </row>
    <row r="199" spans="1:78" ht="15">
      <c r="A199" s="314" t="s">
        <v>153</v>
      </c>
      <c r="B199" s="53">
        <f t="shared" si="30"/>
        <v>0</v>
      </c>
      <c r="C199" s="188" t="s">
        <v>162</v>
      </c>
      <c r="D199" s="188" t="s">
        <v>162</v>
      </c>
      <c r="E199" s="188" t="s">
        <v>162</v>
      </c>
      <c r="F199" s="188" t="s">
        <v>162</v>
      </c>
      <c r="G199" s="188" t="s">
        <v>162</v>
      </c>
      <c r="H199" s="188" t="s">
        <v>162</v>
      </c>
      <c r="I199" s="188" t="s">
        <v>162</v>
      </c>
      <c r="J199" s="188" t="s">
        <v>162</v>
      </c>
      <c r="K199" s="188" t="s">
        <v>162</v>
      </c>
      <c r="L199" s="188" t="s">
        <v>162</v>
      </c>
      <c r="M199" s="188" t="s">
        <v>162</v>
      </c>
      <c r="N199" s="188" t="s">
        <v>162</v>
      </c>
      <c r="O199" s="188" t="s">
        <v>162</v>
      </c>
      <c r="P199" s="188" t="s">
        <v>162</v>
      </c>
      <c r="Q199" s="188" t="s">
        <v>162</v>
      </c>
      <c r="R199" s="188" t="s">
        <v>162</v>
      </c>
      <c r="S199" s="188" t="s">
        <v>162</v>
      </c>
      <c r="T199" s="188" t="s">
        <v>162</v>
      </c>
      <c r="U199" s="188" t="s">
        <v>162</v>
      </c>
      <c r="V199" s="188" t="s">
        <v>162</v>
      </c>
      <c r="W199" s="188" t="s">
        <v>162</v>
      </c>
      <c r="X199" s="188" t="s">
        <v>162</v>
      </c>
      <c r="Y199" s="188" t="s">
        <v>162</v>
      </c>
      <c r="Z199" s="188" t="s">
        <v>162</v>
      </c>
      <c r="AA199" s="188" t="s">
        <v>162</v>
      </c>
      <c r="AB199" s="188" t="s">
        <v>162</v>
      </c>
      <c r="AC199" s="188" t="s">
        <v>162</v>
      </c>
      <c r="AD199" s="188" t="s">
        <v>162</v>
      </c>
      <c r="AE199" s="188" t="s">
        <v>162</v>
      </c>
      <c r="AF199" s="188" t="s">
        <v>162</v>
      </c>
      <c r="AG199" s="188" t="s">
        <v>162</v>
      </c>
      <c r="AH199" s="100">
        <f t="shared" si="31"/>
        <v>0</v>
      </c>
    </row>
    <row r="200" spans="1:78" ht="15">
      <c r="A200" s="314" t="s">
        <v>154</v>
      </c>
      <c r="B200" s="53">
        <f t="shared" si="30"/>
        <v>110.61000000000003</v>
      </c>
      <c r="C200" s="102"/>
      <c r="D200" s="338">
        <v>17.596</v>
      </c>
      <c r="E200" s="99">
        <v>6.2640000000000002</v>
      </c>
      <c r="F200" s="99">
        <v>0.35</v>
      </c>
      <c r="G200" s="99"/>
      <c r="H200" s="99"/>
      <c r="I200" s="99"/>
      <c r="J200" s="99">
        <v>10.422000000000001</v>
      </c>
      <c r="K200" s="99">
        <v>6.5069999999999997</v>
      </c>
      <c r="L200" s="99">
        <v>11.178000000000001</v>
      </c>
      <c r="M200" s="99">
        <v>1.35</v>
      </c>
      <c r="N200" s="99">
        <v>6.7770000000000001</v>
      </c>
      <c r="O200" s="99"/>
      <c r="P200" s="99"/>
      <c r="Q200" s="99"/>
      <c r="R200" s="99">
        <v>8.4239999999999995</v>
      </c>
      <c r="S200" s="99">
        <v>9.3420000000000005</v>
      </c>
      <c r="T200" s="99">
        <v>9.5000000000000001E-2</v>
      </c>
      <c r="U200" s="99">
        <v>9.0510000000000002</v>
      </c>
      <c r="V200" s="99"/>
      <c r="W200" s="99"/>
      <c r="X200" s="99">
        <v>1.1830000000000001</v>
      </c>
      <c r="Y200" s="99">
        <v>2.97</v>
      </c>
      <c r="Z200" s="99">
        <v>3.915</v>
      </c>
      <c r="AA200" s="99"/>
      <c r="AB200" s="99">
        <v>1.1339999999999999</v>
      </c>
      <c r="AC200" s="99"/>
      <c r="AD200" s="99"/>
      <c r="AE200" s="99"/>
      <c r="AF200" s="99">
        <v>6.141</v>
      </c>
      <c r="AG200" s="99">
        <v>7.9109999999999996</v>
      </c>
      <c r="AH200" s="100">
        <f t="shared" si="31"/>
        <v>110.61000000000003</v>
      </c>
      <c r="AI200" s="190"/>
      <c r="AJ200" s="190"/>
      <c r="AK200" s="190"/>
      <c r="AL200" s="190"/>
      <c r="AM200" s="190"/>
      <c r="AN200" s="190"/>
      <c r="AO200" s="190"/>
      <c r="AP200" s="190"/>
      <c r="AQ200" s="190"/>
      <c r="AR200" s="190"/>
      <c r="AS200" s="190"/>
      <c r="AT200" s="190"/>
      <c r="AU200" s="190"/>
      <c r="AV200" s="190"/>
      <c r="AW200" s="190"/>
      <c r="AX200" s="190"/>
      <c r="AY200" s="190"/>
      <c r="AZ200" s="190"/>
      <c r="BA200" s="190"/>
      <c r="BB200" s="190"/>
      <c r="BC200" s="190"/>
      <c r="BD200" s="190"/>
      <c r="BE200" s="190"/>
      <c r="BF200" s="190"/>
      <c r="BG200" s="190"/>
      <c r="BH200" s="190"/>
      <c r="BI200" s="190"/>
      <c r="BJ200" s="190"/>
      <c r="BK200" s="190"/>
      <c r="BL200" s="190"/>
      <c r="BM200" s="190"/>
      <c r="BN200" s="190"/>
      <c r="BO200" s="190"/>
      <c r="BP200" s="190"/>
      <c r="BQ200" s="190"/>
      <c r="BR200" s="190"/>
      <c r="BS200" s="190"/>
      <c r="BT200" s="190"/>
      <c r="BU200" s="190"/>
      <c r="BV200" s="190"/>
      <c r="BW200" s="190"/>
      <c r="BX200" s="190"/>
      <c r="BY200" s="190"/>
      <c r="BZ200" s="190"/>
    </row>
    <row r="201" spans="1:78" ht="16.2">
      <c r="A201" s="314" t="s">
        <v>155</v>
      </c>
      <c r="B201" s="53">
        <f t="shared" si="30"/>
        <v>60.203000000000003</v>
      </c>
      <c r="C201" s="336"/>
      <c r="D201" s="340">
        <v>0.45</v>
      </c>
      <c r="E201" s="337"/>
      <c r="F201" s="99"/>
      <c r="G201" s="99">
        <v>0.27</v>
      </c>
      <c r="H201" s="99"/>
      <c r="I201" s="99"/>
      <c r="J201" s="99"/>
      <c r="K201" s="99"/>
      <c r="L201" s="99"/>
      <c r="M201" s="99"/>
      <c r="N201" s="99"/>
      <c r="O201" s="99"/>
      <c r="P201" s="99"/>
      <c r="Q201" s="99">
        <v>8.0730000000000004</v>
      </c>
      <c r="R201" s="99">
        <v>9.7370000000000001</v>
      </c>
      <c r="S201" s="99"/>
      <c r="T201" s="99"/>
      <c r="U201" s="99">
        <v>11.028</v>
      </c>
      <c r="V201" s="99">
        <v>3.915</v>
      </c>
      <c r="W201" s="99"/>
      <c r="X201" s="99"/>
      <c r="Y201" s="99"/>
      <c r="Z201" s="99"/>
      <c r="AA201" s="99"/>
      <c r="AB201" s="99">
        <v>3.24</v>
      </c>
      <c r="AC201" s="99">
        <v>8.532</v>
      </c>
      <c r="AD201" s="99">
        <v>2.9969999999999999</v>
      </c>
      <c r="AE201" s="99">
        <v>4.266</v>
      </c>
      <c r="AF201" s="99">
        <v>7.6950000000000003</v>
      </c>
      <c r="AG201" s="99"/>
      <c r="AH201" s="100">
        <f t="shared" si="31"/>
        <v>60.203000000000003</v>
      </c>
      <c r="AI201" s="190"/>
      <c r="AJ201" s="190"/>
      <c r="AK201" s="190"/>
      <c r="AL201" s="190"/>
      <c r="AM201" s="190"/>
      <c r="AN201" s="190"/>
      <c r="AO201" s="190"/>
      <c r="AP201" s="190"/>
      <c r="AQ201" s="190"/>
      <c r="AR201" s="190"/>
      <c r="AS201" s="190"/>
      <c r="AT201" s="190"/>
      <c r="AU201" s="190"/>
      <c r="AV201" s="190"/>
      <c r="AW201" s="190"/>
      <c r="AX201" s="190"/>
      <c r="AY201" s="190"/>
      <c r="AZ201" s="190"/>
      <c r="BA201" s="190"/>
      <c r="BB201" s="190"/>
      <c r="BC201" s="190"/>
      <c r="BD201" s="190"/>
      <c r="BE201" s="190"/>
      <c r="BF201" s="190"/>
      <c r="BG201" s="190"/>
      <c r="BH201" s="190"/>
      <c r="BI201" s="190"/>
      <c r="BJ201" s="190"/>
      <c r="BK201" s="190"/>
      <c r="BL201" s="190"/>
      <c r="BM201" s="190"/>
      <c r="BN201" s="190"/>
      <c r="BO201" s="190"/>
      <c r="BP201" s="190"/>
      <c r="BQ201" s="190"/>
      <c r="BR201" s="190"/>
      <c r="BS201" s="190"/>
      <c r="BT201" s="190"/>
      <c r="BU201" s="190"/>
      <c r="BV201" s="190"/>
      <c r="BW201" s="190"/>
      <c r="BX201" s="190"/>
      <c r="BY201" s="190"/>
      <c r="BZ201" s="190"/>
    </row>
    <row r="202" spans="1:78" ht="15">
      <c r="A202" s="314" t="s">
        <v>156</v>
      </c>
      <c r="B202" s="53">
        <f t="shared" si="30"/>
        <v>99.648000000000025</v>
      </c>
      <c r="C202" s="99"/>
      <c r="D202" s="339"/>
      <c r="E202" s="99">
        <v>4.1849999999999996</v>
      </c>
      <c r="F202" s="99">
        <v>3.9689999999999999</v>
      </c>
      <c r="G202" s="99">
        <v>7.5060000000000002</v>
      </c>
      <c r="H202" s="99"/>
      <c r="I202" s="99">
        <v>12.52</v>
      </c>
      <c r="J202" s="99"/>
      <c r="K202" s="99"/>
      <c r="L202" s="99">
        <v>11.933999999999999</v>
      </c>
      <c r="M202" s="99">
        <v>12.42</v>
      </c>
      <c r="N202" s="99">
        <v>6.0750000000000002</v>
      </c>
      <c r="O202" s="99">
        <v>7.3979999999999997</v>
      </c>
      <c r="P202" s="99">
        <v>9.18</v>
      </c>
      <c r="Q202" s="99"/>
      <c r="R202" s="99"/>
      <c r="S202" s="99">
        <v>12.635</v>
      </c>
      <c r="T202" s="99"/>
      <c r="U202" s="99"/>
      <c r="V202" s="99">
        <v>4.05</v>
      </c>
      <c r="W202" s="99">
        <v>5.8049999999999997</v>
      </c>
      <c r="X202" s="99"/>
      <c r="Y202" s="99"/>
      <c r="Z202" s="99"/>
      <c r="AA202" s="99"/>
      <c r="AB202" s="99">
        <v>1.9710000000000001</v>
      </c>
      <c r="AC202" s="99"/>
      <c r="AD202" s="99"/>
      <c r="AE202" s="99"/>
      <c r="AF202" s="99"/>
      <c r="AG202" s="99"/>
      <c r="AH202" s="100">
        <f t="shared" si="31"/>
        <v>99.648000000000025</v>
      </c>
      <c r="AI202" s="190"/>
      <c r="AJ202" s="190"/>
      <c r="AK202" s="190"/>
      <c r="AL202" s="190"/>
      <c r="AM202" s="190"/>
      <c r="AN202" s="190"/>
      <c r="AO202" s="190"/>
      <c r="AP202" s="190"/>
      <c r="AQ202" s="190"/>
      <c r="AR202" s="190"/>
      <c r="AS202" s="190"/>
      <c r="AT202" s="190"/>
      <c r="AU202" s="190"/>
      <c r="AV202" s="190"/>
      <c r="AW202" s="190"/>
      <c r="AX202" s="190"/>
      <c r="AY202" s="190"/>
      <c r="AZ202" s="190"/>
      <c r="BA202" s="190"/>
      <c r="BB202" s="190"/>
      <c r="BC202" s="190"/>
      <c r="BD202" s="190"/>
      <c r="BE202" s="190"/>
      <c r="BF202" s="190"/>
      <c r="BG202" s="190"/>
      <c r="BH202" s="190"/>
      <c r="BI202" s="190"/>
      <c r="BJ202" s="190"/>
      <c r="BK202" s="190"/>
      <c r="BL202" s="190"/>
      <c r="BM202" s="190"/>
      <c r="BN202" s="190"/>
      <c r="BO202" s="190"/>
      <c r="BP202" s="190"/>
      <c r="BQ202" s="190"/>
      <c r="BR202" s="190"/>
      <c r="BS202" s="190"/>
      <c r="BT202" s="190"/>
      <c r="BU202" s="190"/>
      <c r="BV202" s="190"/>
      <c r="BW202" s="190"/>
      <c r="BX202" s="190"/>
      <c r="BY202" s="190"/>
      <c r="BZ202" s="190"/>
    </row>
    <row r="203" spans="1:78" ht="15">
      <c r="A203" s="200" t="s">
        <v>111</v>
      </c>
      <c r="B203" s="232">
        <f t="shared" ref="B203:AH203" si="32">SUM(B191:B202)</f>
        <v>765.48400000000004</v>
      </c>
      <c r="C203" s="100">
        <f t="shared" si="32"/>
        <v>19.386000000000003</v>
      </c>
      <c r="D203" s="100">
        <f t="shared" si="32"/>
        <v>42.424000000000007</v>
      </c>
      <c r="E203" s="100">
        <f t="shared" si="32"/>
        <v>29.081999999999997</v>
      </c>
      <c r="F203" s="100">
        <f t="shared" si="32"/>
        <v>37.865000000000002</v>
      </c>
      <c r="G203" s="100">
        <f t="shared" si="32"/>
        <v>12.845000000000001</v>
      </c>
      <c r="H203" s="100">
        <f t="shared" si="32"/>
        <v>16.108000000000001</v>
      </c>
      <c r="I203" s="100">
        <f t="shared" si="32"/>
        <v>31.960999999999999</v>
      </c>
      <c r="J203" s="100">
        <f t="shared" si="32"/>
        <v>39.320999999999998</v>
      </c>
      <c r="K203" s="100">
        <f t="shared" si="32"/>
        <v>38.271000000000001</v>
      </c>
      <c r="L203" s="100">
        <f t="shared" si="32"/>
        <v>40.963999999999999</v>
      </c>
      <c r="M203" s="100">
        <f t="shared" si="32"/>
        <v>18.2</v>
      </c>
      <c r="N203" s="100">
        <f t="shared" si="32"/>
        <v>14.984999999999999</v>
      </c>
      <c r="O203" s="107">
        <f t="shared" si="32"/>
        <v>17.847999999999999</v>
      </c>
      <c r="P203" s="107">
        <f t="shared" si="32"/>
        <v>23.243000000000002</v>
      </c>
      <c r="Q203" s="107">
        <f t="shared" si="32"/>
        <v>21.644000000000002</v>
      </c>
      <c r="R203" s="107">
        <f t="shared" si="32"/>
        <v>24.783999999999999</v>
      </c>
      <c r="S203" s="107">
        <f t="shared" si="32"/>
        <v>32.647999999999996</v>
      </c>
      <c r="T203" s="107">
        <f t="shared" si="32"/>
        <v>7.8980000000000006</v>
      </c>
      <c r="U203" s="107">
        <f t="shared" si="32"/>
        <v>29.097000000000001</v>
      </c>
      <c r="V203" s="107">
        <f t="shared" si="32"/>
        <v>20.763000000000002</v>
      </c>
      <c r="W203" s="107">
        <f t="shared" si="32"/>
        <v>10.53</v>
      </c>
      <c r="X203" s="107">
        <f t="shared" si="32"/>
        <v>16.32</v>
      </c>
      <c r="Y203" s="107">
        <f t="shared" si="32"/>
        <v>19.45</v>
      </c>
      <c r="Z203" s="107">
        <f t="shared" si="32"/>
        <v>13.55</v>
      </c>
      <c r="AA203" s="107">
        <f t="shared" si="32"/>
        <v>4.4279999999999999</v>
      </c>
      <c r="AB203" s="107">
        <f t="shared" si="32"/>
        <v>15.801</v>
      </c>
      <c r="AC203" s="107">
        <f t="shared" si="32"/>
        <v>42.349000000000004</v>
      </c>
      <c r="AD203" s="107">
        <f t="shared" si="32"/>
        <v>21.425000000000001</v>
      </c>
      <c r="AE203" s="107">
        <f t="shared" si="32"/>
        <v>24.867999999999995</v>
      </c>
      <c r="AF203" s="107">
        <f t="shared" si="32"/>
        <v>45.25</v>
      </c>
      <c r="AG203" s="107">
        <f t="shared" si="32"/>
        <v>32.176000000000002</v>
      </c>
      <c r="AH203" s="107">
        <f t="shared" si="32"/>
        <v>765.48400000000004</v>
      </c>
      <c r="AI203" s="190"/>
      <c r="AJ203" s="190"/>
      <c r="AK203" s="190"/>
      <c r="AL203" s="190"/>
      <c r="AM203" s="190"/>
      <c r="AN203" s="190"/>
      <c r="AO203" s="190"/>
      <c r="AP203" s="190"/>
      <c r="AQ203" s="190"/>
      <c r="AR203" s="190"/>
      <c r="AS203" s="190"/>
      <c r="AT203" s="190"/>
      <c r="AU203" s="190"/>
      <c r="AV203" s="190"/>
      <c r="AW203" s="190"/>
      <c r="AX203" s="190"/>
      <c r="AY203" s="190"/>
      <c r="AZ203" s="190"/>
      <c r="BA203" s="190"/>
      <c r="BB203" s="190"/>
      <c r="BC203" s="190"/>
      <c r="BD203" s="190"/>
      <c r="BE203" s="190"/>
      <c r="BF203" s="190"/>
      <c r="BG203" s="190"/>
      <c r="BH203" s="190"/>
      <c r="BI203" s="190"/>
      <c r="BJ203" s="190"/>
      <c r="BK203" s="190"/>
      <c r="BL203" s="190"/>
      <c r="BM203" s="190"/>
      <c r="BN203" s="190"/>
      <c r="BO203" s="190"/>
      <c r="BP203" s="190"/>
      <c r="BQ203" s="190"/>
      <c r="BR203" s="190"/>
      <c r="BS203" s="190"/>
      <c r="BT203" s="190"/>
      <c r="BU203" s="190"/>
      <c r="BV203" s="190"/>
      <c r="BW203" s="190"/>
      <c r="BX203" s="190"/>
      <c r="BY203" s="190"/>
      <c r="BZ203" s="190"/>
    </row>
    <row r="204" spans="1:78" ht="5.0999999999999996" customHeight="1">
      <c r="A204" s="49"/>
      <c r="B204" s="49"/>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row>
    <row r="205" spans="1:78" ht="15">
      <c r="A205" s="3854" t="s">
        <v>306</v>
      </c>
      <c r="B205" s="3855"/>
      <c r="C205" s="3856"/>
      <c r="D205" s="14"/>
      <c r="E205" s="114"/>
      <c r="F205" s="14"/>
      <c r="G205" s="14"/>
      <c r="H205" s="14"/>
      <c r="I205" s="14"/>
      <c r="J205" s="14"/>
      <c r="K205" s="14"/>
      <c r="L205" s="14"/>
      <c r="M205" s="98"/>
      <c r="N205" s="14"/>
      <c r="O205" s="14"/>
      <c r="P205" s="14"/>
      <c r="Q205" s="14"/>
      <c r="R205" s="14"/>
      <c r="S205" s="14"/>
      <c r="T205" s="14"/>
      <c r="U205" s="14"/>
      <c r="V205" s="14"/>
      <c r="W205" s="14"/>
      <c r="X205" s="14"/>
      <c r="Y205" s="14"/>
      <c r="Z205" s="14"/>
      <c r="AA205" s="14"/>
      <c r="AB205" s="14"/>
      <c r="AC205" s="14"/>
      <c r="AD205" s="14"/>
      <c r="AE205" s="14"/>
      <c r="AF205" s="14"/>
      <c r="AG205" s="14"/>
      <c r="AH205" s="1"/>
    </row>
    <row r="206" spans="1:78" ht="15">
      <c r="A206" s="8" t="s">
        <v>142</v>
      </c>
      <c r="B206" s="8" t="s">
        <v>143</v>
      </c>
      <c r="C206" s="372">
        <v>1</v>
      </c>
      <c r="D206" s="73">
        <v>2</v>
      </c>
      <c r="E206" s="73">
        <v>3</v>
      </c>
      <c r="F206" s="73">
        <v>4</v>
      </c>
      <c r="G206" s="73">
        <v>5</v>
      </c>
      <c r="H206" s="73">
        <v>6</v>
      </c>
      <c r="I206" s="73">
        <v>7</v>
      </c>
      <c r="J206" s="73">
        <v>8</v>
      </c>
      <c r="K206" s="73">
        <v>9</v>
      </c>
      <c r="L206" s="73">
        <v>10</v>
      </c>
      <c r="M206" s="73">
        <v>11</v>
      </c>
      <c r="N206" s="73">
        <v>12</v>
      </c>
      <c r="O206" s="73">
        <v>13</v>
      </c>
      <c r="P206" s="73">
        <v>14</v>
      </c>
      <c r="Q206" s="73">
        <v>15</v>
      </c>
      <c r="R206" s="73">
        <v>16</v>
      </c>
      <c r="S206" s="73">
        <v>17</v>
      </c>
      <c r="T206" s="73">
        <v>18</v>
      </c>
      <c r="U206" s="73">
        <v>19</v>
      </c>
      <c r="V206" s="73">
        <v>20</v>
      </c>
      <c r="W206" s="73">
        <v>21</v>
      </c>
      <c r="X206" s="73">
        <v>22</v>
      </c>
      <c r="Y206" s="73">
        <v>23</v>
      </c>
      <c r="Z206" s="73">
        <v>24</v>
      </c>
      <c r="AA206" s="73">
        <v>25</v>
      </c>
      <c r="AB206" s="73">
        <v>26</v>
      </c>
      <c r="AC206" s="73">
        <v>27</v>
      </c>
      <c r="AD206" s="73">
        <v>28</v>
      </c>
      <c r="AE206" s="73">
        <v>29</v>
      </c>
      <c r="AF206" s="73">
        <v>30</v>
      </c>
      <c r="AG206" s="73">
        <v>31</v>
      </c>
      <c r="AH206" s="87" t="s">
        <v>144</v>
      </c>
    </row>
    <row r="207" spans="1:78" ht="15">
      <c r="A207" s="363" t="s">
        <v>145</v>
      </c>
      <c r="B207" s="53">
        <f t="shared" ref="B207:B218" si="33">+AH207</f>
        <v>56.132999999999988</v>
      </c>
      <c r="C207" s="446"/>
      <c r="D207" s="446"/>
      <c r="E207" s="446">
        <v>1.4040000000000001</v>
      </c>
      <c r="F207" s="446">
        <v>3.1860000000000004</v>
      </c>
      <c r="G207" s="446">
        <v>7.9919999999999991</v>
      </c>
      <c r="H207" s="446">
        <v>10.475999999999999</v>
      </c>
      <c r="I207" s="446"/>
      <c r="J207" s="446"/>
      <c r="K207" s="446">
        <v>1.3499999999999999</v>
      </c>
      <c r="L207" s="446">
        <v>6.399</v>
      </c>
      <c r="M207" s="446"/>
      <c r="N207" s="446">
        <v>2.97</v>
      </c>
      <c r="O207" s="446">
        <v>3.105</v>
      </c>
      <c r="P207" s="446"/>
      <c r="Q207" s="446"/>
      <c r="R207" s="446">
        <v>2.1870000000000003</v>
      </c>
      <c r="S207" s="446">
        <v>4.8059999999999992</v>
      </c>
      <c r="T207" s="446">
        <v>1.5390000000000001</v>
      </c>
      <c r="U207" s="446">
        <v>0.51300000000000001</v>
      </c>
      <c r="V207" s="446">
        <v>1.296</v>
      </c>
      <c r="W207" s="446"/>
      <c r="X207" s="446"/>
      <c r="Y207" s="446">
        <v>1.62</v>
      </c>
      <c r="Z207" s="446">
        <v>2.7270000000000003</v>
      </c>
      <c r="AA207" s="446">
        <v>1.6740000000000002</v>
      </c>
      <c r="AB207" s="446">
        <v>1.242</v>
      </c>
      <c r="AC207" s="446">
        <v>0.91800000000000004</v>
      </c>
      <c r="AD207" s="446"/>
      <c r="AE207" s="446"/>
      <c r="AF207" s="446">
        <v>0.72900000000000009</v>
      </c>
      <c r="AG207" s="446"/>
      <c r="AH207" s="100">
        <f>SUM(C207:AG207)</f>
        <v>56.132999999999988</v>
      </c>
    </row>
    <row r="208" spans="1:78" ht="15">
      <c r="A208" s="363" t="s">
        <v>146</v>
      </c>
      <c r="B208" s="53">
        <f t="shared" si="33"/>
        <v>37.424000000000007</v>
      </c>
      <c r="C208" s="446">
        <v>1.2690000000000001</v>
      </c>
      <c r="D208" s="446">
        <v>2.2140000000000004</v>
      </c>
      <c r="E208" s="446">
        <v>2.2950000000000004</v>
      </c>
      <c r="F208" s="446"/>
      <c r="G208" s="446"/>
      <c r="H208" s="446">
        <v>2.1059999999999999</v>
      </c>
      <c r="I208" s="446">
        <v>3.4830000000000005</v>
      </c>
      <c r="J208" s="446">
        <v>4.8890000000000002</v>
      </c>
      <c r="K208" s="446">
        <v>5.2920000000000007</v>
      </c>
      <c r="L208" s="446">
        <v>4.2930000000000001</v>
      </c>
      <c r="M208" s="446"/>
      <c r="N208" s="446"/>
      <c r="O208" s="446">
        <v>0.59399999999999997</v>
      </c>
      <c r="P208" s="446">
        <v>1.1339999999999999</v>
      </c>
      <c r="Q208" s="446">
        <v>1.4850000000000001</v>
      </c>
      <c r="R208" s="446">
        <v>0.32400000000000001</v>
      </c>
      <c r="S208" s="446">
        <v>0.56699999999999995</v>
      </c>
      <c r="T208" s="446"/>
      <c r="U208" s="446"/>
      <c r="V208" s="446">
        <v>8.1000000000000003E-2</v>
      </c>
      <c r="W208" s="446"/>
      <c r="X208" s="446">
        <v>0.86399999999999999</v>
      </c>
      <c r="Y208" s="446">
        <v>2.5649999999999999</v>
      </c>
      <c r="Z208" s="446">
        <v>3.9689999999999999</v>
      </c>
      <c r="AA208" s="446"/>
      <c r="AB208" s="446"/>
      <c r="AC208" s="446"/>
      <c r="AD208" s="446"/>
      <c r="AE208" s="446"/>
      <c r="AF208" s="446"/>
      <c r="AG208" s="446"/>
      <c r="AH208" s="100">
        <f t="shared" ref="AH208:AH218" si="34">SUM(C208:AG208)</f>
        <v>37.424000000000007</v>
      </c>
    </row>
    <row r="209" spans="1:34" ht="15">
      <c r="A209" s="363" t="s">
        <v>147</v>
      </c>
      <c r="B209" s="53">
        <f t="shared" si="33"/>
        <v>67.19</v>
      </c>
      <c r="C209" s="446">
        <v>2.2949999999999999</v>
      </c>
      <c r="D209" s="446">
        <v>5.6120000000000001</v>
      </c>
      <c r="E209" s="446"/>
      <c r="F209" s="446"/>
      <c r="G209" s="446"/>
      <c r="H209" s="446"/>
      <c r="I209" s="446"/>
      <c r="J209" s="446">
        <v>4.7130000000000001</v>
      </c>
      <c r="K209" s="446">
        <v>2.2410000000000001</v>
      </c>
      <c r="L209" s="446">
        <v>0.51300000000000001</v>
      </c>
      <c r="M209" s="446"/>
      <c r="N209" s="446">
        <v>0.16500000000000001</v>
      </c>
      <c r="O209" s="446">
        <v>3.5370000000000004</v>
      </c>
      <c r="P209" s="446">
        <v>4.1039999999999992</v>
      </c>
      <c r="Q209" s="446">
        <v>2.1059999999999999</v>
      </c>
      <c r="R209" s="446">
        <v>0.75600000000000001</v>
      </c>
      <c r="S209" s="446"/>
      <c r="T209" s="446"/>
      <c r="U209" s="446">
        <v>0.13500000000000001</v>
      </c>
      <c r="V209" s="446">
        <v>1.593</v>
      </c>
      <c r="W209" s="446">
        <v>2.2680000000000002</v>
      </c>
      <c r="X209" s="446">
        <v>0.94500000000000006</v>
      </c>
      <c r="Y209" s="446">
        <v>1.62</v>
      </c>
      <c r="Z209" s="446"/>
      <c r="AA209" s="446"/>
      <c r="AB209" s="446"/>
      <c r="AC209" s="446">
        <v>6.7769999999999992</v>
      </c>
      <c r="AD209" s="446">
        <v>10.799999999999999</v>
      </c>
      <c r="AE209" s="446">
        <v>16.280999999999999</v>
      </c>
      <c r="AF209" s="446">
        <v>0.72900000000000009</v>
      </c>
      <c r="AG209" s="446"/>
      <c r="AH209" s="100">
        <f t="shared" si="34"/>
        <v>67.19</v>
      </c>
    </row>
    <row r="210" spans="1:34" ht="15">
      <c r="A210" s="363" t="s">
        <v>148</v>
      </c>
      <c r="B210" s="53">
        <f t="shared" si="33"/>
        <v>39.483000000000004</v>
      </c>
      <c r="C210" s="446"/>
      <c r="D210" s="446">
        <v>6.1560000000000015</v>
      </c>
      <c r="E210" s="446">
        <v>9.3960000000000008</v>
      </c>
      <c r="F210" s="446">
        <v>10.593</v>
      </c>
      <c r="G210" s="446">
        <v>2.7810000000000001</v>
      </c>
      <c r="H210" s="446"/>
      <c r="I210" s="446"/>
      <c r="J210" s="446"/>
      <c r="K210" s="446"/>
      <c r="L210" s="446"/>
      <c r="M210" s="446">
        <v>0.27</v>
      </c>
      <c r="N210" s="446">
        <v>0.27</v>
      </c>
      <c r="O210" s="446">
        <v>1.6739999999999999</v>
      </c>
      <c r="P210" s="446">
        <v>0.216</v>
      </c>
      <c r="Q210" s="446"/>
      <c r="R210" s="446"/>
      <c r="S210" s="446"/>
      <c r="T210" s="446">
        <v>0.78300000000000003</v>
      </c>
      <c r="U210" s="446"/>
      <c r="V210" s="446">
        <v>0.56699999999999995</v>
      </c>
      <c r="W210" s="446"/>
      <c r="X210" s="446"/>
      <c r="Y210" s="446">
        <v>1.161</v>
      </c>
      <c r="Z210" s="446">
        <v>1.242</v>
      </c>
      <c r="AA210" s="446">
        <v>0.27</v>
      </c>
      <c r="AB210" s="446">
        <v>0.432</v>
      </c>
      <c r="AC210" s="446">
        <v>1.1339999999999999</v>
      </c>
      <c r="AD210" s="446"/>
      <c r="AE210" s="446"/>
      <c r="AF210" s="446">
        <v>2.5379999999999998</v>
      </c>
      <c r="AG210" s="446"/>
      <c r="AH210" s="100">
        <f t="shared" si="34"/>
        <v>39.483000000000004</v>
      </c>
    </row>
    <row r="211" spans="1:34" ht="15">
      <c r="A211" s="363" t="s">
        <v>149</v>
      </c>
      <c r="B211" s="53">
        <f t="shared" si="33"/>
        <v>24.481000000000002</v>
      </c>
      <c r="C211" s="446"/>
      <c r="D211" s="446"/>
      <c r="E211" s="446"/>
      <c r="F211" s="446"/>
      <c r="G211" s="446"/>
      <c r="H211" s="446"/>
      <c r="I211" s="446">
        <v>2.5379999999999998</v>
      </c>
      <c r="J211" s="446">
        <v>2.7810000000000001</v>
      </c>
      <c r="K211" s="446">
        <v>2.66</v>
      </c>
      <c r="L211" s="446">
        <v>2.4569999999999999</v>
      </c>
      <c r="M211" s="446">
        <v>1.97</v>
      </c>
      <c r="N211" s="446"/>
      <c r="O211" s="446"/>
      <c r="P211" s="446">
        <v>0.84</v>
      </c>
      <c r="Q211" s="446">
        <v>1.38</v>
      </c>
      <c r="R211" s="446"/>
      <c r="S211" s="446"/>
      <c r="T211" s="446">
        <v>0.83699999999999997</v>
      </c>
      <c r="U211" s="446"/>
      <c r="V211" s="446"/>
      <c r="W211" s="446"/>
      <c r="X211" s="446">
        <v>3.51</v>
      </c>
      <c r="Y211" s="446">
        <v>2.9430000000000001</v>
      </c>
      <c r="Z211" s="446">
        <v>1.431</v>
      </c>
      <c r="AA211" s="446"/>
      <c r="AB211" s="446"/>
      <c r="AC211" s="446"/>
      <c r="AD211" s="446"/>
      <c r="AE211" s="446"/>
      <c r="AF211" s="446">
        <v>0.108</v>
      </c>
      <c r="AG211" s="446">
        <v>1.026</v>
      </c>
      <c r="AH211" s="100">
        <f t="shared" si="34"/>
        <v>24.481000000000002</v>
      </c>
    </row>
    <row r="212" spans="1:34" ht="15">
      <c r="A212" s="363" t="s">
        <v>150</v>
      </c>
      <c r="B212" s="53">
        <f t="shared" si="33"/>
        <v>63.828000000000003</v>
      </c>
      <c r="C212" s="447">
        <v>2.1869999999999998</v>
      </c>
      <c r="D212" s="448"/>
      <c r="E212" s="448"/>
      <c r="F212" s="448">
        <v>2.052</v>
      </c>
      <c r="G212" s="448">
        <v>3.024</v>
      </c>
      <c r="H212" s="448"/>
      <c r="I212" s="448">
        <v>8.0730000000000004</v>
      </c>
      <c r="J212" s="448">
        <v>7.6680000000000001</v>
      </c>
      <c r="K212" s="448"/>
      <c r="L212" s="448"/>
      <c r="M212" s="448"/>
      <c r="N212" s="448"/>
      <c r="O212" s="448"/>
      <c r="P212" s="448">
        <v>2.835</v>
      </c>
      <c r="Q212" s="448">
        <v>3.24</v>
      </c>
      <c r="R212" s="448"/>
      <c r="S212" s="448"/>
      <c r="T212" s="448"/>
      <c r="U212" s="448">
        <v>3.3479999999999999</v>
      </c>
      <c r="V212" s="448"/>
      <c r="W212" s="448">
        <v>2.8079999999999998</v>
      </c>
      <c r="X212" s="448">
        <v>3.8069999999999999</v>
      </c>
      <c r="Y212" s="448"/>
      <c r="Z212" s="448"/>
      <c r="AA212" s="448">
        <v>5.3730000000000002</v>
      </c>
      <c r="AB212" s="448">
        <v>4.9409999999999998</v>
      </c>
      <c r="AC212" s="448">
        <v>0.189</v>
      </c>
      <c r="AD212" s="448">
        <v>6.9930000000000003</v>
      </c>
      <c r="AE212" s="448">
        <v>7.29</v>
      </c>
      <c r="AF212" s="448"/>
      <c r="AG212" s="448"/>
      <c r="AH212" s="100">
        <f t="shared" si="34"/>
        <v>63.828000000000003</v>
      </c>
    </row>
    <row r="213" spans="1:34" ht="15">
      <c r="A213" s="314" t="s">
        <v>151</v>
      </c>
      <c r="B213" s="53">
        <f t="shared" si="33"/>
        <v>49.029000000000011</v>
      </c>
      <c r="C213" s="2006"/>
      <c r="D213" s="448"/>
      <c r="E213" s="448"/>
      <c r="F213" s="448"/>
      <c r="G213" s="448">
        <v>1.0569999999999999</v>
      </c>
      <c r="H213" s="448">
        <v>2.97</v>
      </c>
      <c r="I213" s="448"/>
      <c r="J213" s="448"/>
      <c r="K213" s="448">
        <v>5.13</v>
      </c>
      <c r="L213" s="448">
        <v>3.206</v>
      </c>
      <c r="M213" s="448"/>
      <c r="N213" s="448"/>
      <c r="O213" s="448"/>
      <c r="P213" s="448"/>
      <c r="Q213" s="448"/>
      <c r="R213" s="448"/>
      <c r="S213" s="448">
        <v>5.0759999999999996</v>
      </c>
      <c r="T213" s="448">
        <v>1.944</v>
      </c>
      <c r="U213" s="448">
        <v>4.2389999999999999</v>
      </c>
      <c r="V213" s="448">
        <v>7.56</v>
      </c>
      <c r="W213" s="448"/>
      <c r="X213" s="448"/>
      <c r="Y213" s="448">
        <v>1.107</v>
      </c>
      <c r="Z213" s="448"/>
      <c r="AA213" s="448"/>
      <c r="AB213" s="448">
        <v>3.456</v>
      </c>
      <c r="AC213" s="448">
        <v>4.6710000000000003</v>
      </c>
      <c r="AD213" s="448"/>
      <c r="AE213" s="448"/>
      <c r="AF213" s="448">
        <v>1.026</v>
      </c>
      <c r="AG213" s="448">
        <v>7.5869999999999997</v>
      </c>
      <c r="AH213" s="100">
        <f t="shared" si="34"/>
        <v>49.029000000000011</v>
      </c>
    </row>
    <row r="214" spans="1:34" ht="15">
      <c r="A214" s="314" t="s">
        <v>152</v>
      </c>
      <c r="B214" s="53">
        <f t="shared" si="33"/>
        <v>59.143000000000001</v>
      </c>
      <c r="C214" s="2006"/>
      <c r="D214" s="448"/>
      <c r="E214" s="448"/>
      <c r="F214" s="448"/>
      <c r="G214" s="448"/>
      <c r="H214" s="448">
        <v>7.3710000000000004</v>
      </c>
      <c r="I214" s="448">
        <v>4.9409999999999998</v>
      </c>
      <c r="J214" s="448">
        <v>3.6179999999999999</v>
      </c>
      <c r="K214" s="448">
        <v>7.3029999999999999</v>
      </c>
      <c r="L214" s="448">
        <v>0.54</v>
      </c>
      <c r="M214" s="448"/>
      <c r="N214" s="448"/>
      <c r="O214" s="448"/>
      <c r="P214" s="448">
        <v>0.432</v>
      </c>
      <c r="Q214" s="863"/>
      <c r="R214" s="863"/>
      <c r="S214" s="863">
        <v>5.5620000000000003</v>
      </c>
      <c r="T214" s="863"/>
      <c r="U214" s="863"/>
      <c r="V214" s="863">
        <v>4.4009999999999998</v>
      </c>
      <c r="W214" s="863"/>
      <c r="X214" s="863"/>
      <c r="Y214" s="863"/>
      <c r="Z214" s="863">
        <v>0.81</v>
      </c>
      <c r="AA214" s="863"/>
      <c r="AB214" s="863"/>
      <c r="AC214" s="863">
        <v>2.9969999999999999</v>
      </c>
      <c r="AD214" s="863">
        <v>3.3479999999999999</v>
      </c>
      <c r="AE214" s="863"/>
      <c r="AF214" s="863">
        <v>6.7770000000000001</v>
      </c>
      <c r="AG214" s="863">
        <v>11.042999999999999</v>
      </c>
      <c r="AH214" s="100">
        <f t="shared" si="34"/>
        <v>59.143000000000001</v>
      </c>
    </row>
    <row r="215" spans="1:34" ht="15">
      <c r="A215" s="314" t="s">
        <v>153</v>
      </c>
      <c r="B215" s="53">
        <f t="shared" si="33"/>
        <v>0</v>
      </c>
      <c r="C215" s="188" t="s">
        <v>162</v>
      </c>
      <c r="D215" s="188" t="s">
        <v>162</v>
      </c>
      <c r="E215" s="188" t="s">
        <v>162</v>
      </c>
      <c r="F215" s="188" t="s">
        <v>162</v>
      </c>
      <c r="G215" s="188" t="s">
        <v>162</v>
      </c>
      <c r="H215" s="188" t="s">
        <v>162</v>
      </c>
      <c r="I215" s="188" t="s">
        <v>162</v>
      </c>
      <c r="J215" s="188" t="s">
        <v>162</v>
      </c>
      <c r="K215" s="188" t="s">
        <v>162</v>
      </c>
      <c r="L215" s="188" t="s">
        <v>162</v>
      </c>
      <c r="M215" s="188" t="s">
        <v>162</v>
      </c>
      <c r="N215" s="188" t="s">
        <v>162</v>
      </c>
      <c r="O215" s="188" t="s">
        <v>162</v>
      </c>
      <c r="P215" s="188" t="s">
        <v>162</v>
      </c>
      <c r="Q215" s="188" t="s">
        <v>162</v>
      </c>
      <c r="R215" s="188" t="s">
        <v>162</v>
      </c>
      <c r="S215" s="188" t="s">
        <v>162</v>
      </c>
      <c r="T215" s="188" t="s">
        <v>162</v>
      </c>
      <c r="U215" s="188" t="s">
        <v>162</v>
      </c>
      <c r="V215" s="188" t="s">
        <v>162</v>
      </c>
      <c r="W215" s="188" t="s">
        <v>162</v>
      </c>
      <c r="X215" s="188" t="s">
        <v>162</v>
      </c>
      <c r="Y215" s="188" t="s">
        <v>162</v>
      </c>
      <c r="Z215" s="188" t="s">
        <v>162</v>
      </c>
      <c r="AA215" s="188" t="s">
        <v>162</v>
      </c>
      <c r="AB215" s="188" t="s">
        <v>162</v>
      </c>
      <c r="AC215" s="188" t="s">
        <v>162</v>
      </c>
      <c r="AD215" s="188" t="s">
        <v>162</v>
      </c>
      <c r="AE215" s="188" t="s">
        <v>162</v>
      </c>
      <c r="AF215" s="188" t="s">
        <v>162</v>
      </c>
      <c r="AG215" s="188" t="s">
        <v>162</v>
      </c>
      <c r="AH215" s="100">
        <f t="shared" si="34"/>
        <v>0</v>
      </c>
    </row>
    <row r="216" spans="1:34" ht="15">
      <c r="A216" s="314" t="s">
        <v>154</v>
      </c>
      <c r="B216" s="53">
        <f t="shared" si="33"/>
        <v>94.781000000000006</v>
      </c>
      <c r="C216" s="326"/>
      <c r="D216" s="99">
        <v>6.4260000000000002</v>
      </c>
      <c r="E216" s="99">
        <v>5.3460000000000001</v>
      </c>
      <c r="F216" s="99">
        <v>1.6739999999999999</v>
      </c>
      <c r="G216" s="99"/>
      <c r="H216" s="99"/>
      <c r="I216" s="99"/>
      <c r="J216" s="99">
        <v>6.4119999999999999</v>
      </c>
      <c r="K216" s="99">
        <v>5.319</v>
      </c>
      <c r="L216" s="99">
        <v>3.4020000000000001</v>
      </c>
      <c r="M216" s="99">
        <v>0.76200000000000001</v>
      </c>
      <c r="N216" s="99">
        <v>5.6970000000000001</v>
      </c>
      <c r="O216" s="99"/>
      <c r="P216" s="99"/>
      <c r="Q216" s="99"/>
      <c r="R216" s="99">
        <v>2.754</v>
      </c>
      <c r="S216" s="99">
        <v>4.4550000000000001</v>
      </c>
      <c r="T216" s="99"/>
      <c r="U216" s="99">
        <v>7.3170000000000002</v>
      </c>
      <c r="V216" s="99"/>
      <c r="W216" s="99"/>
      <c r="X216" s="99">
        <v>4.8869999999999996</v>
      </c>
      <c r="Y216" s="99">
        <v>4.5090000000000003</v>
      </c>
      <c r="Z216" s="99">
        <v>7.29</v>
      </c>
      <c r="AA216" s="99"/>
      <c r="AB216" s="99">
        <v>5.319</v>
      </c>
      <c r="AC216" s="99"/>
      <c r="AD216" s="99"/>
      <c r="AE216" s="99">
        <v>2.754</v>
      </c>
      <c r="AF216" s="99">
        <v>10.302</v>
      </c>
      <c r="AG216" s="99">
        <v>10.156000000000001</v>
      </c>
      <c r="AH216" s="100">
        <f t="shared" si="34"/>
        <v>94.781000000000006</v>
      </c>
    </row>
    <row r="217" spans="1:34" ht="15">
      <c r="A217" s="314" t="s">
        <v>155</v>
      </c>
      <c r="B217" s="53">
        <f t="shared" si="33"/>
        <v>69.762</v>
      </c>
      <c r="C217" s="116"/>
      <c r="D217" s="99">
        <v>2.8889999999999998</v>
      </c>
      <c r="E217" s="99"/>
      <c r="F217" s="99"/>
      <c r="G217" s="99">
        <v>7.83</v>
      </c>
      <c r="H217" s="99"/>
      <c r="I217" s="99">
        <v>5.9130000000000003</v>
      </c>
      <c r="J217" s="99"/>
      <c r="K217" s="99"/>
      <c r="L217" s="99"/>
      <c r="M217" s="99"/>
      <c r="N217" s="99">
        <v>1.8089999999999999</v>
      </c>
      <c r="O217" s="99">
        <v>3.4289999999999998</v>
      </c>
      <c r="P217" s="99">
        <v>3.726</v>
      </c>
      <c r="Q217" s="99">
        <v>5.9260000000000002</v>
      </c>
      <c r="R217" s="99">
        <v>5.423</v>
      </c>
      <c r="S217" s="99"/>
      <c r="T217" s="99"/>
      <c r="U217" s="99">
        <v>7.8390000000000004</v>
      </c>
      <c r="V217" s="99">
        <v>7.8570000000000002</v>
      </c>
      <c r="W217" s="99"/>
      <c r="X217" s="99"/>
      <c r="Y217" s="99"/>
      <c r="Z217" s="99"/>
      <c r="AA217" s="99"/>
      <c r="AB217" s="99">
        <v>5.4939999999999998</v>
      </c>
      <c r="AC217" s="99">
        <v>5.859</v>
      </c>
      <c r="AD217" s="99">
        <v>2.339</v>
      </c>
      <c r="AE217" s="99">
        <v>1.512</v>
      </c>
      <c r="AF217" s="99">
        <v>1.917</v>
      </c>
      <c r="AG217" s="99"/>
      <c r="AH217" s="100">
        <f t="shared" si="34"/>
        <v>69.762</v>
      </c>
    </row>
    <row r="218" spans="1:34" ht="15">
      <c r="A218" s="314" t="s">
        <v>156</v>
      </c>
      <c r="B218" s="53">
        <f t="shared" si="33"/>
        <v>50.436</v>
      </c>
      <c r="C218" s="116"/>
      <c r="D218" s="99"/>
      <c r="E218" s="99">
        <v>0.29699999999999999</v>
      </c>
      <c r="F218" s="99">
        <v>0.621</v>
      </c>
      <c r="G218" s="99">
        <v>4.1040000000000001</v>
      </c>
      <c r="H218" s="99"/>
      <c r="I218" s="99">
        <v>4.5090000000000003</v>
      </c>
      <c r="J218" s="99"/>
      <c r="K218" s="99"/>
      <c r="L218" s="99">
        <v>5.4809999999999999</v>
      </c>
      <c r="M218" s="99">
        <v>1.08</v>
      </c>
      <c r="N218" s="99"/>
      <c r="O218" s="99"/>
      <c r="P218" s="99">
        <v>5.4</v>
      </c>
      <c r="Q218" s="99"/>
      <c r="R218" s="99"/>
      <c r="S218" s="99">
        <v>6.1829999999999998</v>
      </c>
      <c r="T218" s="99"/>
      <c r="U218" s="99"/>
      <c r="V218" s="99"/>
      <c r="W218" s="99">
        <v>8.1</v>
      </c>
      <c r="X218" s="99"/>
      <c r="Y218" s="99"/>
      <c r="Z218" s="99"/>
      <c r="AA218" s="99"/>
      <c r="AB218" s="99">
        <v>0.54</v>
      </c>
      <c r="AC218" s="99">
        <v>3.2669999999999999</v>
      </c>
      <c r="AD218" s="99">
        <v>10.853999999999999</v>
      </c>
      <c r="AE218" s="99"/>
      <c r="AF218" s="99"/>
      <c r="AG218" s="99"/>
      <c r="AH218" s="100">
        <f t="shared" si="34"/>
        <v>50.436</v>
      </c>
    </row>
    <row r="219" spans="1:34" ht="15">
      <c r="A219" s="200" t="s">
        <v>111</v>
      </c>
      <c r="B219" s="200">
        <f t="shared" ref="B219:AH219" si="35">SUM(B207:B218)</f>
        <v>611.69000000000005</v>
      </c>
      <c r="C219" s="100">
        <f t="shared" si="35"/>
        <v>5.7509999999999994</v>
      </c>
      <c r="D219" s="100">
        <f t="shared" si="35"/>
        <v>23.297000000000001</v>
      </c>
      <c r="E219" s="100">
        <f t="shared" si="35"/>
        <v>18.738000000000003</v>
      </c>
      <c r="F219" s="100">
        <f t="shared" si="35"/>
        <v>18.125999999999998</v>
      </c>
      <c r="G219" s="100">
        <f t="shared" si="35"/>
        <v>26.788</v>
      </c>
      <c r="H219" s="100">
        <f t="shared" si="35"/>
        <v>22.923000000000002</v>
      </c>
      <c r="I219" s="100">
        <f t="shared" si="35"/>
        <v>29.457000000000001</v>
      </c>
      <c r="J219" s="100">
        <f t="shared" si="35"/>
        <v>30.081</v>
      </c>
      <c r="K219" s="100">
        <f t="shared" si="35"/>
        <v>29.295000000000002</v>
      </c>
      <c r="L219" s="100">
        <f t="shared" si="35"/>
        <v>26.290999999999997</v>
      </c>
      <c r="M219" s="100">
        <f t="shared" si="35"/>
        <v>4.0820000000000007</v>
      </c>
      <c r="N219" s="100">
        <f t="shared" si="35"/>
        <v>10.911</v>
      </c>
      <c r="O219" s="100">
        <f t="shared" si="35"/>
        <v>12.339</v>
      </c>
      <c r="P219" s="100">
        <f t="shared" si="35"/>
        <v>18.686999999999998</v>
      </c>
      <c r="Q219" s="100">
        <f t="shared" si="35"/>
        <v>14.137</v>
      </c>
      <c r="R219" s="100">
        <f t="shared" si="35"/>
        <v>11.444000000000001</v>
      </c>
      <c r="S219" s="100">
        <f t="shared" si="35"/>
        <v>26.649000000000001</v>
      </c>
      <c r="T219" s="100">
        <f t="shared" si="35"/>
        <v>5.1029999999999998</v>
      </c>
      <c r="U219" s="100">
        <f t="shared" si="35"/>
        <v>23.390999999999998</v>
      </c>
      <c r="V219" s="100">
        <f t="shared" si="35"/>
        <v>23.355</v>
      </c>
      <c r="W219" s="100">
        <f t="shared" si="35"/>
        <v>13.176</v>
      </c>
      <c r="X219" s="100">
        <f t="shared" si="35"/>
        <v>14.012999999999998</v>
      </c>
      <c r="Y219" s="100">
        <f t="shared" si="35"/>
        <v>15.525</v>
      </c>
      <c r="Z219" s="100">
        <f t="shared" si="35"/>
        <v>17.469000000000001</v>
      </c>
      <c r="AA219" s="100">
        <f t="shared" si="35"/>
        <v>7.3170000000000002</v>
      </c>
      <c r="AB219" s="100">
        <f t="shared" si="35"/>
        <v>21.423999999999999</v>
      </c>
      <c r="AC219" s="100">
        <f t="shared" si="35"/>
        <v>25.812000000000001</v>
      </c>
      <c r="AD219" s="100">
        <f t="shared" si="35"/>
        <v>34.333999999999996</v>
      </c>
      <c r="AE219" s="100">
        <f t="shared" si="35"/>
        <v>27.837</v>
      </c>
      <c r="AF219" s="100">
        <f t="shared" si="35"/>
        <v>24.126000000000001</v>
      </c>
      <c r="AG219" s="100">
        <f t="shared" si="35"/>
        <v>29.811999999999998</v>
      </c>
      <c r="AH219" s="100">
        <f t="shared" si="35"/>
        <v>611.69000000000005</v>
      </c>
    </row>
    <row r="220" spans="1:34" ht="5.0999999999999996" customHeight="1">
      <c r="A220" s="49"/>
      <c r="B220" s="49"/>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row>
    <row r="221" spans="1:34" ht="15">
      <c r="A221" s="3854" t="s">
        <v>550</v>
      </c>
      <c r="B221" s="3855"/>
      <c r="C221" s="3855"/>
      <c r="D221" s="3879"/>
      <c r="E221" s="3880"/>
      <c r="F221" s="14"/>
      <c r="G221" s="114"/>
      <c r="H221" s="14"/>
      <c r="I221" s="14"/>
      <c r="J221" s="14"/>
      <c r="K221" s="14"/>
      <c r="L221" s="14"/>
      <c r="M221" s="98"/>
      <c r="N221" s="14"/>
      <c r="O221" s="14"/>
      <c r="P221" s="14"/>
      <c r="Q221" s="14"/>
      <c r="R221" s="14"/>
      <c r="S221" s="14"/>
      <c r="T221" s="14"/>
      <c r="U221" s="14"/>
      <c r="V221" s="14"/>
      <c r="W221" s="14"/>
      <c r="X221" s="14"/>
      <c r="Y221" s="14"/>
      <c r="Z221" s="14"/>
      <c r="AA221" s="14"/>
      <c r="AB221" s="14"/>
      <c r="AC221" s="14"/>
      <c r="AD221" s="14"/>
      <c r="AE221" s="14"/>
      <c r="AF221" s="14"/>
      <c r="AG221" s="14"/>
      <c r="AH221" s="1"/>
    </row>
    <row r="222" spans="1:34" ht="15.6">
      <c r="A222" s="8" t="s">
        <v>142</v>
      </c>
      <c r="B222" s="8" t="s">
        <v>143</v>
      </c>
      <c r="C222" s="2716">
        <v>1</v>
      </c>
      <c r="D222" s="73">
        <v>2</v>
      </c>
      <c r="E222" s="73">
        <v>3</v>
      </c>
      <c r="F222" s="73">
        <v>4</v>
      </c>
      <c r="G222" s="73">
        <v>5</v>
      </c>
      <c r="H222" s="73">
        <v>6</v>
      </c>
      <c r="I222" s="73">
        <v>7</v>
      </c>
      <c r="J222" s="73">
        <v>8</v>
      </c>
      <c r="K222" s="73">
        <v>9</v>
      </c>
      <c r="L222" s="73">
        <v>10</v>
      </c>
      <c r="M222" s="73">
        <v>11</v>
      </c>
      <c r="N222" s="73">
        <v>12</v>
      </c>
      <c r="O222" s="73">
        <v>13</v>
      </c>
      <c r="P222" s="73">
        <v>14</v>
      </c>
      <c r="Q222" s="73">
        <v>15</v>
      </c>
      <c r="R222" s="73">
        <v>16</v>
      </c>
      <c r="S222" s="73">
        <v>17</v>
      </c>
      <c r="T222" s="73">
        <v>18</v>
      </c>
      <c r="U222" s="73">
        <v>19</v>
      </c>
      <c r="V222" s="73">
        <v>20</v>
      </c>
      <c r="W222" s="73">
        <v>21</v>
      </c>
      <c r="X222" s="73">
        <v>22</v>
      </c>
      <c r="Y222" s="73">
        <v>23</v>
      </c>
      <c r="Z222" s="73">
        <v>24</v>
      </c>
      <c r="AA222" s="73">
        <v>25</v>
      </c>
      <c r="AB222" s="73">
        <v>26</v>
      </c>
      <c r="AC222" s="73">
        <v>27</v>
      </c>
      <c r="AD222" s="73">
        <v>28</v>
      </c>
      <c r="AE222" s="73">
        <v>29</v>
      </c>
      <c r="AF222" s="73">
        <v>30</v>
      </c>
      <c r="AG222" s="73">
        <v>31</v>
      </c>
      <c r="AH222" s="87" t="s">
        <v>144</v>
      </c>
    </row>
    <row r="223" spans="1:34" ht="15">
      <c r="A223" s="363" t="s">
        <v>145</v>
      </c>
      <c r="B223" s="53">
        <f t="shared" ref="B223:B232" si="36">+AH223</f>
        <v>0</v>
      </c>
      <c r="C223" s="586"/>
      <c r="D223" s="586"/>
      <c r="E223" s="586"/>
      <c r="F223" s="586"/>
      <c r="G223" s="586"/>
      <c r="H223" s="586"/>
      <c r="I223" s="586"/>
      <c r="J223" s="586"/>
      <c r="K223" s="586"/>
      <c r="L223" s="586"/>
      <c r="M223" s="586"/>
      <c r="N223" s="586"/>
      <c r="O223" s="586"/>
      <c r="P223" s="586"/>
      <c r="Q223" s="586"/>
      <c r="R223" s="586"/>
      <c r="S223" s="586"/>
      <c r="T223" s="586"/>
      <c r="U223" s="586"/>
      <c r="V223" s="586"/>
      <c r="W223" s="586"/>
      <c r="X223" s="586"/>
      <c r="Y223" s="586"/>
      <c r="Z223" s="586"/>
      <c r="AA223" s="586"/>
      <c r="AB223" s="586"/>
      <c r="AC223" s="586"/>
      <c r="AD223" s="586"/>
      <c r="AE223" s="586"/>
      <c r="AF223" s="586"/>
      <c r="AG223" s="586"/>
      <c r="AH223" s="100">
        <f>SUM(C223:AG223)</f>
        <v>0</v>
      </c>
    </row>
    <row r="224" spans="1:34" ht="15">
      <c r="A224" s="363" t="s">
        <v>146</v>
      </c>
      <c r="B224" s="53">
        <f t="shared" si="36"/>
        <v>47.619000000000007</v>
      </c>
      <c r="C224" s="446"/>
      <c r="D224" s="586"/>
      <c r="E224" s="586"/>
      <c r="F224" s="586"/>
      <c r="G224" s="586"/>
      <c r="H224" s="586"/>
      <c r="I224" s="587"/>
      <c r="J224" s="446">
        <v>6.7229999999999999</v>
      </c>
      <c r="K224" s="446">
        <v>7.6720000000000006</v>
      </c>
      <c r="L224" s="446">
        <v>6.695999999999998</v>
      </c>
      <c r="M224" s="446"/>
      <c r="N224" s="446"/>
      <c r="O224" s="446">
        <v>0.78300000000000003</v>
      </c>
      <c r="P224" s="446">
        <v>2.1059999999999999</v>
      </c>
      <c r="Q224" s="446">
        <v>9.3379999999999992</v>
      </c>
      <c r="R224" s="446">
        <v>1.2150000000000001</v>
      </c>
      <c r="S224" s="446">
        <v>1.8900000000000001</v>
      </c>
      <c r="T224" s="446"/>
      <c r="U224" s="446"/>
      <c r="V224" s="446">
        <v>0.94500000000000006</v>
      </c>
      <c r="W224" s="446">
        <v>1.863</v>
      </c>
      <c r="X224" s="446">
        <v>0.40500000000000003</v>
      </c>
      <c r="Y224" s="446">
        <v>3.2130000000000001</v>
      </c>
      <c r="Z224" s="446">
        <v>4.7159999999999993</v>
      </c>
      <c r="AA224" s="446"/>
      <c r="AB224" s="446"/>
      <c r="AC224" s="446">
        <v>5.3999999999999999E-2</v>
      </c>
      <c r="AD224" s="446"/>
      <c r="AE224" s="446"/>
      <c r="AF224" s="446"/>
      <c r="AG224" s="446"/>
      <c r="AH224" s="100">
        <f t="shared" ref="AH224:AH234" si="37">SUM(C224:AG224)</f>
        <v>47.619000000000007</v>
      </c>
    </row>
    <row r="225" spans="1:34" ht="15">
      <c r="A225" s="363" t="s">
        <v>147</v>
      </c>
      <c r="B225" s="53">
        <f t="shared" si="36"/>
        <v>96.944999999999993</v>
      </c>
      <c r="C225" s="446">
        <v>2.2949999999999999</v>
      </c>
      <c r="D225" s="446">
        <v>6.6150000000000002</v>
      </c>
      <c r="E225" s="446"/>
      <c r="F225" s="446"/>
      <c r="G225" s="446">
        <v>0.32400000000000001</v>
      </c>
      <c r="H225" s="446"/>
      <c r="I225" s="446">
        <v>2.1059999999999999</v>
      </c>
      <c r="J225" s="446">
        <v>9.6389999999999976</v>
      </c>
      <c r="K225" s="446">
        <v>2.9700000000000006</v>
      </c>
      <c r="L225" s="446">
        <v>2.3760000000000003</v>
      </c>
      <c r="M225" s="446"/>
      <c r="N225" s="446">
        <v>1.458</v>
      </c>
      <c r="O225" s="446">
        <v>1.5930000000000002</v>
      </c>
      <c r="P225" s="446">
        <v>4.2389999999999999</v>
      </c>
      <c r="Q225" s="446">
        <v>6.777000000000001</v>
      </c>
      <c r="R225" s="446">
        <v>1.107</v>
      </c>
      <c r="S225" s="446"/>
      <c r="T225" s="446"/>
      <c r="U225" s="446"/>
      <c r="V225" s="446">
        <v>1.8900000000000001</v>
      </c>
      <c r="W225" s="446"/>
      <c r="X225" s="446">
        <v>0.13500000000000001</v>
      </c>
      <c r="Y225" s="446"/>
      <c r="Z225" s="446"/>
      <c r="AA225" s="446"/>
      <c r="AB225" s="446">
        <v>0.24299999999999999</v>
      </c>
      <c r="AC225" s="446">
        <v>9.9359999999999982</v>
      </c>
      <c r="AD225" s="446">
        <v>18.402000000000001</v>
      </c>
      <c r="AE225" s="446">
        <v>20.546999999999997</v>
      </c>
      <c r="AF225" s="446">
        <v>4.2930000000000001</v>
      </c>
      <c r="AG225" s="446"/>
      <c r="AH225" s="100">
        <f t="shared" si="37"/>
        <v>96.944999999999993</v>
      </c>
    </row>
    <row r="226" spans="1:34" ht="15">
      <c r="A226" s="363" t="s">
        <v>148</v>
      </c>
      <c r="B226" s="53">
        <f t="shared" si="36"/>
        <v>112.245</v>
      </c>
      <c r="C226" s="446"/>
      <c r="D226" s="446">
        <v>13.283999999999995</v>
      </c>
      <c r="E226" s="446">
        <v>18.096</v>
      </c>
      <c r="F226" s="446">
        <v>34.047000000000004</v>
      </c>
      <c r="G226" s="446">
        <v>8.8290000000000006</v>
      </c>
      <c r="H226" s="446"/>
      <c r="I226" s="446"/>
      <c r="J226" s="446"/>
      <c r="K226" s="446"/>
      <c r="L226" s="446"/>
      <c r="M226" s="446">
        <v>0.78300000000000003</v>
      </c>
      <c r="N226" s="446">
        <v>0.24299999999999999</v>
      </c>
      <c r="O226" s="446">
        <v>0.72899999999999998</v>
      </c>
      <c r="P226" s="446"/>
      <c r="Q226" s="446"/>
      <c r="R226" s="446">
        <v>0.432</v>
      </c>
      <c r="S226" s="446"/>
      <c r="T226" s="446">
        <v>1.62</v>
      </c>
      <c r="U226" s="446">
        <v>0.59399999999999997</v>
      </c>
      <c r="V226" s="446">
        <v>0.56699999999999995</v>
      </c>
      <c r="W226" s="446"/>
      <c r="X226" s="446"/>
      <c r="Y226" s="446">
        <v>3.4830000000000001</v>
      </c>
      <c r="Z226" s="446">
        <v>7.0469999999999997</v>
      </c>
      <c r="AA226" s="446">
        <v>0.81</v>
      </c>
      <c r="AB226" s="446">
        <v>2.97</v>
      </c>
      <c r="AC226" s="446">
        <v>8.4239999999999995</v>
      </c>
      <c r="AD226" s="446"/>
      <c r="AE226" s="446"/>
      <c r="AF226" s="446">
        <v>10.287000000000001</v>
      </c>
      <c r="AG226" s="446"/>
      <c r="AH226" s="100">
        <f t="shared" si="37"/>
        <v>112.245</v>
      </c>
    </row>
    <row r="227" spans="1:34" ht="15">
      <c r="A227" s="363" t="s">
        <v>149</v>
      </c>
      <c r="B227" s="53">
        <f t="shared" si="36"/>
        <v>97.754000000000005</v>
      </c>
      <c r="C227" s="446"/>
      <c r="D227" s="446"/>
      <c r="E227" s="446"/>
      <c r="F227" s="446"/>
      <c r="G227" s="446"/>
      <c r="H227" s="446"/>
      <c r="I227" s="446">
        <v>6.8849999999999998</v>
      </c>
      <c r="J227" s="446">
        <v>9.9090000000000007</v>
      </c>
      <c r="K227" s="446">
        <v>11.866</v>
      </c>
      <c r="L227" s="446">
        <v>9.9629999999999992</v>
      </c>
      <c r="M227" s="446">
        <v>10.8</v>
      </c>
      <c r="N227" s="446"/>
      <c r="O227" s="446"/>
      <c r="P227" s="446">
        <v>2.94</v>
      </c>
      <c r="Q227" s="446">
        <v>2.11</v>
      </c>
      <c r="R227" s="446"/>
      <c r="S227" s="446"/>
      <c r="T227" s="446">
        <v>6.6420000000000003</v>
      </c>
      <c r="U227" s="446"/>
      <c r="V227" s="446"/>
      <c r="W227" s="446"/>
      <c r="X227" s="446">
        <v>12.69</v>
      </c>
      <c r="Y227" s="446">
        <v>11.475</v>
      </c>
      <c r="Z227" s="446">
        <v>4.806</v>
      </c>
      <c r="AA227" s="446"/>
      <c r="AB227" s="446"/>
      <c r="AC227" s="446"/>
      <c r="AD227" s="446"/>
      <c r="AE227" s="446"/>
      <c r="AF227" s="446">
        <v>1.9710000000000001</v>
      </c>
      <c r="AG227" s="446">
        <v>5.6970000000000001</v>
      </c>
      <c r="AH227" s="100">
        <f t="shared" si="37"/>
        <v>97.754000000000005</v>
      </c>
    </row>
    <row r="228" spans="1:34" ht="15">
      <c r="A228" s="363" t="s">
        <v>150</v>
      </c>
      <c r="B228" s="53">
        <f t="shared" si="36"/>
        <v>195.71799999999999</v>
      </c>
      <c r="C228" s="446">
        <v>14.688000000000001</v>
      </c>
      <c r="D228" s="446"/>
      <c r="E228" s="446"/>
      <c r="F228" s="446">
        <v>7.7619999999999996</v>
      </c>
      <c r="G228" s="446">
        <v>12.096</v>
      </c>
      <c r="H228" s="446">
        <v>2.7E-2</v>
      </c>
      <c r="I228" s="446">
        <v>19.413</v>
      </c>
      <c r="J228" s="446">
        <v>15.228</v>
      </c>
      <c r="K228" s="446">
        <v>0.97199999999999998</v>
      </c>
      <c r="L228" s="446"/>
      <c r="M228" s="446"/>
      <c r="N228" s="446"/>
      <c r="O228" s="446"/>
      <c r="P228" s="446">
        <v>7.7220000000000004</v>
      </c>
      <c r="Q228" s="446">
        <v>11.826000000000001</v>
      </c>
      <c r="R228" s="446"/>
      <c r="S228" s="446"/>
      <c r="T228" s="446"/>
      <c r="U228" s="446">
        <v>12.537000000000001</v>
      </c>
      <c r="V228" s="446"/>
      <c r="W228" s="446">
        <v>7.3710000000000004</v>
      </c>
      <c r="X228" s="446">
        <v>12.015000000000001</v>
      </c>
      <c r="Y228" s="446"/>
      <c r="Z228" s="446"/>
      <c r="AA228" s="446">
        <v>17.064</v>
      </c>
      <c r="AB228" s="446">
        <v>12.609</v>
      </c>
      <c r="AC228" s="446">
        <v>3.6989999999999998</v>
      </c>
      <c r="AD228" s="446">
        <v>19.683</v>
      </c>
      <c r="AE228" s="446">
        <v>21.006</v>
      </c>
      <c r="AF228" s="446"/>
      <c r="AG228" s="446"/>
      <c r="AH228" s="100">
        <f t="shared" si="37"/>
        <v>195.71799999999999</v>
      </c>
    </row>
    <row r="229" spans="1:34" ht="15">
      <c r="A229" s="314" t="s">
        <v>151</v>
      </c>
      <c r="B229" s="53">
        <f t="shared" si="36"/>
        <v>121.001</v>
      </c>
      <c r="C229" s="447"/>
      <c r="D229" s="448"/>
      <c r="E229" s="448">
        <v>1.89</v>
      </c>
      <c r="F229" s="448"/>
      <c r="G229" s="448">
        <v>4.9139999999999997</v>
      </c>
      <c r="H229" s="448">
        <v>15.12</v>
      </c>
      <c r="I229" s="448"/>
      <c r="J229" s="448"/>
      <c r="K229" s="448">
        <v>14.499000000000001</v>
      </c>
      <c r="L229" s="448">
        <v>13.365</v>
      </c>
      <c r="M229" s="448"/>
      <c r="N229" s="448">
        <v>2.7E-2</v>
      </c>
      <c r="O229" s="448"/>
      <c r="P229" s="448"/>
      <c r="Q229" s="448"/>
      <c r="R229" s="448"/>
      <c r="S229" s="448">
        <v>11.583</v>
      </c>
      <c r="T229" s="448">
        <v>4.0640000000000001</v>
      </c>
      <c r="U229" s="448">
        <v>12.069000000000001</v>
      </c>
      <c r="V229" s="448">
        <v>11.555999999999999</v>
      </c>
      <c r="W229" s="448"/>
      <c r="X229" s="448"/>
      <c r="Y229" s="448">
        <v>1.62</v>
      </c>
      <c r="Z229" s="448"/>
      <c r="AA229" s="448"/>
      <c r="AB229" s="448">
        <v>8.1</v>
      </c>
      <c r="AC229" s="448">
        <v>11.286</v>
      </c>
      <c r="AD229" s="448"/>
      <c r="AE229" s="448"/>
      <c r="AF229" s="448">
        <v>2.3220000000000001</v>
      </c>
      <c r="AG229" s="448">
        <v>8.5860000000000003</v>
      </c>
      <c r="AH229" s="100">
        <f t="shared" si="37"/>
        <v>121.001</v>
      </c>
    </row>
    <row r="230" spans="1:34" ht="15">
      <c r="A230" s="314" t="s">
        <v>152</v>
      </c>
      <c r="B230" s="53">
        <f t="shared" si="36"/>
        <v>110.17</v>
      </c>
      <c r="C230" s="447"/>
      <c r="D230" s="448"/>
      <c r="E230" s="448"/>
      <c r="F230" s="448"/>
      <c r="G230" s="448"/>
      <c r="H230" s="448">
        <v>13.608000000000001</v>
      </c>
      <c r="I230" s="448">
        <v>8.2080000000000002</v>
      </c>
      <c r="J230" s="448">
        <v>10.000999999999999</v>
      </c>
      <c r="K230" s="448">
        <v>11.555999999999999</v>
      </c>
      <c r="L230" s="448">
        <v>3.3479999999999999</v>
      </c>
      <c r="M230" s="448"/>
      <c r="N230" s="448"/>
      <c r="O230" s="448"/>
      <c r="P230" s="448">
        <v>0.70199999999999996</v>
      </c>
      <c r="Q230" s="863"/>
      <c r="R230" s="863"/>
      <c r="S230" s="863">
        <v>9.4499999999999993</v>
      </c>
      <c r="T230" s="863">
        <v>0.54</v>
      </c>
      <c r="U230" s="863"/>
      <c r="V230" s="863">
        <v>10.016999999999999</v>
      </c>
      <c r="W230" s="863"/>
      <c r="X230" s="863"/>
      <c r="Y230" s="863">
        <v>0.72899999999999998</v>
      </c>
      <c r="Z230" s="863">
        <v>0.51300000000000001</v>
      </c>
      <c r="AA230" s="863"/>
      <c r="AB230" s="863"/>
      <c r="AC230" s="863">
        <v>8.1539999999999999</v>
      </c>
      <c r="AD230" s="863">
        <v>3.0310000000000001</v>
      </c>
      <c r="AE230" s="863"/>
      <c r="AF230" s="863">
        <v>9.3149999999999995</v>
      </c>
      <c r="AG230" s="863">
        <v>20.998000000000001</v>
      </c>
      <c r="AH230" s="100">
        <f t="shared" si="37"/>
        <v>110.17</v>
      </c>
    </row>
    <row r="231" spans="1:34" ht="15">
      <c r="A231" s="314" t="s">
        <v>153</v>
      </c>
      <c r="B231" s="53">
        <f t="shared" si="36"/>
        <v>0</v>
      </c>
      <c r="C231" s="188" t="s">
        <v>162</v>
      </c>
      <c r="D231" s="188" t="s">
        <v>162</v>
      </c>
      <c r="E231" s="188" t="s">
        <v>162</v>
      </c>
      <c r="F231" s="188" t="s">
        <v>162</v>
      </c>
      <c r="G231" s="188" t="s">
        <v>162</v>
      </c>
      <c r="H231" s="188" t="s">
        <v>162</v>
      </c>
      <c r="I231" s="188" t="s">
        <v>162</v>
      </c>
      <c r="J231" s="188" t="s">
        <v>162</v>
      </c>
      <c r="K231" s="188" t="s">
        <v>162</v>
      </c>
      <c r="L231" s="188" t="s">
        <v>162</v>
      </c>
      <c r="M231" s="188" t="s">
        <v>162</v>
      </c>
      <c r="N231" s="188" t="s">
        <v>162</v>
      </c>
      <c r="O231" s="188" t="s">
        <v>162</v>
      </c>
      <c r="P231" s="188" t="s">
        <v>162</v>
      </c>
      <c r="Q231" s="188" t="s">
        <v>162</v>
      </c>
      <c r="R231" s="188" t="s">
        <v>162</v>
      </c>
      <c r="S231" s="188" t="s">
        <v>162</v>
      </c>
      <c r="T231" s="188" t="s">
        <v>162</v>
      </c>
      <c r="U231" s="188" t="s">
        <v>162</v>
      </c>
      <c r="V231" s="188" t="s">
        <v>162</v>
      </c>
      <c r="W231" s="188" t="s">
        <v>162</v>
      </c>
      <c r="X231" s="188" t="s">
        <v>162</v>
      </c>
      <c r="Y231" s="188" t="s">
        <v>162</v>
      </c>
      <c r="Z231" s="188" t="s">
        <v>162</v>
      </c>
      <c r="AA231" s="188" t="s">
        <v>162</v>
      </c>
      <c r="AB231" s="188" t="s">
        <v>162</v>
      </c>
      <c r="AC231" s="188" t="s">
        <v>162</v>
      </c>
      <c r="AD231" s="188" t="s">
        <v>162</v>
      </c>
      <c r="AE231" s="188" t="s">
        <v>162</v>
      </c>
      <c r="AF231" s="188" t="s">
        <v>162</v>
      </c>
      <c r="AG231" s="188" t="s">
        <v>162</v>
      </c>
      <c r="AH231" s="100">
        <f t="shared" si="37"/>
        <v>0</v>
      </c>
    </row>
    <row r="232" spans="1:34" ht="15">
      <c r="A232" s="314" t="s">
        <v>154</v>
      </c>
      <c r="B232" s="53">
        <f t="shared" si="36"/>
        <v>228.27700000000002</v>
      </c>
      <c r="C232" s="326">
        <v>0.45900000000000002</v>
      </c>
      <c r="D232" s="99">
        <v>13.5</v>
      </c>
      <c r="E232" s="99">
        <v>14.31</v>
      </c>
      <c r="F232" s="99">
        <v>3.1589999999999998</v>
      </c>
      <c r="G232" s="99"/>
      <c r="H232" s="99"/>
      <c r="I232" s="99"/>
      <c r="J232" s="99">
        <v>9.1219999999999999</v>
      </c>
      <c r="K232" s="99">
        <v>12.069000000000001</v>
      </c>
      <c r="L232" s="99">
        <v>14.013</v>
      </c>
      <c r="M232" s="99">
        <v>3.1589999999999998</v>
      </c>
      <c r="N232" s="99">
        <v>13.715999999999999</v>
      </c>
      <c r="O232" s="99"/>
      <c r="P232" s="99"/>
      <c r="Q232" s="99"/>
      <c r="R232" s="99">
        <v>3.51</v>
      </c>
      <c r="S232" s="99">
        <v>15.039</v>
      </c>
      <c r="T232" s="99"/>
      <c r="U232" s="99">
        <v>14.9</v>
      </c>
      <c r="V232" s="99"/>
      <c r="W232" s="99"/>
      <c r="X232" s="99">
        <v>10.773</v>
      </c>
      <c r="Y232" s="99">
        <v>8.4510000000000005</v>
      </c>
      <c r="Z232" s="99">
        <v>15.821999999999999</v>
      </c>
      <c r="AA232" s="99"/>
      <c r="AB232" s="99">
        <v>10.989000000000001</v>
      </c>
      <c r="AC232" s="99"/>
      <c r="AD232" s="99"/>
      <c r="AE232" s="99">
        <v>12.474</v>
      </c>
      <c r="AF232" s="99">
        <v>26.649000000000001</v>
      </c>
      <c r="AG232" s="99">
        <v>26.163</v>
      </c>
      <c r="AH232" s="100">
        <f t="shared" si="37"/>
        <v>228.27700000000002</v>
      </c>
    </row>
    <row r="233" spans="1:34" ht="15">
      <c r="A233" s="314" t="s">
        <v>155</v>
      </c>
      <c r="B233" s="53">
        <f>+AH233</f>
        <v>179.86299999999997</v>
      </c>
      <c r="C233" s="116"/>
      <c r="D233" s="99">
        <v>7.6139999999999999</v>
      </c>
      <c r="E233" s="99"/>
      <c r="F233" s="99"/>
      <c r="G233" s="99">
        <v>29.105</v>
      </c>
      <c r="H233" s="99"/>
      <c r="I233" s="99">
        <v>19.952999999999999</v>
      </c>
      <c r="J233" s="99"/>
      <c r="K233" s="99"/>
      <c r="L233" s="99">
        <v>0.621</v>
      </c>
      <c r="M233" s="99"/>
      <c r="N233" s="99">
        <v>3.02</v>
      </c>
      <c r="O233" s="99">
        <v>3.1859999999999999</v>
      </c>
      <c r="P233" s="99">
        <v>6.2779999999999996</v>
      </c>
      <c r="Q233" s="99">
        <v>12.339</v>
      </c>
      <c r="R233" s="99">
        <v>12.987</v>
      </c>
      <c r="S233" s="99"/>
      <c r="T233" s="99"/>
      <c r="U233" s="99">
        <v>16.956</v>
      </c>
      <c r="V233" s="99">
        <v>18.873000000000001</v>
      </c>
      <c r="W233" s="99"/>
      <c r="X233" s="99"/>
      <c r="Y233" s="99"/>
      <c r="Z233" s="99"/>
      <c r="AA233" s="99"/>
      <c r="AB233" s="99">
        <v>15.721</v>
      </c>
      <c r="AC233" s="99">
        <v>11.124000000000001</v>
      </c>
      <c r="AD233" s="99">
        <v>10.611000000000001</v>
      </c>
      <c r="AE233" s="99">
        <v>6.5069999999999997</v>
      </c>
      <c r="AF233" s="99">
        <v>4.968</v>
      </c>
      <c r="AG233" s="99"/>
      <c r="AH233" s="100">
        <f t="shared" si="37"/>
        <v>179.86299999999997</v>
      </c>
    </row>
    <row r="234" spans="1:34" ht="15">
      <c r="A234" s="314" t="s">
        <v>156</v>
      </c>
      <c r="B234" s="53">
        <f>+AH234</f>
        <v>25.722999999999999</v>
      </c>
      <c r="C234" s="116"/>
      <c r="D234" s="99"/>
      <c r="E234" s="99">
        <v>4.91</v>
      </c>
      <c r="F234" s="99">
        <v>1.67</v>
      </c>
      <c r="G234" s="99"/>
      <c r="H234" s="99"/>
      <c r="I234" s="99"/>
      <c r="J234" s="99"/>
      <c r="K234" s="99"/>
      <c r="L234" s="99"/>
      <c r="M234" s="99"/>
      <c r="N234" s="99"/>
      <c r="O234" s="99"/>
      <c r="P234" s="99"/>
      <c r="Q234" s="99"/>
      <c r="R234" s="99"/>
      <c r="S234" s="99"/>
      <c r="T234" s="99"/>
      <c r="U234" s="99"/>
      <c r="V234" s="99">
        <v>2.16</v>
      </c>
      <c r="W234" s="99">
        <v>3.4020000000000001</v>
      </c>
      <c r="X234" s="99"/>
      <c r="Y234" s="99"/>
      <c r="Z234" s="99"/>
      <c r="AA234" s="99"/>
      <c r="AB234" s="99">
        <v>3.51</v>
      </c>
      <c r="AC234" s="99">
        <v>3.915</v>
      </c>
      <c r="AD234" s="99">
        <v>6.1559999999999997</v>
      </c>
      <c r="AE234" s="99"/>
      <c r="AF234" s="99"/>
      <c r="AG234" s="99"/>
      <c r="AH234" s="100">
        <f t="shared" si="37"/>
        <v>25.722999999999999</v>
      </c>
    </row>
    <row r="235" spans="1:34" ht="15">
      <c r="A235" s="200" t="s">
        <v>111</v>
      </c>
      <c r="B235" s="200">
        <f>SUM(B223:B234)</f>
        <v>1215.3149999999998</v>
      </c>
      <c r="C235" s="100">
        <f t="shared" ref="C235:AH235" si="38">SUM(C223:C234)</f>
        <v>17.442</v>
      </c>
      <c r="D235" s="100">
        <f t="shared" si="38"/>
        <v>41.012999999999991</v>
      </c>
      <c r="E235" s="100">
        <f t="shared" si="38"/>
        <v>39.206000000000003</v>
      </c>
      <c r="F235" s="100">
        <f t="shared" si="38"/>
        <v>46.638000000000005</v>
      </c>
      <c r="G235" s="100">
        <f t="shared" si="38"/>
        <v>55.268000000000001</v>
      </c>
      <c r="H235" s="100">
        <f t="shared" si="38"/>
        <v>28.754999999999999</v>
      </c>
      <c r="I235" s="100">
        <f t="shared" si="38"/>
        <v>56.564999999999998</v>
      </c>
      <c r="J235" s="100">
        <f t="shared" si="38"/>
        <v>60.622</v>
      </c>
      <c r="K235" s="100">
        <f t="shared" si="38"/>
        <v>61.604000000000006</v>
      </c>
      <c r="L235" s="100">
        <f t="shared" si="38"/>
        <v>50.381999999999998</v>
      </c>
      <c r="M235" s="100">
        <f t="shared" si="38"/>
        <v>14.742000000000001</v>
      </c>
      <c r="N235" s="100">
        <f t="shared" si="38"/>
        <v>18.463999999999999</v>
      </c>
      <c r="O235" s="100">
        <f t="shared" si="38"/>
        <v>6.2910000000000004</v>
      </c>
      <c r="P235" s="100">
        <f t="shared" si="38"/>
        <v>23.987000000000002</v>
      </c>
      <c r="Q235" s="100">
        <f t="shared" si="38"/>
        <v>42.39</v>
      </c>
      <c r="R235" s="100">
        <f t="shared" si="38"/>
        <v>19.250999999999998</v>
      </c>
      <c r="S235" s="100">
        <f t="shared" si="38"/>
        <v>37.962000000000003</v>
      </c>
      <c r="T235" s="100">
        <f t="shared" si="38"/>
        <v>12.866</v>
      </c>
      <c r="U235" s="100">
        <f t="shared" si="38"/>
        <v>57.055999999999997</v>
      </c>
      <c r="V235" s="100">
        <f t="shared" si="38"/>
        <v>46.007999999999996</v>
      </c>
      <c r="W235" s="100">
        <f t="shared" si="38"/>
        <v>12.635999999999999</v>
      </c>
      <c r="X235" s="100">
        <f t="shared" si="38"/>
        <v>36.018000000000001</v>
      </c>
      <c r="Y235" s="100">
        <f t="shared" si="38"/>
        <v>28.971</v>
      </c>
      <c r="Z235" s="100">
        <f t="shared" si="38"/>
        <v>32.903999999999996</v>
      </c>
      <c r="AA235" s="100">
        <f t="shared" si="38"/>
        <v>17.873999999999999</v>
      </c>
      <c r="AB235" s="100">
        <f t="shared" si="38"/>
        <v>54.142000000000003</v>
      </c>
      <c r="AC235" s="100">
        <f t="shared" si="38"/>
        <v>56.591999999999999</v>
      </c>
      <c r="AD235" s="100">
        <f t="shared" si="38"/>
        <v>57.883000000000003</v>
      </c>
      <c r="AE235" s="100">
        <f t="shared" si="38"/>
        <v>60.533999999999999</v>
      </c>
      <c r="AF235" s="100">
        <f t="shared" si="38"/>
        <v>59.805000000000007</v>
      </c>
      <c r="AG235" s="100">
        <f t="shared" si="38"/>
        <v>61.444000000000003</v>
      </c>
      <c r="AH235" s="100">
        <f t="shared" si="38"/>
        <v>1215.3149999999998</v>
      </c>
    </row>
    <row r="236" spans="1:34" ht="4.5" customHeight="1">
      <c r="A236" s="49"/>
      <c r="B236" s="49"/>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row>
    <row r="237" spans="1:34" ht="15">
      <c r="A237" s="3854" t="s">
        <v>454</v>
      </c>
      <c r="B237" s="3855"/>
      <c r="C237" s="3855"/>
      <c r="D237" s="3879"/>
      <c r="E237" s="3880"/>
      <c r="F237" s="14"/>
      <c r="G237" s="14"/>
      <c r="H237" s="14"/>
      <c r="I237" s="14"/>
      <c r="J237" s="14"/>
      <c r="K237" s="14"/>
      <c r="L237" s="14"/>
      <c r="M237" s="98"/>
      <c r="N237" s="14"/>
      <c r="O237" s="14"/>
      <c r="P237" s="14"/>
      <c r="Q237" s="14"/>
      <c r="R237" s="14"/>
      <c r="S237" s="14"/>
      <c r="T237" s="14"/>
      <c r="U237" s="14"/>
      <c r="V237" s="14"/>
      <c r="W237" s="14"/>
      <c r="X237" s="14"/>
      <c r="Y237" s="14"/>
      <c r="Z237" s="14"/>
      <c r="AA237" s="14"/>
      <c r="AB237" s="14"/>
      <c r="AC237" s="14"/>
      <c r="AD237" s="14"/>
      <c r="AE237" s="14"/>
      <c r="AF237" s="14"/>
      <c r="AG237" s="14"/>
      <c r="AH237" s="1"/>
    </row>
    <row r="238" spans="1:34" ht="15">
      <c r="A238" s="8" t="s">
        <v>142</v>
      </c>
      <c r="B238" s="8" t="s">
        <v>143</v>
      </c>
      <c r="C238" s="372">
        <v>1</v>
      </c>
      <c r="D238" s="73">
        <v>2</v>
      </c>
      <c r="E238" s="73">
        <v>3</v>
      </c>
      <c r="F238" s="73">
        <v>4</v>
      </c>
      <c r="G238" s="73">
        <v>5</v>
      </c>
      <c r="H238" s="73">
        <v>6</v>
      </c>
      <c r="I238" s="73">
        <v>7</v>
      </c>
      <c r="J238" s="73">
        <v>8</v>
      </c>
      <c r="K238" s="73">
        <v>9</v>
      </c>
      <c r="L238" s="73">
        <v>10</v>
      </c>
      <c r="M238" s="73">
        <v>11</v>
      </c>
      <c r="N238" s="73">
        <v>12</v>
      </c>
      <c r="O238" s="73">
        <v>13</v>
      </c>
      <c r="P238" s="73">
        <v>14</v>
      </c>
      <c r="Q238" s="73">
        <v>15</v>
      </c>
      <c r="R238" s="73">
        <v>16</v>
      </c>
      <c r="S238" s="73">
        <v>17</v>
      </c>
      <c r="T238" s="73">
        <v>18</v>
      </c>
      <c r="U238" s="73">
        <v>19</v>
      </c>
      <c r="V238" s="73">
        <v>20</v>
      </c>
      <c r="W238" s="73">
        <v>21</v>
      </c>
      <c r="X238" s="73">
        <v>22</v>
      </c>
      <c r="Y238" s="73">
        <v>23</v>
      </c>
      <c r="Z238" s="73">
        <v>24</v>
      </c>
      <c r="AA238" s="73">
        <v>25</v>
      </c>
      <c r="AB238" s="73">
        <v>26</v>
      </c>
      <c r="AC238" s="73">
        <v>27</v>
      </c>
      <c r="AD238" s="73">
        <v>28</v>
      </c>
      <c r="AE238" s="73">
        <v>29</v>
      </c>
      <c r="AF238" s="73">
        <v>30</v>
      </c>
      <c r="AG238" s="73">
        <v>31</v>
      </c>
      <c r="AH238" s="87" t="s">
        <v>144</v>
      </c>
    </row>
    <row r="239" spans="1:34" ht="15">
      <c r="A239" s="363" t="s">
        <v>145</v>
      </c>
      <c r="B239" s="53">
        <f t="shared" ref="B239:B248" si="39">+AH239</f>
        <v>0</v>
      </c>
      <c r="C239" s="384"/>
      <c r="D239" s="384"/>
      <c r="E239" s="384"/>
      <c r="F239" s="384"/>
      <c r="G239" s="384"/>
      <c r="H239" s="384"/>
      <c r="I239" s="384"/>
      <c r="J239" s="384"/>
      <c r="K239" s="384"/>
      <c r="L239" s="384"/>
      <c r="M239" s="384"/>
      <c r="N239" s="384"/>
      <c r="O239" s="384"/>
      <c r="P239" s="384"/>
      <c r="Q239" s="384"/>
      <c r="R239" s="384"/>
      <c r="S239" s="384"/>
      <c r="T239" s="384"/>
      <c r="U239" s="384"/>
      <c r="V239" s="384"/>
      <c r="W239" s="384"/>
      <c r="X239" s="384"/>
      <c r="Y239" s="384"/>
      <c r="Z239" s="384"/>
      <c r="AA239" s="384"/>
      <c r="AB239" s="384"/>
      <c r="AC239" s="384"/>
      <c r="AD239" s="384"/>
      <c r="AE239" s="384"/>
      <c r="AF239" s="384"/>
      <c r="AG239" s="384"/>
      <c r="AH239" s="100">
        <f>SUM(C239:AG239)</f>
        <v>0</v>
      </c>
    </row>
    <row r="240" spans="1:34" ht="15">
      <c r="A240" s="363" t="s">
        <v>146</v>
      </c>
      <c r="B240" s="53">
        <f t="shared" si="39"/>
        <v>8.9370000000000012</v>
      </c>
      <c r="C240" s="369"/>
      <c r="D240" s="384"/>
      <c r="E240" s="384"/>
      <c r="F240" s="384"/>
      <c r="G240" s="384"/>
      <c r="H240" s="384"/>
      <c r="I240" s="586"/>
      <c r="J240" s="369">
        <v>2.0790000000000002</v>
      </c>
      <c r="K240" s="369">
        <v>1.6199999999999999</v>
      </c>
      <c r="L240" s="369">
        <v>2.0249999999999999</v>
      </c>
      <c r="M240" s="369"/>
      <c r="N240" s="369"/>
      <c r="O240" s="369"/>
      <c r="P240" s="369">
        <v>0.40500000000000003</v>
      </c>
      <c r="Q240" s="369">
        <v>0.86399999999999999</v>
      </c>
      <c r="R240" s="369">
        <v>1.107</v>
      </c>
      <c r="S240" s="369">
        <v>0.16200000000000001</v>
      </c>
      <c r="T240" s="369"/>
      <c r="U240" s="369"/>
      <c r="V240" s="369"/>
      <c r="W240" s="369"/>
      <c r="X240" s="369"/>
      <c r="Y240" s="369"/>
      <c r="Z240" s="369">
        <v>0.67500000000000004</v>
      </c>
      <c r="AA240" s="369"/>
      <c r="AB240" s="369"/>
      <c r="AC240" s="369"/>
      <c r="AD240" s="369"/>
      <c r="AE240" s="369"/>
      <c r="AF240" s="369"/>
      <c r="AG240" s="369"/>
      <c r="AH240" s="100">
        <f t="shared" ref="AH240:AH250" si="40">SUM(C240:AG240)</f>
        <v>8.9370000000000012</v>
      </c>
    </row>
    <row r="241" spans="1:34" ht="15">
      <c r="A241" s="363" t="s">
        <v>147</v>
      </c>
      <c r="B241" s="53">
        <f t="shared" si="39"/>
        <v>19.478999999999999</v>
      </c>
      <c r="C241" s="369">
        <v>0.45900000000000002</v>
      </c>
      <c r="D241" s="369">
        <v>1.2150000000000001</v>
      </c>
      <c r="E241" s="369"/>
      <c r="F241" s="369"/>
      <c r="G241" s="369"/>
      <c r="H241" s="369"/>
      <c r="I241" s="369">
        <v>1.107</v>
      </c>
      <c r="J241" s="369">
        <v>2.976</v>
      </c>
      <c r="K241" s="369">
        <v>1.2150000000000001</v>
      </c>
      <c r="L241" s="369">
        <v>0.83699999999999997</v>
      </c>
      <c r="M241" s="369"/>
      <c r="N241" s="369"/>
      <c r="O241" s="369"/>
      <c r="P241" s="369"/>
      <c r="Q241" s="369">
        <v>0.91799999999999993</v>
      </c>
      <c r="R241" s="369"/>
      <c r="S241" s="369"/>
      <c r="T241" s="369"/>
      <c r="U241" s="369"/>
      <c r="V241" s="369"/>
      <c r="W241" s="369"/>
      <c r="X241" s="369"/>
      <c r="Y241" s="369"/>
      <c r="Z241" s="369"/>
      <c r="AA241" s="369"/>
      <c r="AB241" s="369"/>
      <c r="AC241" s="369">
        <v>1.377</v>
      </c>
      <c r="AD241" s="369">
        <v>4.0830000000000002</v>
      </c>
      <c r="AE241" s="369">
        <v>5.0220000000000002</v>
      </c>
      <c r="AF241" s="369">
        <v>0.27</v>
      </c>
      <c r="AG241" s="369"/>
      <c r="AH241" s="100">
        <f t="shared" si="40"/>
        <v>19.478999999999999</v>
      </c>
    </row>
    <row r="242" spans="1:34" ht="15">
      <c r="A242" s="363" t="s">
        <v>148</v>
      </c>
      <c r="B242" s="53">
        <f t="shared" si="39"/>
        <v>21.411000000000001</v>
      </c>
      <c r="C242" s="447"/>
      <c r="D242" s="448">
        <v>0.621</v>
      </c>
      <c r="E242" s="448">
        <v>4.4009999999999998</v>
      </c>
      <c r="F242" s="448">
        <v>8.8290000000000006</v>
      </c>
      <c r="G242" s="448">
        <v>2.4569999999999999</v>
      </c>
      <c r="H242" s="448"/>
      <c r="I242" s="448"/>
      <c r="J242" s="448"/>
      <c r="K242" s="448"/>
      <c r="L242" s="448"/>
      <c r="M242" s="448"/>
      <c r="N242" s="448"/>
      <c r="O242" s="448"/>
      <c r="P242" s="448"/>
      <c r="Q242" s="448"/>
      <c r="R242" s="448">
        <v>0.16200000000000001</v>
      </c>
      <c r="S242" s="448"/>
      <c r="T242" s="448">
        <v>0.40500000000000003</v>
      </c>
      <c r="U242" s="448"/>
      <c r="V242" s="448"/>
      <c r="W242" s="448"/>
      <c r="X242" s="448"/>
      <c r="Y242" s="448"/>
      <c r="Z242" s="448">
        <v>1.377</v>
      </c>
      <c r="AA242" s="448"/>
      <c r="AB242" s="448"/>
      <c r="AC242" s="448">
        <v>1.917</v>
      </c>
      <c r="AD242" s="448"/>
      <c r="AE242" s="448"/>
      <c r="AF242" s="448">
        <v>1.242</v>
      </c>
      <c r="AG242" s="448"/>
      <c r="AH242" s="100">
        <f t="shared" si="40"/>
        <v>21.411000000000001</v>
      </c>
    </row>
    <row r="243" spans="1:34" ht="15">
      <c r="A243" s="363" t="s">
        <v>149</v>
      </c>
      <c r="B243" s="53">
        <f t="shared" si="39"/>
        <v>13.666999999999998</v>
      </c>
      <c r="C243" s="447"/>
      <c r="D243" s="885"/>
      <c r="E243" s="448"/>
      <c r="F243" s="448"/>
      <c r="G243" s="448"/>
      <c r="H243" s="448"/>
      <c r="I243" s="448"/>
      <c r="J243" s="448">
        <v>0.999</v>
      </c>
      <c r="K243" s="448">
        <v>1.7010000000000001</v>
      </c>
      <c r="L243" s="448">
        <v>0.621</v>
      </c>
      <c r="M243" s="448">
        <v>1.49</v>
      </c>
      <c r="N243" s="448"/>
      <c r="O243" s="448"/>
      <c r="P243" s="448"/>
      <c r="Q243" s="446"/>
      <c r="R243" s="446"/>
      <c r="S243" s="446"/>
      <c r="T243" s="446">
        <v>2.214</v>
      </c>
      <c r="U243" s="369"/>
      <c r="V243" s="369"/>
      <c r="W243" s="369"/>
      <c r="X243" s="369">
        <v>2.1869999999999998</v>
      </c>
      <c r="Y243" s="369">
        <v>1.998</v>
      </c>
      <c r="Z243" s="369">
        <v>1.5389999999999999</v>
      </c>
      <c r="AA243" s="369"/>
      <c r="AB243" s="369"/>
      <c r="AC243" s="369"/>
      <c r="AD243" s="369"/>
      <c r="AE243" s="369"/>
      <c r="AF243" s="369">
        <v>0.91800000000000004</v>
      </c>
      <c r="AG243" s="369"/>
      <c r="AH243" s="100">
        <f t="shared" si="40"/>
        <v>13.666999999999998</v>
      </c>
    </row>
    <row r="244" spans="1:34" ht="15">
      <c r="A244" s="363" t="s">
        <v>150</v>
      </c>
      <c r="B244" s="53">
        <f t="shared" si="39"/>
        <v>47.25</v>
      </c>
      <c r="C244" s="116"/>
      <c r="D244" s="99"/>
      <c r="E244" s="99"/>
      <c r="F244" s="99">
        <v>2.97</v>
      </c>
      <c r="G244" s="99">
        <v>3.6989999999999998</v>
      </c>
      <c r="H244" s="99"/>
      <c r="I244" s="99">
        <v>4.9950000000000001</v>
      </c>
      <c r="J244" s="99">
        <v>2.0790000000000002</v>
      </c>
      <c r="K244" s="99"/>
      <c r="L244" s="99"/>
      <c r="M244" s="99"/>
      <c r="N244" s="99"/>
      <c r="O244" s="99"/>
      <c r="P244" s="99">
        <v>1.5389999999999999</v>
      </c>
      <c r="Q244" s="99">
        <v>2.8620000000000001</v>
      </c>
      <c r="R244" s="99"/>
      <c r="S244" s="99"/>
      <c r="T244" s="99"/>
      <c r="U244" s="99">
        <v>4.6980000000000004</v>
      </c>
      <c r="V244" s="99"/>
      <c r="W244" s="99">
        <v>2.5110000000000001</v>
      </c>
      <c r="X244" s="99">
        <v>3.2669999999999999</v>
      </c>
      <c r="Y244" s="99"/>
      <c r="Z244" s="99"/>
      <c r="AA244" s="99">
        <v>4.4009999999999998</v>
      </c>
      <c r="AB244" s="99">
        <v>2.1059999999999999</v>
      </c>
      <c r="AC244" s="99">
        <v>0.86399999999999999</v>
      </c>
      <c r="AD244" s="99">
        <v>5.8049999999999997</v>
      </c>
      <c r="AE244" s="99">
        <v>5.4539999999999997</v>
      </c>
      <c r="AF244" s="99"/>
      <c r="AG244" s="99"/>
      <c r="AH244" s="100">
        <f t="shared" si="40"/>
        <v>47.25</v>
      </c>
    </row>
    <row r="245" spans="1:34" ht="15">
      <c r="A245" s="314" t="s">
        <v>151</v>
      </c>
      <c r="B245" s="53">
        <f t="shared" si="39"/>
        <v>20.915000000000003</v>
      </c>
      <c r="C245" s="326"/>
      <c r="D245" s="99"/>
      <c r="E245" s="99"/>
      <c r="F245" s="99"/>
      <c r="G245" s="99">
        <v>1.242</v>
      </c>
      <c r="H245" s="99">
        <v>2.7269999999999999</v>
      </c>
      <c r="I245" s="99"/>
      <c r="J245" s="99"/>
      <c r="K245" s="99">
        <v>1.944</v>
      </c>
      <c r="L245" s="99">
        <v>2.3759999999999999</v>
      </c>
      <c r="M245" s="99"/>
      <c r="N245" s="99"/>
      <c r="O245" s="99"/>
      <c r="P245" s="99"/>
      <c r="Q245" s="99"/>
      <c r="R245" s="99"/>
      <c r="S245" s="99">
        <v>3.8780000000000001</v>
      </c>
      <c r="T245" s="99">
        <v>0.83699999999999997</v>
      </c>
      <c r="U245" s="99"/>
      <c r="V245" s="99">
        <v>0.29699999999999999</v>
      </c>
      <c r="W245" s="99"/>
      <c r="X245" s="99"/>
      <c r="Y245" s="99"/>
      <c r="Z245" s="99"/>
      <c r="AA245" s="99"/>
      <c r="AB245" s="99">
        <v>1.728</v>
      </c>
      <c r="AC245" s="99">
        <v>3.1320000000000001</v>
      </c>
      <c r="AD245" s="99"/>
      <c r="AE245" s="99"/>
      <c r="AF245" s="99">
        <v>0.83699999999999997</v>
      </c>
      <c r="AG245" s="99">
        <v>1.917</v>
      </c>
      <c r="AH245" s="100">
        <f t="shared" si="40"/>
        <v>20.915000000000003</v>
      </c>
    </row>
    <row r="246" spans="1:34" ht="15">
      <c r="A246" s="314" t="s">
        <v>152</v>
      </c>
      <c r="B246" s="53">
        <f t="shared" si="39"/>
        <v>24.18</v>
      </c>
      <c r="C246" s="326"/>
      <c r="D246" s="99"/>
      <c r="E246" s="99"/>
      <c r="F246" s="99"/>
      <c r="G246" s="99"/>
      <c r="H246" s="99">
        <v>1.242</v>
      </c>
      <c r="I246" s="99">
        <v>1.986</v>
      </c>
      <c r="J246" s="99">
        <v>1.4039999999999999</v>
      </c>
      <c r="K246" s="99">
        <v>2.052</v>
      </c>
      <c r="L246" s="99"/>
      <c r="M246" s="99"/>
      <c r="N246" s="99">
        <v>0.81</v>
      </c>
      <c r="O246" s="99"/>
      <c r="P246" s="99">
        <v>0.40500000000000003</v>
      </c>
      <c r="Q246" s="53"/>
      <c r="R246" s="53"/>
      <c r="S246" s="53">
        <v>2.1059999999999999</v>
      </c>
      <c r="T246" s="53"/>
      <c r="U246" s="53"/>
      <c r="V246" s="53">
        <v>2.3490000000000002</v>
      </c>
      <c r="W246" s="53"/>
      <c r="X246" s="53"/>
      <c r="Y246" s="53">
        <v>2.7269999999999999</v>
      </c>
      <c r="Z246" s="53">
        <v>0.432</v>
      </c>
      <c r="AA246" s="53"/>
      <c r="AB246" s="53"/>
      <c r="AC246" s="53">
        <v>0.40500000000000003</v>
      </c>
      <c r="AD246" s="53">
        <v>0.94499999999999995</v>
      </c>
      <c r="AE246" s="53"/>
      <c r="AF246" s="53">
        <v>3.3210000000000002</v>
      </c>
      <c r="AG246" s="53">
        <v>3.996</v>
      </c>
      <c r="AH246" s="100">
        <f t="shared" si="40"/>
        <v>24.18</v>
      </c>
    </row>
    <row r="247" spans="1:34" ht="15">
      <c r="A247" s="314" t="s">
        <v>153</v>
      </c>
      <c r="B247" s="53">
        <f t="shared" si="39"/>
        <v>0</v>
      </c>
      <c r="C247" s="188" t="s">
        <v>162</v>
      </c>
      <c r="D247" s="188" t="s">
        <v>162</v>
      </c>
      <c r="E247" s="188" t="s">
        <v>162</v>
      </c>
      <c r="F247" s="188" t="s">
        <v>162</v>
      </c>
      <c r="G247" s="188" t="s">
        <v>162</v>
      </c>
      <c r="H247" s="188" t="s">
        <v>162</v>
      </c>
      <c r="I247" s="188" t="s">
        <v>162</v>
      </c>
      <c r="J247" s="188" t="s">
        <v>162</v>
      </c>
      <c r="K247" s="188" t="s">
        <v>162</v>
      </c>
      <c r="L247" s="188" t="s">
        <v>162</v>
      </c>
      <c r="M247" s="188" t="s">
        <v>162</v>
      </c>
      <c r="N247" s="188" t="s">
        <v>162</v>
      </c>
      <c r="O247" s="188" t="s">
        <v>162</v>
      </c>
      <c r="P247" s="188" t="s">
        <v>162</v>
      </c>
      <c r="Q247" s="188" t="s">
        <v>162</v>
      </c>
      <c r="R247" s="188" t="s">
        <v>162</v>
      </c>
      <c r="S247" s="188" t="s">
        <v>162</v>
      </c>
      <c r="T247" s="188" t="s">
        <v>162</v>
      </c>
      <c r="U247" s="188" t="s">
        <v>162</v>
      </c>
      <c r="V247" s="188" t="s">
        <v>162</v>
      </c>
      <c r="W247" s="188" t="s">
        <v>162</v>
      </c>
      <c r="X247" s="188" t="s">
        <v>162</v>
      </c>
      <c r="Y247" s="188" t="s">
        <v>162</v>
      </c>
      <c r="Z247" s="188" t="s">
        <v>162</v>
      </c>
      <c r="AA247" s="188" t="s">
        <v>162</v>
      </c>
      <c r="AB247" s="188" t="s">
        <v>162</v>
      </c>
      <c r="AC247" s="188" t="s">
        <v>162</v>
      </c>
      <c r="AD247" s="188" t="s">
        <v>162</v>
      </c>
      <c r="AE247" s="188" t="s">
        <v>162</v>
      </c>
      <c r="AF247" s="188" t="s">
        <v>162</v>
      </c>
      <c r="AG247" s="188" t="s">
        <v>162</v>
      </c>
      <c r="AH247" s="100">
        <f t="shared" si="40"/>
        <v>0</v>
      </c>
    </row>
    <row r="248" spans="1:34" ht="15">
      <c r="A248" s="314" t="s">
        <v>154</v>
      </c>
      <c r="B248" s="53">
        <f t="shared" si="39"/>
        <v>32.585000000000001</v>
      </c>
      <c r="C248" s="326"/>
      <c r="D248" s="99">
        <v>2.2679999999999998</v>
      </c>
      <c r="E248" s="99">
        <v>0.54</v>
      </c>
      <c r="F248" s="99"/>
      <c r="G248" s="99"/>
      <c r="H248" s="99"/>
      <c r="I248" s="99"/>
      <c r="J248" s="99">
        <v>1.7010000000000001</v>
      </c>
      <c r="K248" s="99">
        <v>1.62</v>
      </c>
      <c r="L248" s="99">
        <v>1.7549999999999999</v>
      </c>
      <c r="M248" s="99">
        <v>2.9430000000000001</v>
      </c>
      <c r="N248" s="99">
        <v>4.0999999999999996</v>
      </c>
      <c r="O248" s="99"/>
      <c r="P248" s="99"/>
      <c r="Q248" s="99"/>
      <c r="R248" s="99">
        <v>0.70199999999999996</v>
      </c>
      <c r="S248" s="99">
        <v>1.89</v>
      </c>
      <c r="T248" s="99"/>
      <c r="U248" s="99">
        <v>2.4300000000000002</v>
      </c>
      <c r="V248" s="99"/>
      <c r="W248" s="99"/>
      <c r="X248" s="99">
        <v>1.35</v>
      </c>
      <c r="Y248" s="99">
        <v>1.431</v>
      </c>
      <c r="Z248" s="99">
        <v>1.863</v>
      </c>
      <c r="AA248" s="99"/>
      <c r="AB248" s="99">
        <v>1.2150000000000001</v>
      </c>
      <c r="AC248" s="99"/>
      <c r="AD248" s="99"/>
      <c r="AE248" s="99">
        <v>0.54</v>
      </c>
      <c r="AF248" s="99">
        <v>3.645</v>
      </c>
      <c r="AG248" s="99">
        <v>2.5920000000000001</v>
      </c>
      <c r="AH248" s="100">
        <f t="shared" si="40"/>
        <v>32.585000000000001</v>
      </c>
    </row>
    <row r="249" spans="1:34" ht="15">
      <c r="A249" s="314" t="s">
        <v>155</v>
      </c>
      <c r="B249" s="53">
        <f>+AH249</f>
        <v>16.550999999999998</v>
      </c>
      <c r="C249" s="116"/>
      <c r="D249" s="99">
        <v>0.81</v>
      </c>
      <c r="E249" s="99"/>
      <c r="F249" s="99"/>
      <c r="G249" s="99">
        <v>2.0249999999999999</v>
      </c>
      <c r="H249" s="99"/>
      <c r="I249" s="99">
        <v>0.45900000000000002</v>
      </c>
      <c r="J249" s="99"/>
      <c r="K249" s="99"/>
      <c r="L249" s="99"/>
      <c r="M249" s="99"/>
      <c r="N249" s="99">
        <v>0.51300000000000001</v>
      </c>
      <c r="O249" s="99">
        <v>0.67500000000000004</v>
      </c>
      <c r="P249" s="99">
        <v>0.67500000000000004</v>
      </c>
      <c r="Q249" s="99">
        <v>1.6739999999999999</v>
      </c>
      <c r="R249" s="99">
        <v>2.5649999999999999</v>
      </c>
      <c r="S249" s="99"/>
      <c r="T249" s="99"/>
      <c r="U249" s="99">
        <v>2.0790000000000002</v>
      </c>
      <c r="V249" s="99">
        <v>1.4039999999999999</v>
      </c>
      <c r="W249" s="99"/>
      <c r="X249" s="99"/>
      <c r="Y249" s="99"/>
      <c r="Z249" s="99"/>
      <c r="AA249" s="99"/>
      <c r="AB249" s="99">
        <v>1.026</v>
      </c>
      <c r="AC249" s="99">
        <v>1.863</v>
      </c>
      <c r="AD249" s="99">
        <v>0.51300000000000001</v>
      </c>
      <c r="AE249" s="99">
        <v>0.27</v>
      </c>
      <c r="AF249" s="99"/>
      <c r="AG249" s="99"/>
      <c r="AH249" s="100">
        <f t="shared" si="40"/>
        <v>16.550999999999998</v>
      </c>
    </row>
    <row r="250" spans="1:34" ht="15">
      <c r="A250" s="314" t="s">
        <v>156</v>
      </c>
      <c r="B250" s="53">
        <f>+AH250</f>
        <v>0.97199999999999998</v>
      </c>
      <c r="C250" s="116"/>
      <c r="D250" s="99"/>
      <c r="E250" s="99"/>
      <c r="F250" s="99"/>
      <c r="G250" s="99"/>
      <c r="H250" s="99"/>
      <c r="I250" s="99"/>
      <c r="J250" s="99"/>
      <c r="K250" s="99"/>
      <c r="L250" s="99"/>
      <c r="M250" s="99"/>
      <c r="N250" s="99"/>
      <c r="O250" s="99"/>
      <c r="P250" s="99"/>
      <c r="Q250" s="99"/>
      <c r="R250" s="99"/>
      <c r="S250" s="99"/>
      <c r="T250" s="99"/>
      <c r="U250" s="99"/>
      <c r="V250" s="99"/>
      <c r="W250" s="99"/>
      <c r="X250" s="99"/>
      <c r="Y250" s="99"/>
      <c r="Z250" s="99"/>
      <c r="AA250" s="99"/>
      <c r="AB250" s="99"/>
      <c r="AC250" s="99">
        <v>0.189</v>
      </c>
      <c r="AD250" s="99">
        <v>0.78300000000000003</v>
      </c>
      <c r="AE250" s="99"/>
      <c r="AF250" s="99"/>
      <c r="AG250" s="99"/>
      <c r="AH250" s="100">
        <f t="shared" si="40"/>
        <v>0.97199999999999998</v>
      </c>
    </row>
    <row r="251" spans="1:34" ht="15">
      <c r="A251" s="200" t="s">
        <v>111</v>
      </c>
      <c r="B251" s="200">
        <f t="shared" ref="B251:AH251" si="41">SUM(B239:B250)</f>
        <v>205.947</v>
      </c>
      <c r="C251" s="100">
        <f t="shared" si="41"/>
        <v>0.45900000000000002</v>
      </c>
      <c r="D251" s="100">
        <f t="shared" si="41"/>
        <v>4.9139999999999997</v>
      </c>
      <c r="E251" s="100">
        <f t="shared" si="41"/>
        <v>4.9409999999999998</v>
      </c>
      <c r="F251" s="100">
        <f t="shared" si="41"/>
        <v>11.799000000000001</v>
      </c>
      <c r="G251" s="100">
        <f t="shared" si="41"/>
        <v>9.423</v>
      </c>
      <c r="H251" s="100">
        <f t="shared" si="41"/>
        <v>3.9689999999999999</v>
      </c>
      <c r="I251" s="100">
        <f t="shared" si="41"/>
        <v>8.5470000000000006</v>
      </c>
      <c r="J251" s="100">
        <f t="shared" si="41"/>
        <v>11.238</v>
      </c>
      <c r="K251" s="100">
        <f t="shared" si="41"/>
        <v>10.152000000000001</v>
      </c>
      <c r="L251" s="100">
        <f t="shared" si="41"/>
        <v>7.6139999999999999</v>
      </c>
      <c r="M251" s="100">
        <f t="shared" si="41"/>
        <v>4.4329999999999998</v>
      </c>
      <c r="N251" s="100">
        <f t="shared" si="41"/>
        <v>5.423</v>
      </c>
      <c r="O251" s="100">
        <f t="shared" si="41"/>
        <v>0.67500000000000004</v>
      </c>
      <c r="P251" s="100">
        <f t="shared" si="41"/>
        <v>3.024</v>
      </c>
      <c r="Q251" s="100">
        <f t="shared" si="41"/>
        <v>6.3179999999999996</v>
      </c>
      <c r="R251" s="100">
        <f t="shared" si="41"/>
        <v>4.5359999999999996</v>
      </c>
      <c r="S251" s="100">
        <f t="shared" si="41"/>
        <v>8.0359999999999996</v>
      </c>
      <c r="T251" s="100">
        <f t="shared" si="41"/>
        <v>3.4559999999999995</v>
      </c>
      <c r="U251" s="100">
        <f t="shared" si="41"/>
        <v>9.2070000000000007</v>
      </c>
      <c r="V251" s="100">
        <f t="shared" si="41"/>
        <v>4.0500000000000007</v>
      </c>
      <c r="W251" s="100">
        <f t="shared" si="41"/>
        <v>2.5110000000000001</v>
      </c>
      <c r="X251" s="100">
        <f t="shared" si="41"/>
        <v>6.8040000000000003</v>
      </c>
      <c r="Y251" s="100">
        <f t="shared" si="41"/>
        <v>6.1559999999999997</v>
      </c>
      <c r="Z251" s="100">
        <f t="shared" si="41"/>
        <v>5.886000000000001</v>
      </c>
      <c r="AA251" s="100">
        <f t="shared" si="41"/>
        <v>4.4009999999999998</v>
      </c>
      <c r="AB251" s="100">
        <f t="shared" si="41"/>
        <v>6.0749999999999993</v>
      </c>
      <c r="AC251" s="100">
        <f t="shared" si="41"/>
        <v>9.7470000000000017</v>
      </c>
      <c r="AD251" s="100">
        <f t="shared" si="41"/>
        <v>12.129</v>
      </c>
      <c r="AE251" s="100">
        <f t="shared" si="41"/>
        <v>11.285999999999998</v>
      </c>
      <c r="AF251" s="100">
        <f t="shared" si="41"/>
        <v>10.233000000000001</v>
      </c>
      <c r="AG251" s="100">
        <f t="shared" si="41"/>
        <v>8.5050000000000008</v>
      </c>
      <c r="AH251" s="100">
        <f t="shared" si="41"/>
        <v>205.947</v>
      </c>
    </row>
    <row r="252" spans="1:34" ht="6" customHeight="1">
      <c r="A252" s="49"/>
      <c r="B252" s="49"/>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row>
    <row r="253" spans="1:34" ht="15.75" customHeight="1">
      <c r="A253" s="49"/>
      <c r="B253" s="49"/>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row>
    <row r="254" spans="1:34" ht="15">
      <c r="A254" s="3887" t="s">
        <v>485</v>
      </c>
      <c r="B254" s="3888"/>
      <c r="C254" s="3889"/>
      <c r="D254" s="14"/>
      <c r="E254" s="14"/>
      <c r="F254" s="14"/>
      <c r="G254" s="14"/>
      <c r="H254" s="14"/>
      <c r="I254" s="14"/>
      <c r="J254" s="14"/>
      <c r="K254" s="14"/>
      <c r="L254" s="14"/>
      <c r="M254" s="98"/>
      <c r="N254" s="14"/>
      <c r="O254" s="14"/>
      <c r="P254" s="14"/>
      <c r="Q254" s="14"/>
      <c r="R254" s="14"/>
      <c r="S254" s="14"/>
      <c r="T254" s="14"/>
      <c r="U254" s="14"/>
      <c r="V254" s="14"/>
      <c r="W254" s="14"/>
      <c r="X254" s="14"/>
      <c r="Y254" s="14"/>
      <c r="Z254" s="14"/>
      <c r="AA254" s="14"/>
      <c r="AB254" s="14"/>
      <c r="AC254" s="14"/>
      <c r="AD254" s="14"/>
      <c r="AE254" s="14"/>
      <c r="AF254" s="14"/>
      <c r="AG254" s="14"/>
      <c r="AH254" s="1"/>
    </row>
    <row r="255" spans="1:34" ht="15">
      <c r="A255" s="8" t="s">
        <v>142</v>
      </c>
      <c r="B255" s="8" t="s">
        <v>143</v>
      </c>
      <c r="C255" s="314">
        <v>1</v>
      </c>
      <c r="D255" s="73">
        <v>2</v>
      </c>
      <c r="E255" s="73">
        <v>3</v>
      </c>
      <c r="F255" s="73">
        <v>4</v>
      </c>
      <c r="G255" s="73">
        <v>5</v>
      </c>
      <c r="H255" s="73">
        <v>6</v>
      </c>
      <c r="I255" s="73">
        <v>7</v>
      </c>
      <c r="J255" s="73">
        <v>8</v>
      </c>
      <c r="K255" s="73">
        <v>9</v>
      </c>
      <c r="L255" s="73">
        <v>10</v>
      </c>
      <c r="M255" s="73">
        <v>11</v>
      </c>
      <c r="N255" s="73">
        <v>12</v>
      </c>
      <c r="O255" s="73">
        <v>13</v>
      </c>
      <c r="P255" s="73">
        <v>14</v>
      </c>
      <c r="Q255" s="73">
        <v>15</v>
      </c>
      <c r="R255" s="73">
        <v>16</v>
      </c>
      <c r="S255" s="73">
        <v>17</v>
      </c>
      <c r="T255" s="73">
        <v>18</v>
      </c>
      <c r="U255" s="73">
        <v>19</v>
      </c>
      <c r="V255" s="73">
        <v>20</v>
      </c>
      <c r="W255" s="73">
        <v>21</v>
      </c>
      <c r="X255" s="73">
        <v>22</v>
      </c>
      <c r="Y255" s="73">
        <v>23</v>
      </c>
      <c r="Z255" s="73">
        <v>24</v>
      </c>
      <c r="AA255" s="73">
        <v>25</v>
      </c>
      <c r="AB255" s="73">
        <v>26</v>
      </c>
      <c r="AC255" s="73">
        <v>27</v>
      </c>
      <c r="AD255" s="73">
        <v>28</v>
      </c>
      <c r="AE255" s="73">
        <v>29</v>
      </c>
      <c r="AF255" s="73">
        <v>30</v>
      </c>
      <c r="AG255" s="73">
        <v>31</v>
      </c>
      <c r="AH255" s="87" t="s">
        <v>144</v>
      </c>
    </row>
    <row r="256" spans="1:34" ht="15">
      <c r="A256" s="363" t="s">
        <v>145</v>
      </c>
      <c r="B256" s="53">
        <f t="shared" ref="B256:B267" si="42">+AH256</f>
        <v>118.36099999999999</v>
      </c>
      <c r="C256" s="482"/>
      <c r="D256" s="482"/>
      <c r="E256" s="482">
        <v>1.6379999999999999</v>
      </c>
      <c r="F256" s="482">
        <v>2.3220000000000001</v>
      </c>
      <c r="G256" s="482">
        <v>12.231</v>
      </c>
      <c r="H256" s="482">
        <v>22.949000000000002</v>
      </c>
      <c r="I256" s="482">
        <v>7.3179999999999996</v>
      </c>
      <c r="J256" s="482"/>
      <c r="K256" s="482">
        <v>1.6739999999999999</v>
      </c>
      <c r="L256" s="482">
        <v>13.913000000000002</v>
      </c>
      <c r="M256" s="482"/>
      <c r="N256" s="482">
        <v>4.4820000000000002</v>
      </c>
      <c r="O256" s="482">
        <v>5.8319999999999999</v>
      </c>
      <c r="P256" s="482"/>
      <c r="Q256" s="482">
        <v>0.378</v>
      </c>
      <c r="R256" s="482">
        <v>8.3970000000000002</v>
      </c>
      <c r="S256" s="482">
        <v>9.6659999999999986</v>
      </c>
      <c r="T256" s="482">
        <v>0.35099999999999998</v>
      </c>
      <c r="U256" s="482">
        <v>1.35</v>
      </c>
      <c r="V256" s="482">
        <v>3.4560000000000004</v>
      </c>
      <c r="W256" s="482"/>
      <c r="X256" s="482"/>
      <c r="Y256" s="482">
        <v>3.8340000000000005</v>
      </c>
      <c r="Z256" s="482">
        <v>5.0759999999999987</v>
      </c>
      <c r="AA256" s="482">
        <v>4.9139999999999997</v>
      </c>
      <c r="AB256" s="482">
        <v>1.647</v>
      </c>
      <c r="AC256" s="482">
        <v>2.8620000000000001</v>
      </c>
      <c r="AD256" s="482"/>
      <c r="AE256" s="482"/>
      <c r="AF256" s="482">
        <v>1.1280000000000001</v>
      </c>
      <c r="AG256" s="482">
        <v>2.9430000000000001</v>
      </c>
      <c r="AH256" s="100">
        <f>SUM(C256:AG256)</f>
        <v>118.36099999999999</v>
      </c>
    </row>
    <row r="257" spans="1:34" ht="15">
      <c r="A257" s="363" t="s">
        <v>146</v>
      </c>
      <c r="B257" s="53">
        <f t="shared" si="42"/>
        <v>26.054999999999993</v>
      </c>
      <c r="C257" s="482">
        <v>3.4020000000000001</v>
      </c>
      <c r="D257" s="482">
        <v>11.663999999999996</v>
      </c>
      <c r="E257" s="482">
        <v>7.452</v>
      </c>
      <c r="F257" s="482"/>
      <c r="G257" s="482"/>
      <c r="H257" s="482">
        <v>3.5369999999999999</v>
      </c>
      <c r="I257" s="482"/>
      <c r="J257" s="482"/>
      <c r="K257" s="482"/>
      <c r="L257" s="482"/>
      <c r="M257" s="482"/>
      <c r="N257" s="482"/>
      <c r="O257" s="482"/>
      <c r="P257" s="482"/>
      <c r="Q257" s="482"/>
      <c r="R257" s="482"/>
      <c r="S257" s="482"/>
      <c r="T257" s="482"/>
      <c r="U257" s="482"/>
      <c r="V257" s="482"/>
      <c r="W257" s="482"/>
      <c r="X257" s="482"/>
      <c r="Y257" s="482"/>
      <c r="Z257" s="482"/>
      <c r="AA257" s="482"/>
      <c r="AB257" s="482"/>
      <c r="AC257" s="482"/>
      <c r="AD257" s="482"/>
      <c r="AE257" s="482"/>
      <c r="AF257" s="482"/>
      <c r="AG257" s="482"/>
      <c r="AH257" s="100">
        <f t="shared" ref="AH257:AH267" si="43">SUM(C257:AG257)</f>
        <v>26.054999999999993</v>
      </c>
    </row>
    <row r="258" spans="1:34" ht="15">
      <c r="A258" s="363" t="s">
        <v>147</v>
      </c>
      <c r="B258" s="53">
        <f t="shared" si="42"/>
        <v>0</v>
      </c>
      <c r="C258" s="482"/>
      <c r="D258" s="482"/>
      <c r="E258" s="482"/>
      <c r="F258" s="482"/>
      <c r="G258" s="482"/>
      <c r="H258" s="482"/>
      <c r="I258" s="482"/>
      <c r="J258" s="482"/>
      <c r="K258" s="482"/>
      <c r="L258" s="482"/>
      <c r="M258" s="482"/>
      <c r="N258" s="482"/>
      <c r="O258" s="482"/>
      <c r="P258" s="482"/>
      <c r="Q258" s="482"/>
      <c r="R258" s="482"/>
      <c r="S258" s="482"/>
      <c r="T258" s="482"/>
      <c r="U258" s="482"/>
      <c r="V258" s="482"/>
      <c r="W258" s="482"/>
      <c r="X258" s="482"/>
      <c r="Y258" s="482"/>
      <c r="Z258" s="482"/>
      <c r="AA258" s="482"/>
      <c r="AB258" s="482"/>
      <c r="AC258" s="482"/>
      <c r="AD258" s="482"/>
      <c r="AE258" s="482"/>
      <c r="AF258" s="482"/>
      <c r="AG258" s="482"/>
      <c r="AH258" s="100">
        <f t="shared" si="43"/>
        <v>0</v>
      </c>
    </row>
    <row r="259" spans="1:34" ht="15">
      <c r="A259" s="363" t="s">
        <v>148</v>
      </c>
      <c r="B259" s="53">
        <f t="shared" si="42"/>
        <v>0</v>
      </c>
      <c r="C259" s="482"/>
      <c r="D259" s="482"/>
      <c r="E259" s="482"/>
      <c r="F259" s="482"/>
      <c r="G259" s="482"/>
      <c r="H259" s="482"/>
      <c r="I259" s="482"/>
      <c r="J259" s="482"/>
      <c r="K259" s="482"/>
      <c r="L259" s="482"/>
      <c r="M259" s="482"/>
      <c r="N259" s="482"/>
      <c r="O259" s="482"/>
      <c r="P259" s="482"/>
      <c r="Q259" s="482"/>
      <c r="R259" s="482"/>
      <c r="S259" s="482"/>
      <c r="T259" s="482"/>
      <c r="U259" s="482"/>
      <c r="V259" s="482"/>
      <c r="W259" s="482"/>
      <c r="X259" s="482"/>
      <c r="Y259" s="482"/>
      <c r="Z259" s="482"/>
      <c r="AA259" s="482"/>
      <c r="AB259" s="482"/>
      <c r="AC259" s="482"/>
      <c r="AD259" s="482"/>
      <c r="AE259" s="482"/>
      <c r="AF259" s="482"/>
      <c r="AG259" s="482"/>
      <c r="AH259" s="100">
        <f t="shared" si="43"/>
        <v>0</v>
      </c>
    </row>
    <row r="260" spans="1:34" ht="15">
      <c r="A260" s="363" t="s">
        <v>149</v>
      </c>
      <c r="B260" s="53">
        <f t="shared" si="42"/>
        <v>0</v>
      </c>
      <c r="C260" s="369"/>
      <c r="D260" s="369"/>
      <c r="E260" s="369"/>
      <c r="F260" s="369"/>
      <c r="G260" s="369"/>
      <c r="H260" s="369"/>
      <c r="I260" s="369"/>
      <c r="J260" s="369"/>
      <c r="K260" s="369"/>
      <c r="L260" s="369"/>
      <c r="M260" s="369"/>
      <c r="N260" s="369"/>
      <c r="O260" s="369"/>
      <c r="P260" s="369"/>
      <c r="Q260" s="369"/>
      <c r="R260" s="369"/>
      <c r="S260" s="369"/>
      <c r="T260" s="369"/>
      <c r="U260" s="369"/>
      <c r="V260" s="369"/>
      <c r="W260" s="369"/>
      <c r="X260" s="369"/>
      <c r="Y260" s="369"/>
      <c r="Z260" s="369"/>
      <c r="AA260" s="369"/>
      <c r="AB260" s="369"/>
      <c r="AC260" s="369"/>
      <c r="AD260" s="369"/>
      <c r="AE260" s="369"/>
      <c r="AF260" s="369"/>
      <c r="AG260" s="369"/>
      <c r="AH260" s="100">
        <f t="shared" si="43"/>
        <v>0</v>
      </c>
    </row>
    <row r="261" spans="1:34" ht="15">
      <c r="A261" s="363" t="s">
        <v>150</v>
      </c>
      <c r="B261" s="53">
        <f t="shared" si="42"/>
        <v>0</v>
      </c>
      <c r="C261" s="369"/>
      <c r="D261" s="369"/>
      <c r="E261" s="369"/>
      <c r="F261" s="369"/>
      <c r="G261" s="369"/>
      <c r="H261" s="369"/>
      <c r="I261" s="369"/>
      <c r="J261" s="369"/>
      <c r="K261" s="369"/>
      <c r="L261" s="369"/>
      <c r="M261" s="369"/>
      <c r="N261" s="369"/>
      <c r="O261" s="369"/>
      <c r="P261" s="369"/>
      <c r="Q261" s="369"/>
      <c r="R261" s="369"/>
      <c r="S261" s="369"/>
      <c r="T261" s="369"/>
      <c r="U261" s="369"/>
      <c r="V261" s="369"/>
      <c r="W261" s="369"/>
      <c r="X261" s="369"/>
      <c r="Y261" s="369"/>
      <c r="Z261" s="369"/>
      <c r="AA261" s="369"/>
      <c r="AB261" s="369"/>
      <c r="AC261" s="369"/>
      <c r="AD261" s="369"/>
      <c r="AE261" s="369"/>
      <c r="AF261" s="369"/>
      <c r="AG261" s="369"/>
      <c r="AH261" s="100">
        <f t="shared" si="43"/>
        <v>0</v>
      </c>
    </row>
    <row r="262" spans="1:34" ht="15">
      <c r="A262" s="314" t="s">
        <v>151</v>
      </c>
      <c r="B262" s="53">
        <f t="shared" si="42"/>
        <v>0</v>
      </c>
      <c r="C262" s="116"/>
      <c r="D262" s="99"/>
      <c r="E262" s="99"/>
      <c r="F262" s="99"/>
      <c r="G262" s="99"/>
      <c r="H262" s="99"/>
      <c r="I262" s="99"/>
      <c r="J262" s="99"/>
      <c r="K262" s="99"/>
      <c r="L262" s="99"/>
      <c r="M262" s="99"/>
      <c r="N262" s="99"/>
      <c r="O262" s="99"/>
      <c r="P262" s="99"/>
      <c r="Q262" s="99"/>
      <c r="R262" s="99"/>
      <c r="S262" s="99"/>
      <c r="T262" s="99"/>
      <c r="U262" s="99"/>
      <c r="V262" s="99"/>
      <c r="W262" s="99"/>
      <c r="X262" s="99"/>
      <c r="Y262" s="99"/>
      <c r="Z262" s="99"/>
      <c r="AA262" s="99"/>
      <c r="AB262" s="99"/>
      <c r="AC262" s="99"/>
      <c r="AD262" s="99"/>
      <c r="AE262" s="99"/>
      <c r="AF262" s="99"/>
      <c r="AG262" s="99"/>
      <c r="AH262" s="100">
        <f t="shared" si="43"/>
        <v>0</v>
      </c>
    </row>
    <row r="263" spans="1:34" ht="15">
      <c r="A263" s="314" t="s">
        <v>152</v>
      </c>
      <c r="B263" s="53">
        <f t="shared" si="42"/>
        <v>0</v>
      </c>
      <c r="C263" s="116"/>
      <c r="D263" s="99"/>
      <c r="E263" s="99"/>
      <c r="F263" s="99"/>
      <c r="G263" s="99"/>
      <c r="H263" s="99"/>
      <c r="I263" s="99"/>
      <c r="J263" s="99"/>
      <c r="K263" s="99"/>
      <c r="L263" s="99"/>
      <c r="M263" s="99"/>
      <c r="N263" s="99"/>
      <c r="O263" s="99"/>
      <c r="P263" s="99"/>
      <c r="Q263" s="53"/>
      <c r="R263" s="53"/>
      <c r="S263" s="53"/>
      <c r="T263" s="53"/>
      <c r="U263" s="53"/>
      <c r="V263" s="53"/>
      <c r="W263" s="53"/>
      <c r="X263" s="53"/>
      <c r="Y263" s="53"/>
      <c r="Z263" s="53"/>
      <c r="AA263" s="53"/>
      <c r="AB263" s="53"/>
      <c r="AC263" s="53"/>
      <c r="AD263" s="53"/>
      <c r="AE263" s="53"/>
      <c r="AF263" s="53"/>
      <c r="AG263" s="53"/>
      <c r="AH263" s="100">
        <f t="shared" si="43"/>
        <v>0</v>
      </c>
    </row>
    <row r="264" spans="1:34" ht="15">
      <c r="A264" s="314" t="s">
        <v>153</v>
      </c>
      <c r="B264" s="53">
        <f t="shared" si="42"/>
        <v>0</v>
      </c>
      <c r="C264" s="188" t="s">
        <v>162</v>
      </c>
      <c r="D264" s="188" t="s">
        <v>162</v>
      </c>
      <c r="E264" s="188" t="s">
        <v>162</v>
      </c>
      <c r="F264" s="188" t="s">
        <v>162</v>
      </c>
      <c r="G264" s="188" t="s">
        <v>162</v>
      </c>
      <c r="H264" s="188" t="s">
        <v>162</v>
      </c>
      <c r="I264" s="188" t="s">
        <v>162</v>
      </c>
      <c r="J264" s="188" t="s">
        <v>162</v>
      </c>
      <c r="K264" s="188" t="s">
        <v>162</v>
      </c>
      <c r="L264" s="188" t="s">
        <v>162</v>
      </c>
      <c r="M264" s="188" t="s">
        <v>162</v>
      </c>
      <c r="N264" s="188" t="s">
        <v>162</v>
      </c>
      <c r="O264" s="188" t="s">
        <v>162</v>
      </c>
      <c r="P264" s="188" t="s">
        <v>162</v>
      </c>
      <c r="Q264" s="188" t="s">
        <v>162</v>
      </c>
      <c r="R264" s="188" t="s">
        <v>162</v>
      </c>
      <c r="S264" s="188" t="s">
        <v>162</v>
      </c>
      <c r="T264" s="188" t="s">
        <v>162</v>
      </c>
      <c r="U264" s="188" t="s">
        <v>162</v>
      </c>
      <c r="V264" s="188" t="s">
        <v>162</v>
      </c>
      <c r="W264" s="188" t="s">
        <v>162</v>
      </c>
      <c r="X264" s="188" t="s">
        <v>162</v>
      </c>
      <c r="Y264" s="188" t="s">
        <v>162</v>
      </c>
      <c r="Z264" s="188" t="s">
        <v>162</v>
      </c>
      <c r="AA264" s="188" t="s">
        <v>162</v>
      </c>
      <c r="AB264" s="188" t="s">
        <v>162</v>
      </c>
      <c r="AC264" s="188" t="s">
        <v>162</v>
      </c>
      <c r="AD264" s="188" t="s">
        <v>162</v>
      </c>
      <c r="AE264" s="188" t="s">
        <v>162</v>
      </c>
      <c r="AF264" s="188" t="s">
        <v>162</v>
      </c>
      <c r="AG264" s="188" t="s">
        <v>162</v>
      </c>
      <c r="AH264" s="100">
        <f t="shared" si="43"/>
        <v>0</v>
      </c>
    </row>
    <row r="265" spans="1:34" ht="15">
      <c r="A265" s="314" t="s">
        <v>154</v>
      </c>
      <c r="B265" s="53">
        <f t="shared" si="42"/>
        <v>0</v>
      </c>
      <c r="C265" s="116"/>
      <c r="D265" s="99"/>
      <c r="E265" s="99"/>
      <c r="F265" s="99"/>
      <c r="G265" s="99"/>
      <c r="H265" s="99"/>
      <c r="I265" s="99"/>
      <c r="J265" s="99"/>
      <c r="K265" s="99"/>
      <c r="L265" s="99"/>
      <c r="M265" s="99"/>
      <c r="N265" s="99"/>
      <c r="O265" s="99"/>
      <c r="P265" s="99"/>
      <c r="Q265" s="99"/>
      <c r="R265" s="99"/>
      <c r="S265" s="99"/>
      <c r="T265" s="99"/>
      <c r="U265" s="99"/>
      <c r="V265" s="99"/>
      <c r="W265" s="99"/>
      <c r="X265" s="99"/>
      <c r="Y265" s="99"/>
      <c r="Z265" s="99"/>
      <c r="AA265" s="99"/>
      <c r="AB265" s="99"/>
      <c r="AC265" s="99"/>
      <c r="AD265" s="99"/>
      <c r="AE265" s="99"/>
      <c r="AF265" s="99"/>
      <c r="AG265" s="99"/>
      <c r="AH265" s="100">
        <f t="shared" si="43"/>
        <v>0</v>
      </c>
    </row>
    <row r="266" spans="1:34" ht="15">
      <c r="A266" s="314" t="s">
        <v>155</v>
      </c>
      <c r="B266" s="53">
        <f t="shared" si="42"/>
        <v>0</v>
      </c>
      <c r="C266" s="116"/>
      <c r="D266" s="99"/>
      <c r="E266" s="99"/>
      <c r="F266" s="99"/>
      <c r="G266" s="99"/>
      <c r="H266" s="99"/>
      <c r="I266" s="99"/>
      <c r="J266" s="99"/>
      <c r="K266" s="99"/>
      <c r="L266" s="99"/>
      <c r="M266" s="99"/>
      <c r="N266" s="99"/>
      <c r="O266" s="99"/>
      <c r="P266" s="99"/>
      <c r="Q266" s="99"/>
      <c r="R266" s="99"/>
      <c r="S266" s="99"/>
      <c r="T266" s="99"/>
      <c r="U266" s="99"/>
      <c r="V266" s="99"/>
      <c r="W266" s="99"/>
      <c r="X266" s="99"/>
      <c r="Y266" s="99"/>
      <c r="Z266" s="99"/>
      <c r="AA266" s="99"/>
      <c r="AB266" s="99"/>
      <c r="AC266" s="99"/>
      <c r="AD266" s="99"/>
      <c r="AE266" s="99"/>
      <c r="AF266" s="99"/>
      <c r="AG266" s="99"/>
      <c r="AH266" s="100">
        <f t="shared" si="43"/>
        <v>0</v>
      </c>
    </row>
    <row r="267" spans="1:34" ht="15">
      <c r="A267" s="314" t="s">
        <v>156</v>
      </c>
      <c r="B267" s="53">
        <f t="shared" si="42"/>
        <v>0</v>
      </c>
      <c r="C267" s="116"/>
      <c r="D267" s="99"/>
      <c r="E267" s="99"/>
      <c r="F267" s="99"/>
      <c r="G267" s="99"/>
      <c r="H267" s="99"/>
      <c r="I267" s="99"/>
      <c r="J267" s="99"/>
      <c r="K267" s="99"/>
      <c r="L267" s="99"/>
      <c r="M267" s="99"/>
      <c r="N267" s="99"/>
      <c r="O267" s="99"/>
      <c r="P267" s="99"/>
      <c r="Q267" s="99"/>
      <c r="R267" s="99"/>
      <c r="S267" s="99"/>
      <c r="T267" s="99"/>
      <c r="U267" s="99"/>
      <c r="V267" s="99"/>
      <c r="W267" s="99"/>
      <c r="X267" s="99"/>
      <c r="Y267" s="99"/>
      <c r="Z267" s="99"/>
      <c r="AA267" s="99"/>
      <c r="AB267" s="99"/>
      <c r="AC267" s="99"/>
      <c r="AD267" s="99"/>
      <c r="AE267" s="99"/>
      <c r="AF267" s="99"/>
      <c r="AG267" s="99"/>
      <c r="AH267" s="100">
        <f t="shared" si="43"/>
        <v>0</v>
      </c>
    </row>
    <row r="268" spans="1:34" ht="15">
      <c r="A268" s="200" t="s">
        <v>111</v>
      </c>
      <c r="B268" s="585">
        <f t="shared" ref="B268:AH268" si="44">SUM(B256:B267)</f>
        <v>144.416</v>
      </c>
      <c r="C268" s="100">
        <f t="shared" si="44"/>
        <v>3.4020000000000001</v>
      </c>
      <c r="D268" s="100">
        <f t="shared" si="44"/>
        <v>11.663999999999996</v>
      </c>
      <c r="E268" s="100">
        <f t="shared" si="44"/>
        <v>9.09</v>
      </c>
      <c r="F268" s="100">
        <f t="shared" si="44"/>
        <v>2.3220000000000001</v>
      </c>
      <c r="G268" s="100">
        <f t="shared" si="44"/>
        <v>12.231</v>
      </c>
      <c r="H268" s="100">
        <f t="shared" si="44"/>
        <v>26.486000000000001</v>
      </c>
      <c r="I268" s="100">
        <f t="shared" si="44"/>
        <v>7.3179999999999996</v>
      </c>
      <c r="J268" s="100">
        <f t="shared" si="44"/>
        <v>0</v>
      </c>
      <c r="K268" s="100">
        <f t="shared" si="44"/>
        <v>1.6739999999999999</v>
      </c>
      <c r="L268" s="100">
        <f t="shared" si="44"/>
        <v>13.913000000000002</v>
      </c>
      <c r="M268" s="100">
        <f t="shared" si="44"/>
        <v>0</v>
      </c>
      <c r="N268" s="100">
        <f t="shared" si="44"/>
        <v>4.4820000000000002</v>
      </c>
      <c r="O268" s="100">
        <f t="shared" si="44"/>
        <v>5.8319999999999999</v>
      </c>
      <c r="P268" s="100">
        <f t="shared" si="44"/>
        <v>0</v>
      </c>
      <c r="Q268" s="100">
        <f t="shared" si="44"/>
        <v>0.378</v>
      </c>
      <c r="R268" s="100">
        <f t="shared" si="44"/>
        <v>8.3970000000000002</v>
      </c>
      <c r="S268" s="100">
        <f t="shared" si="44"/>
        <v>9.6659999999999986</v>
      </c>
      <c r="T268" s="100">
        <f t="shared" si="44"/>
        <v>0.35099999999999998</v>
      </c>
      <c r="U268" s="100">
        <f t="shared" si="44"/>
        <v>1.35</v>
      </c>
      <c r="V268" s="100">
        <f t="shared" si="44"/>
        <v>3.4560000000000004</v>
      </c>
      <c r="W268" s="100">
        <f t="shared" si="44"/>
        <v>0</v>
      </c>
      <c r="X268" s="100">
        <f t="shared" si="44"/>
        <v>0</v>
      </c>
      <c r="Y268" s="100">
        <f t="shared" si="44"/>
        <v>3.8340000000000005</v>
      </c>
      <c r="Z268" s="100">
        <f t="shared" si="44"/>
        <v>5.0759999999999987</v>
      </c>
      <c r="AA268" s="100">
        <f t="shared" si="44"/>
        <v>4.9139999999999997</v>
      </c>
      <c r="AB268" s="100">
        <f t="shared" si="44"/>
        <v>1.647</v>
      </c>
      <c r="AC268" s="100">
        <f t="shared" si="44"/>
        <v>2.8620000000000001</v>
      </c>
      <c r="AD268" s="100">
        <f t="shared" si="44"/>
        <v>0</v>
      </c>
      <c r="AE268" s="100">
        <f t="shared" si="44"/>
        <v>0</v>
      </c>
      <c r="AF268" s="100">
        <f t="shared" si="44"/>
        <v>1.1280000000000001</v>
      </c>
      <c r="AG268" s="100">
        <f t="shared" si="44"/>
        <v>2.9430000000000001</v>
      </c>
      <c r="AH268" s="100">
        <f t="shared" si="44"/>
        <v>144.416</v>
      </c>
    </row>
    <row r="269" spans="1:34" ht="15" customHeight="1">
      <c r="A269" s="49"/>
      <c r="B269" s="49"/>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row>
    <row r="270" spans="1:34" ht="15" customHeight="1">
      <c r="A270" s="3854" t="s">
        <v>486</v>
      </c>
      <c r="B270" s="3855"/>
      <c r="C270" s="3856"/>
      <c r="D270" s="14"/>
      <c r="E270" s="14"/>
      <c r="F270" s="14"/>
      <c r="G270" s="14"/>
      <c r="H270" s="14"/>
      <c r="I270" s="14"/>
      <c r="J270" s="14"/>
      <c r="K270" s="14"/>
      <c r="L270" s="14"/>
      <c r="M270" s="98"/>
      <c r="N270" s="14"/>
      <c r="O270" s="14"/>
      <c r="P270" s="14"/>
      <c r="Q270" s="14"/>
      <c r="R270" s="14"/>
      <c r="S270" s="14"/>
      <c r="T270" s="14"/>
      <c r="U270" s="14"/>
      <c r="V270" s="14"/>
      <c r="W270" s="14"/>
      <c r="X270" s="14"/>
      <c r="Y270" s="14"/>
      <c r="Z270" s="14"/>
      <c r="AA270" s="14"/>
      <c r="AB270" s="14"/>
      <c r="AC270" s="14"/>
      <c r="AD270" s="14"/>
      <c r="AE270" s="14"/>
      <c r="AF270" s="14"/>
      <c r="AG270" s="14"/>
      <c r="AH270" s="1"/>
    </row>
    <row r="271" spans="1:34" ht="15" customHeight="1">
      <c r="A271" s="8" t="s">
        <v>142</v>
      </c>
      <c r="B271" s="8" t="s">
        <v>143</v>
      </c>
      <c r="C271" s="372">
        <v>1</v>
      </c>
      <c r="D271" s="73">
        <v>2</v>
      </c>
      <c r="E271" s="73">
        <v>3</v>
      </c>
      <c r="F271" s="73">
        <v>4</v>
      </c>
      <c r="G271" s="73">
        <v>5</v>
      </c>
      <c r="H271" s="73">
        <v>6</v>
      </c>
      <c r="I271" s="73">
        <v>7</v>
      </c>
      <c r="J271" s="73">
        <v>8</v>
      </c>
      <c r="K271" s="73">
        <v>9</v>
      </c>
      <c r="L271" s="73">
        <v>10</v>
      </c>
      <c r="M271" s="73">
        <v>11</v>
      </c>
      <c r="N271" s="73">
        <v>12</v>
      </c>
      <c r="O271" s="73">
        <v>13</v>
      </c>
      <c r="P271" s="73">
        <v>14</v>
      </c>
      <c r="Q271" s="73">
        <v>15</v>
      </c>
      <c r="R271" s="73">
        <v>16</v>
      </c>
      <c r="S271" s="73">
        <v>17</v>
      </c>
      <c r="T271" s="73">
        <v>18</v>
      </c>
      <c r="U271" s="73">
        <v>19</v>
      </c>
      <c r="V271" s="73">
        <v>20</v>
      </c>
      <c r="W271" s="73">
        <v>21</v>
      </c>
      <c r="X271" s="73">
        <v>22</v>
      </c>
      <c r="Y271" s="73">
        <v>23</v>
      </c>
      <c r="Z271" s="73">
        <v>24</v>
      </c>
      <c r="AA271" s="73">
        <v>25</v>
      </c>
      <c r="AB271" s="73">
        <v>26</v>
      </c>
      <c r="AC271" s="73">
        <v>27</v>
      </c>
      <c r="AD271" s="73">
        <v>28</v>
      </c>
      <c r="AE271" s="73">
        <v>29</v>
      </c>
      <c r="AF271" s="73">
        <v>30</v>
      </c>
      <c r="AG271" s="73">
        <v>31</v>
      </c>
      <c r="AH271" s="87" t="s">
        <v>144</v>
      </c>
    </row>
    <row r="272" spans="1:34" ht="15" customHeight="1">
      <c r="A272" s="363" t="s">
        <v>145</v>
      </c>
      <c r="B272" s="53">
        <f t="shared" ref="B272:B283" si="45">+AH272</f>
        <v>0</v>
      </c>
      <c r="C272" s="551"/>
      <c r="D272" s="551"/>
      <c r="E272" s="551"/>
      <c r="F272" s="551"/>
      <c r="G272" s="551"/>
      <c r="H272" s="551"/>
      <c r="I272" s="551"/>
      <c r="J272" s="551"/>
      <c r="K272" s="551"/>
      <c r="L272" s="551"/>
      <c r="M272" s="551"/>
      <c r="N272" s="551"/>
      <c r="O272" s="551"/>
      <c r="P272" s="551"/>
      <c r="Q272" s="551"/>
      <c r="R272" s="551"/>
      <c r="S272" s="551"/>
      <c r="T272" s="551"/>
      <c r="U272" s="551"/>
      <c r="V272" s="551"/>
      <c r="W272" s="551"/>
      <c r="X272" s="551"/>
      <c r="Y272" s="551"/>
      <c r="Z272" s="551"/>
      <c r="AA272" s="551"/>
      <c r="AB272" s="551"/>
      <c r="AC272" s="551"/>
      <c r="AD272" s="551"/>
      <c r="AE272" s="551"/>
      <c r="AF272" s="551"/>
      <c r="AG272" s="551"/>
      <c r="AH272" s="100">
        <f>SUM(C272:AG272)</f>
        <v>0</v>
      </c>
    </row>
    <row r="273" spans="1:34" ht="15" customHeight="1">
      <c r="A273" s="363" t="s">
        <v>146</v>
      </c>
      <c r="B273" s="53">
        <f t="shared" si="45"/>
        <v>0.378</v>
      </c>
      <c r="C273" s="482"/>
      <c r="D273" s="551"/>
      <c r="E273" s="551"/>
      <c r="F273" s="551"/>
      <c r="G273" s="551"/>
      <c r="H273" s="551"/>
      <c r="I273" s="551"/>
      <c r="J273" s="482"/>
      <c r="K273" s="482"/>
      <c r="L273" s="482"/>
      <c r="M273" s="482"/>
      <c r="N273" s="482"/>
      <c r="O273" s="482"/>
      <c r="P273" s="482"/>
      <c r="Q273" s="482"/>
      <c r="R273" s="482"/>
      <c r="S273" s="482"/>
      <c r="T273" s="482"/>
      <c r="U273" s="482"/>
      <c r="V273" s="482">
        <v>0.378</v>
      </c>
      <c r="W273" s="482"/>
      <c r="X273" s="482"/>
      <c r="Y273" s="482"/>
      <c r="Z273" s="482"/>
      <c r="AA273" s="482"/>
      <c r="AB273" s="482"/>
      <c r="AC273" s="482"/>
      <c r="AD273" s="482"/>
      <c r="AE273" s="482"/>
      <c r="AF273" s="482"/>
      <c r="AG273" s="482"/>
      <c r="AH273" s="100">
        <f t="shared" ref="AH273:AH283" si="46">SUM(C273:AG273)</f>
        <v>0.378</v>
      </c>
    </row>
    <row r="274" spans="1:34" ht="15" customHeight="1">
      <c r="A274" s="363" t="s">
        <v>147</v>
      </c>
      <c r="B274" s="53">
        <f t="shared" si="45"/>
        <v>0.18</v>
      </c>
      <c r="C274" s="482"/>
      <c r="D274" s="482"/>
      <c r="E274" s="482"/>
      <c r="F274" s="482"/>
      <c r="G274" s="482"/>
      <c r="H274" s="482"/>
      <c r="I274" s="482"/>
      <c r="J274" s="482"/>
      <c r="K274" s="482"/>
      <c r="L274" s="482"/>
      <c r="M274" s="482"/>
      <c r="N274" s="482"/>
      <c r="O274" s="482"/>
      <c r="P274" s="482"/>
      <c r="Q274" s="482"/>
      <c r="R274" s="482"/>
      <c r="S274" s="482"/>
      <c r="T274" s="482"/>
      <c r="U274" s="482"/>
      <c r="V274" s="482"/>
      <c r="W274" s="482"/>
      <c r="X274" s="482"/>
      <c r="Y274" s="482"/>
      <c r="Z274" s="482"/>
      <c r="AA274" s="482"/>
      <c r="AB274" s="482"/>
      <c r="AC274" s="482">
        <v>0.18</v>
      </c>
      <c r="AD274" s="482"/>
      <c r="AE274" s="482"/>
      <c r="AF274" s="482"/>
      <c r="AG274" s="482"/>
      <c r="AH274" s="100">
        <f t="shared" si="46"/>
        <v>0.18</v>
      </c>
    </row>
    <row r="275" spans="1:34" ht="15" customHeight="1">
      <c r="A275" s="363" t="s">
        <v>148</v>
      </c>
      <c r="B275" s="53">
        <f t="shared" si="45"/>
        <v>6.2</v>
      </c>
      <c r="C275" s="447"/>
      <c r="D275" s="448"/>
      <c r="E275" s="448">
        <v>0.45</v>
      </c>
      <c r="F275" s="448">
        <v>0.8</v>
      </c>
      <c r="G275" s="448"/>
      <c r="H275" s="448"/>
      <c r="I275" s="448"/>
      <c r="J275" s="448"/>
      <c r="K275" s="448"/>
      <c r="L275" s="448"/>
      <c r="M275" s="448"/>
      <c r="N275" s="448"/>
      <c r="O275" s="448">
        <v>1.25</v>
      </c>
      <c r="P275" s="448"/>
      <c r="Q275" s="448"/>
      <c r="R275" s="448"/>
      <c r="S275" s="448"/>
      <c r="T275" s="448"/>
      <c r="U275" s="448"/>
      <c r="V275" s="448">
        <v>0.95</v>
      </c>
      <c r="W275" s="448"/>
      <c r="X275" s="448"/>
      <c r="Y275" s="448">
        <v>0.45</v>
      </c>
      <c r="Z275" s="448"/>
      <c r="AA275" s="448"/>
      <c r="AB275" s="448"/>
      <c r="AC275" s="448">
        <v>1.45</v>
      </c>
      <c r="AD275" s="448"/>
      <c r="AE275" s="448"/>
      <c r="AF275" s="448">
        <v>0.85</v>
      </c>
      <c r="AG275" s="448"/>
      <c r="AH275" s="100">
        <f t="shared" si="46"/>
        <v>6.2</v>
      </c>
    </row>
    <row r="276" spans="1:34" ht="15" customHeight="1">
      <c r="A276" s="363" t="s">
        <v>149</v>
      </c>
      <c r="B276" s="53">
        <f t="shared" si="45"/>
        <v>1.35</v>
      </c>
      <c r="C276" s="447"/>
      <c r="D276" s="885"/>
      <c r="E276" s="448"/>
      <c r="F276" s="448"/>
      <c r="G276" s="448"/>
      <c r="H276" s="448"/>
      <c r="I276" s="448"/>
      <c r="J276" s="448"/>
      <c r="K276" s="448">
        <v>1.05</v>
      </c>
      <c r="L276" s="482"/>
      <c r="M276" s="482"/>
      <c r="N276" s="482"/>
      <c r="O276" s="482"/>
      <c r="P276" s="482"/>
      <c r="Q276" s="482"/>
      <c r="R276" s="482"/>
      <c r="S276" s="482"/>
      <c r="T276" s="482">
        <v>0.3</v>
      </c>
      <c r="U276" s="482"/>
      <c r="V276" s="482"/>
      <c r="W276" s="482"/>
      <c r="X276" s="482"/>
      <c r="Y276" s="482"/>
      <c r="Z276" s="482"/>
      <c r="AA276" s="482"/>
      <c r="AB276" s="482"/>
      <c r="AC276" s="482"/>
      <c r="AD276" s="482"/>
      <c r="AE276" s="482"/>
      <c r="AF276" s="482"/>
      <c r="AG276" s="482"/>
      <c r="AH276" s="100">
        <f t="shared" si="46"/>
        <v>1.35</v>
      </c>
    </row>
    <row r="277" spans="1:34" ht="15" customHeight="1">
      <c r="A277" s="363" t="s">
        <v>150</v>
      </c>
      <c r="B277" s="53">
        <f t="shared" si="45"/>
        <v>2.5999999999999996</v>
      </c>
      <c r="C277" s="482"/>
      <c r="D277" s="482"/>
      <c r="E277" s="482"/>
      <c r="F277" s="482"/>
      <c r="G277" s="482"/>
      <c r="H277" s="482"/>
      <c r="I277" s="482"/>
      <c r="J277" s="482"/>
      <c r="K277" s="482"/>
      <c r="L277" s="482"/>
      <c r="M277" s="482"/>
      <c r="N277" s="482"/>
      <c r="O277" s="482"/>
      <c r="P277" s="482"/>
      <c r="Q277" s="482"/>
      <c r="R277" s="482"/>
      <c r="S277" s="482"/>
      <c r="T277" s="482"/>
      <c r="U277" s="482"/>
      <c r="V277" s="482"/>
      <c r="W277" s="482">
        <v>1.1499999999999999</v>
      </c>
      <c r="X277" s="482"/>
      <c r="Y277" s="482"/>
      <c r="Z277" s="482"/>
      <c r="AA277" s="482"/>
      <c r="AB277" s="482">
        <v>0.5</v>
      </c>
      <c r="AC277" s="482"/>
      <c r="AD277" s="482">
        <v>0.95</v>
      </c>
      <c r="AE277" s="482"/>
      <c r="AF277" s="482"/>
      <c r="AG277" s="482"/>
      <c r="AH277" s="100">
        <f t="shared" si="46"/>
        <v>2.5999999999999996</v>
      </c>
    </row>
    <row r="278" spans="1:34" ht="15" customHeight="1">
      <c r="A278" s="314" t="s">
        <v>151</v>
      </c>
      <c r="B278" s="53">
        <f t="shared" si="45"/>
        <v>0.54</v>
      </c>
      <c r="C278" s="488"/>
      <c r="D278" s="549"/>
      <c r="E278" s="549">
        <v>0.54</v>
      </c>
      <c r="F278" s="549"/>
      <c r="G278" s="549"/>
      <c r="H278" s="549"/>
      <c r="I278" s="549"/>
      <c r="J278" s="549"/>
      <c r="K278" s="549"/>
      <c r="L278" s="549"/>
      <c r="M278" s="549"/>
      <c r="N278" s="549"/>
      <c r="O278" s="549"/>
      <c r="P278" s="549"/>
      <c r="Q278" s="549"/>
      <c r="R278" s="549"/>
      <c r="S278" s="549"/>
      <c r="T278" s="549"/>
      <c r="U278" s="549"/>
      <c r="V278" s="549"/>
      <c r="W278" s="549"/>
      <c r="X278" s="549"/>
      <c r="Y278" s="549"/>
      <c r="Z278" s="549"/>
      <c r="AA278" s="549"/>
      <c r="AB278" s="549"/>
      <c r="AC278" s="549"/>
      <c r="AD278" s="549"/>
      <c r="AE278" s="549"/>
      <c r="AF278" s="549"/>
      <c r="AG278" s="549"/>
      <c r="AH278" s="100">
        <f t="shared" si="46"/>
        <v>0.54</v>
      </c>
    </row>
    <row r="279" spans="1:34" ht="15" customHeight="1">
      <c r="A279" s="314" t="s">
        <v>152</v>
      </c>
      <c r="B279" s="53">
        <f t="shared" si="45"/>
        <v>8.9570000000000007</v>
      </c>
      <c r="C279" s="488"/>
      <c r="D279" s="549"/>
      <c r="E279" s="549"/>
      <c r="F279" s="549"/>
      <c r="G279" s="549"/>
      <c r="H279" s="549">
        <v>0.94499999999999995</v>
      </c>
      <c r="I279" s="549">
        <v>0.54</v>
      </c>
      <c r="J279" s="549"/>
      <c r="K279" s="549"/>
      <c r="L279" s="549"/>
      <c r="M279" s="549"/>
      <c r="N279" s="549"/>
      <c r="O279" s="549"/>
      <c r="P279" s="549"/>
      <c r="Q279" s="550"/>
      <c r="R279" s="550"/>
      <c r="S279" s="550"/>
      <c r="T279" s="550"/>
      <c r="U279" s="550"/>
      <c r="V279" s="550">
        <v>2.1909999999999998</v>
      </c>
      <c r="W279" s="550"/>
      <c r="X279" s="550"/>
      <c r="Y279" s="550"/>
      <c r="Z279" s="550">
        <v>0.78</v>
      </c>
      <c r="AA279" s="550"/>
      <c r="AB279" s="550"/>
      <c r="AC279" s="550">
        <v>0.54</v>
      </c>
      <c r="AD279" s="550">
        <v>1.107</v>
      </c>
      <c r="AE279" s="550"/>
      <c r="AF279" s="550">
        <v>1.387</v>
      </c>
      <c r="AG279" s="550">
        <v>1.4670000000000001</v>
      </c>
      <c r="AH279" s="100">
        <f t="shared" si="46"/>
        <v>8.9570000000000007</v>
      </c>
    </row>
    <row r="280" spans="1:34" ht="15" customHeight="1">
      <c r="A280" s="314" t="s">
        <v>153</v>
      </c>
      <c r="B280" s="53">
        <f t="shared" si="45"/>
        <v>0</v>
      </c>
      <c r="C280" s="188" t="s">
        <v>162</v>
      </c>
      <c r="D280" s="188" t="s">
        <v>162</v>
      </c>
      <c r="E280" s="188" t="s">
        <v>162</v>
      </c>
      <c r="F280" s="188" t="s">
        <v>162</v>
      </c>
      <c r="G280" s="188" t="s">
        <v>162</v>
      </c>
      <c r="H280" s="188" t="s">
        <v>162</v>
      </c>
      <c r="I280" s="188" t="s">
        <v>162</v>
      </c>
      <c r="J280" s="188" t="s">
        <v>162</v>
      </c>
      <c r="K280" s="188" t="s">
        <v>162</v>
      </c>
      <c r="L280" s="188" t="s">
        <v>162</v>
      </c>
      <c r="M280" s="188" t="s">
        <v>162</v>
      </c>
      <c r="N280" s="188" t="s">
        <v>162</v>
      </c>
      <c r="O280" s="188" t="s">
        <v>162</v>
      </c>
      <c r="P280" s="188" t="s">
        <v>162</v>
      </c>
      <c r="Q280" s="188" t="s">
        <v>162</v>
      </c>
      <c r="R280" s="188" t="s">
        <v>162</v>
      </c>
      <c r="S280" s="188" t="s">
        <v>162</v>
      </c>
      <c r="T280" s="188" t="s">
        <v>162</v>
      </c>
      <c r="U280" s="188" t="s">
        <v>162</v>
      </c>
      <c r="V280" s="188" t="s">
        <v>162</v>
      </c>
      <c r="W280" s="188" t="s">
        <v>162</v>
      </c>
      <c r="X280" s="188" t="s">
        <v>162</v>
      </c>
      <c r="Y280" s="188" t="s">
        <v>162</v>
      </c>
      <c r="Z280" s="188" t="s">
        <v>162</v>
      </c>
      <c r="AA280" s="188" t="s">
        <v>162</v>
      </c>
      <c r="AB280" s="188" t="s">
        <v>162</v>
      </c>
      <c r="AC280" s="188" t="s">
        <v>162</v>
      </c>
      <c r="AD280" s="188" t="s">
        <v>162</v>
      </c>
      <c r="AE280" s="188" t="s">
        <v>162</v>
      </c>
      <c r="AF280" s="188" t="s">
        <v>162</v>
      </c>
      <c r="AG280" s="188" t="s">
        <v>162</v>
      </c>
      <c r="AH280" s="100">
        <f t="shared" si="46"/>
        <v>0</v>
      </c>
    </row>
    <row r="281" spans="1:34" ht="15" customHeight="1">
      <c r="A281" s="314" t="s">
        <v>154</v>
      </c>
      <c r="B281" s="53">
        <f t="shared" si="45"/>
        <v>3.427</v>
      </c>
      <c r="C281" s="116"/>
      <c r="D281" s="99">
        <v>0.84699999999999998</v>
      </c>
      <c r="E281" s="99">
        <v>0.75600000000000001</v>
      </c>
      <c r="F281" s="99"/>
      <c r="G281" s="99"/>
      <c r="H281" s="99"/>
      <c r="I281" s="99"/>
      <c r="J281" s="99"/>
      <c r="K281" s="99"/>
      <c r="L281" s="99"/>
      <c r="M281" s="99">
        <v>1.6739999999999999</v>
      </c>
      <c r="N281" s="99"/>
      <c r="O281" s="99"/>
      <c r="P281" s="99"/>
      <c r="Q281" s="99"/>
      <c r="R281" s="99"/>
      <c r="S281" s="99"/>
      <c r="T281" s="99"/>
      <c r="U281" s="99"/>
      <c r="V281" s="99"/>
      <c r="W281" s="99"/>
      <c r="X281" s="99">
        <v>0.15</v>
      </c>
      <c r="Y281" s="99"/>
      <c r="Z281" s="99"/>
      <c r="AA281" s="99"/>
      <c r="AB281" s="99"/>
      <c r="AC281" s="99"/>
      <c r="AD281" s="99"/>
      <c r="AE281" s="99"/>
      <c r="AF281" s="99"/>
      <c r="AG281" s="99"/>
      <c r="AH281" s="100">
        <f t="shared" si="46"/>
        <v>3.427</v>
      </c>
    </row>
    <row r="282" spans="1:34" ht="15" customHeight="1">
      <c r="A282" s="314" t="s">
        <v>155</v>
      </c>
      <c r="B282" s="53">
        <f t="shared" si="45"/>
        <v>1.2150000000000001</v>
      </c>
      <c r="C282" s="116"/>
      <c r="D282" s="99"/>
      <c r="E282" s="99"/>
      <c r="F282" s="99"/>
      <c r="G282" s="99"/>
      <c r="H282" s="99"/>
      <c r="I282" s="99"/>
      <c r="J282" s="99"/>
      <c r="K282" s="99"/>
      <c r="L282" s="99"/>
      <c r="M282" s="99"/>
      <c r="N282" s="99"/>
      <c r="O282" s="99"/>
      <c r="P282" s="99"/>
      <c r="Q282" s="99"/>
      <c r="R282" s="99"/>
      <c r="S282" s="99"/>
      <c r="T282" s="99"/>
      <c r="U282" s="99"/>
      <c r="V282" s="99"/>
      <c r="W282" s="99"/>
      <c r="X282" s="99"/>
      <c r="Y282" s="99"/>
      <c r="Z282" s="99"/>
      <c r="AA282" s="99"/>
      <c r="AB282" s="99">
        <v>0.54</v>
      </c>
      <c r="AC282" s="99">
        <v>0.67500000000000004</v>
      </c>
      <c r="AD282" s="99"/>
      <c r="AE282" s="99"/>
      <c r="AF282" s="99"/>
      <c r="AG282" s="99"/>
      <c r="AH282" s="100">
        <f t="shared" si="46"/>
        <v>1.2150000000000001</v>
      </c>
    </row>
    <row r="283" spans="1:34" ht="15" customHeight="1">
      <c r="A283" s="314" t="s">
        <v>156</v>
      </c>
      <c r="B283" s="53">
        <f t="shared" si="45"/>
        <v>0.28999999999999998</v>
      </c>
      <c r="C283" s="116"/>
      <c r="D283" s="99"/>
      <c r="E283" s="99"/>
      <c r="F283" s="99"/>
      <c r="G283" s="99"/>
      <c r="H283" s="99"/>
      <c r="I283" s="99"/>
      <c r="J283" s="99"/>
      <c r="K283" s="99"/>
      <c r="L283" s="99"/>
      <c r="M283" s="99"/>
      <c r="N283" s="99"/>
      <c r="O283" s="99"/>
      <c r="P283" s="99"/>
      <c r="Q283" s="99"/>
      <c r="R283" s="99"/>
      <c r="S283" s="99"/>
      <c r="T283" s="99"/>
      <c r="U283" s="99"/>
      <c r="V283" s="99"/>
      <c r="W283" s="99"/>
      <c r="X283" s="99"/>
      <c r="Y283" s="99"/>
      <c r="Z283" s="99"/>
      <c r="AA283" s="99"/>
      <c r="AB283" s="99"/>
      <c r="AC283" s="99"/>
      <c r="AD283" s="99">
        <v>0.28999999999999998</v>
      </c>
      <c r="AE283" s="99"/>
      <c r="AF283" s="99"/>
      <c r="AG283" s="99"/>
      <c r="AH283" s="100">
        <f t="shared" si="46"/>
        <v>0.28999999999999998</v>
      </c>
    </row>
    <row r="284" spans="1:34" ht="15" customHeight="1">
      <c r="A284" s="200" t="s">
        <v>111</v>
      </c>
      <c r="B284" s="200">
        <f t="shared" ref="B284:AH284" si="47">SUM(B272:B283)</f>
        <v>25.137</v>
      </c>
      <c r="C284" s="100">
        <f t="shared" si="47"/>
        <v>0</v>
      </c>
      <c r="D284" s="100">
        <f t="shared" si="47"/>
        <v>0.84699999999999998</v>
      </c>
      <c r="E284" s="100">
        <f t="shared" si="47"/>
        <v>1.746</v>
      </c>
      <c r="F284" s="100">
        <f t="shared" si="47"/>
        <v>0.8</v>
      </c>
      <c r="G284" s="100">
        <f t="shared" si="47"/>
        <v>0</v>
      </c>
      <c r="H284" s="100">
        <f t="shared" si="47"/>
        <v>0.94499999999999995</v>
      </c>
      <c r="I284" s="100">
        <f t="shared" si="47"/>
        <v>0.54</v>
      </c>
      <c r="J284" s="100">
        <f t="shared" si="47"/>
        <v>0</v>
      </c>
      <c r="K284" s="100">
        <f t="shared" si="47"/>
        <v>1.05</v>
      </c>
      <c r="L284" s="100">
        <f t="shared" si="47"/>
        <v>0</v>
      </c>
      <c r="M284" s="100">
        <f t="shared" si="47"/>
        <v>1.6739999999999999</v>
      </c>
      <c r="N284" s="100">
        <f t="shared" si="47"/>
        <v>0</v>
      </c>
      <c r="O284" s="100">
        <f t="shared" si="47"/>
        <v>1.25</v>
      </c>
      <c r="P284" s="100">
        <f t="shared" si="47"/>
        <v>0</v>
      </c>
      <c r="Q284" s="100">
        <f t="shared" si="47"/>
        <v>0</v>
      </c>
      <c r="R284" s="100">
        <f t="shared" si="47"/>
        <v>0</v>
      </c>
      <c r="S284" s="100">
        <f t="shared" si="47"/>
        <v>0</v>
      </c>
      <c r="T284" s="100">
        <f t="shared" si="47"/>
        <v>0.3</v>
      </c>
      <c r="U284" s="100">
        <f t="shared" si="47"/>
        <v>0</v>
      </c>
      <c r="V284" s="100">
        <f t="shared" si="47"/>
        <v>3.5189999999999997</v>
      </c>
      <c r="W284" s="100">
        <f t="shared" si="47"/>
        <v>1.1499999999999999</v>
      </c>
      <c r="X284" s="100">
        <f t="shared" si="47"/>
        <v>0.15</v>
      </c>
      <c r="Y284" s="100">
        <f t="shared" si="47"/>
        <v>0.45</v>
      </c>
      <c r="Z284" s="100">
        <f t="shared" si="47"/>
        <v>0.78</v>
      </c>
      <c r="AA284" s="100">
        <f t="shared" si="47"/>
        <v>0</v>
      </c>
      <c r="AB284" s="100">
        <f t="shared" si="47"/>
        <v>1.04</v>
      </c>
      <c r="AC284" s="100">
        <f t="shared" si="47"/>
        <v>2.8449999999999998</v>
      </c>
      <c r="AD284" s="100">
        <f t="shared" si="47"/>
        <v>2.347</v>
      </c>
      <c r="AE284" s="100">
        <f t="shared" si="47"/>
        <v>0</v>
      </c>
      <c r="AF284" s="100">
        <f t="shared" si="47"/>
        <v>2.2370000000000001</v>
      </c>
      <c r="AG284" s="100">
        <f t="shared" si="47"/>
        <v>1.4670000000000001</v>
      </c>
      <c r="AH284" s="100">
        <f t="shared" si="47"/>
        <v>25.137</v>
      </c>
    </row>
    <row r="285" spans="1:34" ht="15" customHeight="1">
      <c r="A285" s="49"/>
      <c r="B285" s="49"/>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row>
    <row r="286" spans="1:34" ht="15">
      <c r="A286" s="3854" t="s">
        <v>163</v>
      </c>
      <c r="B286" s="3855"/>
      <c r="C286" s="3856"/>
      <c r="D286" s="14"/>
      <c r="E286" s="14"/>
      <c r="F286" s="14"/>
      <c r="G286" s="14"/>
      <c r="H286" s="14"/>
      <c r="I286" s="14"/>
      <c r="J286" s="14"/>
      <c r="K286" s="14"/>
      <c r="L286" s="14"/>
      <c r="M286" s="98"/>
      <c r="N286" s="14"/>
      <c r="O286" s="14"/>
      <c r="P286" s="14"/>
      <c r="Q286" s="14"/>
      <c r="R286" s="14"/>
      <c r="S286" s="14"/>
      <c r="T286" s="14"/>
      <c r="U286" s="14"/>
      <c r="V286" s="14"/>
      <c r="W286" s="14"/>
      <c r="X286" s="14"/>
      <c r="Y286" s="14"/>
      <c r="Z286" s="14"/>
      <c r="AA286" s="14"/>
      <c r="AB286" s="14"/>
      <c r="AC286" s="14"/>
      <c r="AD286" s="14"/>
      <c r="AE286" s="14"/>
      <c r="AF286" s="14"/>
      <c r="AG286" s="14"/>
      <c r="AH286" s="1"/>
    </row>
    <row r="287" spans="1:34" ht="15">
      <c r="A287" s="8" t="s">
        <v>142</v>
      </c>
      <c r="B287" s="8" t="s">
        <v>143</v>
      </c>
      <c r="C287" s="372">
        <v>1</v>
      </c>
      <c r="D287" s="73">
        <v>2</v>
      </c>
      <c r="E287" s="73">
        <v>3</v>
      </c>
      <c r="F287" s="73">
        <v>4</v>
      </c>
      <c r="G287" s="73">
        <v>5</v>
      </c>
      <c r="H287" s="73">
        <v>6</v>
      </c>
      <c r="I287" s="73">
        <v>7</v>
      </c>
      <c r="J287" s="73">
        <v>8</v>
      </c>
      <c r="K287" s="73">
        <v>9</v>
      </c>
      <c r="L287" s="73">
        <v>10</v>
      </c>
      <c r="M287" s="73">
        <v>11</v>
      </c>
      <c r="N287" s="73">
        <v>12</v>
      </c>
      <c r="O287" s="73">
        <v>13</v>
      </c>
      <c r="P287" s="73">
        <v>14</v>
      </c>
      <c r="Q287" s="73">
        <v>15</v>
      </c>
      <c r="R287" s="73">
        <v>16</v>
      </c>
      <c r="S287" s="73">
        <v>17</v>
      </c>
      <c r="T287" s="73">
        <v>18</v>
      </c>
      <c r="U287" s="73">
        <v>19</v>
      </c>
      <c r="V287" s="73">
        <v>20</v>
      </c>
      <c r="W287" s="73">
        <v>21</v>
      </c>
      <c r="X287" s="73">
        <v>22</v>
      </c>
      <c r="Y287" s="73">
        <v>23</v>
      </c>
      <c r="Z287" s="73">
        <v>24</v>
      </c>
      <c r="AA287" s="73">
        <v>25</v>
      </c>
      <c r="AB287" s="73">
        <v>26</v>
      </c>
      <c r="AC287" s="73">
        <v>27</v>
      </c>
      <c r="AD287" s="73">
        <v>28</v>
      </c>
      <c r="AE287" s="73">
        <v>29</v>
      </c>
      <c r="AF287" s="73">
        <v>30</v>
      </c>
      <c r="AG287" s="73">
        <v>31</v>
      </c>
      <c r="AH287" s="87" t="s">
        <v>144</v>
      </c>
    </row>
    <row r="288" spans="1:34" ht="15">
      <c r="A288" s="363" t="s">
        <v>145</v>
      </c>
      <c r="B288" s="53">
        <f t="shared" ref="B288:B299" si="48">+AH288</f>
        <v>38.82</v>
      </c>
      <c r="C288" s="447"/>
      <c r="D288" s="448"/>
      <c r="E288" s="448"/>
      <c r="F288" s="448"/>
      <c r="G288" s="448"/>
      <c r="H288" s="448"/>
      <c r="I288" s="448"/>
      <c r="J288" s="448"/>
      <c r="K288" s="448"/>
      <c r="L288" s="448"/>
      <c r="M288" s="448">
        <v>2.7250000000000001</v>
      </c>
      <c r="N288" s="448"/>
      <c r="O288" s="448"/>
      <c r="P288" s="448">
        <v>1.25</v>
      </c>
      <c r="Q288" s="448"/>
      <c r="R288" s="448">
        <v>3.2080000000000002</v>
      </c>
      <c r="S288" s="448">
        <v>5.0289999999999999</v>
      </c>
      <c r="T288" s="448"/>
      <c r="U288" s="448"/>
      <c r="V288" s="448">
        <v>0.27</v>
      </c>
      <c r="W288" s="448"/>
      <c r="X288" s="448"/>
      <c r="Y288" s="448">
        <v>2</v>
      </c>
      <c r="Z288" s="448"/>
      <c r="AA288" s="448">
        <v>5.5940000000000003</v>
      </c>
      <c r="AB288" s="448">
        <v>5.4809999999999999</v>
      </c>
      <c r="AC288" s="448">
        <v>4.5950000000000006</v>
      </c>
      <c r="AD288" s="448">
        <v>3.7999999999999999E-2</v>
      </c>
      <c r="AE288" s="448"/>
      <c r="AF288" s="448">
        <v>7.6849999999999996</v>
      </c>
      <c r="AG288" s="448">
        <v>0.94499999999999995</v>
      </c>
      <c r="AH288" s="100">
        <f>SUM(C288:AG288)</f>
        <v>38.82</v>
      </c>
    </row>
    <row r="289" spans="1:34" ht="15">
      <c r="A289" s="363" t="s">
        <v>146</v>
      </c>
      <c r="B289" s="53">
        <f t="shared" si="48"/>
        <v>40.410999999999994</v>
      </c>
      <c r="C289" s="447">
        <v>7.8949999999999996</v>
      </c>
      <c r="D289" s="448">
        <v>3.8600000000000003</v>
      </c>
      <c r="E289" s="448">
        <v>5.5780000000000003</v>
      </c>
      <c r="F289" s="448"/>
      <c r="G289" s="448"/>
      <c r="H289" s="448">
        <v>0.40500000000000003</v>
      </c>
      <c r="I289" s="448"/>
      <c r="J289" s="448">
        <v>4.8330000000000002</v>
      </c>
      <c r="K289" s="448">
        <v>5.7</v>
      </c>
      <c r="L289" s="448">
        <v>6.7249999999999996</v>
      </c>
      <c r="M289" s="448"/>
      <c r="N289" s="448"/>
      <c r="O289" s="448">
        <v>1.0249999999999999</v>
      </c>
      <c r="P289" s="448">
        <v>0.875</v>
      </c>
      <c r="Q289" s="448">
        <v>3.5150000000000001</v>
      </c>
      <c r="R289" s="448"/>
      <c r="S289" s="448"/>
      <c r="T289" s="448"/>
      <c r="U289" s="448"/>
      <c r="V289" s="448"/>
      <c r="W289" s="448"/>
      <c r="X289" s="448"/>
      <c r="Y289" s="448"/>
      <c r="Z289" s="448"/>
      <c r="AA289" s="448"/>
      <c r="AB289" s="448"/>
      <c r="AC289" s="448"/>
      <c r="AD289" s="448"/>
      <c r="AE289" s="448"/>
      <c r="AF289" s="448"/>
      <c r="AG289" s="448"/>
      <c r="AH289" s="100">
        <f t="shared" ref="AH289:AH299" si="49">SUM(C289:AG289)</f>
        <v>40.410999999999994</v>
      </c>
    </row>
    <row r="290" spans="1:34" ht="15">
      <c r="A290" s="363" t="s">
        <v>147</v>
      </c>
      <c r="B290" s="53">
        <f t="shared" si="48"/>
        <v>0</v>
      </c>
      <c r="C290" s="447"/>
      <c r="D290" s="448"/>
      <c r="E290" s="448"/>
      <c r="F290" s="448"/>
      <c r="G290" s="448"/>
      <c r="H290" s="448"/>
      <c r="I290" s="448"/>
      <c r="J290" s="448"/>
      <c r="K290" s="448"/>
      <c r="L290" s="448"/>
      <c r="M290" s="448"/>
      <c r="N290" s="448"/>
      <c r="O290" s="448"/>
      <c r="P290" s="448"/>
      <c r="Q290" s="448"/>
      <c r="R290" s="448"/>
      <c r="S290" s="448"/>
      <c r="T290" s="448"/>
      <c r="U290" s="448"/>
      <c r="V290" s="448"/>
      <c r="W290" s="448"/>
      <c r="X290" s="448"/>
      <c r="Y290" s="448"/>
      <c r="Z290" s="448"/>
      <c r="AA290" s="448"/>
      <c r="AB290" s="448"/>
      <c r="AC290" s="448"/>
      <c r="AD290" s="448"/>
      <c r="AE290" s="448"/>
      <c r="AF290" s="448"/>
      <c r="AG290" s="448"/>
      <c r="AH290" s="100">
        <f t="shared" si="49"/>
        <v>0</v>
      </c>
    </row>
    <row r="291" spans="1:34" ht="15">
      <c r="A291" s="363" t="s">
        <v>148</v>
      </c>
      <c r="B291" s="53">
        <f t="shared" si="48"/>
        <v>0</v>
      </c>
      <c r="C291" s="116"/>
      <c r="D291" s="99"/>
      <c r="E291" s="99"/>
      <c r="F291" s="99"/>
      <c r="G291" s="99"/>
      <c r="H291" s="99"/>
      <c r="I291" s="99"/>
      <c r="J291" s="99"/>
      <c r="K291" s="99"/>
      <c r="L291" s="99"/>
      <c r="M291" s="99"/>
      <c r="N291" s="99"/>
      <c r="O291" s="99"/>
      <c r="P291" s="99"/>
      <c r="Q291" s="99"/>
      <c r="R291" s="99"/>
      <c r="S291" s="99"/>
      <c r="T291" s="99"/>
      <c r="U291" s="99"/>
      <c r="V291" s="99"/>
      <c r="W291" s="99"/>
      <c r="X291" s="99"/>
      <c r="Y291" s="99"/>
      <c r="Z291" s="99"/>
      <c r="AA291" s="99"/>
      <c r="AB291" s="99"/>
      <c r="AC291" s="99"/>
      <c r="AD291" s="99"/>
      <c r="AE291" s="99"/>
      <c r="AF291" s="99"/>
      <c r="AG291" s="99"/>
      <c r="AH291" s="100">
        <f t="shared" si="49"/>
        <v>0</v>
      </c>
    </row>
    <row r="292" spans="1:34" ht="15">
      <c r="A292" s="363" t="s">
        <v>149</v>
      </c>
      <c r="B292" s="53">
        <f t="shared" si="48"/>
        <v>0</v>
      </c>
      <c r="C292" s="116"/>
      <c r="D292" s="99"/>
      <c r="E292" s="99">
        <v>0</v>
      </c>
      <c r="F292" s="99"/>
      <c r="G292" s="99"/>
      <c r="H292" s="99"/>
      <c r="I292" s="99"/>
      <c r="J292" s="99"/>
      <c r="K292" s="99"/>
      <c r="L292" s="99"/>
      <c r="M292" s="99"/>
      <c r="N292" s="99"/>
      <c r="O292" s="99"/>
      <c r="P292" s="99"/>
      <c r="Q292" s="99"/>
      <c r="R292" s="99"/>
      <c r="S292" s="99"/>
      <c r="T292" s="99"/>
      <c r="U292" s="99"/>
      <c r="V292" s="99"/>
      <c r="W292" s="99"/>
      <c r="X292" s="99"/>
      <c r="Y292" s="99"/>
      <c r="Z292" s="99"/>
      <c r="AA292" s="99"/>
      <c r="AB292" s="99"/>
      <c r="AC292" s="99"/>
      <c r="AD292" s="99"/>
      <c r="AE292" s="99"/>
      <c r="AF292" s="99"/>
      <c r="AG292" s="99"/>
      <c r="AH292" s="100">
        <f t="shared" si="49"/>
        <v>0</v>
      </c>
    </row>
    <row r="293" spans="1:34" ht="15">
      <c r="A293" s="363" t="s">
        <v>150</v>
      </c>
      <c r="B293" s="53">
        <f t="shared" si="48"/>
        <v>0.40500000000000003</v>
      </c>
      <c r="C293" s="116"/>
      <c r="D293" s="99"/>
      <c r="E293" s="99"/>
      <c r="F293" s="99"/>
      <c r="G293" s="99"/>
      <c r="H293" s="99"/>
      <c r="I293" s="99"/>
      <c r="J293" s="99"/>
      <c r="K293" s="99"/>
      <c r="L293" s="99"/>
      <c r="M293" s="99"/>
      <c r="N293" s="99"/>
      <c r="O293" s="99"/>
      <c r="P293" s="99"/>
      <c r="Q293" s="99"/>
      <c r="R293" s="99"/>
      <c r="S293" s="99"/>
      <c r="T293" s="99"/>
      <c r="U293" s="99"/>
      <c r="V293" s="99"/>
      <c r="W293" s="99"/>
      <c r="X293" s="99"/>
      <c r="Y293" s="99"/>
      <c r="Z293" s="99"/>
      <c r="AA293" s="99">
        <v>0.40500000000000003</v>
      </c>
      <c r="AB293" s="99"/>
      <c r="AC293" s="99"/>
      <c r="AD293" s="99"/>
      <c r="AE293" s="99"/>
      <c r="AF293" s="99"/>
      <c r="AG293" s="99"/>
      <c r="AH293" s="100">
        <f t="shared" si="49"/>
        <v>0.40500000000000003</v>
      </c>
    </row>
    <row r="294" spans="1:34" ht="15">
      <c r="A294" s="73" t="s">
        <v>151</v>
      </c>
      <c r="B294" s="53">
        <f t="shared" si="48"/>
        <v>2.1749999999999998</v>
      </c>
      <c r="C294" s="326"/>
      <c r="D294" s="99"/>
      <c r="E294" s="99"/>
      <c r="F294" s="99"/>
      <c r="G294" s="99">
        <v>1.5</v>
      </c>
      <c r="H294" s="99"/>
      <c r="I294" s="99"/>
      <c r="J294" s="99"/>
      <c r="K294" s="99"/>
      <c r="L294" s="99"/>
      <c r="M294" s="99"/>
      <c r="N294" s="99"/>
      <c r="O294" s="99"/>
      <c r="P294" s="99"/>
      <c r="Q294" s="99"/>
      <c r="R294" s="99"/>
      <c r="S294" s="99"/>
      <c r="T294" s="99">
        <v>0.67500000000000004</v>
      </c>
      <c r="U294" s="99"/>
      <c r="V294" s="99"/>
      <c r="W294" s="99"/>
      <c r="X294" s="99"/>
      <c r="Y294" s="99"/>
      <c r="Z294" s="99"/>
      <c r="AA294" s="99"/>
      <c r="AB294" s="99"/>
      <c r="AC294" s="99"/>
      <c r="AD294" s="99"/>
      <c r="AE294" s="99"/>
      <c r="AF294" s="99"/>
      <c r="AG294" s="99"/>
      <c r="AH294" s="100">
        <f t="shared" si="49"/>
        <v>2.1749999999999998</v>
      </c>
    </row>
    <row r="295" spans="1:34" ht="15">
      <c r="A295" s="73" t="s">
        <v>152</v>
      </c>
      <c r="B295" s="53">
        <f t="shared" si="48"/>
        <v>11.058999999999999</v>
      </c>
      <c r="C295" s="326"/>
      <c r="D295" s="99"/>
      <c r="E295" s="99">
        <v>0.98599999999999999</v>
      </c>
      <c r="F295" s="99"/>
      <c r="G295" s="99"/>
      <c r="H295" s="99"/>
      <c r="I295" s="99"/>
      <c r="J295" s="99"/>
      <c r="K295" s="99"/>
      <c r="L295" s="99"/>
      <c r="M295" s="99"/>
      <c r="N295" s="99"/>
      <c r="O295" s="99"/>
      <c r="P295" s="99">
        <v>0.81</v>
      </c>
      <c r="Q295" s="53"/>
      <c r="R295" s="53"/>
      <c r="S295" s="53">
        <v>2.9159999999999999</v>
      </c>
      <c r="T295" s="53"/>
      <c r="U295" s="53"/>
      <c r="V295" s="53">
        <v>2.16</v>
      </c>
      <c r="W295" s="53"/>
      <c r="X295" s="53"/>
      <c r="Y295" s="53">
        <v>2.7</v>
      </c>
      <c r="Z295" s="53">
        <v>1.4870000000000001</v>
      </c>
      <c r="AA295" s="53"/>
      <c r="AB295" s="53"/>
      <c r="AC295" s="53"/>
      <c r="AD295" s="53"/>
      <c r="AE295" s="53"/>
      <c r="AF295" s="53"/>
      <c r="AG295" s="53"/>
      <c r="AH295" s="100">
        <f t="shared" si="49"/>
        <v>11.058999999999999</v>
      </c>
    </row>
    <row r="296" spans="1:34" ht="15">
      <c r="A296" s="73" t="s">
        <v>153</v>
      </c>
      <c r="B296" s="53">
        <f t="shared" si="48"/>
        <v>0</v>
      </c>
      <c r="C296" s="188" t="s">
        <v>162</v>
      </c>
      <c r="D296" s="188" t="s">
        <v>162</v>
      </c>
      <c r="E296" s="188" t="s">
        <v>162</v>
      </c>
      <c r="F296" s="188" t="s">
        <v>162</v>
      </c>
      <c r="G296" s="188" t="s">
        <v>162</v>
      </c>
      <c r="H296" s="188" t="s">
        <v>162</v>
      </c>
      <c r="I296" s="188" t="s">
        <v>162</v>
      </c>
      <c r="J296" s="188" t="s">
        <v>162</v>
      </c>
      <c r="K296" s="188" t="s">
        <v>162</v>
      </c>
      <c r="L296" s="188" t="s">
        <v>162</v>
      </c>
      <c r="M296" s="188" t="s">
        <v>162</v>
      </c>
      <c r="N296" s="188" t="s">
        <v>162</v>
      </c>
      <c r="O296" s="188" t="s">
        <v>162</v>
      </c>
      <c r="P296" s="188" t="s">
        <v>162</v>
      </c>
      <c r="Q296" s="188" t="s">
        <v>162</v>
      </c>
      <c r="R296" s="188" t="s">
        <v>162</v>
      </c>
      <c r="S296" s="188" t="s">
        <v>162</v>
      </c>
      <c r="T296" s="188" t="s">
        <v>162</v>
      </c>
      <c r="U296" s="188" t="s">
        <v>162</v>
      </c>
      <c r="V296" s="188" t="s">
        <v>162</v>
      </c>
      <c r="W296" s="188" t="s">
        <v>162</v>
      </c>
      <c r="X296" s="188" t="s">
        <v>162</v>
      </c>
      <c r="Y296" s="188" t="s">
        <v>162</v>
      </c>
      <c r="Z296" s="188" t="s">
        <v>162</v>
      </c>
      <c r="AA296" s="188" t="s">
        <v>162</v>
      </c>
      <c r="AB296" s="188" t="s">
        <v>162</v>
      </c>
      <c r="AC296" s="188" t="s">
        <v>162</v>
      </c>
      <c r="AD296" s="188" t="s">
        <v>162</v>
      </c>
      <c r="AE296" s="188" t="s">
        <v>162</v>
      </c>
      <c r="AF296" s="188" t="s">
        <v>162</v>
      </c>
      <c r="AG296" s="188" t="s">
        <v>162</v>
      </c>
      <c r="AH296" s="100">
        <f t="shared" si="49"/>
        <v>0</v>
      </c>
    </row>
    <row r="297" spans="1:34" ht="15">
      <c r="A297" s="73" t="s">
        <v>154</v>
      </c>
      <c r="B297" s="53">
        <f t="shared" si="48"/>
        <v>9.8979999999999979</v>
      </c>
      <c r="C297" s="116"/>
      <c r="D297" s="99">
        <v>2.7</v>
      </c>
      <c r="E297" s="99">
        <v>1.62</v>
      </c>
      <c r="F297" s="99"/>
      <c r="G297" s="99"/>
      <c r="H297" s="99"/>
      <c r="I297" s="99"/>
      <c r="J297" s="99">
        <v>0.54</v>
      </c>
      <c r="K297" s="99"/>
      <c r="L297" s="99">
        <v>0.54</v>
      </c>
      <c r="M297" s="99">
        <v>1.161</v>
      </c>
      <c r="N297" s="99">
        <v>1.59</v>
      </c>
      <c r="O297" s="99"/>
      <c r="P297" s="99"/>
      <c r="Q297" s="99"/>
      <c r="R297" s="99"/>
      <c r="S297" s="99">
        <v>0.54</v>
      </c>
      <c r="T297" s="99"/>
      <c r="U297" s="99">
        <v>0.54</v>
      </c>
      <c r="V297" s="99"/>
      <c r="W297" s="99"/>
      <c r="X297" s="99">
        <v>0.66700000000000004</v>
      </c>
      <c r="Y297" s="99"/>
      <c r="Z297" s="99"/>
      <c r="AA297" s="99"/>
      <c r="AB297" s="99"/>
      <c r="AC297" s="99"/>
      <c r="AD297" s="99"/>
      <c r="AE297" s="99"/>
      <c r="AF297" s="99"/>
      <c r="AG297" s="99"/>
      <c r="AH297" s="100">
        <f t="shared" si="49"/>
        <v>9.8979999999999979</v>
      </c>
    </row>
    <row r="298" spans="1:34" ht="15">
      <c r="A298" s="73" t="s">
        <v>155</v>
      </c>
      <c r="B298" s="53">
        <f t="shared" si="48"/>
        <v>0.32</v>
      </c>
      <c r="C298" s="116"/>
      <c r="D298" s="99"/>
      <c r="E298" s="99"/>
      <c r="F298" s="99"/>
      <c r="G298" s="99"/>
      <c r="H298" s="99"/>
      <c r="I298" s="99">
        <v>0.27</v>
      </c>
      <c r="J298" s="99"/>
      <c r="K298" s="99"/>
      <c r="L298" s="99"/>
      <c r="M298" s="99"/>
      <c r="N298" s="99"/>
      <c r="O298" s="99">
        <v>0.05</v>
      </c>
      <c r="P298" s="99"/>
      <c r="Q298" s="99"/>
      <c r="R298" s="99"/>
      <c r="S298" s="99"/>
      <c r="T298" s="99"/>
      <c r="U298" s="99"/>
      <c r="V298" s="99"/>
      <c r="W298" s="99"/>
      <c r="X298" s="99"/>
      <c r="Y298" s="99"/>
      <c r="Z298" s="99"/>
      <c r="AA298" s="99"/>
      <c r="AB298" s="99"/>
      <c r="AC298" s="99"/>
      <c r="AD298" s="99"/>
      <c r="AE298" s="99"/>
      <c r="AF298" s="99"/>
      <c r="AG298" s="99"/>
      <c r="AH298" s="100">
        <f t="shared" si="49"/>
        <v>0.32</v>
      </c>
    </row>
    <row r="299" spans="1:34" ht="15">
      <c r="A299" s="73" t="s">
        <v>156</v>
      </c>
      <c r="B299" s="53">
        <f t="shared" si="48"/>
        <v>4.32</v>
      </c>
      <c r="C299" s="116"/>
      <c r="D299" s="99"/>
      <c r="E299" s="99"/>
      <c r="F299" s="99"/>
      <c r="G299" s="99"/>
      <c r="H299" s="99"/>
      <c r="I299" s="99"/>
      <c r="J299" s="99"/>
      <c r="K299" s="99"/>
      <c r="L299" s="99"/>
      <c r="M299" s="99"/>
      <c r="N299" s="99"/>
      <c r="O299" s="99"/>
      <c r="P299" s="99"/>
      <c r="Q299" s="99"/>
      <c r="R299" s="99"/>
      <c r="S299" s="99"/>
      <c r="T299" s="99"/>
      <c r="U299" s="99"/>
      <c r="V299" s="99"/>
      <c r="W299" s="99"/>
      <c r="X299" s="99"/>
      <c r="Y299" s="99"/>
      <c r="Z299" s="99"/>
      <c r="AA299" s="99"/>
      <c r="AB299" s="99">
        <v>4.32</v>
      </c>
      <c r="AC299" s="99"/>
      <c r="AD299" s="99"/>
      <c r="AE299" s="99"/>
      <c r="AF299" s="99"/>
      <c r="AG299" s="99"/>
      <c r="AH299" s="100">
        <f t="shared" si="49"/>
        <v>4.32</v>
      </c>
    </row>
    <row r="300" spans="1:34" ht="15">
      <c r="A300" s="200" t="s">
        <v>111</v>
      </c>
      <c r="B300" s="200">
        <f t="shared" ref="B300:AH300" si="50">SUM(B288:B299)</f>
        <v>107.40799999999999</v>
      </c>
      <c r="C300" s="100">
        <f t="shared" si="50"/>
        <v>7.8949999999999996</v>
      </c>
      <c r="D300" s="100">
        <f t="shared" si="50"/>
        <v>6.5600000000000005</v>
      </c>
      <c r="E300" s="100">
        <f t="shared" si="50"/>
        <v>8.1840000000000011</v>
      </c>
      <c r="F300" s="100">
        <f t="shared" si="50"/>
        <v>0</v>
      </c>
      <c r="G300" s="100">
        <f t="shared" si="50"/>
        <v>1.5</v>
      </c>
      <c r="H300" s="100">
        <f t="shared" si="50"/>
        <v>0.40500000000000003</v>
      </c>
      <c r="I300" s="100">
        <f t="shared" si="50"/>
        <v>0.27</v>
      </c>
      <c r="J300" s="100">
        <f t="shared" si="50"/>
        <v>5.3730000000000002</v>
      </c>
      <c r="K300" s="100">
        <f t="shared" si="50"/>
        <v>5.7</v>
      </c>
      <c r="L300" s="100">
        <f t="shared" si="50"/>
        <v>7.2649999999999997</v>
      </c>
      <c r="M300" s="100">
        <f t="shared" si="50"/>
        <v>3.8860000000000001</v>
      </c>
      <c r="N300" s="100">
        <f t="shared" si="50"/>
        <v>1.59</v>
      </c>
      <c r="O300" s="100">
        <f t="shared" si="50"/>
        <v>1.075</v>
      </c>
      <c r="P300" s="100">
        <f t="shared" si="50"/>
        <v>2.9350000000000001</v>
      </c>
      <c r="Q300" s="100">
        <f t="shared" si="50"/>
        <v>3.5150000000000001</v>
      </c>
      <c r="R300" s="100">
        <f t="shared" si="50"/>
        <v>3.2080000000000002</v>
      </c>
      <c r="S300" s="100">
        <f t="shared" si="50"/>
        <v>8.4849999999999994</v>
      </c>
      <c r="T300" s="100">
        <f t="shared" si="50"/>
        <v>0.67500000000000004</v>
      </c>
      <c r="U300" s="100">
        <f t="shared" si="50"/>
        <v>0.54</v>
      </c>
      <c r="V300" s="100">
        <f t="shared" si="50"/>
        <v>2.4300000000000002</v>
      </c>
      <c r="W300" s="100">
        <f t="shared" si="50"/>
        <v>0</v>
      </c>
      <c r="X300" s="100">
        <f t="shared" si="50"/>
        <v>0.66700000000000004</v>
      </c>
      <c r="Y300" s="100">
        <f t="shared" si="50"/>
        <v>4.7</v>
      </c>
      <c r="Z300" s="100">
        <f t="shared" si="50"/>
        <v>1.4870000000000001</v>
      </c>
      <c r="AA300" s="100">
        <f t="shared" si="50"/>
        <v>5.9990000000000006</v>
      </c>
      <c r="AB300" s="100">
        <f t="shared" si="50"/>
        <v>9.8010000000000002</v>
      </c>
      <c r="AC300" s="100">
        <f t="shared" si="50"/>
        <v>4.5950000000000006</v>
      </c>
      <c r="AD300" s="100">
        <f t="shared" si="50"/>
        <v>3.7999999999999999E-2</v>
      </c>
      <c r="AE300" s="100">
        <f t="shared" si="50"/>
        <v>0</v>
      </c>
      <c r="AF300" s="100">
        <f t="shared" si="50"/>
        <v>7.6849999999999996</v>
      </c>
      <c r="AG300" s="100">
        <f t="shared" si="50"/>
        <v>0.94499999999999995</v>
      </c>
      <c r="AH300" s="100">
        <f t="shared" si="50"/>
        <v>107.40799999999999</v>
      </c>
    </row>
    <row r="301" spans="1:34" ht="15" customHeight="1">
      <c r="A301" s="49"/>
      <c r="B301" s="49"/>
      <c r="C301" s="114"/>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row>
    <row r="302" spans="1:34" ht="15">
      <c r="A302" s="3890" t="s">
        <v>463</v>
      </c>
      <c r="B302" s="3891"/>
      <c r="C302" s="3892"/>
      <c r="D302" s="14"/>
      <c r="E302" s="14"/>
      <c r="F302" s="14"/>
      <c r="G302" s="14"/>
      <c r="H302" s="114"/>
      <c r="I302" s="14"/>
      <c r="J302" s="14"/>
      <c r="K302" s="14"/>
      <c r="L302" s="14"/>
      <c r="M302" s="98"/>
      <c r="N302" s="14"/>
      <c r="O302" s="14"/>
      <c r="P302" s="14"/>
      <c r="Q302" s="14"/>
      <c r="R302" s="14"/>
      <c r="S302" s="14"/>
      <c r="T302" s="14"/>
      <c r="U302" s="14"/>
      <c r="V302" s="14"/>
      <c r="W302" s="14"/>
      <c r="X302" s="14"/>
      <c r="Y302" s="14"/>
      <c r="Z302" s="14"/>
      <c r="AA302" s="14"/>
      <c r="AB302" s="14"/>
      <c r="AC302" s="14"/>
      <c r="AD302" s="14"/>
      <c r="AE302" s="14"/>
      <c r="AF302" s="14"/>
      <c r="AG302" s="14"/>
      <c r="AH302" s="1"/>
    </row>
    <row r="303" spans="1:34" ht="15">
      <c r="A303" s="8" t="s">
        <v>142</v>
      </c>
      <c r="B303" s="8" t="s">
        <v>143</v>
      </c>
      <c r="C303" s="2907">
        <v>1</v>
      </c>
      <c r="D303" s="73">
        <v>2</v>
      </c>
      <c r="E303" s="73">
        <v>3</v>
      </c>
      <c r="F303" s="73">
        <v>4</v>
      </c>
      <c r="G303" s="73">
        <v>5</v>
      </c>
      <c r="H303" s="73">
        <v>6</v>
      </c>
      <c r="I303" s="73">
        <v>7</v>
      </c>
      <c r="J303" s="73">
        <v>8</v>
      </c>
      <c r="K303" s="73">
        <v>9</v>
      </c>
      <c r="L303" s="73">
        <v>10</v>
      </c>
      <c r="M303" s="73">
        <v>11</v>
      </c>
      <c r="N303" s="73">
        <v>12</v>
      </c>
      <c r="O303" s="73">
        <v>13</v>
      </c>
      <c r="P303" s="73">
        <v>14</v>
      </c>
      <c r="Q303" s="73">
        <v>15</v>
      </c>
      <c r="R303" s="73">
        <v>16</v>
      </c>
      <c r="S303" s="73">
        <v>17</v>
      </c>
      <c r="T303" s="73">
        <v>18</v>
      </c>
      <c r="U303" s="73">
        <v>19</v>
      </c>
      <c r="V303" s="73">
        <v>20</v>
      </c>
      <c r="W303" s="73">
        <v>21</v>
      </c>
      <c r="X303" s="73">
        <v>22</v>
      </c>
      <c r="Y303" s="73">
        <v>23</v>
      </c>
      <c r="Z303" s="73">
        <v>24</v>
      </c>
      <c r="AA303" s="73">
        <v>25</v>
      </c>
      <c r="AB303" s="73">
        <v>26</v>
      </c>
      <c r="AC303" s="73">
        <v>27</v>
      </c>
      <c r="AD303" s="73">
        <v>28</v>
      </c>
      <c r="AE303" s="73">
        <v>29</v>
      </c>
      <c r="AF303" s="73">
        <v>30</v>
      </c>
      <c r="AG303" s="73">
        <v>31</v>
      </c>
      <c r="AH303" s="87" t="s">
        <v>144</v>
      </c>
    </row>
    <row r="304" spans="1:34" ht="15">
      <c r="A304" s="363" t="s">
        <v>145</v>
      </c>
      <c r="B304" s="53">
        <f t="shared" ref="B304:B315" si="51">+AH304</f>
        <v>0</v>
      </c>
      <c r="C304" s="590"/>
      <c r="D304" s="590"/>
      <c r="E304" s="590"/>
      <c r="F304" s="590"/>
      <c r="G304" s="590"/>
      <c r="H304" s="590"/>
      <c r="I304" s="590"/>
      <c r="J304" s="590"/>
      <c r="K304" s="590"/>
      <c r="L304" s="590"/>
      <c r="M304" s="590"/>
      <c r="N304" s="590"/>
      <c r="O304" s="590"/>
      <c r="P304" s="590"/>
      <c r="Q304" s="590"/>
      <c r="R304" s="590"/>
      <c r="S304" s="590"/>
      <c r="T304" s="590"/>
      <c r="U304" s="590"/>
      <c r="V304" s="590"/>
      <c r="W304" s="590"/>
      <c r="X304" s="590"/>
      <c r="Y304" s="590"/>
      <c r="Z304" s="590"/>
      <c r="AA304" s="590"/>
      <c r="AB304" s="590"/>
      <c r="AC304" s="590"/>
      <c r="AD304" s="590"/>
      <c r="AE304" s="590"/>
      <c r="AF304" s="590"/>
      <c r="AG304" s="590"/>
      <c r="AH304" s="100">
        <f>SUM(C304:AG304)</f>
        <v>0</v>
      </c>
    </row>
    <row r="305" spans="1:34" ht="15">
      <c r="A305" s="363" t="s">
        <v>146</v>
      </c>
      <c r="B305" s="53">
        <f t="shared" si="51"/>
        <v>18.912000000000003</v>
      </c>
      <c r="C305" s="482"/>
      <c r="D305" s="590"/>
      <c r="E305" s="590"/>
      <c r="F305" s="590"/>
      <c r="G305" s="590"/>
      <c r="H305" s="590"/>
      <c r="I305" s="590"/>
      <c r="J305" s="590"/>
      <c r="K305" s="590"/>
      <c r="L305" s="590"/>
      <c r="M305" s="590"/>
      <c r="N305" s="590"/>
      <c r="O305" s="590"/>
      <c r="P305" s="590"/>
      <c r="Q305" s="590"/>
      <c r="R305" s="549"/>
      <c r="S305" s="549">
        <v>4.5250000000000004</v>
      </c>
      <c r="T305" s="549"/>
      <c r="U305" s="549"/>
      <c r="V305" s="549">
        <v>0.27</v>
      </c>
      <c r="W305" s="549">
        <v>0.3</v>
      </c>
      <c r="X305" s="549">
        <v>6.165</v>
      </c>
      <c r="Y305" s="549"/>
      <c r="Z305" s="549">
        <v>0.81</v>
      </c>
      <c r="AA305" s="549"/>
      <c r="AB305" s="549"/>
      <c r="AC305" s="549">
        <v>5.5819999999999999</v>
      </c>
      <c r="AD305" s="549">
        <v>1.26</v>
      </c>
      <c r="AE305" s="549"/>
      <c r="AF305" s="549"/>
      <c r="AG305" s="549"/>
      <c r="AH305" s="100">
        <f t="shared" ref="AH305:AH315" si="52">SUM(C305:AG305)</f>
        <v>18.912000000000003</v>
      </c>
    </row>
    <row r="306" spans="1:34" ht="15">
      <c r="A306" s="363" t="s">
        <v>147</v>
      </c>
      <c r="B306" s="53">
        <f t="shared" si="51"/>
        <v>69.887999999999991</v>
      </c>
      <c r="C306" s="488"/>
      <c r="D306" s="549">
        <v>2.63</v>
      </c>
      <c r="E306" s="549"/>
      <c r="F306" s="549"/>
      <c r="G306" s="549">
        <v>0.63</v>
      </c>
      <c r="H306" s="549"/>
      <c r="I306" s="549"/>
      <c r="J306" s="549"/>
      <c r="K306" s="549">
        <v>4.266</v>
      </c>
      <c r="L306" s="549"/>
      <c r="M306" s="549"/>
      <c r="N306" s="549">
        <v>0.54</v>
      </c>
      <c r="O306" s="549"/>
      <c r="P306" s="549">
        <v>1.3</v>
      </c>
      <c r="Q306" s="549"/>
      <c r="R306" s="549"/>
      <c r="S306" s="549"/>
      <c r="T306" s="549"/>
      <c r="U306" s="549">
        <v>3.96</v>
      </c>
      <c r="V306" s="549">
        <v>2.99</v>
      </c>
      <c r="W306" s="549">
        <v>4.88</v>
      </c>
      <c r="X306" s="549">
        <v>3.5900000000000003</v>
      </c>
      <c r="Y306" s="549">
        <v>7.2299999999999995</v>
      </c>
      <c r="Z306" s="549"/>
      <c r="AA306" s="549"/>
      <c r="AB306" s="549"/>
      <c r="AC306" s="549">
        <v>3.55</v>
      </c>
      <c r="AD306" s="549">
        <v>22.291999999999998</v>
      </c>
      <c r="AE306" s="549">
        <v>10.719999999999999</v>
      </c>
      <c r="AF306" s="549">
        <v>1.31</v>
      </c>
      <c r="AG306" s="549"/>
      <c r="AH306" s="100">
        <f t="shared" si="52"/>
        <v>69.887999999999991</v>
      </c>
    </row>
    <row r="307" spans="1:34" ht="15">
      <c r="A307" s="363" t="s">
        <v>148</v>
      </c>
      <c r="B307" s="53">
        <f t="shared" si="51"/>
        <v>129.12300000000002</v>
      </c>
      <c r="C307" s="488"/>
      <c r="D307" s="549"/>
      <c r="E307" s="549">
        <v>17.979999999999997</v>
      </c>
      <c r="F307" s="549">
        <v>31.919000000000004</v>
      </c>
      <c r="G307" s="549">
        <v>17.303999999999998</v>
      </c>
      <c r="H307" s="549"/>
      <c r="I307" s="549"/>
      <c r="J307" s="549"/>
      <c r="K307" s="549">
        <v>0.7</v>
      </c>
      <c r="L307" s="549"/>
      <c r="M307" s="549">
        <v>1.9280000000000002</v>
      </c>
      <c r="N307" s="549">
        <v>0.90400000000000014</v>
      </c>
      <c r="O307" s="549">
        <v>11.253</v>
      </c>
      <c r="P307" s="549"/>
      <c r="Q307" s="549"/>
      <c r="R307" s="549"/>
      <c r="S307" s="549">
        <v>12.629</v>
      </c>
      <c r="T307" s="549"/>
      <c r="U307" s="549"/>
      <c r="V307" s="549">
        <v>12.58</v>
      </c>
      <c r="W307" s="549"/>
      <c r="X307" s="549"/>
      <c r="Y307" s="549">
        <v>13.911</v>
      </c>
      <c r="Z307" s="549">
        <v>0.3</v>
      </c>
      <c r="AA307" s="549"/>
      <c r="AB307" s="549"/>
      <c r="AC307" s="549">
        <v>4.4450000000000003</v>
      </c>
      <c r="AD307" s="549"/>
      <c r="AE307" s="549"/>
      <c r="AF307" s="549">
        <v>3.27</v>
      </c>
      <c r="AG307" s="549"/>
      <c r="AH307" s="100">
        <f t="shared" si="52"/>
        <v>129.12300000000002</v>
      </c>
    </row>
    <row r="308" spans="1:34" ht="15">
      <c r="A308" s="363" t="s">
        <v>149</v>
      </c>
      <c r="B308" s="53">
        <f t="shared" si="51"/>
        <v>42.289999999999992</v>
      </c>
      <c r="C308" s="488"/>
      <c r="D308" s="549"/>
      <c r="E308" s="549"/>
      <c r="F308" s="549">
        <v>9.0399999999999991</v>
      </c>
      <c r="G308" s="549"/>
      <c r="H308" s="549"/>
      <c r="I308" s="549"/>
      <c r="J308" s="549">
        <v>8.0500000000000007</v>
      </c>
      <c r="K308" s="549">
        <v>10.3</v>
      </c>
      <c r="L308" s="549"/>
      <c r="M308" s="549"/>
      <c r="N308" s="549"/>
      <c r="O308" s="549"/>
      <c r="P308" s="549">
        <v>2.15</v>
      </c>
      <c r="Q308" s="549">
        <v>1.125</v>
      </c>
      <c r="R308" s="549"/>
      <c r="S308" s="549"/>
      <c r="T308" s="549">
        <v>8.2050000000000001</v>
      </c>
      <c r="U308" s="549"/>
      <c r="V308" s="549"/>
      <c r="W308" s="549"/>
      <c r="X308" s="549"/>
      <c r="Y308" s="549">
        <v>0.3</v>
      </c>
      <c r="Z308" s="549"/>
      <c r="AA308" s="549"/>
      <c r="AB308" s="549"/>
      <c r="AC308" s="549"/>
      <c r="AD308" s="549"/>
      <c r="AE308" s="549"/>
      <c r="AF308" s="549">
        <v>2.23</v>
      </c>
      <c r="AG308" s="549">
        <v>0.89</v>
      </c>
      <c r="AH308" s="100">
        <f t="shared" si="52"/>
        <v>42.289999999999992</v>
      </c>
    </row>
    <row r="309" spans="1:34" ht="15">
      <c r="A309" s="363" t="s">
        <v>150</v>
      </c>
      <c r="B309" s="53">
        <f t="shared" si="51"/>
        <v>118.328</v>
      </c>
      <c r="C309" s="488">
        <v>3.08</v>
      </c>
      <c r="D309" s="549"/>
      <c r="E309" s="549"/>
      <c r="F309" s="549"/>
      <c r="G309" s="549"/>
      <c r="H309" s="549"/>
      <c r="I309" s="549"/>
      <c r="J309" s="549">
        <v>6.36</v>
      </c>
      <c r="K309" s="549"/>
      <c r="L309" s="549"/>
      <c r="M309" s="549">
        <v>12.215</v>
      </c>
      <c r="N309" s="549"/>
      <c r="O309" s="549"/>
      <c r="P309" s="549">
        <v>4.2050000000000001</v>
      </c>
      <c r="Q309" s="549">
        <v>16.555</v>
      </c>
      <c r="R309" s="549"/>
      <c r="S309" s="549"/>
      <c r="T309" s="549"/>
      <c r="U309" s="549">
        <v>9.1080000000000005</v>
      </c>
      <c r="V309" s="549"/>
      <c r="W309" s="549">
        <v>7.79</v>
      </c>
      <c r="X309" s="549">
        <v>7.6219999999999999</v>
      </c>
      <c r="Y309" s="549"/>
      <c r="Z309" s="549"/>
      <c r="AA309" s="549">
        <v>15.55</v>
      </c>
      <c r="AB309" s="549">
        <v>22.797999999999998</v>
      </c>
      <c r="AC309" s="549">
        <v>1.0249999999999999</v>
      </c>
      <c r="AD309" s="549">
        <v>11.99</v>
      </c>
      <c r="AE309" s="549"/>
      <c r="AF309" s="549">
        <v>0.03</v>
      </c>
      <c r="AG309" s="549"/>
      <c r="AH309" s="100">
        <f t="shared" si="52"/>
        <v>118.328</v>
      </c>
    </row>
    <row r="310" spans="1:34" ht="15">
      <c r="A310" s="314" t="s">
        <v>151</v>
      </c>
      <c r="B310" s="53">
        <f t="shared" si="51"/>
        <v>56.951999999999998</v>
      </c>
      <c r="C310" s="488">
        <v>9.2249999999999996</v>
      </c>
      <c r="D310" s="549"/>
      <c r="E310" s="549"/>
      <c r="F310" s="549"/>
      <c r="G310" s="549">
        <v>18.635999999999999</v>
      </c>
      <c r="H310" s="549">
        <v>12.91</v>
      </c>
      <c r="I310" s="549"/>
      <c r="J310" s="549"/>
      <c r="K310" s="549">
        <v>1.56</v>
      </c>
      <c r="L310" s="549"/>
      <c r="M310" s="549"/>
      <c r="N310" s="549"/>
      <c r="O310" s="549"/>
      <c r="P310" s="549"/>
      <c r="Q310" s="549"/>
      <c r="R310" s="549"/>
      <c r="S310" s="549"/>
      <c r="T310" s="549">
        <v>1.05</v>
      </c>
      <c r="U310" s="549"/>
      <c r="V310" s="549">
        <v>3</v>
      </c>
      <c r="W310" s="549"/>
      <c r="X310" s="549"/>
      <c r="Y310" s="549">
        <v>5.0350000000000001</v>
      </c>
      <c r="Z310" s="549"/>
      <c r="AA310" s="549">
        <v>1.29</v>
      </c>
      <c r="AB310" s="549"/>
      <c r="AC310" s="549">
        <v>3.6560000000000001</v>
      </c>
      <c r="AD310" s="549"/>
      <c r="AE310" s="549"/>
      <c r="AF310" s="549"/>
      <c r="AG310" s="549">
        <v>0.59</v>
      </c>
      <c r="AH310" s="100">
        <f t="shared" si="52"/>
        <v>56.951999999999998</v>
      </c>
    </row>
    <row r="311" spans="1:34" ht="15">
      <c r="A311" s="314" t="s">
        <v>152</v>
      </c>
      <c r="B311" s="53">
        <f t="shared" si="51"/>
        <v>36.619999999999997</v>
      </c>
      <c r="C311" s="488"/>
      <c r="D311" s="549"/>
      <c r="E311" s="549">
        <v>3</v>
      </c>
      <c r="F311" s="549"/>
      <c r="G311" s="549"/>
      <c r="H311" s="549">
        <v>9.1669999999999998</v>
      </c>
      <c r="I311" s="549"/>
      <c r="J311" s="549">
        <v>0.28999999999999998</v>
      </c>
      <c r="K311" s="549"/>
      <c r="L311" s="549"/>
      <c r="M311" s="549"/>
      <c r="N311" s="549"/>
      <c r="O311" s="549"/>
      <c r="P311" s="549"/>
      <c r="Q311" s="550"/>
      <c r="R311" s="550"/>
      <c r="S311" s="550">
        <v>1</v>
      </c>
      <c r="T311" s="550"/>
      <c r="U311" s="550"/>
      <c r="V311" s="550">
        <v>4.1820000000000004</v>
      </c>
      <c r="W311" s="550"/>
      <c r="X311" s="550"/>
      <c r="Y311" s="550"/>
      <c r="Z311" s="550"/>
      <c r="AA311" s="550"/>
      <c r="AB311" s="550"/>
      <c r="AC311" s="550">
        <v>0.79</v>
      </c>
      <c r="AD311" s="550">
        <v>0.2</v>
      </c>
      <c r="AE311" s="550"/>
      <c r="AF311" s="550">
        <v>2.13</v>
      </c>
      <c r="AG311" s="550">
        <v>15.861000000000001</v>
      </c>
      <c r="AH311" s="100">
        <f t="shared" si="52"/>
        <v>36.619999999999997</v>
      </c>
    </row>
    <row r="312" spans="1:34" ht="15">
      <c r="A312" s="314" t="s">
        <v>153</v>
      </c>
      <c r="B312" s="53">
        <f t="shared" si="51"/>
        <v>0</v>
      </c>
      <c r="C312" s="188" t="s">
        <v>162</v>
      </c>
      <c r="D312" s="188" t="s">
        <v>162</v>
      </c>
      <c r="E312" s="188" t="s">
        <v>162</v>
      </c>
      <c r="F312" s="188" t="s">
        <v>162</v>
      </c>
      <c r="G312" s="188" t="s">
        <v>162</v>
      </c>
      <c r="H312" s="188" t="s">
        <v>162</v>
      </c>
      <c r="I312" s="188" t="s">
        <v>162</v>
      </c>
      <c r="J312" s="188" t="s">
        <v>162</v>
      </c>
      <c r="K312" s="188" t="s">
        <v>162</v>
      </c>
      <c r="L312" s="188" t="s">
        <v>162</v>
      </c>
      <c r="M312" s="188" t="s">
        <v>162</v>
      </c>
      <c r="N312" s="188" t="s">
        <v>162</v>
      </c>
      <c r="O312" s="188" t="s">
        <v>162</v>
      </c>
      <c r="P312" s="188" t="s">
        <v>162</v>
      </c>
      <c r="Q312" s="188" t="s">
        <v>162</v>
      </c>
      <c r="R312" s="188" t="s">
        <v>162</v>
      </c>
      <c r="S312" s="188" t="s">
        <v>162</v>
      </c>
      <c r="T312" s="188" t="s">
        <v>162</v>
      </c>
      <c r="U312" s="188" t="s">
        <v>162</v>
      </c>
      <c r="V312" s="188" t="s">
        <v>162</v>
      </c>
      <c r="W312" s="188" t="s">
        <v>162</v>
      </c>
      <c r="X312" s="188" t="s">
        <v>162</v>
      </c>
      <c r="Y312" s="188" t="s">
        <v>162</v>
      </c>
      <c r="Z312" s="188" t="s">
        <v>162</v>
      </c>
      <c r="AA312" s="188" t="s">
        <v>162</v>
      </c>
      <c r="AB312" s="188" t="s">
        <v>162</v>
      </c>
      <c r="AC312" s="188" t="s">
        <v>162</v>
      </c>
      <c r="AD312" s="188" t="s">
        <v>162</v>
      </c>
      <c r="AE312" s="188" t="s">
        <v>162</v>
      </c>
      <c r="AF312" s="188" t="s">
        <v>162</v>
      </c>
      <c r="AG312" s="188" t="s">
        <v>162</v>
      </c>
      <c r="AH312" s="100">
        <f t="shared" si="52"/>
        <v>0</v>
      </c>
    </row>
    <row r="313" spans="1:34" ht="15">
      <c r="A313" s="314" t="s">
        <v>154</v>
      </c>
      <c r="B313" s="53">
        <f t="shared" si="51"/>
        <v>102.72199999999999</v>
      </c>
      <c r="C313" s="116"/>
      <c r="D313" s="99">
        <v>2.61</v>
      </c>
      <c r="E313" s="99">
        <v>7.5359999999999996</v>
      </c>
      <c r="F313" s="99"/>
      <c r="G313" s="99"/>
      <c r="H313" s="99"/>
      <c r="I313" s="99"/>
      <c r="J313" s="99">
        <v>4.008</v>
      </c>
      <c r="K313" s="99">
        <v>10.039999999999999</v>
      </c>
      <c r="L313" s="99"/>
      <c r="M313" s="99"/>
      <c r="N313" s="99">
        <v>0.54</v>
      </c>
      <c r="O313" s="99"/>
      <c r="P313" s="99"/>
      <c r="Q313" s="99"/>
      <c r="R313" s="99">
        <v>1.1599999999999999</v>
      </c>
      <c r="S313" s="99">
        <v>10.119</v>
      </c>
      <c r="T313" s="99"/>
      <c r="U313" s="99">
        <v>15.15</v>
      </c>
      <c r="V313" s="99"/>
      <c r="W313" s="99"/>
      <c r="X313" s="99">
        <v>13.037000000000001</v>
      </c>
      <c r="Y313" s="99">
        <v>10.24</v>
      </c>
      <c r="Z313" s="99">
        <v>2.98</v>
      </c>
      <c r="AA313" s="99"/>
      <c r="AB313" s="99">
        <v>9.9290000000000003</v>
      </c>
      <c r="AC313" s="99"/>
      <c r="AD313" s="99"/>
      <c r="AE313" s="99">
        <v>0.85399999999999998</v>
      </c>
      <c r="AF313" s="99">
        <v>2.335</v>
      </c>
      <c r="AG313" s="99">
        <v>12.183999999999999</v>
      </c>
      <c r="AH313" s="100">
        <f t="shared" si="52"/>
        <v>102.72199999999999</v>
      </c>
    </row>
    <row r="314" spans="1:34" ht="15">
      <c r="A314" s="314" t="s">
        <v>155</v>
      </c>
      <c r="B314" s="53">
        <f t="shared" si="51"/>
        <v>90.026000000000025</v>
      </c>
      <c r="C314" s="116"/>
      <c r="D314" s="99">
        <v>6.8710000000000004</v>
      </c>
      <c r="E314" s="99"/>
      <c r="F314" s="99"/>
      <c r="G314" s="99">
        <v>4.5030000000000001</v>
      </c>
      <c r="H314" s="99"/>
      <c r="I314" s="99">
        <v>14.227</v>
      </c>
      <c r="J314" s="99"/>
      <c r="K314" s="99">
        <v>7.2149999999999999</v>
      </c>
      <c r="L314" s="99">
        <v>20.875</v>
      </c>
      <c r="M314" s="99"/>
      <c r="N314" s="99">
        <v>19.334</v>
      </c>
      <c r="O314" s="99">
        <v>0.13500000000000001</v>
      </c>
      <c r="P314" s="99">
        <v>14.706</v>
      </c>
      <c r="Q314" s="99">
        <v>0.32400000000000001</v>
      </c>
      <c r="R314" s="99">
        <v>0.40500000000000003</v>
      </c>
      <c r="S314" s="99"/>
      <c r="T314" s="99"/>
      <c r="U314" s="99">
        <v>0.27</v>
      </c>
      <c r="V314" s="99">
        <v>0.13500000000000001</v>
      </c>
      <c r="W314" s="99"/>
      <c r="X314" s="99"/>
      <c r="Y314" s="99"/>
      <c r="Z314" s="99"/>
      <c r="AA314" s="99"/>
      <c r="AB314" s="99">
        <v>0.54</v>
      </c>
      <c r="AC314" s="99">
        <v>0.189</v>
      </c>
      <c r="AD314" s="99">
        <v>0.16200000000000001</v>
      </c>
      <c r="AE314" s="99"/>
      <c r="AF314" s="99">
        <v>0.13500000000000001</v>
      </c>
      <c r="AG314" s="99"/>
      <c r="AH314" s="100">
        <f t="shared" si="52"/>
        <v>90.026000000000025</v>
      </c>
    </row>
    <row r="315" spans="1:34" ht="15">
      <c r="A315" s="314" t="s">
        <v>156</v>
      </c>
      <c r="B315" s="53">
        <f t="shared" si="51"/>
        <v>2.6550000000000002</v>
      </c>
      <c r="C315" s="116"/>
      <c r="D315" s="99"/>
      <c r="E315" s="99"/>
      <c r="F315" s="99"/>
      <c r="G315" s="99">
        <v>0.09</v>
      </c>
      <c r="H315" s="99"/>
      <c r="I315" s="99">
        <v>0.40500000000000003</v>
      </c>
      <c r="J315" s="99"/>
      <c r="K315" s="99"/>
      <c r="L315" s="99">
        <v>0.27</v>
      </c>
      <c r="M315" s="99"/>
      <c r="N315" s="99"/>
      <c r="O315" s="99"/>
      <c r="P315" s="99">
        <v>0.27</v>
      </c>
      <c r="Q315" s="99"/>
      <c r="R315" s="99"/>
      <c r="S315" s="99"/>
      <c r="T315" s="99"/>
      <c r="U315" s="99"/>
      <c r="V315" s="99"/>
      <c r="W315" s="99"/>
      <c r="X315" s="99"/>
      <c r="Y315" s="99"/>
      <c r="Z315" s="99"/>
      <c r="AA315" s="99"/>
      <c r="AB315" s="99"/>
      <c r="AC315" s="99"/>
      <c r="AD315" s="99">
        <v>1.62</v>
      </c>
      <c r="AE315" s="99"/>
      <c r="AF315" s="99"/>
      <c r="AG315" s="99"/>
      <c r="AH315" s="100">
        <f t="shared" si="52"/>
        <v>2.6550000000000002</v>
      </c>
    </row>
    <row r="316" spans="1:34" ht="15">
      <c r="A316" s="200" t="s">
        <v>111</v>
      </c>
      <c r="B316" s="200">
        <f>SUM(B304:B315)</f>
        <v>667.51599999999996</v>
      </c>
      <c r="C316" s="100">
        <f t="shared" ref="C316:AH316" si="53">SUM(C304:C315)</f>
        <v>12.305</v>
      </c>
      <c r="D316" s="100">
        <f t="shared" si="53"/>
        <v>12.111000000000001</v>
      </c>
      <c r="E316" s="100">
        <f t="shared" si="53"/>
        <v>28.515999999999998</v>
      </c>
      <c r="F316" s="100">
        <f t="shared" si="53"/>
        <v>40.959000000000003</v>
      </c>
      <c r="G316" s="100">
        <f t="shared" si="53"/>
        <v>41.162999999999997</v>
      </c>
      <c r="H316" s="100">
        <f t="shared" si="53"/>
        <v>22.076999999999998</v>
      </c>
      <c r="I316" s="100">
        <f t="shared" si="53"/>
        <v>14.632</v>
      </c>
      <c r="J316" s="100">
        <f t="shared" si="53"/>
        <v>18.707999999999998</v>
      </c>
      <c r="K316" s="100">
        <f t="shared" si="53"/>
        <v>34.081000000000003</v>
      </c>
      <c r="L316" s="100">
        <f t="shared" si="53"/>
        <v>21.145</v>
      </c>
      <c r="M316" s="100">
        <f t="shared" si="53"/>
        <v>14.143000000000001</v>
      </c>
      <c r="N316" s="100">
        <f t="shared" si="53"/>
        <v>21.318000000000001</v>
      </c>
      <c r="O316" s="100">
        <f t="shared" si="53"/>
        <v>11.388</v>
      </c>
      <c r="P316" s="100">
        <f t="shared" si="53"/>
        <v>22.631</v>
      </c>
      <c r="Q316" s="100">
        <f t="shared" si="53"/>
        <v>18.004000000000001</v>
      </c>
      <c r="R316" s="100">
        <f t="shared" si="53"/>
        <v>1.5649999999999999</v>
      </c>
      <c r="S316" s="100">
        <f t="shared" si="53"/>
        <v>28.273</v>
      </c>
      <c r="T316" s="100">
        <f t="shared" si="53"/>
        <v>9.2550000000000008</v>
      </c>
      <c r="U316" s="100">
        <f t="shared" si="53"/>
        <v>28.488000000000003</v>
      </c>
      <c r="V316" s="100">
        <f t="shared" si="53"/>
        <v>23.157</v>
      </c>
      <c r="W316" s="100">
        <f t="shared" si="53"/>
        <v>12.969999999999999</v>
      </c>
      <c r="X316" s="100">
        <f t="shared" si="53"/>
        <v>30.414000000000001</v>
      </c>
      <c r="Y316" s="100">
        <f t="shared" si="53"/>
        <v>36.716000000000001</v>
      </c>
      <c r="Z316" s="100">
        <f t="shared" si="53"/>
        <v>4.09</v>
      </c>
      <c r="AA316" s="100">
        <f t="shared" si="53"/>
        <v>16.84</v>
      </c>
      <c r="AB316" s="100">
        <f t="shared" si="53"/>
        <v>33.266999999999996</v>
      </c>
      <c r="AC316" s="100">
        <f t="shared" si="53"/>
        <v>19.236999999999998</v>
      </c>
      <c r="AD316" s="100">
        <f t="shared" si="53"/>
        <v>37.524000000000001</v>
      </c>
      <c r="AE316" s="100">
        <f t="shared" si="53"/>
        <v>11.573999999999998</v>
      </c>
      <c r="AF316" s="100">
        <f t="shared" si="53"/>
        <v>11.44</v>
      </c>
      <c r="AG316" s="100">
        <f t="shared" si="53"/>
        <v>29.524999999999999</v>
      </c>
      <c r="AH316" s="100">
        <f t="shared" si="53"/>
        <v>667.51599999999996</v>
      </c>
    </row>
    <row r="317" spans="1:34" ht="15">
      <c r="A317" s="478"/>
      <c r="B317" s="478"/>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row>
    <row r="318" spans="1:34" ht="15">
      <c r="A318" s="3890" t="s">
        <v>464</v>
      </c>
      <c r="B318" s="3891"/>
      <c r="C318" s="3892"/>
      <c r="D318" s="14"/>
      <c r="E318" s="14"/>
      <c r="F318" s="14"/>
      <c r="G318" s="14"/>
      <c r="H318" s="14"/>
      <c r="I318" s="14"/>
      <c r="J318" s="14"/>
      <c r="K318" s="14"/>
      <c r="L318" s="14"/>
      <c r="M318" s="98"/>
      <c r="N318" s="14"/>
      <c r="O318" s="14"/>
      <c r="P318" s="14"/>
      <c r="Q318" s="14"/>
      <c r="R318" s="14"/>
      <c r="S318" s="14"/>
      <c r="T318" s="14"/>
      <c r="U318" s="14"/>
      <c r="V318" s="14"/>
      <c r="W318" s="14"/>
      <c r="X318" s="14"/>
      <c r="Y318" s="14"/>
      <c r="Z318" s="14"/>
      <c r="AA318" s="14"/>
      <c r="AB318" s="14"/>
      <c r="AC318" s="14"/>
      <c r="AD318" s="14"/>
      <c r="AE318" s="14"/>
      <c r="AF318" s="14"/>
      <c r="AG318" s="14"/>
      <c r="AH318" s="1"/>
    </row>
    <row r="319" spans="1:34" ht="15">
      <c r="A319" s="8" t="s">
        <v>142</v>
      </c>
      <c r="B319" s="8" t="s">
        <v>143</v>
      </c>
      <c r="C319" s="2907">
        <v>1</v>
      </c>
      <c r="D319" s="73">
        <v>2</v>
      </c>
      <c r="E319" s="73">
        <v>3</v>
      </c>
      <c r="F319" s="73">
        <v>4</v>
      </c>
      <c r="G319" s="73">
        <v>5</v>
      </c>
      <c r="H319" s="73">
        <v>6</v>
      </c>
      <c r="I319" s="73">
        <v>7</v>
      </c>
      <c r="J319" s="73">
        <v>8</v>
      </c>
      <c r="K319" s="73">
        <v>9</v>
      </c>
      <c r="L319" s="73">
        <v>10</v>
      </c>
      <c r="M319" s="73">
        <v>11</v>
      </c>
      <c r="N319" s="73">
        <v>12</v>
      </c>
      <c r="O319" s="73">
        <v>13</v>
      </c>
      <c r="P319" s="73">
        <v>14</v>
      </c>
      <c r="Q319" s="73">
        <v>15</v>
      </c>
      <c r="R319" s="73">
        <v>16</v>
      </c>
      <c r="S319" s="73">
        <v>17</v>
      </c>
      <c r="T319" s="73">
        <v>18</v>
      </c>
      <c r="U319" s="73">
        <v>19</v>
      </c>
      <c r="V319" s="73">
        <v>20</v>
      </c>
      <c r="W319" s="73">
        <v>21</v>
      </c>
      <c r="X319" s="73">
        <v>22</v>
      </c>
      <c r="Y319" s="73">
        <v>23</v>
      </c>
      <c r="Z319" s="73">
        <v>24</v>
      </c>
      <c r="AA319" s="73">
        <v>25</v>
      </c>
      <c r="AB319" s="73">
        <v>26</v>
      </c>
      <c r="AC319" s="73">
        <v>27</v>
      </c>
      <c r="AD319" s="73">
        <v>28</v>
      </c>
      <c r="AE319" s="73">
        <v>29</v>
      </c>
      <c r="AF319" s="73">
        <v>30</v>
      </c>
      <c r="AG319" s="73">
        <v>31</v>
      </c>
      <c r="AH319" s="87" t="s">
        <v>144</v>
      </c>
    </row>
    <row r="320" spans="1:34" ht="15">
      <c r="A320" s="363" t="s">
        <v>145</v>
      </c>
      <c r="B320" s="53">
        <f t="shared" ref="B320:B331" si="54">+AH320</f>
        <v>0</v>
      </c>
      <c r="C320" s="588"/>
      <c r="D320" s="588"/>
      <c r="E320" s="588"/>
      <c r="F320" s="588"/>
      <c r="G320" s="588"/>
      <c r="H320" s="588"/>
      <c r="I320" s="588"/>
      <c r="J320" s="588"/>
      <c r="K320" s="588"/>
      <c r="L320" s="588"/>
      <c r="M320" s="588"/>
      <c r="N320" s="588"/>
      <c r="O320" s="588"/>
      <c r="P320" s="588"/>
      <c r="Q320" s="588"/>
      <c r="R320" s="588"/>
      <c r="S320" s="588"/>
      <c r="T320" s="589"/>
      <c r="U320" s="589"/>
      <c r="V320" s="589"/>
      <c r="W320" s="589"/>
      <c r="X320" s="589"/>
      <c r="Y320" s="589"/>
      <c r="Z320" s="589"/>
      <c r="AA320" s="589"/>
      <c r="AB320" s="589"/>
      <c r="AC320" s="589"/>
      <c r="AD320" s="589"/>
      <c r="AE320" s="589"/>
      <c r="AF320" s="589"/>
      <c r="AG320" s="589"/>
      <c r="AH320" s="100">
        <f>SUM(C320:AG320)</f>
        <v>0</v>
      </c>
    </row>
    <row r="321" spans="1:34" ht="15">
      <c r="A321" s="363" t="s">
        <v>146</v>
      </c>
      <c r="B321" s="53">
        <f t="shared" si="54"/>
        <v>31.428000000000001</v>
      </c>
      <c r="C321" s="116"/>
      <c r="D321" s="589"/>
      <c r="E321" s="589"/>
      <c r="F321" s="589"/>
      <c r="G321" s="589"/>
      <c r="H321" s="589"/>
      <c r="I321" s="589"/>
      <c r="J321" s="589"/>
      <c r="K321" s="589"/>
      <c r="L321" s="589"/>
      <c r="M321" s="589"/>
      <c r="N321" s="589"/>
      <c r="O321" s="589"/>
      <c r="P321" s="589"/>
      <c r="Q321" s="589"/>
      <c r="R321" s="99">
        <v>2.5920000000000001</v>
      </c>
      <c r="S321" s="99">
        <v>4.6710000000000003</v>
      </c>
      <c r="T321" s="99"/>
      <c r="U321" s="99"/>
      <c r="V321" s="99"/>
      <c r="W321" s="99"/>
      <c r="X321" s="99">
        <v>1.7010000000000001</v>
      </c>
      <c r="Y321" s="99">
        <v>2.2410000000000001</v>
      </c>
      <c r="Z321" s="99">
        <v>2.5649999999999999</v>
      </c>
      <c r="AA321" s="99"/>
      <c r="AB321" s="99"/>
      <c r="AC321" s="99">
        <v>2.3220000000000001</v>
      </c>
      <c r="AD321" s="99">
        <v>8.2889999999999997</v>
      </c>
      <c r="AE321" s="99">
        <v>7.0469999999999997</v>
      </c>
      <c r="AF321" s="99"/>
      <c r="AG321" s="99"/>
      <c r="AH321" s="100">
        <f t="shared" ref="AH321:AH331" si="55">SUM(C321:AG321)</f>
        <v>31.428000000000001</v>
      </c>
    </row>
    <row r="322" spans="1:34" ht="15">
      <c r="A322" s="363" t="s">
        <v>147</v>
      </c>
      <c r="B322" s="53">
        <f t="shared" si="54"/>
        <v>71.300000000000011</v>
      </c>
      <c r="C322" s="116">
        <v>4.8869999999999996</v>
      </c>
      <c r="D322" s="99">
        <v>6.9660000000000002</v>
      </c>
      <c r="E322" s="99"/>
      <c r="F322" s="99"/>
      <c r="G322" s="99">
        <v>1.5389999999999999</v>
      </c>
      <c r="H322" s="99"/>
      <c r="I322" s="99">
        <v>0.45900000000000002</v>
      </c>
      <c r="J322" s="99">
        <v>0.27</v>
      </c>
      <c r="K322" s="99">
        <v>2.1059999999999999</v>
      </c>
      <c r="L322" s="99"/>
      <c r="M322" s="99"/>
      <c r="N322" s="99">
        <v>3.6990000000000003</v>
      </c>
      <c r="O322" s="99">
        <v>3.8609999999999998</v>
      </c>
      <c r="P322" s="99">
        <v>2.7270000000000003</v>
      </c>
      <c r="Q322" s="99">
        <v>3.6720000000000002</v>
      </c>
      <c r="R322" s="99"/>
      <c r="S322" s="99"/>
      <c r="T322" s="99"/>
      <c r="U322" s="99">
        <v>1.35</v>
      </c>
      <c r="V322" s="99">
        <v>0.40500000000000003</v>
      </c>
      <c r="W322" s="99">
        <v>1.65</v>
      </c>
      <c r="X322" s="99"/>
      <c r="Y322" s="99">
        <v>0.78300000000000003</v>
      </c>
      <c r="Z322" s="99"/>
      <c r="AA322" s="99"/>
      <c r="AB322" s="99"/>
      <c r="AC322" s="99">
        <v>8.9199999999999982</v>
      </c>
      <c r="AD322" s="99">
        <v>12.130000000000003</v>
      </c>
      <c r="AE322" s="99">
        <v>11.286000000000001</v>
      </c>
      <c r="AF322" s="99">
        <v>4.59</v>
      </c>
      <c r="AG322" s="99"/>
      <c r="AH322" s="100">
        <f t="shared" si="55"/>
        <v>71.300000000000011</v>
      </c>
    </row>
    <row r="323" spans="1:34" ht="15">
      <c r="A323" s="363" t="s">
        <v>148</v>
      </c>
      <c r="B323" s="53">
        <f t="shared" si="54"/>
        <v>82.63600000000001</v>
      </c>
      <c r="C323" s="488"/>
      <c r="D323" s="549">
        <v>2.2549999999999999</v>
      </c>
      <c r="E323" s="549">
        <v>9.1489999999999991</v>
      </c>
      <c r="F323" s="549">
        <v>20.97900000000001</v>
      </c>
      <c r="G323" s="549"/>
      <c r="H323" s="549"/>
      <c r="I323" s="549"/>
      <c r="J323" s="549"/>
      <c r="K323" s="549"/>
      <c r="L323" s="549"/>
      <c r="M323" s="549"/>
      <c r="N323" s="549">
        <v>0.81</v>
      </c>
      <c r="O323" s="549">
        <v>4.9409999999999998</v>
      </c>
      <c r="P323" s="549"/>
      <c r="Q323" s="549"/>
      <c r="R323" s="549"/>
      <c r="S323" s="549">
        <v>15.821999999999999</v>
      </c>
      <c r="T323" s="549">
        <v>2.4300000000000002</v>
      </c>
      <c r="U323" s="549"/>
      <c r="V323" s="549">
        <v>8.343</v>
      </c>
      <c r="W323" s="549"/>
      <c r="X323" s="549"/>
      <c r="Y323" s="549">
        <v>9.3420000000000005</v>
      </c>
      <c r="Z323" s="549"/>
      <c r="AA323" s="549">
        <v>1.4039999999999999</v>
      </c>
      <c r="AB323" s="549"/>
      <c r="AC323" s="549">
        <v>5.0010000000000003</v>
      </c>
      <c r="AD323" s="549"/>
      <c r="AE323" s="549"/>
      <c r="AF323" s="549">
        <v>2.16</v>
      </c>
      <c r="AG323" s="549"/>
      <c r="AH323" s="100">
        <f t="shared" si="55"/>
        <v>82.63600000000001</v>
      </c>
    </row>
    <row r="324" spans="1:34" ht="15">
      <c r="A324" s="363" t="s">
        <v>149</v>
      </c>
      <c r="B324" s="53">
        <f t="shared" si="54"/>
        <v>48.671999999999997</v>
      </c>
      <c r="C324" s="488"/>
      <c r="D324" s="549"/>
      <c r="E324" s="549"/>
      <c r="F324" s="549">
        <v>6.9930000000000003</v>
      </c>
      <c r="G324" s="549"/>
      <c r="H324" s="549"/>
      <c r="I324" s="549">
        <v>5.8319999999999999</v>
      </c>
      <c r="J324" s="549">
        <v>2.7</v>
      </c>
      <c r="K324" s="549">
        <v>0.78300000000000003</v>
      </c>
      <c r="L324" s="549"/>
      <c r="M324" s="549"/>
      <c r="N324" s="549"/>
      <c r="O324" s="549"/>
      <c r="P324" s="549">
        <v>1.35</v>
      </c>
      <c r="Q324" s="549"/>
      <c r="R324" s="549"/>
      <c r="S324" s="549"/>
      <c r="T324" s="549">
        <v>6.5880000000000001</v>
      </c>
      <c r="U324" s="549"/>
      <c r="V324" s="549"/>
      <c r="W324" s="549"/>
      <c r="X324" s="549">
        <v>4.266</v>
      </c>
      <c r="Y324" s="549">
        <v>2.7</v>
      </c>
      <c r="Z324" s="549"/>
      <c r="AA324" s="549"/>
      <c r="AB324" s="549"/>
      <c r="AC324" s="549"/>
      <c r="AD324" s="549"/>
      <c r="AE324" s="549"/>
      <c r="AF324" s="549">
        <v>11.6</v>
      </c>
      <c r="AG324" s="549">
        <v>5.86</v>
      </c>
      <c r="AH324" s="100">
        <f t="shared" si="55"/>
        <v>48.671999999999997</v>
      </c>
    </row>
    <row r="325" spans="1:34" ht="15">
      <c r="A325" s="363" t="s">
        <v>150</v>
      </c>
      <c r="B325" s="53">
        <f t="shared" si="54"/>
        <v>53.995999999999995</v>
      </c>
      <c r="C325" s="116">
        <v>3.915</v>
      </c>
      <c r="D325" s="99"/>
      <c r="E325" s="99"/>
      <c r="F325" s="99">
        <v>3.3479999999999999</v>
      </c>
      <c r="G325" s="99"/>
      <c r="H325" s="99"/>
      <c r="I325" s="99"/>
      <c r="J325" s="99"/>
      <c r="K325" s="99"/>
      <c r="L325" s="99"/>
      <c r="M325" s="99">
        <v>1.917</v>
      </c>
      <c r="N325" s="99"/>
      <c r="O325" s="99"/>
      <c r="P325" s="99">
        <v>10.827</v>
      </c>
      <c r="Q325" s="99">
        <v>5.8319999999999999</v>
      </c>
      <c r="R325" s="99"/>
      <c r="S325" s="99"/>
      <c r="T325" s="99"/>
      <c r="U325" s="99">
        <v>9.9629999999999992</v>
      </c>
      <c r="V325" s="99"/>
      <c r="W325" s="99"/>
      <c r="X325" s="99">
        <v>1.35</v>
      </c>
      <c r="Y325" s="99"/>
      <c r="Z325" s="99"/>
      <c r="AA325" s="99">
        <v>6.4980000000000002</v>
      </c>
      <c r="AB325" s="99">
        <v>5.0220000000000002</v>
      </c>
      <c r="AC325" s="99">
        <v>2.1059999999999999</v>
      </c>
      <c r="AD325" s="99">
        <v>3.218</v>
      </c>
      <c r="AE325" s="99"/>
      <c r="AF325" s="99"/>
      <c r="AG325" s="99"/>
      <c r="AH325" s="100">
        <f t="shared" si="55"/>
        <v>53.995999999999995</v>
      </c>
    </row>
    <row r="326" spans="1:34" ht="15">
      <c r="A326" s="314" t="s">
        <v>151</v>
      </c>
      <c r="B326" s="53">
        <f t="shared" si="54"/>
        <v>91.966000000000008</v>
      </c>
      <c r="C326" s="116"/>
      <c r="D326" s="99"/>
      <c r="E326" s="99">
        <v>2.8889999999999998</v>
      </c>
      <c r="F326" s="99"/>
      <c r="G326" s="99">
        <v>3.0510000000000002</v>
      </c>
      <c r="H326" s="99">
        <v>7.56</v>
      </c>
      <c r="I326" s="99"/>
      <c r="J326" s="99"/>
      <c r="K326" s="99">
        <v>14.337</v>
      </c>
      <c r="L326" s="99"/>
      <c r="M326" s="99"/>
      <c r="N326" s="99"/>
      <c r="O326" s="99"/>
      <c r="P326" s="99"/>
      <c r="Q326" s="99"/>
      <c r="R326" s="99"/>
      <c r="S326" s="99">
        <v>1.2150000000000001</v>
      </c>
      <c r="T326" s="99">
        <v>9.0180000000000007</v>
      </c>
      <c r="U326" s="99"/>
      <c r="V326" s="99">
        <v>7.56</v>
      </c>
      <c r="W326" s="99"/>
      <c r="X326" s="99"/>
      <c r="Y326" s="99">
        <v>5.6970000000000001</v>
      </c>
      <c r="Z326" s="99"/>
      <c r="AA326" s="99">
        <v>5.4809999999999999</v>
      </c>
      <c r="AB326" s="99">
        <v>13.723000000000001</v>
      </c>
      <c r="AC326" s="99">
        <v>17.331</v>
      </c>
      <c r="AD326" s="99"/>
      <c r="AE326" s="99"/>
      <c r="AF326" s="99">
        <v>4.1040000000000001</v>
      </c>
      <c r="AG326" s="99"/>
      <c r="AH326" s="100">
        <f t="shared" si="55"/>
        <v>91.966000000000008</v>
      </c>
    </row>
    <row r="327" spans="1:34" ht="15">
      <c r="A327" s="314" t="s">
        <v>152</v>
      </c>
      <c r="B327" s="53">
        <f t="shared" si="54"/>
        <v>108.11600000000001</v>
      </c>
      <c r="C327" s="116"/>
      <c r="D327" s="99"/>
      <c r="E327" s="99">
        <v>3.3479999999999999</v>
      </c>
      <c r="F327" s="99"/>
      <c r="G327" s="99"/>
      <c r="H327" s="99">
        <v>5.157</v>
      </c>
      <c r="I327" s="99"/>
      <c r="J327" s="99">
        <v>2.3759999999999999</v>
      </c>
      <c r="K327" s="99">
        <v>0.67500000000000004</v>
      </c>
      <c r="L327" s="99"/>
      <c r="M327" s="99"/>
      <c r="N327" s="99"/>
      <c r="O327" s="99"/>
      <c r="P327" s="99">
        <v>2.214</v>
      </c>
      <c r="Q327" s="53"/>
      <c r="R327" s="53"/>
      <c r="S327" s="53">
        <v>17.495999999999999</v>
      </c>
      <c r="T327" s="53"/>
      <c r="U327" s="53"/>
      <c r="V327" s="53">
        <v>13.135999999999999</v>
      </c>
      <c r="W327" s="53"/>
      <c r="X327" s="53">
        <v>1.7010000000000001</v>
      </c>
      <c r="Y327" s="53">
        <v>8.9909999999999997</v>
      </c>
      <c r="Z327" s="53">
        <v>9.7409999999999997</v>
      </c>
      <c r="AA327" s="53"/>
      <c r="AB327" s="53"/>
      <c r="AC327" s="53">
        <v>7.5060000000000002</v>
      </c>
      <c r="AD327" s="53"/>
      <c r="AE327" s="53"/>
      <c r="AF327" s="53">
        <v>13.311</v>
      </c>
      <c r="AG327" s="53">
        <v>22.463999999999999</v>
      </c>
      <c r="AH327" s="100">
        <f t="shared" si="55"/>
        <v>108.11600000000001</v>
      </c>
    </row>
    <row r="328" spans="1:34" ht="15">
      <c r="A328" s="314" t="s">
        <v>153</v>
      </c>
      <c r="B328" s="53">
        <f t="shared" si="54"/>
        <v>0</v>
      </c>
      <c r="C328" s="188" t="s">
        <v>162</v>
      </c>
      <c r="D328" s="188" t="s">
        <v>162</v>
      </c>
      <c r="E328" s="188" t="s">
        <v>162</v>
      </c>
      <c r="F328" s="188" t="s">
        <v>162</v>
      </c>
      <c r="G328" s="188" t="s">
        <v>162</v>
      </c>
      <c r="H328" s="188" t="s">
        <v>162</v>
      </c>
      <c r="I328" s="188" t="s">
        <v>162</v>
      </c>
      <c r="J328" s="188" t="s">
        <v>162</v>
      </c>
      <c r="K328" s="188" t="s">
        <v>162</v>
      </c>
      <c r="L328" s="188" t="s">
        <v>162</v>
      </c>
      <c r="M328" s="188" t="s">
        <v>162</v>
      </c>
      <c r="N328" s="188" t="s">
        <v>162</v>
      </c>
      <c r="O328" s="188" t="s">
        <v>162</v>
      </c>
      <c r="P328" s="188" t="s">
        <v>162</v>
      </c>
      <c r="Q328" s="188" t="s">
        <v>162</v>
      </c>
      <c r="R328" s="188" t="s">
        <v>162</v>
      </c>
      <c r="S328" s="188" t="s">
        <v>162</v>
      </c>
      <c r="T328" s="188" t="s">
        <v>162</v>
      </c>
      <c r="U328" s="188" t="s">
        <v>162</v>
      </c>
      <c r="V328" s="188" t="s">
        <v>162</v>
      </c>
      <c r="W328" s="188" t="s">
        <v>162</v>
      </c>
      <c r="X328" s="188" t="s">
        <v>162</v>
      </c>
      <c r="Y328" s="188" t="s">
        <v>162</v>
      </c>
      <c r="Z328" s="188" t="s">
        <v>162</v>
      </c>
      <c r="AA328" s="188" t="s">
        <v>162</v>
      </c>
      <c r="AB328" s="188" t="s">
        <v>162</v>
      </c>
      <c r="AC328" s="188" t="s">
        <v>162</v>
      </c>
      <c r="AD328" s="188" t="s">
        <v>162</v>
      </c>
      <c r="AE328" s="188" t="s">
        <v>162</v>
      </c>
      <c r="AF328" s="188" t="s">
        <v>162</v>
      </c>
      <c r="AG328" s="188" t="s">
        <v>162</v>
      </c>
      <c r="AH328" s="100">
        <f t="shared" si="55"/>
        <v>0</v>
      </c>
    </row>
    <row r="329" spans="1:34" ht="15">
      <c r="A329" s="314" t="s">
        <v>154</v>
      </c>
      <c r="B329" s="53">
        <f t="shared" si="54"/>
        <v>35.588999999999992</v>
      </c>
      <c r="C329" s="116"/>
      <c r="D329" s="99">
        <v>14.472</v>
      </c>
      <c r="E329" s="99">
        <v>2.8620000000000001</v>
      </c>
      <c r="F329" s="99"/>
      <c r="G329" s="99"/>
      <c r="H329" s="99"/>
      <c r="I329" s="99"/>
      <c r="J329" s="99">
        <v>2.97</v>
      </c>
      <c r="K329" s="99"/>
      <c r="L329" s="99">
        <v>1.7549999999999999</v>
      </c>
      <c r="M329" s="99">
        <v>0.216</v>
      </c>
      <c r="N329" s="99">
        <v>8.3699999999999992</v>
      </c>
      <c r="O329" s="99"/>
      <c r="P329" s="99"/>
      <c r="Q329" s="99"/>
      <c r="R329" s="99"/>
      <c r="S329" s="99">
        <v>0.621</v>
      </c>
      <c r="T329" s="99"/>
      <c r="U329" s="99">
        <v>0.81</v>
      </c>
      <c r="V329" s="99"/>
      <c r="W329" s="99"/>
      <c r="X329" s="99">
        <v>1.0529999999999999</v>
      </c>
      <c r="Y329" s="99"/>
      <c r="Z329" s="99">
        <v>1.893</v>
      </c>
      <c r="AA329" s="99">
        <v>0.108</v>
      </c>
      <c r="AB329" s="99"/>
      <c r="AC329" s="99"/>
      <c r="AD329" s="99"/>
      <c r="AE329" s="99"/>
      <c r="AF329" s="99">
        <v>0.45900000000000002</v>
      </c>
      <c r="AG329" s="99"/>
      <c r="AH329" s="100">
        <f t="shared" si="55"/>
        <v>35.588999999999992</v>
      </c>
    </row>
    <row r="330" spans="1:34" ht="15">
      <c r="A330" s="314" t="s">
        <v>155</v>
      </c>
      <c r="B330" s="53">
        <f t="shared" si="54"/>
        <v>32.504999999999995</v>
      </c>
      <c r="C330" s="116"/>
      <c r="D330" s="99"/>
      <c r="E330" s="99"/>
      <c r="F330" s="99"/>
      <c r="G330" s="99">
        <v>0.40500000000000003</v>
      </c>
      <c r="H330" s="99"/>
      <c r="I330" s="99">
        <v>2.673</v>
      </c>
      <c r="J330" s="99"/>
      <c r="K330" s="99">
        <v>0.35099999999999998</v>
      </c>
      <c r="L330" s="99">
        <v>5.859</v>
      </c>
      <c r="M330" s="99"/>
      <c r="N330" s="99">
        <v>0.54</v>
      </c>
      <c r="O330" s="99">
        <v>0.27</v>
      </c>
      <c r="P330" s="99">
        <v>1.08</v>
      </c>
      <c r="Q330" s="99">
        <v>0.13500000000000001</v>
      </c>
      <c r="R330" s="99"/>
      <c r="S330" s="99"/>
      <c r="T330" s="99"/>
      <c r="U330" s="99">
        <v>1.998</v>
      </c>
      <c r="V330" s="99"/>
      <c r="W330" s="99"/>
      <c r="X330" s="99"/>
      <c r="Y330" s="99"/>
      <c r="Z330" s="99"/>
      <c r="AA330" s="99"/>
      <c r="AB330" s="99"/>
      <c r="AC330" s="99"/>
      <c r="AD330" s="99">
        <v>0.91800000000000004</v>
      </c>
      <c r="AE330" s="99">
        <v>12.363</v>
      </c>
      <c r="AF330" s="99">
        <v>5.9130000000000003</v>
      </c>
      <c r="AG330" s="99"/>
      <c r="AH330" s="100">
        <f t="shared" si="55"/>
        <v>32.504999999999995</v>
      </c>
    </row>
    <row r="331" spans="1:34" ht="15">
      <c r="A331" s="314" t="s">
        <v>156</v>
      </c>
      <c r="B331" s="53">
        <f t="shared" si="54"/>
        <v>84.207999999999998</v>
      </c>
      <c r="C331" s="116"/>
      <c r="D331" s="99"/>
      <c r="E331" s="99">
        <v>2.2949999999999999</v>
      </c>
      <c r="F331" s="99">
        <v>6.0750000000000002</v>
      </c>
      <c r="G331" s="99">
        <v>7.452</v>
      </c>
      <c r="H331" s="99">
        <v>0.216</v>
      </c>
      <c r="I331" s="99">
        <v>2.4569999999999999</v>
      </c>
      <c r="J331" s="99"/>
      <c r="K331" s="99"/>
      <c r="L331" s="99">
        <v>2.1059999999999999</v>
      </c>
      <c r="M331" s="99">
        <v>3.6989999999999998</v>
      </c>
      <c r="N331" s="99">
        <v>1.431</v>
      </c>
      <c r="O331" s="99">
        <v>5.593</v>
      </c>
      <c r="P331" s="99">
        <v>14.445</v>
      </c>
      <c r="Q331" s="99"/>
      <c r="R331" s="99"/>
      <c r="S331" s="99"/>
      <c r="T331" s="99"/>
      <c r="U331" s="99"/>
      <c r="V331" s="99"/>
      <c r="W331" s="99">
        <v>38.033999999999999</v>
      </c>
      <c r="X331" s="99"/>
      <c r="Y331" s="99"/>
      <c r="Z331" s="99"/>
      <c r="AA331" s="99"/>
      <c r="AB331" s="99"/>
      <c r="AC331" s="99"/>
      <c r="AD331" s="99">
        <v>0.40500000000000003</v>
      </c>
      <c r="AE331" s="99"/>
      <c r="AF331" s="99"/>
      <c r="AG331" s="99"/>
      <c r="AH331" s="100">
        <f t="shared" si="55"/>
        <v>84.207999999999998</v>
      </c>
    </row>
    <row r="332" spans="1:34" ht="15">
      <c r="A332" s="200" t="s">
        <v>111</v>
      </c>
      <c r="B332" s="200">
        <f t="shared" ref="B332:AH332" si="56">SUM(B320:B331)</f>
        <v>640.41599999999994</v>
      </c>
      <c r="C332" s="100">
        <f t="shared" si="56"/>
        <v>8.8019999999999996</v>
      </c>
      <c r="D332" s="100">
        <f t="shared" si="56"/>
        <v>23.692999999999998</v>
      </c>
      <c r="E332" s="100">
        <f t="shared" si="56"/>
        <v>20.542999999999999</v>
      </c>
      <c r="F332" s="100">
        <f t="shared" si="56"/>
        <v>37.39500000000001</v>
      </c>
      <c r="G332" s="100">
        <f t="shared" si="56"/>
        <v>12.446999999999999</v>
      </c>
      <c r="H332" s="100">
        <f t="shared" si="56"/>
        <v>12.932999999999998</v>
      </c>
      <c r="I332" s="100">
        <f t="shared" si="56"/>
        <v>11.420999999999999</v>
      </c>
      <c r="J332" s="100">
        <f t="shared" si="56"/>
        <v>8.3160000000000007</v>
      </c>
      <c r="K332" s="100">
        <f t="shared" si="56"/>
        <v>18.251999999999999</v>
      </c>
      <c r="L332" s="100">
        <f t="shared" si="56"/>
        <v>9.7199999999999989</v>
      </c>
      <c r="M332" s="100">
        <f t="shared" si="56"/>
        <v>5.8319999999999999</v>
      </c>
      <c r="N332" s="100">
        <f t="shared" si="56"/>
        <v>14.850000000000001</v>
      </c>
      <c r="O332" s="100">
        <f t="shared" si="56"/>
        <v>14.664999999999999</v>
      </c>
      <c r="P332" s="100">
        <f t="shared" si="56"/>
        <v>32.643000000000001</v>
      </c>
      <c r="Q332" s="100">
        <f t="shared" si="56"/>
        <v>9.6389999999999993</v>
      </c>
      <c r="R332" s="100">
        <f t="shared" si="56"/>
        <v>2.5920000000000001</v>
      </c>
      <c r="S332" s="100">
        <f t="shared" si="56"/>
        <v>39.824999999999996</v>
      </c>
      <c r="T332" s="100">
        <f t="shared" si="56"/>
        <v>18.036000000000001</v>
      </c>
      <c r="U332" s="100">
        <f t="shared" si="56"/>
        <v>14.120999999999999</v>
      </c>
      <c r="V332" s="100">
        <f t="shared" si="56"/>
        <v>29.443999999999999</v>
      </c>
      <c r="W332" s="100">
        <f t="shared" si="56"/>
        <v>39.683999999999997</v>
      </c>
      <c r="X332" s="100">
        <f t="shared" si="56"/>
        <v>10.071000000000002</v>
      </c>
      <c r="Y332" s="100">
        <f t="shared" si="56"/>
        <v>29.753999999999998</v>
      </c>
      <c r="Z332" s="100">
        <f t="shared" si="56"/>
        <v>14.199</v>
      </c>
      <c r="AA332" s="100">
        <f t="shared" si="56"/>
        <v>13.491</v>
      </c>
      <c r="AB332" s="100">
        <f t="shared" si="56"/>
        <v>18.745000000000001</v>
      </c>
      <c r="AC332" s="100">
        <f t="shared" si="56"/>
        <v>43.185999999999993</v>
      </c>
      <c r="AD332" s="100">
        <f t="shared" si="56"/>
        <v>24.960000000000004</v>
      </c>
      <c r="AE332" s="100">
        <f t="shared" si="56"/>
        <v>30.696000000000002</v>
      </c>
      <c r="AF332" s="100">
        <f t="shared" si="56"/>
        <v>42.137</v>
      </c>
      <c r="AG332" s="100">
        <f t="shared" si="56"/>
        <v>28.323999999999998</v>
      </c>
      <c r="AH332" s="100">
        <f t="shared" si="56"/>
        <v>640.41599999999994</v>
      </c>
    </row>
    <row r="333" spans="1:34" ht="15">
      <c r="A333" s="478"/>
      <c r="B333" s="478"/>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row>
    <row r="334" spans="1:34" ht="15">
      <c r="A334" s="3890" t="s">
        <v>465</v>
      </c>
      <c r="B334" s="3891"/>
      <c r="C334" s="3892"/>
      <c r="D334" s="14"/>
      <c r="E334" s="14"/>
      <c r="F334" s="14"/>
      <c r="G334" s="14"/>
      <c r="H334" s="14"/>
      <c r="I334" s="114"/>
      <c r="J334" s="14"/>
      <c r="K334" s="14"/>
      <c r="L334" s="14"/>
      <c r="M334" s="98"/>
      <c r="N334" s="14"/>
      <c r="O334" s="14"/>
      <c r="P334" s="14"/>
      <c r="Q334" s="14"/>
      <c r="R334" s="14"/>
      <c r="S334" s="14"/>
      <c r="T334" s="14"/>
      <c r="U334" s="14"/>
      <c r="V334" s="14"/>
      <c r="W334" s="14"/>
      <c r="X334" s="14"/>
      <c r="Y334" s="14"/>
      <c r="Z334" s="14"/>
      <c r="AA334" s="14"/>
      <c r="AB334" s="14"/>
      <c r="AC334" s="14"/>
      <c r="AD334" s="14"/>
      <c r="AE334" s="14"/>
      <c r="AF334" s="14"/>
      <c r="AG334" s="14"/>
      <c r="AH334" s="1"/>
    </row>
    <row r="335" spans="1:34" ht="15">
      <c r="A335" s="8" t="s">
        <v>142</v>
      </c>
      <c r="B335" s="8" t="s">
        <v>143</v>
      </c>
      <c r="C335" s="2907">
        <v>1</v>
      </c>
      <c r="D335" s="73">
        <v>2</v>
      </c>
      <c r="E335" s="73">
        <v>3</v>
      </c>
      <c r="F335" s="73">
        <v>4</v>
      </c>
      <c r="G335" s="73">
        <v>5</v>
      </c>
      <c r="H335" s="73">
        <v>6</v>
      </c>
      <c r="I335" s="73">
        <v>7</v>
      </c>
      <c r="J335" s="73">
        <v>8</v>
      </c>
      <c r="K335" s="73">
        <v>9</v>
      </c>
      <c r="L335" s="73">
        <v>10</v>
      </c>
      <c r="M335" s="73">
        <v>11</v>
      </c>
      <c r="N335" s="73">
        <v>12</v>
      </c>
      <c r="O335" s="73">
        <v>13</v>
      </c>
      <c r="P335" s="73">
        <v>14</v>
      </c>
      <c r="Q335" s="73">
        <v>15</v>
      </c>
      <c r="R335" s="73">
        <v>16</v>
      </c>
      <c r="S335" s="73">
        <v>17</v>
      </c>
      <c r="T335" s="73">
        <v>18</v>
      </c>
      <c r="U335" s="73">
        <v>19</v>
      </c>
      <c r="V335" s="73">
        <v>20</v>
      </c>
      <c r="W335" s="73">
        <v>21</v>
      </c>
      <c r="X335" s="73">
        <v>22</v>
      </c>
      <c r="Y335" s="73">
        <v>23</v>
      </c>
      <c r="Z335" s="73">
        <v>24</v>
      </c>
      <c r="AA335" s="73">
        <v>25</v>
      </c>
      <c r="AB335" s="73">
        <v>26</v>
      </c>
      <c r="AC335" s="73">
        <v>27</v>
      </c>
      <c r="AD335" s="73">
        <v>28</v>
      </c>
      <c r="AE335" s="73">
        <v>29</v>
      </c>
      <c r="AF335" s="73">
        <v>30</v>
      </c>
      <c r="AG335" s="73">
        <v>31</v>
      </c>
      <c r="AH335" s="87" t="s">
        <v>144</v>
      </c>
    </row>
    <row r="336" spans="1:34" ht="15">
      <c r="A336" s="363" t="s">
        <v>145</v>
      </c>
      <c r="B336" s="53">
        <f t="shared" ref="B336:B347" si="57">+AH336</f>
        <v>0</v>
      </c>
      <c r="C336" s="447"/>
      <c r="D336" s="588"/>
      <c r="E336" s="588"/>
      <c r="F336" s="588"/>
      <c r="G336" s="588"/>
      <c r="H336" s="588"/>
      <c r="I336" s="588"/>
      <c r="J336" s="588"/>
      <c r="K336" s="588"/>
      <c r="L336" s="588"/>
      <c r="M336" s="588"/>
      <c r="N336" s="588"/>
      <c r="O336" s="588"/>
      <c r="P336" s="588"/>
      <c r="Q336" s="588"/>
      <c r="R336" s="588"/>
      <c r="S336" s="588"/>
      <c r="T336" s="589"/>
      <c r="U336" s="589"/>
      <c r="V336" s="589"/>
      <c r="W336" s="589"/>
      <c r="X336" s="589"/>
      <c r="Y336" s="589"/>
      <c r="Z336" s="589"/>
      <c r="AA336" s="589"/>
      <c r="AB336" s="589"/>
      <c r="AC336" s="589"/>
      <c r="AD336" s="589"/>
      <c r="AE336" s="589"/>
      <c r="AF336" s="589"/>
      <c r="AG336" s="589"/>
      <c r="AH336" s="100">
        <f>SUM(C336:AG336)</f>
        <v>0</v>
      </c>
    </row>
    <row r="337" spans="1:34" ht="15">
      <c r="A337" s="363" t="s">
        <v>146</v>
      </c>
      <c r="B337" s="53">
        <f t="shared" si="57"/>
        <v>3.39</v>
      </c>
      <c r="C337" s="589"/>
      <c r="D337" s="589"/>
      <c r="E337" s="589"/>
      <c r="F337" s="589"/>
      <c r="G337" s="589"/>
      <c r="H337" s="589"/>
      <c r="I337" s="589"/>
      <c r="J337" s="589"/>
      <c r="K337" s="589"/>
      <c r="L337" s="589"/>
      <c r="M337" s="589"/>
      <c r="N337" s="589"/>
      <c r="O337" s="589"/>
      <c r="P337" s="589"/>
      <c r="Q337" s="589"/>
      <c r="R337" s="99"/>
      <c r="S337" s="99"/>
      <c r="T337" s="99"/>
      <c r="U337" s="99"/>
      <c r="V337" s="99">
        <v>0.55000000000000004</v>
      </c>
      <c r="W337" s="99"/>
      <c r="X337" s="99">
        <v>0.2</v>
      </c>
      <c r="Y337" s="99"/>
      <c r="Z337" s="99">
        <v>0.15</v>
      </c>
      <c r="AA337" s="99"/>
      <c r="AB337" s="99"/>
      <c r="AC337" s="99">
        <v>1.74</v>
      </c>
      <c r="AD337" s="99">
        <v>0.75</v>
      </c>
      <c r="AE337" s="99"/>
      <c r="AF337" s="99"/>
      <c r="AG337" s="99"/>
      <c r="AH337" s="100">
        <f t="shared" ref="AH337:AH347" si="58">SUM(C337:AG337)</f>
        <v>3.39</v>
      </c>
    </row>
    <row r="338" spans="1:34" ht="15">
      <c r="A338" s="363" t="s">
        <v>147</v>
      </c>
      <c r="B338" s="53">
        <f t="shared" si="57"/>
        <v>21.559999999999995</v>
      </c>
      <c r="C338" s="116"/>
      <c r="D338" s="99"/>
      <c r="E338" s="99"/>
      <c r="F338" s="99"/>
      <c r="G338" s="99">
        <v>0.6</v>
      </c>
      <c r="H338" s="99"/>
      <c r="I338" s="99"/>
      <c r="J338" s="99"/>
      <c r="K338" s="99">
        <v>1.2</v>
      </c>
      <c r="L338" s="99"/>
      <c r="M338" s="99"/>
      <c r="N338" s="99"/>
      <c r="O338" s="99"/>
      <c r="P338" s="99"/>
      <c r="Q338" s="99"/>
      <c r="R338" s="99"/>
      <c r="S338" s="99"/>
      <c r="T338" s="99"/>
      <c r="U338" s="99">
        <v>0.9</v>
      </c>
      <c r="V338" s="99"/>
      <c r="W338" s="99">
        <v>0.78</v>
      </c>
      <c r="X338" s="99"/>
      <c r="Y338" s="99">
        <v>1.2149999999999999</v>
      </c>
      <c r="Z338" s="99"/>
      <c r="AA338" s="99"/>
      <c r="AB338" s="99"/>
      <c r="AC338" s="99">
        <v>1.86</v>
      </c>
      <c r="AD338" s="99">
        <v>6.5099999999999989</v>
      </c>
      <c r="AE338" s="99">
        <v>6.6199999999999992</v>
      </c>
      <c r="AF338" s="99">
        <v>1.875</v>
      </c>
      <c r="AG338" s="99"/>
      <c r="AH338" s="100">
        <f t="shared" si="58"/>
        <v>21.559999999999995</v>
      </c>
    </row>
    <row r="339" spans="1:34" ht="15">
      <c r="A339" s="363" t="s">
        <v>148</v>
      </c>
      <c r="B339" s="53">
        <f t="shared" si="57"/>
        <v>27.775000000000002</v>
      </c>
      <c r="C339" s="488"/>
      <c r="D339" s="549">
        <v>0.06</v>
      </c>
      <c r="E339" s="549">
        <v>2.1</v>
      </c>
      <c r="F339" s="549">
        <v>5.99</v>
      </c>
      <c r="G339" s="549">
        <v>5.5350000000000001</v>
      </c>
      <c r="H339" s="549"/>
      <c r="I339" s="549"/>
      <c r="J339" s="549"/>
      <c r="K339" s="549"/>
      <c r="L339" s="549"/>
      <c r="M339" s="549"/>
      <c r="N339" s="549"/>
      <c r="O339" s="549">
        <v>3.5</v>
      </c>
      <c r="P339" s="549"/>
      <c r="Q339" s="549"/>
      <c r="R339" s="549"/>
      <c r="S339" s="549">
        <v>1.08</v>
      </c>
      <c r="T339" s="549">
        <v>0.39</v>
      </c>
      <c r="U339" s="549"/>
      <c r="V339" s="549">
        <v>2.72</v>
      </c>
      <c r="W339" s="549"/>
      <c r="X339" s="549"/>
      <c r="Y339" s="549">
        <v>3.53</v>
      </c>
      <c r="Z339" s="549"/>
      <c r="AA339" s="549"/>
      <c r="AB339" s="549">
        <v>0.3</v>
      </c>
      <c r="AC339" s="549">
        <v>2.09</v>
      </c>
      <c r="AD339" s="549"/>
      <c r="AE339" s="549"/>
      <c r="AF339" s="549">
        <v>0.48</v>
      </c>
      <c r="AG339" s="549"/>
      <c r="AH339" s="100">
        <f t="shared" si="58"/>
        <v>27.775000000000002</v>
      </c>
    </row>
    <row r="340" spans="1:34" ht="15">
      <c r="A340" s="363" t="s">
        <v>149</v>
      </c>
      <c r="B340" s="53">
        <f t="shared" si="57"/>
        <v>12.03</v>
      </c>
      <c r="C340" s="488"/>
      <c r="D340" s="549"/>
      <c r="E340" s="549"/>
      <c r="F340" s="549">
        <v>2.0499999999999998</v>
      </c>
      <c r="G340" s="549"/>
      <c r="H340" s="549"/>
      <c r="I340" s="549"/>
      <c r="J340" s="549">
        <v>2.25</v>
      </c>
      <c r="K340" s="549">
        <v>1.59</v>
      </c>
      <c r="L340" s="549"/>
      <c r="M340" s="549"/>
      <c r="N340" s="549"/>
      <c r="O340" s="549"/>
      <c r="P340" s="549"/>
      <c r="Q340" s="549">
        <v>0.15</v>
      </c>
      <c r="R340" s="549"/>
      <c r="S340" s="99"/>
      <c r="T340" s="99">
        <v>3.81</v>
      </c>
      <c r="U340" s="99"/>
      <c r="V340" s="99"/>
      <c r="W340" s="99"/>
      <c r="X340" s="99"/>
      <c r="Y340" s="99"/>
      <c r="Z340" s="99"/>
      <c r="AA340" s="99"/>
      <c r="AB340" s="99"/>
      <c r="AC340" s="99"/>
      <c r="AD340" s="99"/>
      <c r="AE340" s="99"/>
      <c r="AF340" s="99">
        <v>0.18</v>
      </c>
      <c r="AG340" s="99">
        <v>2</v>
      </c>
      <c r="AH340" s="100">
        <f t="shared" si="58"/>
        <v>12.03</v>
      </c>
    </row>
    <row r="341" spans="1:34" ht="15">
      <c r="A341" s="363" t="s">
        <v>150</v>
      </c>
      <c r="B341" s="53">
        <f t="shared" si="57"/>
        <v>34.934999999999995</v>
      </c>
      <c r="C341" s="116">
        <v>0.52</v>
      </c>
      <c r="D341" s="99"/>
      <c r="E341" s="99"/>
      <c r="F341" s="99"/>
      <c r="G341" s="99">
        <v>0.64500000000000002</v>
      </c>
      <c r="H341" s="99"/>
      <c r="I341" s="99"/>
      <c r="J341" s="99">
        <v>3.06</v>
      </c>
      <c r="K341" s="99"/>
      <c r="L341" s="99"/>
      <c r="M341" s="99">
        <v>1.875</v>
      </c>
      <c r="N341" s="99"/>
      <c r="O341" s="99"/>
      <c r="P341" s="99">
        <v>2.29</v>
      </c>
      <c r="Q341" s="99">
        <v>4.7</v>
      </c>
      <c r="R341" s="99"/>
      <c r="S341" s="99"/>
      <c r="T341" s="99"/>
      <c r="U341" s="99">
        <v>4.8600000000000003</v>
      </c>
      <c r="V341" s="99"/>
      <c r="W341" s="99">
        <v>2.0299999999999998</v>
      </c>
      <c r="X341" s="99">
        <v>1.65</v>
      </c>
      <c r="Y341" s="99"/>
      <c r="Z341" s="99"/>
      <c r="AA341" s="99">
        <v>2.92</v>
      </c>
      <c r="AB341" s="99">
        <v>5.84</v>
      </c>
      <c r="AC341" s="99"/>
      <c r="AD341" s="99">
        <v>4.5449999999999999</v>
      </c>
      <c r="AE341" s="99"/>
      <c r="AF341" s="99"/>
      <c r="AG341" s="99"/>
      <c r="AH341" s="100">
        <f t="shared" si="58"/>
        <v>34.934999999999995</v>
      </c>
    </row>
    <row r="342" spans="1:34" ht="15">
      <c r="A342" s="314" t="s">
        <v>151</v>
      </c>
      <c r="B342" s="53">
        <f t="shared" si="57"/>
        <v>17.790000000000003</v>
      </c>
      <c r="C342" s="116"/>
      <c r="D342" s="99"/>
      <c r="E342" s="99">
        <v>2.31</v>
      </c>
      <c r="F342" s="99"/>
      <c r="G342" s="99">
        <v>5.29</v>
      </c>
      <c r="H342" s="99">
        <v>5.21</v>
      </c>
      <c r="I342" s="99"/>
      <c r="J342" s="99"/>
      <c r="K342" s="99">
        <v>1.84</v>
      </c>
      <c r="L342" s="99"/>
      <c r="M342" s="99"/>
      <c r="N342" s="99"/>
      <c r="O342" s="99"/>
      <c r="P342" s="99"/>
      <c r="Q342" s="99"/>
      <c r="R342" s="99"/>
      <c r="S342" s="99"/>
      <c r="T342" s="99">
        <v>1</v>
      </c>
      <c r="U342" s="99"/>
      <c r="V342" s="99">
        <v>0.3</v>
      </c>
      <c r="W342" s="99"/>
      <c r="X342" s="99"/>
      <c r="Y342" s="99">
        <v>1.3</v>
      </c>
      <c r="Z342" s="99"/>
      <c r="AA342" s="99"/>
      <c r="AB342" s="99"/>
      <c r="AC342" s="99">
        <v>0.51</v>
      </c>
      <c r="AD342" s="99"/>
      <c r="AE342" s="99"/>
      <c r="AF342" s="99"/>
      <c r="AG342" s="99">
        <v>0.03</v>
      </c>
      <c r="AH342" s="100">
        <f t="shared" si="58"/>
        <v>17.790000000000003</v>
      </c>
    </row>
    <row r="343" spans="1:34" ht="15">
      <c r="A343" s="314" t="s">
        <v>152</v>
      </c>
      <c r="B343" s="53">
        <f t="shared" si="57"/>
        <v>8.9600000000000009</v>
      </c>
      <c r="C343" s="116"/>
      <c r="D343" s="99"/>
      <c r="E343" s="99">
        <v>1.49</v>
      </c>
      <c r="F343" s="99"/>
      <c r="G343" s="99"/>
      <c r="H343" s="99">
        <v>2.94</v>
      </c>
      <c r="I343" s="99"/>
      <c r="J343" s="99"/>
      <c r="K343" s="99"/>
      <c r="L343" s="99"/>
      <c r="M343" s="99"/>
      <c r="N343" s="99"/>
      <c r="O343" s="99"/>
      <c r="P343" s="99"/>
      <c r="Q343" s="53"/>
      <c r="R343" s="53"/>
      <c r="S343" s="53">
        <v>0.15</v>
      </c>
      <c r="T343" s="53"/>
      <c r="U343" s="53"/>
      <c r="V343" s="53">
        <v>0.53</v>
      </c>
      <c r="W343" s="53"/>
      <c r="X343" s="53"/>
      <c r="Y343" s="53">
        <v>0.06</v>
      </c>
      <c r="Z343" s="53"/>
      <c r="AA343" s="53"/>
      <c r="AB343" s="53"/>
      <c r="AC343" s="53"/>
      <c r="AD343" s="53"/>
      <c r="AE343" s="53"/>
      <c r="AF343" s="53">
        <v>0.82</v>
      </c>
      <c r="AG343" s="53">
        <v>2.97</v>
      </c>
      <c r="AH343" s="100">
        <f t="shared" si="58"/>
        <v>8.9600000000000009</v>
      </c>
    </row>
    <row r="344" spans="1:34" ht="15">
      <c r="A344" s="314" t="s">
        <v>153</v>
      </c>
      <c r="B344" s="53">
        <f t="shared" si="57"/>
        <v>0</v>
      </c>
      <c r="C344" s="188" t="s">
        <v>162</v>
      </c>
      <c r="D344" s="188" t="s">
        <v>162</v>
      </c>
      <c r="E344" s="188" t="s">
        <v>162</v>
      </c>
      <c r="F344" s="188" t="s">
        <v>162</v>
      </c>
      <c r="G344" s="188" t="s">
        <v>162</v>
      </c>
      <c r="H344" s="188" t="s">
        <v>162</v>
      </c>
      <c r="I344" s="188" t="s">
        <v>162</v>
      </c>
      <c r="J344" s="188" t="s">
        <v>162</v>
      </c>
      <c r="K344" s="188" t="s">
        <v>162</v>
      </c>
      <c r="L344" s="188" t="s">
        <v>162</v>
      </c>
      <c r="M344" s="188" t="s">
        <v>162</v>
      </c>
      <c r="N344" s="188" t="s">
        <v>162</v>
      </c>
      <c r="O344" s="188" t="s">
        <v>162</v>
      </c>
      <c r="P344" s="188" t="s">
        <v>162</v>
      </c>
      <c r="Q344" s="188" t="s">
        <v>162</v>
      </c>
      <c r="R344" s="188" t="s">
        <v>162</v>
      </c>
      <c r="S344" s="188" t="s">
        <v>162</v>
      </c>
      <c r="T344" s="188" t="s">
        <v>162</v>
      </c>
      <c r="U344" s="188" t="s">
        <v>162</v>
      </c>
      <c r="V344" s="188" t="s">
        <v>162</v>
      </c>
      <c r="W344" s="188" t="s">
        <v>162</v>
      </c>
      <c r="X344" s="188" t="s">
        <v>162</v>
      </c>
      <c r="Y344" s="188" t="s">
        <v>162</v>
      </c>
      <c r="Z344" s="188" t="s">
        <v>162</v>
      </c>
      <c r="AA344" s="188" t="s">
        <v>162</v>
      </c>
      <c r="AB344" s="188" t="s">
        <v>162</v>
      </c>
      <c r="AC344" s="188" t="s">
        <v>162</v>
      </c>
      <c r="AD344" s="188" t="s">
        <v>162</v>
      </c>
      <c r="AE344" s="188" t="s">
        <v>162</v>
      </c>
      <c r="AF344" s="188" t="s">
        <v>162</v>
      </c>
      <c r="AG344" s="188" t="s">
        <v>162</v>
      </c>
      <c r="AH344" s="100">
        <f t="shared" si="58"/>
        <v>0</v>
      </c>
    </row>
    <row r="345" spans="1:34" ht="15">
      <c r="A345" s="314" t="s">
        <v>154</v>
      </c>
      <c r="B345" s="53">
        <f t="shared" si="57"/>
        <v>18.418000000000003</v>
      </c>
      <c r="C345" s="116"/>
      <c r="D345" s="99">
        <v>0.3</v>
      </c>
      <c r="E345" s="99">
        <v>0.81</v>
      </c>
      <c r="F345" s="99"/>
      <c r="G345" s="99"/>
      <c r="H345" s="99"/>
      <c r="I345" s="99"/>
      <c r="J345" s="99">
        <v>0.54800000000000004</v>
      </c>
      <c r="K345" s="99">
        <v>1.37</v>
      </c>
      <c r="L345" s="99">
        <v>0.06</v>
      </c>
      <c r="M345" s="99">
        <v>0.09</v>
      </c>
      <c r="N345" s="99"/>
      <c r="O345" s="99"/>
      <c r="P345" s="99"/>
      <c r="Q345" s="99"/>
      <c r="R345" s="99"/>
      <c r="S345" s="99">
        <v>4.2699999999999996</v>
      </c>
      <c r="T345" s="99"/>
      <c r="U345" s="99">
        <v>1.85</v>
      </c>
      <c r="V345" s="99"/>
      <c r="W345" s="99"/>
      <c r="X345" s="99">
        <v>1</v>
      </c>
      <c r="Y345" s="99">
        <v>0.6</v>
      </c>
      <c r="Z345" s="99">
        <v>1.1200000000000001</v>
      </c>
      <c r="AA345" s="99"/>
      <c r="AB345" s="99">
        <v>4.5</v>
      </c>
      <c r="AC345" s="99"/>
      <c r="AD345" s="99"/>
      <c r="AE345" s="99"/>
      <c r="AF345" s="99">
        <v>0.3</v>
      </c>
      <c r="AG345" s="99">
        <v>1.6</v>
      </c>
      <c r="AH345" s="100">
        <f t="shared" si="58"/>
        <v>18.418000000000003</v>
      </c>
    </row>
    <row r="346" spans="1:34" ht="15">
      <c r="A346" s="314" t="s">
        <v>155</v>
      </c>
      <c r="B346" s="53">
        <f t="shared" si="57"/>
        <v>23.775000000000002</v>
      </c>
      <c r="C346" s="116"/>
      <c r="D346" s="99">
        <v>1.63</v>
      </c>
      <c r="E346" s="99"/>
      <c r="F346" s="99"/>
      <c r="G346" s="99">
        <v>1.7849999999999999</v>
      </c>
      <c r="H346" s="99"/>
      <c r="I346" s="99">
        <v>4.62</v>
      </c>
      <c r="J346" s="99"/>
      <c r="K346" s="99">
        <v>0.7</v>
      </c>
      <c r="L346" s="99">
        <v>6.73</v>
      </c>
      <c r="M346" s="99"/>
      <c r="N346" s="99">
        <v>3</v>
      </c>
      <c r="O346" s="99"/>
      <c r="P346" s="99">
        <v>2.78</v>
      </c>
      <c r="Q346" s="99">
        <v>0.45</v>
      </c>
      <c r="R346" s="99"/>
      <c r="S346" s="99"/>
      <c r="T346" s="99"/>
      <c r="U346" s="99">
        <v>1.96</v>
      </c>
      <c r="V346" s="99"/>
      <c r="W346" s="99"/>
      <c r="X346" s="99"/>
      <c r="Y346" s="99"/>
      <c r="Z346" s="99"/>
      <c r="AA346" s="99"/>
      <c r="AB346" s="99"/>
      <c r="AC346" s="99"/>
      <c r="AD346" s="99"/>
      <c r="AE346" s="99"/>
      <c r="AF346" s="99">
        <v>0.12</v>
      </c>
      <c r="AG346" s="99"/>
      <c r="AH346" s="100">
        <f t="shared" si="58"/>
        <v>23.775000000000002</v>
      </c>
    </row>
    <row r="347" spans="1:34" ht="15">
      <c r="A347" s="314" t="s">
        <v>156</v>
      </c>
      <c r="B347" s="53">
        <f t="shared" si="57"/>
        <v>3.8149999999999995</v>
      </c>
      <c r="C347" s="116"/>
      <c r="D347" s="99"/>
      <c r="E347" s="99">
        <v>0.15</v>
      </c>
      <c r="F347" s="99"/>
      <c r="G347" s="99"/>
      <c r="H347" s="99"/>
      <c r="I347" s="99">
        <v>0.84</v>
      </c>
      <c r="J347" s="99"/>
      <c r="K347" s="99"/>
      <c r="L347" s="99"/>
      <c r="M347" s="99"/>
      <c r="N347" s="99"/>
      <c r="O347" s="99"/>
      <c r="P347" s="99"/>
      <c r="Q347" s="99"/>
      <c r="R347" s="99"/>
      <c r="S347" s="99">
        <v>0.6</v>
      </c>
      <c r="T347" s="99"/>
      <c r="U347" s="99"/>
      <c r="V347" s="99"/>
      <c r="W347" s="99">
        <v>0.57999999999999996</v>
      </c>
      <c r="X347" s="99"/>
      <c r="Y347" s="99"/>
      <c r="Z347" s="99"/>
      <c r="AA347" s="99"/>
      <c r="AB347" s="99">
        <v>0.69</v>
      </c>
      <c r="AC347" s="99">
        <v>0.01</v>
      </c>
      <c r="AD347" s="99">
        <v>0.94499999999999995</v>
      </c>
      <c r="AE347" s="99"/>
      <c r="AF347" s="99"/>
      <c r="AG347" s="99"/>
      <c r="AH347" s="100">
        <f t="shared" si="58"/>
        <v>3.8149999999999995</v>
      </c>
    </row>
    <row r="348" spans="1:34" ht="15">
      <c r="A348" s="200" t="s">
        <v>111</v>
      </c>
      <c r="B348" s="200">
        <f t="shared" ref="B348:AH348" si="59">SUM(B336:B347)</f>
        <v>172.44800000000001</v>
      </c>
      <c r="C348" s="100">
        <f t="shared" si="59"/>
        <v>0.52</v>
      </c>
      <c r="D348" s="100">
        <f t="shared" si="59"/>
        <v>1.9899999999999998</v>
      </c>
      <c r="E348" s="100">
        <f t="shared" si="59"/>
        <v>6.8600000000000012</v>
      </c>
      <c r="F348" s="100">
        <f t="shared" si="59"/>
        <v>8.0399999999999991</v>
      </c>
      <c r="G348" s="100">
        <f t="shared" si="59"/>
        <v>13.855</v>
      </c>
      <c r="H348" s="100">
        <f t="shared" si="59"/>
        <v>8.15</v>
      </c>
      <c r="I348" s="100">
        <f t="shared" si="59"/>
        <v>5.46</v>
      </c>
      <c r="J348" s="100">
        <f t="shared" si="59"/>
        <v>5.8580000000000005</v>
      </c>
      <c r="K348" s="100">
        <f t="shared" si="59"/>
        <v>6.7</v>
      </c>
      <c r="L348" s="100">
        <f t="shared" si="59"/>
        <v>6.79</v>
      </c>
      <c r="M348" s="100">
        <f t="shared" si="59"/>
        <v>1.9650000000000001</v>
      </c>
      <c r="N348" s="100">
        <f t="shared" si="59"/>
        <v>3</v>
      </c>
      <c r="O348" s="100">
        <f t="shared" si="59"/>
        <v>3.5</v>
      </c>
      <c r="P348" s="100">
        <f t="shared" si="59"/>
        <v>5.07</v>
      </c>
      <c r="Q348" s="100">
        <f t="shared" si="59"/>
        <v>5.3000000000000007</v>
      </c>
      <c r="R348" s="100">
        <f t="shared" si="59"/>
        <v>0</v>
      </c>
      <c r="S348" s="100">
        <f t="shared" si="59"/>
        <v>6.1</v>
      </c>
      <c r="T348" s="100">
        <f t="shared" si="59"/>
        <v>5.2</v>
      </c>
      <c r="U348" s="100">
        <f t="shared" si="59"/>
        <v>9.57</v>
      </c>
      <c r="V348" s="100">
        <f t="shared" si="59"/>
        <v>4.1000000000000005</v>
      </c>
      <c r="W348" s="100">
        <f t="shared" si="59"/>
        <v>3.3899999999999997</v>
      </c>
      <c r="X348" s="100">
        <f t="shared" si="59"/>
        <v>2.8499999999999996</v>
      </c>
      <c r="Y348" s="100">
        <f t="shared" si="59"/>
        <v>6.7049999999999983</v>
      </c>
      <c r="Z348" s="100">
        <f t="shared" si="59"/>
        <v>1.27</v>
      </c>
      <c r="AA348" s="100">
        <f t="shared" si="59"/>
        <v>2.92</v>
      </c>
      <c r="AB348" s="100">
        <f t="shared" si="59"/>
        <v>11.33</v>
      </c>
      <c r="AC348" s="100">
        <f t="shared" si="59"/>
        <v>6.2099999999999991</v>
      </c>
      <c r="AD348" s="100">
        <f t="shared" si="59"/>
        <v>12.75</v>
      </c>
      <c r="AE348" s="100">
        <f t="shared" si="59"/>
        <v>6.6199999999999992</v>
      </c>
      <c r="AF348" s="100">
        <f t="shared" si="59"/>
        <v>3.7749999999999999</v>
      </c>
      <c r="AG348" s="100">
        <f t="shared" si="59"/>
        <v>6.6</v>
      </c>
      <c r="AH348" s="100">
        <f t="shared" si="59"/>
        <v>172.44800000000001</v>
      </c>
    </row>
    <row r="349" spans="1:34" ht="15">
      <c r="A349" s="478"/>
      <c r="B349" s="478"/>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row>
    <row r="350" spans="1:34" ht="15">
      <c r="A350" s="3890" t="s">
        <v>469</v>
      </c>
      <c r="B350" s="3891"/>
      <c r="C350" s="3892"/>
      <c r="D350" s="14"/>
      <c r="E350" s="14"/>
      <c r="F350" s="14"/>
      <c r="G350" s="14"/>
      <c r="H350" s="14"/>
      <c r="I350" s="14"/>
      <c r="J350" s="14"/>
      <c r="K350" s="14"/>
      <c r="L350" s="14"/>
      <c r="M350" s="98"/>
      <c r="N350" s="14"/>
      <c r="O350" s="14"/>
      <c r="P350" s="14"/>
      <c r="Q350" s="14"/>
      <c r="R350" s="14"/>
      <c r="S350" s="14"/>
      <c r="T350" s="14"/>
      <c r="U350" s="14"/>
      <c r="V350" s="14"/>
      <c r="W350" s="14"/>
      <c r="X350" s="14"/>
      <c r="Y350" s="14"/>
      <c r="Z350" s="14"/>
      <c r="AA350" s="14"/>
      <c r="AB350" s="14"/>
      <c r="AC350" s="14"/>
      <c r="AD350" s="14"/>
      <c r="AE350" s="14"/>
      <c r="AF350" s="14"/>
      <c r="AG350" s="14"/>
      <c r="AH350" s="1"/>
    </row>
    <row r="351" spans="1:34" ht="15">
      <c r="A351" s="8" t="s">
        <v>142</v>
      </c>
      <c r="B351" s="8" t="s">
        <v>143</v>
      </c>
      <c r="C351" s="2907">
        <v>1</v>
      </c>
      <c r="D351" s="73">
        <v>2</v>
      </c>
      <c r="E351" s="73">
        <v>3</v>
      </c>
      <c r="F351" s="73">
        <v>4</v>
      </c>
      <c r="G351" s="73">
        <v>5</v>
      </c>
      <c r="H351" s="73">
        <v>6</v>
      </c>
      <c r="I351" s="73">
        <v>7</v>
      </c>
      <c r="J351" s="73">
        <v>8</v>
      </c>
      <c r="K351" s="73">
        <v>9</v>
      </c>
      <c r="L351" s="73">
        <v>10</v>
      </c>
      <c r="M351" s="73">
        <v>11</v>
      </c>
      <c r="N351" s="73">
        <v>12</v>
      </c>
      <c r="O351" s="73">
        <v>13</v>
      </c>
      <c r="P351" s="73">
        <v>14</v>
      </c>
      <c r="Q351" s="73">
        <v>15</v>
      </c>
      <c r="R351" s="73">
        <v>16</v>
      </c>
      <c r="S351" s="73">
        <v>17</v>
      </c>
      <c r="T351" s="73">
        <v>18</v>
      </c>
      <c r="U351" s="73">
        <v>19</v>
      </c>
      <c r="V351" s="73">
        <v>20</v>
      </c>
      <c r="W351" s="73">
        <v>21</v>
      </c>
      <c r="X351" s="73">
        <v>22</v>
      </c>
      <c r="Y351" s="73">
        <v>23</v>
      </c>
      <c r="Z351" s="73">
        <v>24</v>
      </c>
      <c r="AA351" s="73">
        <v>25</v>
      </c>
      <c r="AB351" s="73">
        <v>26</v>
      </c>
      <c r="AC351" s="73">
        <v>27</v>
      </c>
      <c r="AD351" s="73">
        <v>28</v>
      </c>
      <c r="AE351" s="73">
        <v>29</v>
      </c>
      <c r="AF351" s="73">
        <v>30</v>
      </c>
      <c r="AG351" s="73">
        <v>31</v>
      </c>
      <c r="AH351" s="87" t="s">
        <v>144</v>
      </c>
    </row>
    <row r="352" spans="1:34" ht="15">
      <c r="A352" s="363" t="s">
        <v>145</v>
      </c>
      <c r="B352" s="53">
        <f t="shared" ref="B352:B363" si="60">+AH352</f>
        <v>0</v>
      </c>
      <c r="C352" s="447"/>
      <c r="D352" s="588"/>
      <c r="E352" s="588"/>
      <c r="F352" s="588"/>
      <c r="G352" s="588"/>
      <c r="H352" s="588"/>
      <c r="I352" s="588"/>
      <c r="J352" s="588"/>
      <c r="K352" s="588"/>
      <c r="L352" s="588"/>
      <c r="M352" s="588"/>
      <c r="N352" s="588"/>
      <c r="O352" s="588"/>
      <c r="P352" s="588"/>
      <c r="Q352" s="588"/>
      <c r="R352" s="588"/>
      <c r="S352" s="588"/>
      <c r="T352" s="589"/>
      <c r="U352" s="589"/>
      <c r="V352" s="589"/>
      <c r="W352" s="589"/>
      <c r="X352" s="589"/>
      <c r="Y352" s="589"/>
      <c r="Z352" s="589"/>
      <c r="AA352" s="589"/>
      <c r="AB352" s="589"/>
      <c r="AC352" s="589"/>
      <c r="AD352" s="589"/>
      <c r="AE352" s="589"/>
      <c r="AF352" s="589"/>
      <c r="AG352" s="589"/>
      <c r="AH352" s="100">
        <f>SUM(C352:AG352)</f>
        <v>0</v>
      </c>
    </row>
    <row r="353" spans="1:34" ht="15">
      <c r="A353" s="363" t="s">
        <v>146</v>
      </c>
      <c r="B353" s="53">
        <f t="shared" si="60"/>
        <v>5.9760000000000009</v>
      </c>
      <c r="C353" s="589"/>
      <c r="D353" s="589"/>
      <c r="E353" s="589"/>
      <c r="F353" s="589"/>
      <c r="G353" s="589"/>
      <c r="H353" s="589"/>
      <c r="I353" s="589"/>
      <c r="J353" s="589"/>
      <c r="K353" s="589"/>
      <c r="L353" s="589"/>
      <c r="M353" s="589"/>
      <c r="N353" s="589"/>
      <c r="O353" s="589"/>
      <c r="P353" s="589"/>
      <c r="Q353" s="589"/>
      <c r="R353" s="99"/>
      <c r="S353" s="99">
        <v>2.7</v>
      </c>
      <c r="T353" s="99"/>
      <c r="U353" s="99"/>
      <c r="V353" s="99">
        <v>0.996</v>
      </c>
      <c r="W353" s="99"/>
      <c r="X353" s="99">
        <v>1.3</v>
      </c>
      <c r="Y353" s="99"/>
      <c r="Z353" s="99"/>
      <c r="AA353" s="99"/>
      <c r="AB353" s="99"/>
      <c r="AC353" s="99">
        <v>0.48</v>
      </c>
      <c r="AD353" s="99">
        <v>0.5</v>
      </c>
      <c r="AE353" s="99"/>
      <c r="AF353" s="99"/>
      <c r="AG353" s="99"/>
      <c r="AH353" s="100">
        <f t="shared" ref="AH353:AH363" si="61">SUM(C353:AG353)</f>
        <v>5.9760000000000009</v>
      </c>
    </row>
    <row r="354" spans="1:34" ht="15">
      <c r="A354" s="363" t="s">
        <v>147</v>
      </c>
      <c r="B354" s="53">
        <f t="shared" si="60"/>
        <v>12.56</v>
      </c>
      <c r="C354" s="116"/>
      <c r="D354" s="99">
        <v>0.3</v>
      </c>
      <c r="E354" s="99"/>
      <c r="F354" s="99"/>
      <c r="G354" s="99"/>
      <c r="H354" s="99"/>
      <c r="I354" s="99"/>
      <c r="J354" s="99"/>
      <c r="K354" s="99"/>
      <c r="L354" s="99"/>
      <c r="M354" s="99"/>
      <c r="N354" s="99"/>
      <c r="O354" s="99"/>
      <c r="P354" s="99"/>
      <c r="Q354" s="99"/>
      <c r="R354" s="99"/>
      <c r="S354" s="99"/>
      <c r="T354" s="99"/>
      <c r="U354" s="99"/>
      <c r="V354" s="99"/>
      <c r="W354" s="99">
        <v>1.62</v>
      </c>
      <c r="X354" s="99"/>
      <c r="Y354" s="99">
        <v>1.1000000000000001</v>
      </c>
      <c r="Z354" s="99"/>
      <c r="AA354" s="99"/>
      <c r="AB354" s="99"/>
      <c r="AC354" s="99">
        <v>0.48000000000000004</v>
      </c>
      <c r="AD354" s="99">
        <v>3.81</v>
      </c>
      <c r="AE354" s="99">
        <v>5.25</v>
      </c>
      <c r="AF354" s="99"/>
      <c r="AG354" s="99"/>
      <c r="AH354" s="100">
        <f t="shared" si="61"/>
        <v>12.56</v>
      </c>
    </row>
    <row r="355" spans="1:34" ht="15">
      <c r="A355" s="363" t="s">
        <v>148</v>
      </c>
      <c r="B355" s="53">
        <f t="shared" si="60"/>
        <v>20.270000000000003</v>
      </c>
      <c r="C355" s="488"/>
      <c r="D355" s="549"/>
      <c r="E355" s="549">
        <v>1.08</v>
      </c>
      <c r="F355" s="549">
        <v>6.9300000000000006</v>
      </c>
      <c r="G355" s="549">
        <v>2.5499999999999998</v>
      </c>
      <c r="H355" s="549"/>
      <c r="I355" s="549"/>
      <c r="J355" s="549"/>
      <c r="K355" s="549"/>
      <c r="L355" s="549"/>
      <c r="M355" s="549">
        <v>0.12</v>
      </c>
      <c r="N355" s="549">
        <v>0.3</v>
      </c>
      <c r="O355" s="549">
        <v>1.33</v>
      </c>
      <c r="P355" s="549"/>
      <c r="Q355" s="549"/>
      <c r="R355" s="549"/>
      <c r="S355" s="549">
        <v>1.7</v>
      </c>
      <c r="T355" s="549"/>
      <c r="U355" s="549"/>
      <c r="V355" s="549">
        <v>2.56</v>
      </c>
      <c r="W355" s="549"/>
      <c r="X355" s="549"/>
      <c r="Y355" s="549">
        <v>1.85</v>
      </c>
      <c r="Z355" s="549"/>
      <c r="AA355" s="549"/>
      <c r="AB355" s="549"/>
      <c r="AC355" s="549">
        <v>0.6</v>
      </c>
      <c r="AD355" s="549"/>
      <c r="AE355" s="549"/>
      <c r="AF355" s="549">
        <v>1.25</v>
      </c>
      <c r="AG355" s="549"/>
      <c r="AH355" s="100">
        <f t="shared" si="61"/>
        <v>20.270000000000003</v>
      </c>
    </row>
    <row r="356" spans="1:34" ht="15">
      <c r="A356" s="363" t="s">
        <v>149</v>
      </c>
      <c r="B356" s="53">
        <f t="shared" si="60"/>
        <v>8.5050000000000008</v>
      </c>
      <c r="C356" s="488"/>
      <c r="D356" s="549"/>
      <c r="E356" s="549"/>
      <c r="F356" s="549">
        <v>2.8</v>
      </c>
      <c r="G356" s="549"/>
      <c r="H356" s="549"/>
      <c r="I356" s="549"/>
      <c r="J356" s="549">
        <v>0.19</v>
      </c>
      <c r="K356" s="549">
        <v>1.25</v>
      </c>
      <c r="L356" s="549"/>
      <c r="M356" s="549"/>
      <c r="N356" s="549"/>
      <c r="O356" s="549"/>
      <c r="P356" s="549"/>
      <c r="Q356" s="549"/>
      <c r="R356" s="549"/>
      <c r="S356" s="549"/>
      <c r="T356" s="549">
        <v>4.18</v>
      </c>
      <c r="U356" s="549"/>
      <c r="V356" s="549"/>
      <c r="W356" s="549"/>
      <c r="X356" s="549"/>
      <c r="Y356" s="549"/>
      <c r="Z356" s="549"/>
      <c r="AA356" s="549"/>
      <c r="AB356" s="549"/>
      <c r="AC356" s="549"/>
      <c r="AD356" s="99"/>
      <c r="AE356" s="99"/>
      <c r="AF356" s="99"/>
      <c r="AG356" s="99">
        <v>8.5000000000000006E-2</v>
      </c>
      <c r="AH356" s="100">
        <f t="shared" si="61"/>
        <v>8.5050000000000008</v>
      </c>
    </row>
    <row r="357" spans="1:34" ht="15">
      <c r="A357" s="363" t="s">
        <v>150</v>
      </c>
      <c r="B357" s="53">
        <f t="shared" si="60"/>
        <v>7.82</v>
      </c>
      <c r="C357" s="116">
        <v>0.3</v>
      </c>
      <c r="D357" s="99"/>
      <c r="E357" s="99"/>
      <c r="F357" s="99"/>
      <c r="G357" s="99">
        <v>0.44</v>
      </c>
      <c r="H357" s="99"/>
      <c r="I357" s="99"/>
      <c r="J357" s="99">
        <v>0.15</v>
      </c>
      <c r="K357" s="99"/>
      <c r="L357" s="99"/>
      <c r="M357" s="99"/>
      <c r="N357" s="99"/>
      <c r="O357" s="99"/>
      <c r="P357" s="99">
        <v>1.61</v>
      </c>
      <c r="Q357" s="99">
        <v>3.57</v>
      </c>
      <c r="R357" s="99"/>
      <c r="S357" s="99"/>
      <c r="T357" s="99"/>
      <c r="U357" s="99">
        <v>1.75</v>
      </c>
      <c r="V357" s="99"/>
      <c r="W357" s="99"/>
      <c r="X357" s="99"/>
      <c r="Y357" s="99"/>
      <c r="Z357" s="99"/>
      <c r="AA357" s="99"/>
      <c r="AB357" s="99"/>
      <c r="AC357" s="99"/>
      <c r="AD357" s="99"/>
      <c r="AE357" s="99"/>
      <c r="AF357" s="99"/>
      <c r="AG357" s="99"/>
      <c r="AH357" s="100">
        <f t="shared" si="61"/>
        <v>7.82</v>
      </c>
    </row>
    <row r="358" spans="1:34" ht="15">
      <c r="A358" s="314" t="s">
        <v>151</v>
      </c>
      <c r="B358" s="53">
        <f t="shared" si="60"/>
        <v>1.7200000000000002</v>
      </c>
      <c r="C358" s="116"/>
      <c r="D358" s="99"/>
      <c r="E358" s="99">
        <v>0.21</v>
      </c>
      <c r="F358" s="99"/>
      <c r="G358" s="99">
        <v>0.45</v>
      </c>
      <c r="H358" s="99"/>
      <c r="I358" s="99"/>
      <c r="J358" s="99"/>
      <c r="K358" s="99"/>
      <c r="L358" s="99"/>
      <c r="M358" s="99"/>
      <c r="N358" s="99"/>
      <c r="O358" s="99"/>
      <c r="P358" s="99"/>
      <c r="Q358" s="99"/>
      <c r="R358" s="99"/>
      <c r="S358" s="99"/>
      <c r="T358" s="99">
        <v>0.15</v>
      </c>
      <c r="U358" s="99"/>
      <c r="V358" s="99"/>
      <c r="W358" s="99"/>
      <c r="X358" s="99"/>
      <c r="Y358" s="99">
        <v>0.91</v>
      </c>
      <c r="Z358" s="99"/>
      <c r="AA358" s="99"/>
      <c r="AB358" s="99"/>
      <c r="AC358" s="99"/>
      <c r="AD358" s="99"/>
      <c r="AE358" s="99"/>
      <c r="AF358" s="99"/>
      <c r="AG358" s="99"/>
      <c r="AH358" s="100">
        <f t="shared" si="61"/>
        <v>1.7200000000000002</v>
      </c>
    </row>
    <row r="359" spans="1:34" ht="15">
      <c r="A359" s="314" t="s">
        <v>152</v>
      </c>
      <c r="B359" s="53">
        <f t="shared" si="60"/>
        <v>6.5049999999999999</v>
      </c>
      <c r="C359" s="116"/>
      <c r="D359" s="99"/>
      <c r="E359" s="99">
        <v>0.35</v>
      </c>
      <c r="F359" s="99"/>
      <c r="G359" s="99"/>
      <c r="H359" s="99">
        <v>0.35</v>
      </c>
      <c r="I359" s="99"/>
      <c r="J359" s="99">
        <v>0.03</v>
      </c>
      <c r="K359" s="99"/>
      <c r="L359" s="99"/>
      <c r="M359" s="99"/>
      <c r="N359" s="99"/>
      <c r="O359" s="99"/>
      <c r="P359" s="99"/>
      <c r="Q359" s="53"/>
      <c r="R359" s="53"/>
      <c r="S359" s="53"/>
      <c r="T359" s="53"/>
      <c r="U359" s="53"/>
      <c r="V359" s="53">
        <v>2.2000000000000002</v>
      </c>
      <c r="W359" s="53"/>
      <c r="X359" s="53"/>
      <c r="Y359" s="53"/>
      <c r="Z359" s="53"/>
      <c r="AA359" s="53"/>
      <c r="AB359" s="53"/>
      <c r="AC359" s="53">
        <v>2.5000000000000001E-2</v>
      </c>
      <c r="AD359" s="53"/>
      <c r="AE359" s="53"/>
      <c r="AF359" s="53">
        <v>0.15</v>
      </c>
      <c r="AG359" s="53">
        <v>3.4</v>
      </c>
      <c r="AH359" s="100">
        <f t="shared" si="61"/>
        <v>6.5049999999999999</v>
      </c>
    </row>
    <row r="360" spans="1:34" ht="15">
      <c r="A360" s="314" t="s">
        <v>153</v>
      </c>
      <c r="B360" s="53">
        <f t="shared" si="60"/>
        <v>0</v>
      </c>
      <c r="C360" s="188" t="s">
        <v>162</v>
      </c>
      <c r="D360" s="188" t="s">
        <v>162</v>
      </c>
      <c r="E360" s="188" t="s">
        <v>162</v>
      </c>
      <c r="F360" s="188" t="s">
        <v>162</v>
      </c>
      <c r="G360" s="188" t="s">
        <v>162</v>
      </c>
      <c r="H360" s="188" t="s">
        <v>162</v>
      </c>
      <c r="I360" s="188" t="s">
        <v>162</v>
      </c>
      <c r="J360" s="188" t="s">
        <v>162</v>
      </c>
      <c r="K360" s="188" t="s">
        <v>162</v>
      </c>
      <c r="L360" s="188" t="s">
        <v>162</v>
      </c>
      <c r="M360" s="188" t="s">
        <v>162</v>
      </c>
      <c r="N360" s="188" t="s">
        <v>162</v>
      </c>
      <c r="O360" s="188" t="s">
        <v>162</v>
      </c>
      <c r="P360" s="188" t="s">
        <v>162</v>
      </c>
      <c r="Q360" s="188" t="s">
        <v>162</v>
      </c>
      <c r="R360" s="188" t="s">
        <v>162</v>
      </c>
      <c r="S360" s="188" t="s">
        <v>162</v>
      </c>
      <c r="T360" s="188" t="s">
        <v>162</v>
      </c>
      <c r="U360" s="188" t="s">
        <v>162</v>
      </c>
      <c r="V360" s="188" t="s">
        <v>162</v>
      </c>
      <c r="W360" s="188" t="s">
        <v>162</v>
      </c>
      <c r="X360" s="188" t="s">
        <v>162</v>
      </c>
      <c r="Y360" s="188" t="s">
        <v>162</v>
      </c>
      <c r="Z360" s="188" t="s">
        <v>162</v>
      </c>
      <c r="AA360" s="188" t="s">
        <v>162</v>
      </c>
      <c r="AB360" s="188" t="s">
        <v>162</v>
      </c>
      <c r="AC360" s="188" t="s">
        <v>162</v>
      </c>
      <c r="AD360" s="188" t="s">
        <v>162</v>
      </c>
      <c r="AE360" s="188" t="s">
        <v>162</v>
      </c>
      <c r="AF360" s="188" t="s">
        <v>162</v>
      </c>
      <c r="AG360" s="188" t="s">
        <v>162</v>
      </c>
      <c r="AH360" s="100">
        <f t="shared" si="61"/>
        <v>0</v>
      </c>
    </row>
    <row r="361" spans="1:34" ht="15">
      <c r="A361" s="314" t="s">
        <v>154</v>
      </c>
      <c r="B361" s="53">
        <f t="shared" si="60"/>
        <v>9.5620000000000012</v>
      </c>
      <c r="C361" s="116"/>
      <c r="D361" s="549">
        <v>0.7</v>
      </c>
      <c r="E361" s="549">
        <v>1.1499999999999999</v>
      </c>
      <c r="F361" s="99"/>
      <c r="G361" s="99"/>
      <c r="H361" s="99"/>
      <c r="I361" s="99"/>
      <c r="J361" s="99">
        <v>0.24</v>
      </c>
      <c r="K361" s="99">
        <v>0.43</v>
      </c>
      <c r="L361" s="99"/>
      <c r="M361" s="99"/>
      <c r="N361" s="99"/>
      <c r="O361" s="99"/>
      <c r="P361" s="99"/>
      <c r="Q361" s="99"/>
      <c r="R361" s="99">
        <v>0.13</v>
      </c>
      <c r="S361" s="99">
        <v>0.82199999999999995</v>
      </c>
      <c r="T361" s="99"/>
      <c r="U361" s="99">
        <v>1.05</v>
      </c>
      <c r="V361" s="99"/>
      <c r="W361" s="99"/>
      <c r="X361" s="99">
        <v>1.53</v>
      </c>
      <c r="Y361" s="99">
        <v>0.83</v>
      </c>
      <c r="Z361" s="99">
        <v>0.4</v>
      </c>
      <c r="AA361" s="99"/>
      <c r="AB361" s="99">
        <v>0.93</v>
      </c>
      <c r="AC361" s="99"/>
      <c r="AD361" s="99"/>
      <c r="AE361" s="99"/>
      <c r="AF361" s="99">
        <v>1.35</v>
      </c>
      <c r="AG361" s="99"/>
      <c r="AH361" s="100">
        <f t="shared" si="61"/>
        <v>9.5620000000000012</v>
      </c>
    </row>
    <row r="362" spans="1:34" ht="15">
      <c r="A362" s="314" t="s">
        <v>155</v>
      </c>
      <c r="B362" s="53">
        <f t="shared" si="60"/>
        <v>11.094999999999999</v>
      </c>
      <c r="C362" s="116"/>
      <c r="D362" s="99"/>
      <c r="E362" s="99"/>
      <c r="F362" s="99"/>
      <c r="G362" s="99">
        <v>0.9</v>
      </c>
      <c r="H362" s="99"/>
      <c r="I362" s="99">
        <v>0.71</v>
      </c>
      <c r="J362" s="99"/>
      <c r="K362" s="99">
        <v>0.6</v>
      </c>
      <c r="L362" s="99">
        <v>3.41</v>
      </c>
      <c r="M362" s="99"/>
      <c r="N362" s="99">
        <v>2.15</v>
      </c>
      <c r="O362" s="99"/>
      <c r="P362" s="99">
        <v>1.29</v>
      </c>
      <c r="Q362" s="99"/>
      <c r="R362" s="99"/>
      <c r="S362" s="99"/>
      <c r="T362" s="99"/>
      <c r="U362" s="99">
        <v>0.96499999999999997</v>
      </c>
      <c r="V362" s="99"/>
      <c r="W362" s="99"/>
      <c r="X362" s="99"/>
      <c r="Y362" s="99"/>
      <c r="Z362" s="99"/>
      <c r="AA362" s="99"/>
      <c r="AB362" s="99"/>
      <c r="AC362" s="99"/>
      <c r="AD362" s="99">
        <v>0.6</v>
      </c>
      <c r="AE362" s="99"/>
      <c r="AF362" s="99">
        <v>0.47</v>
      </c>
      <c r="AG362" s="99"/>
      <c r="AH362" s="100">
        <f t="shared" si="61"/>
        <v>11.094999999999999</v>
      </c>
    </row>
    <row r="363" spans="1:34" ht="15">
      <c r="A363" s="314" t="s">
        <v>156</v>
      </c>
      <c r="B363" s="53">
        <f t="shared" si="60"/>
        <v>2.375</v>
      </c>
      <c r="C363" s="116"/>
      <c r="D363" s="99"/>
      <c r="E363" s="99"/>
      <c r="F363" s="99"/>
      <c r="G363" s="99">
        <v>0.45</v>
      </c>
      <c r="H363" s="99"/>
      <c r="I363" s="99">
        <v>0.92500000000000004</v>
      </c>
      <c r="J363" s="99"/>
      <c r="K363" s="99"/>
      <c r="L363" s="99">
        <v>0.25</v>
      </c>
      <c r="M363" s="99"/>
      <c r="N363" s="99"/>
      <c r="O363" s="99"/>
      <c r="P363" s="99"/>
      <c r="Q363" s="99"/>
      <c r="R363" s="99"/>
      <c r="S363" s="99">
        <v>0.2</v>
      </c>
      <c r="T363" s="99"/>
      <c r="U363" s="99"/>
      <c r="V363" s="99"/>
      <c r="W363" s="99">
        <v>0.4</v>
      </c>
      <c r="X363" s="99"/>
      <c r="Y363" s="99"/>
      <c r="Z363" s="99"/>
      <c r="AA363" s="99"/>
      <c r="AB363" s="99">
        <v>0.15</v>
      </c>
      <c r="AC363" s="99"/>
      <c r="AD363" s="99"/>
      <c r="AE363" s="99"/>
      <c r="AF363" s="99"/>
      <c r="AG363" s="99"/>
      <c r="AH363" s="100">
        <f t="shared" si="61"/>
        <v>2.375</v>
      </c>
    </row>
    <row r="364" spans="1:34" ht="15">
      <c r="A364" s="200" t="s">
        <v>111</v>
      </c>
      <c r="B364" s="200">
        <f t="shared" ref="B364:AH364" si="62">SUM(B352:B363)</f>
        <v>86.388000000000005</v>
      </c>
      <c r="C364" s="100">
        <f t="shared" si="62"/>
        <v>0.3</v>
      </c>
      <c r="D364" s="100">
        <f t="shared" si="62"/>
        <v>1</v>
      </c>
      <c r="E364" s="100">
        <f t="shared" si="62"/>
        <v>2.79</v>
      </c>
      <c r="F364" s="100">
        <f t="shared" si="62"/>
        <v>9.73</v>
      </c>
      <c r="G364" s="100">
        <f t="shared" si="62"/>
        <v>4.79</v>
      </c>
      <c r="H364" s="100">
        <f t="shared" si="62"/>
        <v>0.35</v>
      </c>
      <c r="I364" s="100">
        <f t="shared" si="62"/>
        <v>1.635</v>
      </c>
      <c r="J364" s="100">
        <f t="shared" si="62"/>
        <v>0.61</v>
      </c>
      <c r="K364" s="100">
        <f t="shared" si="62"/>
        <v>2.2799999999999998</v>
      </c>
      <c r="L364" s="100">
        <f t="shared" si="62"/>
        <v>3.66</v>
      </c>
      <c r="M364" s="100">
        <f t="shared" si="62"/>
        <v>0.12</v>
      </c>
      <c r="N364" s="100">
        <f t="shared" si="62"/>
        <v>2.4499999999999997</v>
      </c>
      <c r="O364" s="100">
        <f t="shared" si="62"/>
        <v>1.33</v>
      </c>
      <c r="P364" s="100">
        <f t="shared" si="62"/>
        <v>2.9000000000000004</v>
      </c>
      <c r="Q364" s="100">
        <f t="shared" si="62"/>
        <v>3.57</v>
      </c>
      <c r="R364" s="100">
        <f t="shared" si="62"/>
        <v>0.13</v>
      </c>
      <c r="S364" s="100">
        <f t="shared" si="62"/>
        <v>5.4220000000000006</v>
      </c>
      <c r="T364" s="100">
        <f t="shared" si="62"/>
        <v>4.33</v>
      </c>
      <c r="U364" s="100">
        <f t="shared" si="62"/>
        <v>3.7649999999999997</v>
      </c>
      <c r="V364" s="100">
        <f t="shared" si="62"/>
        <v>5.7560000000000002</v>
      </c>
      <c r="W364" s="100">
        <f t="shared" si="62"/>
        <v>2.02</v>
      </c>
      <c r="X364" s="100">
        <f t="shared" si="62"/>
        <v>2.83</v>
      </c>
      <c r="Y364" s="100">
        <f t="shared" si="62"/>
        <v>4.6900000000000004</v>
      </c>
      <c r="Z364" s="100">
        <f t="shared" si="62"/>
        <v>0.4</v>
      </c>
      <c r="AA364" s="100">
        <f t="shared" si="62"/>
        <v>0</v>
      </c>
      <c r="AB364" s="100">
        <f t="shared" si="62"/>
        <v>1.08</v>
      </c>
      <c r="AC364" s="100">
        <f t="shared" si="62"/>
        <v>1.585</v>
      </c>
      <c r="AD364" s="100">
        <f t="shared" si="62"/>
        <v>4.91</v>
      </c>
      <c r="AE364" s="100">
        <f t="shared" si="62"/>
        <v>5.25</v>
      </c>
      <c r="AF364" s="100">
        <f t="shared" si="62"/>
        <v>3.2199999999999998</v>
      </c>
      <c r="AG364" s="100">
        <f t="shared" si="62"/>
        <v>3.4849999999999999</v>
      </c>
      <c r="AH364" s="100">
        <f t="shared" si="62"/>
        <v>86.388000000000005</v>
      </c>
    </row>
    <row r="365" spans="1:34" ht="15">
      <c r="A365" s="478"/>
      <c r="B365" s="478"/>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row>
    <row r="366" spans="1:34" ht="15">
      <c r="A366" s="3890" t="s">
        <v>466</v>
      </c>
      <c r="B366" s="3891"/>
      <c r="C366" s="3892"/>
      <c r="D366" s="14"/>
      <c r="E366" s="14"/>
      <c r="F366" s="14"/>
      <c r="G366" s="14"/>
      <c r="H366" s="14"/>
      <c r="I366" s="14"/>
      <c r="J366" s="14"/>
      <c r="K366" s="14"/>
      <c r="L366" s="14"/>
      <c r="M366" s="98"/>
      <c r="N366" s="14"/>
      <c r="O366" s="14"/>
      <c r="P366" s="14"/>
      <c r="Q366" s="14"/>
      <c r="R366" s="14"/>
      <c r="S366" s="14"/>
      <c r="T366" s="14"/>
      <c r="U366" s="14"/>
      <c r="V366" s="14"/>
      <c r="W366" s="14"/>
      <c r="X366" s="14"/>
      <c r="Y366" s="14"/>
      <c r="Z366" s="14"/>
      <c r="AA366" s="14"/>
      <c r="AB366" s="14"/>
      <c r="AC366" s="14"/>
      <c r="AD366" s="14"/>
      <c r="AE366" s="14"/>
      <c r="AF366" s="14"/>
      <c r="AG366" s="14"/>
      <c r="AH366" s="1"/>
    </row>
    <row r="367" spans="1:34" ht="15">
      <c r="A367" s="8" t="s">
        <v>142</v>
      </c>
      <c r="B367" s="8" t="s">
        <v>143</v>
      </c>
      <c r="C367" s="2907">
        <v>1</v>
      </c>
      <c r="D367" s="73">
        <v>2</v>
      </c>
      <c r="E367" s="73">
        <v>3</v>
      </c>
      <c r="F367" s="73">
        <v>4</v>
      </c>
      <c r="G367" s="73">
        <v>5</v>
      </c>
      <c r="H367" s="73">
        <v>6</v>
      </c>
      <c r="I367" s="73">
        <v>7</v>
      </c>
      <c r="J367" s="73">
        <v>8</v>
      </c>
      <c r="K367" s="73">
        <v>9</v>
      </c>
      <c r="L367" s="73">
        <v>10</v>
      </c>
      <c r="M367" s="73">
        <v>11</v>
      </c>
      <c r="N367" s="73">
        <v>12</v>
      </c>
      <c r="O367" s="73">
        <v>13</v>
      </c>
      <c r="P367" s="73">
        <v>14</v>
      </c>
      <c r="Q367" s="73">
        <v>15</v>
      </c>
      <c r="R367" s="73">
        <v>16</v>
      </c>
      <c r="S367" s="73">
        <v>17</v>
      </c>
      <c r="T367" s="73">
        <v>18</v>
      </c>
      <c r="U367" s="73">
        <v>19</v>
      </c>
      <c r="V367" s="73">
        <v>20</v>
      </c>
      <c r="W367" s="73">
        <v>21</v>
      </c>
      <c r="X367" s="73">
        <v>22</v>
      </c>
      <c r="Y367" s="73">
        <v>23</v>
      </c>
      <c r="Z367" s="73">
        <v>24</v>
      </c>
      <c r="AA367" s="73">
        <v>25</v>
      </c>
      <c r="AB367" s="73">
        <v>26</v>
      </c>
      <c r="AC367" s="73">
        <v>27</v>
      </c>
      <c r="AD367" s="73">
        <v>28</v>
      </c>
      <c r="AE367" s="73">
        <v>29</v>
      </c>
      <c r="AF367" s="73">
        <v>30</v>
      </c>
      <c r="AG367" s="73">
        <v>31</v>
      </c>
      <c r="AH367" s="87" t="s">
        <v>144</v>
      </c>
    </row>
    <row r="368" spans="1:34" ht="15">
      <c r="A368" s="363" t="s">
        <v>145</v>
      </c>
      <c r="B368" s="53">
        <f t="shared" ref="B368:B379" si="63">+AH368</f>
        <v>0</v>
      </c>
      <c r="C368" s="447"/>
      <c r="D368" s="588"/>
      <c r="E368" s="588"/>
      <c r="F368" s="588"/>
      <c r="G368" s="588"/>
      <c r="H368" s="588"/>
      <c r="I368" s="588"/>
      <c r="J368" s="588"/>
      <c r="K368" s="588"/>
      <c r="L368" s="588"/>
      <c r="M368" s="588"/>
      <c r="N368" s="588"/>
      <c r="O368" s="588"/>
      <c r="P368" s="588"/>
      <c r="Q368" s="588"/>
      <c r="R368" s="588"/>
      <c r="S368" s="588"/>
      <c r="T368" s="589"/>
      <c r="U368" s="589"/>
      <c r="V368" s="589"/>
      <c r="W368" s="589"/>
      <c r="X368" s="589"/>
      <c r="Y368" s="589"/>
      <c r="Z368" s="589"/>
      <c r="AA368" s="589"/>
      <c r="AB368" s="589"/>
      <c r="AC368" s="589"/>
      <c r="AD368" s="589"/>
      <c r="AE368" s="589"/>
      <c r="AF368" s="589"/>
      <c r="AG368" s="589"/>
      <c r="AH368" s="100">
        <f>SUM(C368:AG368)</f>
        <v>0</v>
      </c>
    </row>
    <row r="369" spans="1:34" ht="15">
      <c r="A369" s="363" t="s">
        <v>146</v>
      </c>
      <c r="B369" s="53">
        <f t="shared" si="63"/>
        <v>17.43</v>
      </c>
      <c r="C369" s="589"/>
      <c r="D369" s="589"/>
      <c r="E369" s="589"/>
      <c r="F369" s="589"/>
      <c r="G369" s="589"/>
      <c r="H369" s="589"/>
      <c r="I369" s="589"/>
      <c r="J369" s="589"/>
      <c r="K369" s="589"/>
      <c r="L369" s="589"/>
      <c r="M369" s="589"/>
      <c r="N369" s="589"/>
      <c r="O369" s="589"/>
      <c r="P369" s="589"/>
      <c r="Q369" s="589"/>
      <c r="R369" s="99"/>
      <c r="S369" s="99">
        <v>5.04</v>
      </c>
      <c r="T369" s="99"/>
      <c r="U369" s="99"/>
      <c r="V369" s="99"/>
      <c r="W369" s="99"/>
      <c r="X369" s="99">
        <v>4.9400000000000004</v>
      </c>
      <c r="Y369" s="99"/>
      <c r="Z369" s="99"/>
      <c r="AA369" s="99"/>
      <c r="AB369" s="99"/>
      <c r="AC369" s="99">
        <v>3</v>
      </c>
      <c r="AD369" s="99">
        <v>4.45</v>
      </c>
      <c r="AE369" s="99"/>
      <c r="AF369" s="99"/>
      <c r="AG369" s="99"/>
      <c r="AH369" s="100">
        <f t="shared" ref="AH369:AH379" si="64">SUM(C369:AG369)</f>
        <v>17.43</v>
      </c>
    </row>
    <row r="370" spans="1:34" ht="15">
      <c r="A370" s="363" t="s">
        <v>147</v>
      </c>
      <c r="B370" s="53">
        <f t="shared" si="63"/>
        <v>25.545000000000002</v>
      </c>
      <c r="C370" s="488"/>
      <c r="D370" s="549">
        <v>3.77</v>
      </c>
      <c r="E370" s="549">
        <v>1.2</v>
      </c>
      <c r="F370" s="549"/>
      <c r="G370" s="549">
        <v>0.54</v>
      </c>
      <c r="H370" s="549"/>
      <c r="I370" s="549"/>
      <c r="J370" s="549"/>
      <c r="K370" s="549">
        <v>1.1100000000000001</v>
      </c>
      <c r="L370" s="296"/>
      <c r="M370" s="296"/>
      <c r="N370" s="296"/>
      <c r="O370" s="296"/>
      <c r="P370" s="296"/>
      <c r="Q370" s="296"/>
      <c r="R370" s="296"/>
      <c r="S370" s="296"/>
      <c r="T370" s="296"/>
      <c r="U370" s="296">
        <v>3.4200000000000004</v>
      </c>
      <c r="V370" s="296">
        <v>2.9550000000000001</v>
      </c>
      <c r="W370" s="296">
        <v>4.1000000000000005</v>
      </c>
      <c r="X370" s="296">
        <v>0.66</v>
      </c>
      <c r="Y370" s="296">
        <v>0.12</v>
      </c>
      <c r="Z370" s="296"/>
      <c r="AA370" s="296"/>
      <c r="AB370" s="296"/>
      <c r="AC370" s="296">
        <v>0.09</v>
      </c>
      <c r="AD370" s="296">
        <v>2.125</v>
      </c>
      <c r="AE370" s="296">
        <v>5.4550000000000001</v>
      </c>
      <c r="AF370" s="296"/>
      <c r="AG370" s="549"/>
      <c r="AH370" s="100">
        <f t="shared" si="64"/>
        <v>25.545000000000002</v>
      </c>
    </row>
    <row r="371" spans="1:34" ht="15">
      <c r="A371" s="363" t="s">
        <v>148</v>
      </c>
      <c r="B371" s="53">
        <f t="shared" si="63"/>
        <v>51.624999999999993</v>
      </c>
      <c r="C371" s="488"/>
      <c r="D371" s="549"/>
      <c r="E371" s="549">
        <v>7.8299999999999983</v>
      </c>
      <c r="F371" s="549">
        <v>13.16</v>
      </c>
      <c r="G371" s="549">
        <v>6.25</v>
      </c>
      <c r="H371" s="549"/>
      <c r="I371" s="549"/>
      <c r="J371" s="549"/>
      <c r="K371" s="549"/>
      <c r="L371" s="549"/>
      <c r="M371" s="549">
        <v>0.4</v>
      </c>
      <c r="N371" s="549">
        <v>1.31</v>
      </c>
      <c r="O371" s="549">
        <v>2.2000000000000002</v>
      </c>
      <c r="P371" s="549"/>
      <c r="Q371" s="549"/>
      <c r="R371" s="549"/>
      <c r="S371" s="549">
        <v>4.21</v>
      </c>
      <c r="T371" s="549"/>
      <c r="U371" s="549"/>
      <c r="V371" s="549">
        <v>6.63</v>
      </c>
      <c r="W371" s="549"/>
      <c r="X371" s="549"/>
      <c r="Y371" s="549">
        <v>5.8949999999999996</v>
      </c>
      <c r="Z371" s="549"/>
      <c r="AA371" s="549"/>
      <c r="AB371" s="549"/>
      <c r="AC371" s="549">
        <v>2.59</v>
      </c>
      <c r="AD371" s="549"/>
      <c r="AE371" s="549"/>
      <c r="AF371" s="549">
        <v>1.1499999999999999</v>
      </c>
      <c r="AG371" s="549"/>
      <c r="AH371" s="100">
        <f t="shared" si="64"/>
        <v>51.624999999999993</v>
      </c>
    </row>
    <row r="372" spans="1:34" ht="15">
      <c r="A372" s="363" t="s">
        <v>149</v>
      </c>
      <c r="B372" s="53">
        <f t="shared" si="63"/>
        <v>18.042999999999999</v>
      </c>
      <c r="C372" s="488"/>
      <c r="D372" s="549"/>
      <c r="E372" s="549"/>
      <c r="F372" s="549">
        <v>1.77</v>
      </c>
      <c r="G372" s="549"/>
      <c r="H372" s="549"/>
      <c r="I372" s="549"/>
      <c r="J372" s="549">
        <v>1.74</v>
      </c>
      <c r="K372" s="549">
        <v>1.45</v>
      </c>
      <c r="L372" s="549"/>
      <c r="M372" s="549"/>
      <c r="N372" s="549"/>
      <c r="O372" s="549"/>
      <c r="P372" s="549"/>
      <c r="Q372" s="549"/>
      <c r="R372" s="549"/>
      <c r="S372" s="549"/>
      <c r="T372" s="549">
        <v>4.9649999999999999</v>
      </c>
      <c r="U372" s="549"/>
      <c r="V372" s="549"/>
      <c r="W372" s="549"/>
      <c r="X372" s="549"/>
      <c r="Y372" s="549"/>
      <c r="Z372" s="549"/>
      <c r="AA372" s="549"/>
      <c r="AB372" s="549"/>
      <c r="AC372" s="549"/>
      <c r="AD372" s="549"/>
      <c r="AE372" s="549"/>
      <c r="AF372" s="549">
        <v>3.67</v>
      </c>
      <c r="AG372" s="549">
        <v>4.4480000000000004</v>
      </c>
      <c r="AH372" s="100">
        <f t="shared" si="64"/>
        <v>18.042999999999999</v>
      </c>
    </row>
    <row r="373" spans="1:34" ht="15">
      <c r="A373" s="363" t="s">
        <v>150</v>
      </c>
      <c r="B373" s="53">
        <f t="shared" si="63"/>
        <v>6.43</v>
      </c>
      <c r="C373" s="488">
        <v>2.82</v>
      </c>
      <c r="D373" s="549"/>
      <c r="E373" s="549"/>
      <c r="F373" s="549"/>
      <c r="G373" s="549">
        <v>0.38</v>
      </c>
      <c r="H373" s="549"/>
      <c r="I373" s="549"/>
      <c r="J373" s="549"/>
      <c r="K373" s="549"/>
      <c r="L373" s="549"/>
      <c r="M373" s="549"/>
      <c r="N373" s="549"/>
      <c r="O373" s="549"/>
      <c r="P373" s="549"/>
      <c r="Q373" s="549"/>
      <c r="R373" s="549"/>
      <c r="S373" s="549"/>
      <c r="T373" s="549"/>
      <c r="U373" s="549"/>
      <c r="V373" s="549"/>
      <c r="W373" s="549"/>
      <c r="X373" s="549"/>
      <c r="Y373" s="549"/>
      <c r="Z373" s="549"/>
      <c r="AA373" s="549"/>
      <c r="AB373" s="549">
        <v>1.83</v>
      </c>
      <c r="AC373" s="549">
        <v>1.4</v>
      </c>
      <c r="AD373" s="549"/>
      <c r="AE373" s="549"/>
      <c r="AF373" s="549"/>
      <c r="AG373" s="549"/>
      <c r="AH373" s="100">
        <f t="shared" si="64"/>
        <v>6.43</v>
      </c>
    </row>
    <row r="374" spans="1:34" ht="15">
      <c r="A374" s="314" t="s">
        <v>151</v>
      </c>
      <c r="B374" s="53">
        <f t="shared" si="63"/>
        <v>14.764999999999999</v>
      </c>
      <c r="C374" s="488"/>
      <c r="D374" s="549"/>
      <c r="E374" s="549">
        <v>1.37</v>
      </c>
      <c r="F374" s="549"/>
      <c r="G374" s="549">
        <v>0.5</v>
      </c>
      <c r="H374" s="549">
        <v>3.79</v>
      </c>
      <c r="I374" s="549"/>
      <c r="J374" s="549"/>
      <c r="K374" s="549"/>
      <c r="L374" s="549"/>
      <c r="M374" s="549"/>
      <c r="N374" s="549"/>
      <c r="O374" s="549"/>
      <c r="P374" s="549"/>
      <c r="Q374" s="549"/>
      <c r="R374" s="549"/>
      <c r="S374" s="549"/>
      <c r="T374" s="549">
        <v>2.7</v>
      </c>
      <c r="U374" s="549"/>
      <c r="V374" s="549">
        <v>1.65</v>
      </c>
      <c r="W374" s="549"/>
      <c r="X374" s="549"/>
      <c r="Y374" s="549">
        <v>1.7</v>
      </c>
      <c r="Z374" s="549"/>
      <c r="AA374" s="549"/>
      <c r="AB374" s="549"/>
      <c r="AC374" s="549">
        <v>3.0550000000000002</v>
      </c>
      <c r="AD374" s="549"/>
      <c r="AE374" s="549"/>
      <c r="AF374" s="549"/>
      <c r="AG374" s="549"/>
      <c r="AH374" s="100">
        <f t="shared" si="64"/>
        <v>14.764999999999999</v>
      </c>
    </row>
    <row r="375" spans="1:34" ht="15">
      <c r="A375" s="314" t="s">
        <v>152</v>
      </c>
      <c r="B375" s="53">
        <f t="shared" si="63"/>
        <v>18.919999999999998</v>
      </c>
      <c r="C375" s="488"/>
      <c r="D375" s="549"/>
      <c r="E375" s="549"/>
      <c r="F375" s="549"/>
      <c r="G375" s="549"/>
      <c r="H375" s="549"/>
      <c r="I375" s="549"/>
      <c r="J375" s="549">
        <v>1.39</v>
      </c>
      <c r="K375" s="549"/>
      <c r="L375" s="549"/>
      <c r="M375" s="549"/>
      <c r="N375" s="549"/>
      <c r="O375" s="549"/>
      <c r="P375" s="549"/>
      <c r="Q375" s="550"/>
      <c r="R375" s="550"/>
      <c r="S375" s="550">
        <v>1.5</v>
      </c>
      <c r="T375" s="550"/>
      <c r="U375" s="550"/>
      <c r="V375" s="550">
        <v>1.2</v>
      </c>
      <c r="W375" s="550"/>
      <c r="X375" s="550"/>
      <c r="Y375" s="550"/>
      <c r="Z375" s="550">
        <v>0.9</v>
      </c>
      <c r="AA375" s="550"/>
      <c r="AB375" s="550"/>
      <c r="AC375" s="550">
        <v>3.28</v>
      </c>
      <c r="AD375" s="550">
        <v>1.08</v>
      </c>
      <c r="AE375" s="550"/>
      <c r="AF375" s="550">
        <v>1.45</v>
      </c>
      <c r="AG375" s="550">
        <v>8.1199999999999992</v>
      </c>
      <c r="AH375" s="100">
        <f t="shared" si="64"/>
        <v>18.919999999999998</v>
      </c>
    </row>
    <row r="376" spans="1:34" ht="15">
      <c r="A376" s="314" t="s">
        <v>153</v>
      </c>
      <c r="B376" s="53">
        <f t="shared" si="63"/>
        <v>0</v>
      </c>
      <c r="C376" s="188" t="s">
        <v>162</v>
      </c>
      <c r="D376" s="188" t="s">
        <v>162</v>
      </c>
      <c r="E376" s="188" t="s">
        <v>162</v>
      </c>
      <c r="F376" s="188" t="s">
        <v>162</v>
      </c>
      <c r="G376" s="188" t="s">
        <v>162</v>
      </c>
      <c r="H376" s="188" t="s">
        <v>162</v>
      </c>
      <c r="I376" s="188" t="s">
        <v>162</v>
      </c>
      <c r="J376" s="188" t="s">
        <v>162</v>
      </c>
      <c r="K376" s="188" t="s">
        <v>162</v>
      </c>
      <c r="L376" s="188" t="s">
        <v>162</v>
      </c>
      <c r="M376" s="188" t="s">
        <v>162</v>
      </c>
      <c r="N376" s="188" t="s">
        <v>162</v>
      </c>
      <c r="O376" s="188" t="s">
        <v>162</v>
      </c>
      <c r="P376" s="188" t="s">
        <v>162</v>
      </c>
      <c r="Q376" s="188" t="s">
        <v>162</v>
      </c>
      <c r="R376" s="188" t="s">
        <v>162</v>
      </c>
      <c r="S376" s="188" t="s">
        <v>162</v>
      </c>
      <c r="T376" s="188" t="s">
        <v>162</v>
      </c>
      <c r="U376" s="188" t="s">
        <v>162</v>
      </c>
      <c r="V376" s="188" t="s">
        <v>162</v>
      </c>
      <c r="W376" s="188" t="s">
        <v>162</v>
      </c>
      <c r="X376" s="188" t="s">
        <v>162</v>
      </c>
      <c r="Y376" s="188" t="s">
        <v>162</v>
      </c>
      <c r="Z376" s="188" t="s">
        <v>162</v>
      </c>
      <c r="AA376" s="188" t="s">
        <v>162</v>
      </c>
      <c r="AB376" s="188" t="s">
        <v>162</v>
      </c>
      <c r="AC376" s="188" t="s">
        <v>162</v>
      </c>
      <c r="AD376" s="188" t="s">
        <v>162</v>
      </c>
      <c r="AE376" s="188" t="s">
        <v>162</v>
      </c>
      <c r="AF376" s="188" t="s">
        <v>162</v>
      </c>
      <c r="AG376" s="188" t="s">
        <v>162</v>
      </c>
      <c r="AH376" s="100">
        <f t="shared" si="64"/>
        <v>0</v>
      </c>
    </row>
    <row r="377" spans="1:34" ht="15">
      <c r="A377" s="314" t="s">
        <v>154</v>
      </c>
      <c r="B377" s="53">
        <f t="shared" si="63"/>
        <v>13.230999999999998</v>
      </c>
      <c r="C377" s="488"/>
      <c r="D377" s="549">
        <v>4.79</v>
      </c>
      <c r="E377" s="549">
        <v>3.2879999999999998</v>
      </c>
      <c r="F377" s="549"/>
      <c r="G377" s="549"/>
      <c r="H377" s="549"/>
      <c r="I377" s="549"/>
      <c r="J377" s="549"/>
      <c r="K377" s="549"/>
      <c r="L377" s="549"/>
      <c r="M377" s="549"/>
      <c r="N377" s="549"/>
      <c r="O377" s="549"/>
      <c r="P377" s="549"/>
      <c r="Q377" s="549"/>
      <c r="R377" s="549"/>
      <c r="S377" s="549">
        <v>2.5299999999999998</v>
      </c>
      <c r="T377" s="549"/>
      <c r="U377" s="549"/>
      <c r="V377" s="549"/>
      <c r="W377" s="549"/>
      <c r="X377" s="549">
        <v>0.34300000000000003</v>
      </c>
      <c r="Y377" s="549"/>
      <c r="Z377" s="549">
        <v>0.5</v>
      </c>
      <c r="AA377" s="549"/>
      <c r="AB377" s="549"/>
      <c r="AC377" s="549"/>
      <c r="AD377" s="549"/>
      <c r="AE377" s="549">
        <v>0.6</v>
      </c>
      <c r="AF377" s="549"/>
      <c r="AG377" s="549">
        <v>1.18</v>
      </c>
      <c r="AH377" s="100">
        <f t="shared" si="64"/>
        <v>13.230999999999998</v>
      </c>
    </row>
    <row r="378" spans="1:34" ht="15">
      <c r="A378" s="314" t="s">
        <v>155</v>
      </c>
      <c r="B378" s="53">
        <f t="shared" si="63"/>
        <v>21.355</v>
      </c>
      <c r="C378" s="488"/>
      <c r="D378" s="549">
        <v>0.42</v>
      </c>
      <c r="E378" s="549"/>
      <c r="F378" s="549"/>
      <c r="G378" s="549">
        <v>0.46100000000000002</v>
      </c>
      <c r="H378" s="549"/>
      <c r="I378" s="549">
        <v>2.5499999999999998</v>
      </c>
      <c r="J378" s="549"/>
      <c r="K378" s="549">
        <v>0.85</v>
      </c>
      <c r="L378" s="549">
        <v>3.56</v>
      </c>
      <c r="M378" s="549"/>
      <c r="N378" s="549">
        <v>3.59</v>
      </c>
      <c r="O378" s="549">
        <v>0.36</v>
      </c>
      <c r="P378" s="549">
        <v>3.66</v>
      </c>
      <c r="Q378" s="549"/>
      <c r="R378" s="549"/>
      <c r="S378" s="549"/>
      <c r="T378" s="549"/>
      <c r="U378" s="549">
        <v>1.601</v>
      </c>
      <c r="V378" s="549"/>
      <c r="W378" s="549"/>
      <c r="X378" s="549"/>
      <c r="Y378" s="549"/>
      <c r="Z378" s="549"/>
      <c r="AA378" s="549"/>
      <c r="AB378" s="549">
        <v>2.23</v>
      </c>
      <c r="AC378" s="549"/>
      <c r="AD378" s="549"/>
      <c r="AE378" s="549"/>
      <c r="AF378" s="549">
        <v>2.073</v>
      </c>
      <c r="AG378" s="549"/>
      <c r="AH378" s="100">
        <f t="shared" si="64"/>
        <v>21.355</v>
      </c>
    </row>
    <row r="379" spans="1:34" ht="15">
      <c r="A379" s="314" t="s">
        <v>156</v>
      </c>
      <c r="B379" s="53">
        <f t="shared" si="63"/>
        <v>5.302999999999999</v>
      </c>
      <c r="C379" s="488"/>
      <c r="D379" s="549"/>
      <c r="E379" s="549"/>
      <c r="F379" s="549">
        <v>0.69599999999999995</v>
      </c>
      <c r="G379" s="549">
        <v>0.83199999999999996</v>
      </c>
      <c r="H379" s="549"/>
      <c r="I379" s="549">
        <v>0.125</v>
      </c>
      <c r="J379" s="549"/>
      <c r="K379" s="549"/>
      <c r="L379" s="549">
        <v>0.15</v>
      </c>
      <c r="M379" s="549"/>
      <c r="N379" s="549"/>
      <c r="O379" s="549"/>
      <c r="P379" s="549"/>
      <c r="Q379" s="549"/>
      <c r="R379" s="549"/>
      <c r="S379" s="549">
        <v>0.83</v>
      </c>
      <c r="T379" s="549"/>
      <c r="U379" s="549"/>
      <c r="V379" s="549"/>
      <c r="W379" s="549">
        <v>0.44</v>
      </c>
      <c r="X379" s="549"/>
      <c r="Y379" s="549"/>
      <c r="Z379" s="549"/>
      <c r="AA379" s="549"/>
      <c r="AB379" s="549">
        <v>1.63</v>
      </c>
      <c r="AC379" s="549"/>
      <c r="AD379" s="549">
        <v>0.6</v>
      </c>
      <c r="AE379" s="549"/>
      <c r="AF379" s="549"/>
      <c r="AG379" s="549"/>
      <c r="AH379" s="100">
        <f t="shared" si="64"/>
        <v>5.302999999999999</v>
      </c>
    </row>
    <row r="380" spans="1:34" ht="15">
      <c r="A380" s="200" t="s">
        <v>111</v>
      </c>
      <c r="B380" s="200">
        <f t="shared" ref="B380:AH380" si="65">SUM(B368:B379)</f>
        <v>192.64699999999996</v>
      </c>
      <c r="C380" s="100">
        <f t="shared" si="65"/>
        <v>2.82</v>
      </c>
      <c r="D380" s="100">
        <f t="shared" si="65"/>
        <v>8.98</v>
      </c>
      <c r="E380" s="100">
        <f t="shared" si="65"/>
        <v>13.687999999999999</v>
      </c>
      <c r="F380" s="100">
        <f t="shared" si="65"/>
        <v>15.625999999999999</v>
      </c>
      <c r="G380" s="100">
        <f t="shared" si="65"/>
        <v>8.963000000000001</v>
      </c>
      <c r="H380" s="100">
        <f t="shared" si="65"/>
        <v>3.79</v>
      </c>
      <c r="I380" s="100">
        <f t="shared" si="65"/>
        <v>2.6749999999999998</v>
      </c>
      <c r="J380" s="100">
        <f t="shared" si="65"/>
        <v>3.13</v>
      </c>
      <c r="K380" s="100">
        <f t="shared" si="65"/>
        <v>3.41</v>
      </c>
      <c r="L380" s="100">
        <f t="shared" si="65"/>
        <v>3.71</v>
      </c>
      <c r="M380" s="100">
        <f t="shared" si="65"/>
        <v>0.4</v>
      </c>
      <c r="N380" s="100">
        <f t="shared" si="65"/>
        <v>4.9000000000000004</v>
      </c>
      <c r="O380" s="100">
        <f t="shared" si="65"/>
        <v>2.56</v>
      </c>
      <c r="P380" s="100">
        <f t="shared" si="65"/>
        <v>3.66</v>
      </c>
      <c r="Q380" s="100">
        <f t="shared" si="65"/>
        <v>0</v>
      </c>
      <c r="R380" s="100">
        <f t="shared" si="65"/>
        <v>0</v>
      </c>
      <c r="S380" s="100">
        <f t="shared" si="65"/>
        <v>14.11</v>
      </c>
      <c r="T380" s="100">
        <f t="shared" si="65"/>
        <v>7.665</v>
      </c>
      <c r="U380" s="100">
        <f t="shared" si="65"/>
        <v>5.0210000000000008</v>
      </c>
      <c r="V380" s="100">
        <f t="shared" si="65"/>
        <v>12.435</v>
      </c>
      <c r="W380" s="100">
        <f t="shared" si="65"/>
        <v>4.5400000000000009</v>
      </c>
      <c r="X380" s="100">
        <f t="shared" si="65"/>
        <v>5.9430000000000005</v>
      </c>
      <c r="Y380" s="100">
        <f t="shared" si="65"/>
        <v>7.7149999999999999</v>
      </c>
      <c r="Z380" s="100">
        <f t="shared" si="65"/>
        <v>1.4</v>
      </c>
      <c r="AA380" s="100">
        <f t="shared" si="65"/>
        <v>0</v>
      </c>
      <c r="AB380" s="100">
        <f t="shared" si="65"/>
        <v>5.69</v>
      </c>
      <c r="AC380" s="100">
        <f t="shared" si="65"/>
        <v>13.414999999999999</v>
      </c>
      <c r="AD380" s="100">
        <f t="shared" si="65"/>
        <v>8.2550000000000008</v>
      </c>
      <c r="AE380" s="100">
        <f t="shared" si="65"/>
        <v>6.0549999999999997</v>
      </c>
      <c r="AF380" s="100">
        <f t="shared" si="65"/>
        <v>8.343</v>
      </c>
      <c r="AG380" s="100">
        <f t="shared" si="65"/>
        <v>13.747999999999999</v>
      </c>
      <c r="AH380" s="100">
        <f t="shared" si="65"/>
        <v>192.64699999999996</v>
      </c>
    </row>
    <row r="381" spans="1:34" ht="15">
      <c r="A381" s="478"/>
      <c r="B381" s="478"/>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row>
    <row r="382" spans="1:34" ht="15">
      <c r="A382" s="3854" t="s">
        <v>468</v>
      </c>
      <c r="B382" s="3855"/>
      <c r="C382" s="3856"/>
      <c r="D382" s="114"/>
      <c r="E382" s="14"/>
      <c r="F382" s="14"/>
      <c r="G382" s="14"/>
      <c r="H382" s="14"/>
      <c r="I382" s="14"/>
      <c r="J382" s="14"/>
      <c r="K382" s="14"/>
      <c r="L382" s="14"/>
      <c r="M382" s="98"/>
      <c r="N382" s="14"/>
      <c r="O382" s="14"/>
      <c r="P382" s="14"/>
      <c r="Q382" s="14"/>
      <c r="R382" s="14"/>
      <c r="S382" s="14"/>
      <c r="T382" s="14"/>
      <c r="U382" s="14"/>
      <c r="V382" s="14"/>
      <c r="W382" s="14"/>
      <c r="X382" s="14"/>
      <c r="Y382" s="14"/>
      <c r="Z382" s="14"/>
      <c r="AA382" s="14"/>
      <c r="AB382" s="14"/>
      <c r="AC382" s="14"/>
      <c r="AD382" s="14"/>
      <c r="AE382" s="14"/>
      <c r="AF382" s="14"/>
      <c r="AG382" s="14"/>
      <c r="AH382" s="1"/>
    </row>
    <row r="383" spans="1:34" ht="15">
      <c r="A383" s="8" t="s">
        <v>142</v>
      </c>
      <c r="B383" s="8" t="s">
        <v>143</v>
      </c>
      <c r="C383" s="2907">
        <v>1</v>
      </c>
      <c r="D383" s="73">
        <v>2</v>
      </c>
      <c r="E383" s="73">
        <v>3</v>
      </c>
      <c r="F383" s="73">
        <v>4</v>
      </c>
      <c r="G383" s="73">
        <v>5</v>
      </c>
      <c r="H383" s="73">
        <v>6</v>
      </c>
      <c r="I383" s="73">
        <v>7</v>
      </c>
      <c r="J383" s="73">
        <v>8</v>
      </c>
      <c r="K383" s="73">
        <v>9</v>
      </c>
      <c r="L383" s="73">
        <v>10</v>
      </c>
      <c r="M383" s="73">
        <v>11</v>
      </c>
      <c r="N383" s="73">
        <v>12</v>
      </c>
      <c r="O383" s="73">
        <v>13</v>
      </c>
      <c r="P383" s="73">
        <v>14</v>
      </c>
      <c r="Q383" s="73">
        <v>15</v>
      </c>
      <c r="R383" s="73">
        <v>16</v>
      </c>
      <c r="S383" s="73">
        <v>17</v>
      </c>
      <c r="T383" s="73">
        <v>18</v>
      </c>
      <c r="U383" s="73">
        <v>19</v>
      </c>
      <c r="V383" s="73">
        <v>20</v>
      </c>
      <c r="W383" s="73">
        <v>21</v>
      </c>
      <c r="X383" s="73">
        <v>22</v>
      </c>
      <c r="Y383" s="73">
        <v>23</v>
      </c>
      <c r="Z383" s="73">
        <v>24</v>
      </c>
      <c r="AA383" s="73">
        <v>25</v>
      </c>
      <c r="AB383" s="73">
        <v>26</v>
      </c>
      <c r="AC383" s="73">
        <v>27</v>
      </c>
      <c r="AD383" s="73">
        <v>28</v>
      </c>
      <c r="AE383" s="73">
        <v>29</v>
      </c>
      <c r="AF383" s="73">
        <v>30</v>
      </c>
      <c r="AG383" s="73">
        <v>31</v>
      </c>
      <c r="AH383" s="87" t="s">
        <v>144</v>
      </c>
    </row>
    <row r="384" spans="1:34" ht="15">
      <c r="A384" s="363" t="s">
        <v>145</v>
      </c>
      <c r="B384" s="53">
        <f t="shared" ref="B384:B395" si="66">+AH384</f>
        <v>0</v>
      </c>
      <c r="C384" s="446"/>
      <c r="D384" s="588"/>
      <c r="E384" s="588"/>
      <c r="F384" s="588"/>
      <c r="G384" s="588"/>
      <c r="H384" s="588"/>
      <c r="I384" s="588"/>
      <c r="J384" s="588"/>
      <c r="K384" s="588"/>
      <c r="L384" s="588"/>
      <c r="M384" s="588"/>
      <c r="N384" s="588"/>
      <c r="O384" s="588"/>
      <c r="P384" s="588"/>
      <c r="Q384" s="588"/>
      <c r="R384" s="588"/>
      <c r="S384" s="588"/>
      <c r="T384" s="589"/>
      <c r="U384" s="589"/>
      <c r="V384" s="589"/>
      <c r="W384" s="589"/>
      <c r="X384" s="589"/>
      <c r="Y384" s="589"/>
      <c r="Z384" s="589"/>
      <c r="AA384" s="589"/>
      <c r="AB384" s="589"/>
      <c r="AC384" s="589"/>
      <c r="AD384" s="589"/>
      <c r="AE384" s="589"/>
      <c r="AF384" s="589"/>
      <c r="AG384" s="589"/>
      <c r="AH384" s="100">
        <f>SUM(C384:AG384)</f>
        <v>0</v>
      </c>
    </row>
    <row r="385" spans="1:34" ht="15">
      <c r="A385" s="363" t="s">
        <v>146</v>
      </c>
      <c r="B385" s="53">
        <f t="shared" si="66"/>
        <v>24.869</v>
      </c>
      <c r="C385" s="589"/>
      <c r="D385" s="589"/>
      <c r="E385" s="589"/>
      <c r="F385" s="589"/>
      <c r="G385" s="589"/>
      <c r="H385" s="589"/>
      <c r="I385" s="589"/>
      <c r="J385" s="589"/>
      <c r="K385" s="589"/>
      <c r="L385" s="589"/>
      <c r="M385" s="589"/>
      <c r="N385" s="589"/>
      <c r="O385" s="589"/>
      <c r="P385" s="589"/>
      <c r="Q385" s="589"/>
      <c r="R385" s="99"/>
      <c r="S385" s="99">
        <v>4.9649999999999999</v>
      </c>
      <c r="T385" s="99"/>
      <c r="U385" s="99"/>
      <c r="V385" s="99"/>
      <c r="W385" s="99"/>
      <c r="X385" s="99">
        <v>2.46</v>
      </c>
      <c r="Y385" s="99"/>
      <c r="Z385" s="99"/>
      <c r="AA385" s="99"/>
      <c r="AB385" s="99"/>
      <c r="AC385" s="99">
        <v>8.9600000000000009</v>
      </c>
      <c r="AD385" s="99">
        <v>8.484</v>
      </c>
      <c r="AE385" s="99"/>
      <c r="AF385" s="99"/>
      <c r="AG385" s="99"/>
      <c r="AH385" s="100">
        <f t="shared" ref="AH385:AH395" si="67">SUM(C385:AG385)</f>
        <v>24.869</v>
      </c>
    </row>
    <row r="386" spans="1:34" ht="15">
      <c r="A386" s="363" t="s">
        <v>147</v>
      </c>
      <c r="B386" s="53">
        <f t="shared" si="66"/>
        <v>28.707000000000008</v>
      </c>
      <c r="C386" s="116"/>
      <c r="D386" s="99">
        <v>4.2949999999999999</v>
      </c>
      <c r="E386" s="99"/>
      <c r="F386" s="99"/>
      <c r="G386" s="99">
        <v>2.2949999999999999</v>
      </c>
      <c r="H386" s="99">
        <v>1.506</v>
      </c>
      <c r="I386" s="99"/>
      <c r="J386" s="99"/>
      <c r="K386" s="99">
        <v>1.845</v>
      </c>
      <c r="L386" s="99"/>
      <c r="M386" s="99"/>
      <c r="N386" s="99"/>
      <c r="O386" s="99">
        <v>0.621</v>
      </c>
      <c r="P386" s="99">
        <v>1.08</v>
      </c>
      <c r="Q386" s="99"/>
      <c r="R386" s="99"/>
      <c r="S386" s="99"/>
      <c r="T386" s="99"/>
      <c r="U386" s="99">
        <v>2.57</v>
      </c>
      <c r="V386" s="99">
        <v>3.4699999999999998</v>
      </c>
      <c r="W386" s="99">
        <v>2.4299999999999997</v>
      </c>
      <c r="X386" s="99"/>
      <c r="Y386" s="99">
        <v>0.51300000000000001</v>
      </c>
      <c r="Z386" s="99"/>
      <c r="AA386" s="99"/>
      <c r="AB386" s="99"/>
      <c r="AC386" s="99"/>
      <c r="AD386" s="99">
        <v>5.4</v>
      </c>
      <c r="AE386" s="99">
        <v>2.6820000000000004</v>
      </c>
      <c r="AF386" s="99"/>
      <c r="AG386" s="99"/>
      <c r="AH386" s="100">
        <f t="shared" si="67"/>
        <v>28.707000000000008</v>
      </c>
    </row>
    <row r="387" spans="1:34" ht="15">
      <c r="A387" s="363" t="s">
        <v>148</v>
      </c>
      <c r="B387" s="53">
        <f t="shared" si="66"/>
        <v>35.020000000000003</v>
      </c>
      <c r="C387" s="488"/>
      <c r="D387" s="549">
        <v>1.7999999999999998</v>
      </c>
      <c r="E387" s="549">
        <v>1.95</v>
      </c>
      <c r="F387" s="549">
        <v>10.599</v>
      </c>
      <c r="G387" s="549">
        <v>3</v>
      </c>
      <c r="H387" s="549"/>
      <c r="I387" s="549"/>
      <c r="J387" s="549"/>
      <c r="K387" s="549"/>
      <c r="L387" s="549"/>
      <c r="M387" s="549"/>
      <c r="N387" s="549"/>
      <c r="O387" s="549">
        <v>1.875</v>
      </c>
      <c r="P387" s="549"/>
      <c r="Q387" s="549"/>
      <c r="R387" s="549"/>
      <c r="S387" s="549">
        <v>5.64</v>
      </c>
      <c r="T387" s="549">
        <v>3.3439999999999999</v>
      </c>
      <c r="U387" s="549"/>
      <c r="V387" s="549">
        <v>3.2120000000000002</v>
      </c>
      <c r="W387" s="549"/>
      <c r="X387" s="549"/>
      <c r="Y387" s="549">
        <v>2.4</v>
      </c>
      <c r="Z387" s="549"/>
      <c r="AA387" s="549"/>
      <c r="AB387" s="549"/>
      <c r="AC387" s="549"/>
      <c r="AD387" s="549"/>
      <c r="AE387" s="549"/>
      <c r="AF387" s="549">
        <v>1.2</v>
      </c>
      <c r="AG387" s="549"/>
      <c r="AH387" s="100">
        <f t="shared" si="67"/>
        <v>35.020000000000003</v>
      </c>
    </row>
    <row r="388" spans="1:34" ht="15">
      <c r="A388" s="363" t="s">
        <v>149</v>
      </c>
      <c r="B388" s="53">
        <f t="shared" si="66"/>
        <v>15.222</v>
      </c>
      <c r="C388" s="488"/>
      <c r="D388" s="549"/>
      <c r="E388" s="549"/>
      <c r="F388" s="549">
        <v>2.8679999999999999</v>
      </c>
      <c r="G388" s="549"/>
      <c r="H388" s="549"/>
      <c r="I388" s="549">
        <v>3.24</v>
      </c>
      <c r="J388" s="549">
        <v>1.44</v>
      </c>
      <c r="K388" s="549">
        <v>1.1639999999999999</v>
      </c>
      <c r="L388" s="549"/>
      <c r="M388" s="549"/>
      <c r="N388" s="549"/>
      <c r="O388" s="549"/>
      <c r="P388" s="549"/>
      <c r="Q388" s="549"/>
      <c r="R388" s="549"/>
      <c r="S388" s="549"/>
      <c r="T388" s="549">
        <v>0.9</v>
      </c>
      <c r="U388" s="549"/>
      <c r="V388" s="549"/>
      <c r="W388" s="549"/>
      <c r="X388" s="549"/>
      <c r="Y388" s="549">
        <v>0.9</v>
      </c>
      <c r="Z388" s="549"/>
      <c r="AA388" s="549"/>
      <c r="AB388" s="549"/>
      <c r="AC388" s="549"/>
      <c r="AD388" s="99"/>
      <c r="AE388" s="99"/>
      <c r="AF388" s="99">
        <v>3.36</v>
      </c>
      <c r="AG388" s="99">
        <v>1.35</v>
      </c>
      <c r="AH388" s="100">
        <f t="shared" si="67"/>
        <v>15.222</v>
      </c>
    </row>
    <row r="389" spans="1:34" ht="15">
      <c r="A389" s="363" t="s">
        <v>150</v>
      </c>
      <c r="B389" s="53">
        <f t="shared" si="66"/>
        <v>4.335</v>
      </c>
      <c r="C389" s="116">
        <v>0.378</v>
      </c>
      <c r="D389" s="99">
        <v>0.378</v>
      </c>
      <c r="E389" s="99"/>
      <c r="F389" s="99"/>
      <c r="G389" s="99"/>
      <c r="H389" s="99"/>
      <c r="I389" s="99"/>
      <c r="J389" s="99"/>
      <c r="K389" s="99"/>
      <c r="L389" s="99"/>
      <c r="M389" s="99"/>
      <c r="N389" s="99"/>
      <c r="O389" s="99"/>
      <c r="P389" s="99">
        <v>1.38</v>
      </c>
      <c r="Q389" s="99">
        <v>0.67500000000000004</v>
      </c>
      <c r="R389" s="99"/>
      <c r="S389" s="99"/>
      <c r="T389" s="99"/>
      <c r="U389" s="99">
        <v>0.76500000000000001</v>
      </c>
      <c r="V389" s="99"/>
      <c r="W389" s="99"/>
      <c r="X389" s="99"/>
      <c r="Y389" s="99"/>
      <c r="Z389" s="99"/>
      <c r="AA389" s="99"/>
      <c r="AB389" s="99"/>
      <c r="AC389" s="99">
        <v>0.3</v>
      </c>
      <c r="AD389" s="99">
        <v>0.45900000000000002</v>
      </c>
      <c r="AE389" s="99"/>
      <c r="AF389" s="99"/>
      <c r="AG389" s="99"/>
      <c r="AH389" s="100">
        <f t="shared" si="67"/>
        <v>4.335</v>
      </c>
    </row>
    <row r="390" spans="1:34" ht="15">
      <c r="A390" s="314" t="s">
        <v>151</v>
      </c>
      <c r="B390" s="53">
        <f t="shared" si="66"/>
        <v>8.2050000000000001</v>
      </c>
      <c r="C390" s="116"/>
      <c r="D390" s="99"/>
      <c r="E390" s="99">
        <v>0.54</v>
      </c>
      <c r="F390" s="99"/>
      <c r="G390" s="99"/>
      <c r="H390" s="99">
        <v>1.01</v>
      </c>
      <c r="I390" s="99"/>
      <c r="J390" s="99"/>
      <c r="K390" s="99">
        <v>3.4990000000000001</v>
      </c>
      <c r="L390" s="99"/>
      <c r="M390" s="99"/>
      <c r="N390" s="99"/>
      <c r="O390" s="99"/>
      <c r="P390" s="99"/>
      <c r="Q390" s="99"/>
      <c r="R390" s="99"/>
      <c r="S390" s="99"/>
      <c r="T390" s="99"/>
      <c r="U390" s="99"/>
      <c r="V390" s="99">
        <v>0.67500000000000004</v>
      </c>
      <c r="W390" s="99"/>
      <c r="X390" s="99"/>
      <c r="Y390" s="99"/>
      <c r="Z390" s="99"/>
      <c r="AA390" s="99"/>
      <c r="AB390" s="99">
        <v>1.62</v>
      </c>
      <c r="AC390" s="99">
        <v>0.86099999999999999</v>
      </c>
      <c r="AD390" s="99"/>
      <c r="AE390" s="99"/>
      <c r="AF390" s="99"/>
      <c r="AG390" s="99"/>
      <c r="AH390" s="100">
        <f t="shared" si="67"/>
        <v>8.2050000000000001</v>
      </c>
    </row>
    <row r="391" spans="1:34" ht="15">
      <c r="A391" s="314" t="s">
        <v>152</v>
      </c>
      <c r="B391" s="53">
        <f t="shared" si="66"/>
        <v>5.6229999999999993</v>
      </c>
      <c r="C391" s="116"/>
      <c r="D391" s="99"/>
      <c r="E391" s="99">
        <v>0.40500000000000003</v>
      </c>
      <c r="F391" s="99"/>
      <c r="G391" s="99"/>
      <c r="H391" s="99"/>
      <c r="I391" s="99"/>
      <c r="J391" s="99"/>
      <c r="K391" s="99"/>
      <c r="L391" s="99"/>
      <c r="M391" s="99"/>
      <c r="N391" s="99"/>
      <c r="O391" s="99"/>
      <c r="P391" s="99"/>
      <c r="Q391" s="53"/>
      <c r="R391" s="53"/>
      <c r="S391" s="53">
        <v>1.4079999999999999</v>
      </c>
      <c r="T391" s="53"/>
      <c r="U391" s="53"/>
      <c r="V391" s="53">
        <v>0.13500000000000001</v>
      </c>
      <c r="W391" s="53"/>
      <c r="X391" s="53"/>
      <c r="Y391" s="53">
        <v>0.54</v>
      </c>
      <c r="Z391" s="53">
        <v>0.3</v>
      </c>
      <c r="AA391" s="53"/>
      <c r="AB391" s="53"/>
      <c r="AC391" s="53"/>
      <c r="AD391" s="53"/>
      <c r="AE391" s="53"/>
      <c r="AF391" s="53">
        <v>2.0249999999999999</v>
      </c>
      <c r="AG391" s="53">
        <v>0.81</v>
      </c>
      <c r="AH391" s="100">
        <f t="shared" si="67"/>
        <v>5.6229999999999993</v>
      </c>
    </row>
    <row r="392" spans="1:34" ht="15">
      <c r="A392" s="314" t="s">
        <v>153</v>
      </c>
      <c r="B392" s="53">
        <f t="shared" si="66"/>
        <v>0</v>
      </c>
      <c r="C392" s="188" t="s">
        <v>162</v>
      </c>
      <c r="D392" s="188" t="s">
        <v>162</v>
      </c>
      <c r="E392" s="188" t="s">
        <v>162</v>
      </c>
      <c r="F392" s="188" t="s">
        <v>162</v>
      </c>
      <c r="G392" s="188" t="s">
        <v>162</v>
      </c>
      <c r="H392" s="188" t="s">
        <v>162</v>
      </c>
      <c r="I392" s="188" t="s">
        <v>162</v>
      </c>
      <c r="J392" s="188" t="s">
        <v>162</v>
      </c>
      <c r="K392" s="188" t="s">
        <v>162</v>
      </c>
      <c r="L392" s="188" t="s">
        <v>162</v>
      </c>
      <c r="M392" s="188" t="s">
        <v>162</v>
      </c>
      <c r="N392" s="188" t="s">
        <v>162</v>
      </c>
      <c r="O392" s="188" t="s">
        <v>162</v>
      </c>
      <c r="P392" s="188" t="s">
        <v>162</v>
      </c>
      <c r="Q392" s="188" t="s">
        <v>162</v>
      </c>
      <c r="R392" s="188" t="s">
        <v>162</v>
      </c>
      <c r="S392" s="188" t="s">
        <v>162</v>
      </c>
      <c r="T392" s="188" t="s">
        <v>162</v>
      </c>
      <c r="U392" s="188" t="s">
        <v>162</v>
      </c>
      <c r="V392" s="188" t="s">
        <v>162</v>
      </c>
      <c r="W392" s="188" t="s">
        <v>162</v>
      </c>
      <c r="X392" s="188" t="s">
        <v>162</v>
      </c>
      <c r="Y392" s="188" t="s">
        <v>162</v>
      </c>
      <c r="Z392" s="188" t="s">
        <v>162</v>
      </c>
      <c r="AA392" s="188" t="s">
        <v>162</v>
      </c>
      <c r="AB392" s="188" t="s">
        <v>162</v>
      </c>
      <c r="AC392" s="188" t="s">
        <v>162</v>
      </c>
      <c r="AD392" s="188" t="s">
        <v>162</v>
      </c>
      <c r="AE392" s="188" t="s">
        <v>162</v>
      </c>
      <c r="AF392" s="188" t="s">
        <v>162</v>
      </c>
      <c r="AG392" s="188" t="s">
        <v>162</v>
      </c>
      <c r="AH392" s="100">
        <f t="shared" si="67"/>
        <v>0</v>
      </c>
    </row>
    <row r="393" spans="1:34" ht="15">
      <c r="A393" s="314" t="s">
        <v>154</v>
      </c>
      <c r="B393" s="53">
        <f t="shared" si="66"/>
        <v>3.2850000000000001</v>
      </c>
      <c r="C393" s="116"/>
      <c r="D393" s="99">
        <v>0.13500000000000001</v>
      </c>
      <c r="E393" s="99">
        <v>0.70499999999999996</v>
      </c>
      <c r="F393" s="99"/>
      <c r="G393" s="99"/>
      <c r="H393" s="99"/>
      <c r="I393" s="99"/>
      <c r="J393" s="99">
        <v>0.54</v>
      </c>
      <c r="K393" s="99"/>
      <c r="L393" s="99"/>
      <c r="M393" s="99"/>
      <c r="N393" s="99"/>
      <c r="O393" s="99"/>
      <c r="P393" s="99"/>
      <c r="Q393" s="99"/>
      <c r="R393" s="99"/>
      <c r="S393" s="99"/>
      <c r="T393" s="99"/>
      <c r="U393" s="99"/>
      <c r="V393" s="99"/>
      <c r="W393" s="99"/>
      <c r="X393" s="99">
        <v>0.40500000000000003</v>
      </c>
      <c r="Y393" s="99"/>
      <c r="Z393" s="99"/>
      <c r="AA393" s="99"/>
      <c r="AB393" s="99"/>
      <c r="AC393" s="99"/>
      <c r="AD393" s="99"/>
      <c r="AE393" s="99"/>
      <c r="AF393" s="99"/>
      <c r="AG393" s="99">
        <v>1.5</v>
      </c>
      <c r="AH393" s="100">
        <f t="shared" si="67"/>
        <v>3.2850000000000001</v>
      </c>
    </row>
    <row r="394" spans="1:34" ht="15">
      <c r="A394" s="314" t="s">
        <v>155</v>
      </c>
      <c r="B394" s="53">
        <f t="shared" si="66"/>
        <v>3.3270000000000004</v>
      </c>
      <c r="C394" s="116"/>
      <c r="D394" s="99"/>
      <c r="E394" s="99"/>
      <c r="F394" s="99"/>
      <c r="G394" s="99"/>
      <c r="H394" s="99"/>
      <c r="I394" s="99">
        <v>0.9</v>
      </c>
      <c r="J394" s="99"/>
      <c r="K394" s="99"/>
      <c r="L394" s="99">
        <v>1.36</v>
      </c>
      <c r="M394" s="99"/>
      <c r="N394" s="99"/>
      <c r="O394" s="99"/>
      <c r="P394" s="99">
        <v>0.54</v>
      </c>
      <c r="Q394" s="99"/>
      <c r="R394" s="99"/>
      <c r="S394" s="99"/>
      <c r="T394" s="99"/>
      <c r="U394" s="99"/>
      <c r="V394" s="99"/>
      <c r="W394" s="99"/>
      <c r="X394" s="99"/>
      <c r="Y394" s="99"/>
      <c r="Z394" s="99"/>
      <c r="AA394" s="99"/>
      <c r="AB394" s="99"/>
      <c r="AC394" s="99">
        <v>5.1999999999999998E-2</v>
      </c>
      <c r="AD394" s="99"/>
      <c r="AE394" s="99">
        <v>0.47499999999999998</v>
      </c>
      <c r="AF394" s="99"/>
      <c r="AG394" s="99"/>
      <c r="AH394" s="100">
        <f t="shared" si="67"/>
        <v>3.3270000000000004</v>
      </c>
    </row>
    <row r="395" spans="1:34" ht="15">
      <c r="A395" s="314" t="s">
        <v>156</v>
      </c>
      <c r="B395" s="53">
        <f t="shared" si="66"/>
        <v>36.051000000000002</v>
      </c>
      <c r="C395" s="116"/>
      <c r="D395" s="99"/>
      <c r="E395" s="99"/>
      <c r="F395" s="99">
        <v>1.89</v>
      </c>
      <c r="G395" s="99">
        <v>1.962</v>
      </c>
      <c r="H395" s="99"/>
      <c r="I395" s="99">
        <v>1.08</v>
      </c>
      <c r="J395" s="99"/>
      <c r="K395" s="99"/>
      <c r="L395" s="99"/>
      <c r="M395" s="99"/>
      <c r="N395" s="99">
        <v>0.54</v>
      </c>
      <c r="O395" s="99"/>
      <c r="P395" s="99">
        <v>0.432</v>
      </c>
      <c r="Q395" s="99"/>
      <c r="R395" s="99"/>
      <c r="S395" s="99">
        <v>2.95</v>
      </c>
      <c r="T395" s="99"/>
      <c r="U395" s="99"/>
      <c r="V395" s="99">
        <v>3.7549999999999999</v>
      </c>
      <c r="W395" s="99">
        <v>3.81</v>
      </c>
      <c r="X395" s="99"/>
      <c r="Y395" s="99"/>
      <c r="Z395" s="99"/>
      <c r="AA395" s="99"/>
      <c r="AB395" s="99">
        <v>6.0149999999999997</v>
      </c>
      <c r="AC395" s="99">
        <v>2.8370000000000002</v>
      </c>
      <c r="AD395" s="99">
        <v>6.19</v>
      </c>
      <c r="AE395" s="99"/>
      <c r="AF395" s="99"/>
      <c r="AG395" s="99">
        <v>4.59</v>
      </c>
      <c r="AH395" s="100">
        <f t="shared" si="67"/>
        <v>36.051000000000002</v>
      </c>
    </row>
    <row r="396" spans="1:34" ht="15">
      <c r="A396" s="200" t="s">
        <v>111</v>
      </c>
      <c r="B396" s="200">
        <f t="shared" ref="B396:AH396" si="68">SUM(B384:B395)</f>
        <v>164.64400000000001</v>
      </c>
      <c r="C396" s="100">
        <f t="shared" si="68"/>
        <v>0.378</v>
      </c>
      <c r="D396" s="100">
        <f t="shared" si="68"/>
        <v>6.6079999999999997</v>
      </c>
      <c r="E396" s="100">
        <f t="shared" si="68"/>
        <v>3.6000000000000005</v>
      </c>
      <c r="F396" s="100">
        <f t="shared" si="68"/>
        <v>15.357000000000001</v>
      </c>
      <c r="G396" s="100">
        <f t="shared" si="68"/>
        <v>7.2569999999999997</v>
      </c>
      <c r="H396" s="100">
        <f t="shared" si="68"/>
        <v>2.516</v>
      </c>
      <c r="I396" s="100">
        <f t="shared" si="68"/>
        <v>5.2200000000000006</v>
      </c>
      <c r="J396" s="100">
        <f t="shared" si="68"/>
        <v>1.98</v>
      </c>
      <c r="K396" s="100">
        <f t="shared" si="68"/>
        <v>6.508</v>
      </c>
      <c r="L396" s="100">
        <f t="shared" si="68"/>
        <v>1.36</v>
      </c>
      <c r="M396" s="100">
        <f t="shared" si="68"/>
        <v>0</v>
      </c>
      <c r="N396" s="100">
        <f t="shared" si="68"/>
        <v>0.54</v>
      </c>
      <c r="O396" s="100">
        <f t="shared" si="68"/>
        <v>2.496</v>
      </c>
      <c r="P396" s="100">
        <f t="shared" si="68"/>
        <v>3.4319999999999999</v>
      </c>
      <c r="Q396" s="100">
        <f t="shared" si="68"/>
        <v>0.67500000000000004</v>
      </c>
      <c r="R396" s="100">
        <f t="shared" si="68"/>
        <v>0</v>
      </c>
      <c r="S396" s="100">
        <f t="shared" si="68"/>
        <v>14.963000000000001</v>
      </c>
      <c r="T396" s="100">
        <f t="shared" si="68"/>
        <v>4.2439999999999998</v>
      </c>
      <c r="U396" s="100">
        <f t="shared" si="68"/>
        <v>3.335</v>
      </c>
      <c r="V396" s="100">
        <f t="shared" si="68"/>
        <v>11.247</v>
      </c>
      <c r="W396" s="100">
        <f t="shared" si="68"/>
        <v>6.24</v>
      </c>
      <c r="X396" s="100">
        <f t="shared" si="68"/>
        <v>2.8650000000000002</v>
      </c>
      <c r="Y396" s="100">
        <f t="shared" si="68"/>
        <v>4.3529999999999998</v>
      </c>
      <c r="Z396" s="100">
        <f t="shared" si="68"/>
        <v>0.3</v>
      </c>
      <c r="AA396" s="100">
        <f t="shared" si="68"/>
        <v>0</v>
      </c>
      <c r="AB396" s="100">
        <f t="shared" si="68"/>
        <v>7.6349999999999998</v>
      </c>
      <c r="AC396" s="100">
        <f t="shared" si="68"/>
        <v>13.010000000000002</v>
      </c>
      <c r="AD396" s="100">
        <f t="shared" si="68"/>
        <v>20.533000000000001</v>
      </c>
      <c r="AE396" s="100">
        <f t="shared" si="68"/>
        <v>3.1570000000000005</v>
      </c>
      <c r="AF396" s="100">
        <f t="shared" si="68"/>
        <v>6.5849999999999991</v>
      </c>
      <c r="AG396" s="100">
        <f t="shared" si="68"/>
        <v>8.25</v>
      </c>
      <c r="AH396" s="100">
        <f t="shared" si="68"/>
        <v>164.64400000000001</v>
      </c>
    </row>
    <row r="397" spans="1:34" s="312" customFormat="1" ht="15">
      <c r="A397" s="478"/>
      <c r="B397" s="478"/>
      <c r="C397" s="479"/>
      <c r="D397" s="479"/>
      <c r="E397" s="479"/>
      <c r="F397" s="479"/>
      <c r="G397" s="479"/>
      <c r="H397" s="479"/>
      <c r="I397" s="479"/>
      <c r="J397" s="479"/>
      <c r="K397" s="479"/>
      <c r="L397" s="479"/>
      <c r="M397" s="479"/>
      <c r="N397" s="479"/>
      <c r="O397" s="479"/>
      <c r="P397" s="479"/>
      <c r="Q397" s="479"/>
      <c r="R397" s="479"/>
      <c r="S397" s="479"/>
      <c r="T397" s="479"/>
      <c r="U397" s="479"/>
      <c r="V397" s="479"/>
      <c r="W397" s="479"/>
      <c r="X397" s="479"/>
      <c r="Y397" s="479"/>
      <c r="Z397" s="479"/>
      <c r="AA397" s="479"/>
      <c r="AB397" s="479"/>
      <c r="AC397" s="479"/>
      <c r="AD397" s="479"/>
      <c r="AE397" s="479"/>
      <c r="AF397" s="479"/>
      <c r="AG397" s="479"/>
      <c r="AH397" s="479"/>
    </row>
    <row r="398" spans="1:34" s="312" customFormat="1" ht="15">
      <c r="A398" s="3893" t="s">
        <v>493</v>
      </c>
      <c r="B398" s="3894"/>
      <c r="C398" s="3895"/>
      <c r="D398" s="14"/>
      <c r="E398" s="114"/>
      <c r="F398" s="14"/>
      <c r="G398" s="14"/>
      <c r="H398" s="14"/>
      <c r="I398" s="14"/>
      <c r="J398" s="14"/>
      <c r="K398" s="14"/>
      <c r="L398" s="14"/>
      <c r="M398" s="98"/>
      <c r="N398" s="14"/>
      <c r="O398" s="14"/>
      <c r="P398" s="14"/>
      <c r="Q398" s="14"/>
      <c r="R398" s="14"/>
      <c r="S398" s="14"/>
      <c r="T398" s="14"/>
      <c r="U398" s="14"/>
      <c r="V398" s="14"/>
      <c r="W398" s="14"/>
      <c r="X398" s="14"/>
      <c r="Y398" s="14"/>
      <c r="Z398" s="14"/>
      <c r="AA398" s="14"/>
      <c r="AB398" s="14"/>
      <c r="AC398" s="14"/>
      <c r="AD398" s="14"/>
      <c r="AE398" s="14"/>
      <c r="AF398" s="14"/>
      <c r="AG398" s="14"/>
      <c r="AH398" s="1"/>
    </row>
    <row r="399" spans="1:34" s="312" customFormat="1" ht="15">
      <c r="A399" s="8" t="s">
        <v>142</v>
      </c>
      <c r="B399" s="8" t="s">
        <v>143</v>
      </c>
      <c r="C399" s="314">
        <v>1</v>
      </c>
      <c r="D399" s="73">
        <v>2</v>
      </c>
      <c r="E399" s="73">
        <v>3</v>
      </c>
      <c r="F399" s="73">
        <v>4</v>
      </c>
      <c r="G399" s="73">
        <v>5</v>
      </c>
      <c r="H399" s="73">
        <v>6</v>
      </c>
      <c r="I399" s="73">
        <v>7</v>
      </c>
      <c r="J399" s="73">
        <v>8</v>
      </c>
      <c r="K399" s="73">
        <v>9</v>
      </c>
      <c r="L399" s="73">
        <v>10</v>
      </c>
      <c r="M399" s="73">
        <v>11</v>
      </c>
      <c r="N399" s="73">
        <v>12</v>
      </c>
      <c r="O399" s="73">
        <v>13</v>
      </c>
      <c r="P399" s="73">
        <v>14</v>
      </c>
      <c r="Q399" s="73">
        <v>15</v>
      </c>
      <c r="R399" s="73">
        <v>16</v>
      </c>
      <c r="S399" s="73">
        <v>17</v>
      </c>
      <c r="T399" s="73">
        <v>18</v>
      </c>
      <c r="U399" s="73">
        <v>19</v>
      </c>
      <c r="V399" s="73">
        <v>20</v>
      </c>
      <c r="W399" s="73">
        <v>21</v>
      </c>
      <c r="X399" s="73">
        <v>22</v>
      </c>
      <c r="Y399" s="73">
        <v>23</v>
      </c>
      <c r="Z399" s="73">
        <v>24</v>
      </c>
      <c r="AA399" s="73">
        <v>25</v>
      </c>
      <c r="AB399" s="73">
        <v>26</v>
      </c>
      <c r="AC399" s="73">
        <v>27</v>
      </c>
      <c r="AD399" s="73">
        <v>28</v>
      </c>
      <c r="AE399" s="73">
        <v>29</v>
      </c>
      <c r="AF399" s="73">
        <v>30</v>
      </c>
      <c r="AG399" s="73">
        <v>31</v>
      </c>
      <c r="AH399" s="87" t="s">
        <v>144</v>
      </c>
    </row>
    <row r="400" spans="1:34" s="312" customFormat="1" ht="15">
      <c r="A400" s="363" t="s">
        <v>145</v>
      </c>
      <c r="B400" s="53">
        <f t="shared" ref="B400:B411" si="69">+AH400</f>
        <v>134.86099999999999</v>
      </c>
      <c r="C400" s="488"/>
      <c r="D400" s="488"/>
      <c r="E400" s="488"/>
      <c r="F400" s="488"/>
      <c r="G400" s="488"/>
      <c r="H400" s="488"/>
      <c r="I400" s="488"/>
      <c r="J400" s="488"/>
      <c r="K400" s="488"/>
      <c r="L400" s="488">
        <v>7.52</v>
      </c>
      <c r="M400" s="488"/>
      <c r="N400" s="488">
        <v>13.226000000000001</v>
      </c>
      <c r="O400" s="488">
        <v>8.5960000000000001</v>
      </c>
      <c r="P400" s="488"/>
      <c r="Q400" s="488"/>
      <c r="R400" s="488">
        <v>11.307</v>
      </c>
      <c r="S400" s="488">
        <v>8.1270000000000007</v>
      </c>
      <c r="T400" s="488">
        <v>9.4090000000000007</v>
      </c>
      <c r="U400" s="488">
        <v>1.62</v>
      </c>
      <c r="V400" s="488">
        <v>4.7889999999999997</v>
      </c>
      <c r="W400" s="488"/>
      <c r="X400" s="488"/>
      <c r="Y400" s="488">
        <v>2.34</v>
      </c>
      <c r="Z400" s="488">
        <v>1.026</v>
      </c>
      <c r="AA400" s="488">
        <v>11.497</v>
      </c>
      <c r="AB400" s="488">
        <v>13.173</v>
      </c>
      <c r="AC400" s="488">
        <v>22.434999999999999</v>
      </c>
      <c r="AD400" s="488"/>
      <c r="AE400" s="488">
        <v>0.70199999999999996</v>
      </c>
      <c r="AF400" s="488">
        <v>14.962999999999999</v>
      </c>
      <c r="AG400" s="488">
        <v>4.1310000000000002</v>
      </c>
      <c r="AH400" s="100">
        <f>SUM(C400:AG400)</f>
        <v>134.86099999999999</v>
      </c>
    </row>
    <row r="401" spans="1:34" s="312" customFormat="1" ht="15">
      <c r="A401" s="363" t="s">
        <v>146</v>
      </c>
      <c r="B401" s="53">
        <f t="shared" si="69"/>
        <v>118.258</v>
      </c>
      <c r="C401" s="488">
        <v>22.844999999999999</v>
      </c>
      <c r="D401" s="488">
        <v>7.8840000000000003</v>
      </c>
      <c r="E401" s="488">
        <v>12.361000000000001</v>
      </c>
      <c r="F401" s="488"/>
      <c r="G401" s="488"/>
      <c r="H401" s="488">
        <v>3.7149999999999999</v>
      </c>
      <c r="I401" s="488"/>
      <c r="J401" s="488">
        <v>0.92</v>
      </c>
      <c r="K401" s="488">
        <v>24.863</v>
      </c>
      <c r="L401" s="488">
        <v>28.434000000000001</v>
      </c>
      <c r="M401" s="488">
        <v>0.439</v>
      </c>
      <c r="N401" s="488"/>
      <c r="O401" s="488">
        <v>7.8470000000000004</v>
      </c>
      <c r="P401" s="488">
        <v>1.89</v>
      </c>
      <c r="Q401" s="488">
        <v>7.06</v>
      </c>
      <c r="R401" s="488"/>
      <c r="S401" s="488"/>
      <c r="T401" s="488"/>
      <c r="U401" s="488"/>
      <c r="V401" s="488"/>
      <c r="W401" s="488"/>
      <c r="X401" s="488"/>
      <c r="Y401" s="488"/>
      <c r="Z401" s="488"/>
      <c r="AA401" s="488"/>
      <c r="AB401" s="488"/>
      <c r="AC401" s="488"/>
      <c r="AD401" s="488"/>
      <c r="AE401" s="488"/>
      <c r="AF401" s="488"/>
      <c r="AG401" s="488"/>
      <c r="AH401" s="100">
        <f t="shared" ref="AH401:AH411" si="70">SUM(C401:AG401)</f>
        <v>118.258</v>
      </c>
    </row>
    <row r="402" spans="1:34" s="312" customFormat="1" ht="15">
      <c r="A402" s="314" t="s">
        <v>147</v>
      </c>
      <c r="B402" s="53">
        <f t="shared" si="69"/>
        <v>0</v>
      </c>
      <c r="C402" s="116"/>
      <c r="D402" s="99"/>
      <c r="E402" s="99"/>
      <c r="F402" s="99"/>
      <c r="G402" s="99"/>
      <c r="H402" s="99"/>
      <c r="I402" s="99"/>
      <c r="J402" s="99"/>
      <c r="K402" s="99"/>
      <c r="L402" s="99"/>
      <c r="M402" s="99"/>
      <c r="N402" s="99"/>
      <c r="O402" s="99"/>
      <c r="P402" s="99"/>
      <c r="Q402" s="99"/>
      <c r="R402" s="99"/>
      <c r="S402" s="99"/>
      <c r="T402" s="99"/>
      <c r="U402" s="99"/>
      <c r="V402" s="99"/>
      <c r="W402" s="99"/>
      <c r="X402" s="99"/>
      <c r="Y402" s="99"/>
      <c r="Z402" s="99"/>
      <c r="AA402" s="99"/>
      <c r="AB402" s="99"/>
      <c r="AC402" s="99"/>
      <c r="AD402" s="99"/>
      <c r="AE402" s="99"/>
      <c r="AF402" s="99"/>
      <c r="AG402" s="99"/>
      <c r="AH402" s="100">
        <f t="shared" si="70"/>
        <v>0</v>
      </c>
    </row>
    <row r="403" spans="1:34" s="312" customFormat="1" ht="15">
      <c r="A403" s="314" t="s">
        <v>148</v>
      </c>
      <c r="B403" s="53">
        <f t="shared" si="69"/>
        <v>0</v>
      </c>
      <c r="C403" s="116"/>
      <c r="D403" s="99"/>
      <c r="E403" s="99"/>
      <c r="F403" s="99"/>
      <c r="G403" s="99"/>
      <c r="H403" s="99"/>
      <c r="I403" s="99"/>
      <c r="J403" s="99"/>
      <c r="K403" s="99"/>
      <c r="L403" s="99"/>
      <c r="M403" s="99"/>
      <c r="N403" s="99"/>
      <c r="O403" s="99"/>
      <c r="P403" s="99"/>
      <c r="Q403" s="99"/>
      <c r="R403" s="99"/>
      <c r="S403" s="99"/>
      <c r="T403" s="99"/>
      <c r="U403" s="99"/>
      <c r="V403" s="99"/>
      <c r="W403" s="99"/>
      <c r="X403" s="99"/>
      <c r="Y403" s="99"/>
      <c r="Z403" s="99"/>
      <c r="AA403" s="99"/>
      <c r="AB403" s="99"/>
      <c r="AC403" s="99"/>
      <c r="AD403" s="99"/>
      <c r="AE403" s="99"/>
      <c r="AF403" s="99"/>
      <c r="AG403" s="99"/>
      <c r="AH403" s="100">
        <f t="shared" si="70"/>
        <v>0</v>
      </c>
    </row>
    <row r="404" spans="1:34" s="312" customFormat="1" ht="15">
      <c r="A404" s="314" t="s">
        <v>149</v>
      </c>
      <c r="B404" s="53">
        <f t="shared" si="69"/>
        <v>0</v>
      </c>
      <c r="C404" s="116"/>
      <c r="D404" s="99"/>
      <c r="E404" s="99"/>
      <c r="F404" s="99"/>
      <c r="G404" s="99"/>
      <c r="H404" s="99"/>
      <c r="I404" s="99"/>
      <c r="J404" s="99"/>
      <c r="K404" s="99"/>
      <c r="L404" s="99"/>
      <c r="M404" s="99"/>
      <c r="N404" s="99"/>
      <c r="O404" s="99"/>
      <c r="P404" s="99"/>
      <c r="Q404" s="99"/>
      <c r="R404" s="99"/>
      <c r="S404" s="99"/>
      <c r="T404" s="99"/>
      <c r="U404" s="99"/>
      <c r="V404" s="99"/>
      <c r="W404" s="99"/>
      <c r="X404" s="99"/>
      <c r="Y404" s="99"/>
      <c r="Z404" s="99"/>
      <c r="AA404" s="99"/>
      <c r="AB404" s="99"/>
      <c r="AC404" s="99"/>
      <c r="AD404" s="99"/>
      <c r="AE404" s="99"/>
      <c r="AF404" s="99"/>
      <c r="AG404" s="99"/>
      <c r="AH404" s="100">
        <f t="shared" si="70"/>
        <v>0</v>
      </c>
    </row>
    <row r="405" spans="1:34" s="312" customFormat="1" ht="15">
      <c r="A405" s="314" t="s">
        <v>150</v>
      </c>
      <c r="B405" s="53">
        <f t="shared" si="69"/>
        <v>0</v>
      </c>
      <c r="C405" s="116"/>
      <c r="D405" s="99"/>
      <c r="E405" s="99"/>
      <c r="F405" s="99"/>
      <c r="G405" s="99"/>
      <c r="H405" s="99"/>
      <c r="I405" s="99"/>
      <c r="J405" s="99"/>
      <c r="K405" s="99"/>
      <c r="L405" s="99"/>
      <c r="M405" s="99"/>
      <c r="N405" s="99"/>
      <c r="O405" s="99"/>
      <c r="P405" s="99"/>
      <c r="Q405" s="99"/>
      <c r="R405" s="99"/>
      <c r="S405" s="99"/>
      <c r="T405" s="99"/>
      <c r="U405" s="99"/>
      <c r="V405" s="99"/>
      <c r="W405" s="99"/>
      <c r="X405" s="99"/>
      <c r="Y405" s="99"/>
      <c r="Z405" s="99"/>
      <c r="AA405" s="99"/>
      <c r="AB405" s="99"/>
      <c r="AC405" s="99"/>
      <c r="AD405" s="99"/>
      <c r="AE405" s="99"/>
      <c r="AF405" s="99"/>
      <c r="AG405" s="99"/>
      <c r="AH405" s="100">
        <f t="shared" si="70"/>
        <v>0</v>
      </c>
    </row>
    <row r="406" spans="1:34" s="312" customFormat="1" ht="15">
      <c r="A406" s="314" t="s">
        <v>151</v>
      </c>
      <c r="B406" s="53">
        <f t="shared" si="69"/>
        <v>0</v>
      </c>
      <c r="C406" s="116"/>
      <c r="D406" s="99"/>
      <c r="E406" s="99"/>
      <c r="F406" s="99"/>
      <c r="G406" s="99"/>
      <c r="H406" s="99"/>
      <c r="I406" s="99"/>
      <c r="J406" s="99"/>
      <c r="K406" s="99"/>
      <c r="L406" s="99"/>
      <c r="M406" s="99"/>
      <c r="N406" s="99"/>
      <c r="O406" s="99"/>
      <c r="P406" s="99"/>
      <c r="Q406" s="99"/>
      <c r="R406" s="99"/>
      <c r="S406" s="99"/>
      <c r="T406" s="99"/>
      <c r="U406" s="99"/>
      <c r="V406" s="99"/>
      <c r="W406" s="99"/>
      <c r="X406" s="99"/>
      <c r="Y406" s="99"/>
      <c r="Z406" s="99"/>
      <c r="AA406" s="99"/>
      <c r="AB406" s="99"/>
      <c r="AC406" s="99"/>
      <c r="AD406" s="99"/>
      <c r="AE406" s="99"/>
      <c r="AF406" s="99"/>
      <c r="AG406" s="99"/>
      <c r="AH406" s="100">
        <f t="shared" si="70"/>
        <v>0</v>
      </c>
    </row>
    <row r="407" spans="1:34" s="312" customFormat="1" ht="15">
      <c r="A407" s="314" t="s">
        <v>152</v>
      </c>
      <c r="B407" s="53">
        <f t="shared" si="69"/>
        <v>0</v>
      </c>
      <c r="C407" s="116"/>
      <c r="D407" s="99"/>
      <c r="E407" s="99"/>
      <c r="F407" s="99"/>
      <c r="G407" s="99"/>
      <c r="H407" s="99"/>
      <c r="I407" s="99"/>
      <c r="J407" s="99"/>
      <c r="K407" s="99"/>
      <c r="L407" s="99"/>
      <c r="M407" s="99"/>
      <c r="N407" s="99"/>
      <c r="O407" s="99"/>
      <c r="P407" s="99"/>
      <c r="Q407" s="53"/>
      <c r="R407" s="53"/>
      <c r="S407" s="53"/>
      <c r="T407" s="53"/>
      <c r="U407" s="53"/>
      <c r="V407" s="53"/>
      <c r="W407" s="53"/>
      <c r="X407" s="53"/>
      <c r="Y407" s="53"/>
      <c r="Z407" s="53"/>
      <c r="AA407" s="53"/>
      <c r="AB407" s="53"/>
      <c r="AC407" s="53"/>
      <c r="AD407" s="53"/>
      <c r="AE407" s="53"/>
      <c r="AF407" s="53"/>
      <c r="AG407" s="53"/>
      <c r="AH407" s="100">
        <f t="shared" si="70"/>
        <v>0</v>
      </c>
    </row>
    <row r="408" spans="1:34" s="312" customFormat="1" ht="15">
      <c r="A408" s="314" t="s">
        <v>153</v>
      </c>
      <c r="B408" s="53">
        <f t="shared" si="69"/>
        <v>0</v>
      </c>
      <c r="C408" s="188" t="s">
        <v>162</v>
      </c>
      <c r="D408" s="188" t="s">
        <v>162</v>
      </c>
      <c r="E408" s="188" t="s">
        <v>162</v>
      </c>
      <c r="F408" s="188" t="s">
        <v>162</v>
      </c>
      <c r="G408" s="188" t="s">
        <v>162</v>
      </c>
      <c r="H408" s="188" t="s">
        <v>162</v>
      </c>
      <c r="I408" s="188" t="s">
        <v>162</v>
      </c>
      <c r="J408" s="188" t="s">
        <v>162</v>
      </c>
      <c r="K408" s="188" t="s">
        <v>162</v>
      </c>
      <c r="L408" s="188" t="s">
        <v>162</v>
      </c>
      <c r="M408" s="188" t="s">
        <v>162</v>
      </c>
      <c r="N408" s="188" t="s">
        <v>162</v>
      </c>
      <c r="O408" s="188" t="s">
        <v>162</v>
      </c>
      <c r="P408" s="188" t="s">
        <v>162</v>
      </c>
      <c r="Q408" s="188" t="s">
        <v>162</v>
      </c>
      <c r="R408" s="188" t="s">
        <v>162</v>
      </c>
      <c r="S408" s="188" t="s">
        <v>162</v>
      </c>
      <c r="T408" s="188" t="s">
        <v>162</v>
      </c>
      <c r="U408" s="188" t="s">
        <v>162</v>
      </c>
      <c r="V408" s="188" t="s">
        <v>162</v>
      </c>
      <c r="W408" s="188" t="s">
        <v>162</v>
      </c>
      <c r="X408" s="188" t="s">
        <v>162</v>
      </c>
      <c r="Y408" s="188" t="s">
        <v>162</v>
      </c>
      <c r="Z408" s="188" t="s">
        <v>162</v>
      </c>
      <c r="AA408" s="188" t="s">
        <v>162</v>
      </c>
      <c r="AB408" s="188" t="s">
        <v>162</v>
      </c>
      <c r="AC408" s="188" t="s">
        <v>162</v>
      </c>
      <c r="AD408" s="188" t="s">
        <v>162</v>
      </c>
      <c r="AE408" s="188" t="s">
        <v>162</v>
      </c>
      <c r="AF408" s="188" t="s">
        <v>162</v>
      </c>
      <c r="AG408" s="188" t="s">
        <v>162</v>
      </c>
      <c r="AH408" s="100">
        <f t="shared" si="70"/>
        <v>0</v>
      </c>
    </row>
    <row r="409" spans="1:34" s="312" customFormat="1" ht="15">
      <c r="A409" s="314" t="s">
        <v>154</v>
      </c>
      <c r="B409" s="53">
        <f t="shared" si="69"/>
        <v>0</v>
      </c>
      <c r="C409" s="116"/>
      <c r="D409" s="99"/>
      <c r="E409" s="99"/>
      <c r="F409" s="99"/>
      <c r="G409" s="99"/>
      <c r="H409" s="99"/>
      <c r="I409" s="99"/>
      <c r="J409" s="99"/>
      <c r="K409" s="99"/>
      <c r="L409" s="99"/>
      <c r="M409" s="99"/>
      <c r="N409" s="99"/>
      <c r="O409" s="99"/>
      <c r="P409" s="99"/>
      <c r="Q409" s="99"/>
      <c r="R409" s="99"/>
      <c r="S409" s="99"/>
      <c r="T409" s="99"/>
      <c r="U409" s="99"/>
      <c r="V409" s="99"/>
      <c r="W409" s="99"/>
      <c r="X409" s="99"/>
      <c r="Y409" s="99"/>
      <c r="Z409" s="99"/>
      <c r="AA409" s="99"/>
      <c r="AB409" s="99"/>
      <c r="AC409" s="99"/>
      <c r="AD409" s="99"/>
      <c r="AE409" s="99"/>
      <c r="AF409" s="99"/>
      <c r="AG409" s="99"/>
      <c r="AH409" s="100">
        <f t="shared" si="70"/>
        <v>0</v>
      </c>
    </row>
    <row r="410" spans="1:34" s="312" customFormat="1" ht="15">
      <c r="A410" s="314" t="s">
        <v>155</v>
      </c>
      <c r="B410" s="53">
        <f t="shared" si="69"/>
        <v>0</v>
      </c>
      <c r="C410" s="116"/>
      <c r="D410" s="99"/>
      <c r="E410" s="99"/>
      <c r="F410" s="99"/>
      <c r="G410" s="99"/>
      <c r="H410" s="99"/>
      <c r="I410" s="99"/>
      <c r="J410" s="99"/>
      <c r="K410" s="99"/>
      <c r="L410" s="99"/>
      <c r="M410" s="99"/>
      <c r="N410" s="99"/>
      <c r="O410" s="99"/>
      <c r="P410" s="99"/>
      <c r="Q410" s="99"/>
      <c r="R410" s="99"/>
      <c r="S410" s="99"/>
      <c r="T410" s="99"/>
      <c r="U410" s="99"/>
      <c r="V410" s="99"/>
      <c r="W410" s="99"/>
      <c r="X410" s="99"/>
      <c r="Y410" s="99"/>
      <c r="Z410" s="99"/>
      <c r="AA410" s="99"/>
      <c r="AB410" s="99"/>
      <c r="AC410" s="99"/>
      <c r="AD410" s="99"/>
      <c r="AE410" s="99"/>
      <c r="AF410" s="99"/>
      <c r="AG410" s="99"/>
      <c r="AH410" s="100">
        <f t="shared" si="70"/>
        <v>0</v>
      </c>
    </row>
    <row r="411" spans="1:34" s="312" customFormat="1" ht="15">
      <c r="A411" s="314" t="s">
        <v>156</v>
      </c>
      <c r="B411" s="53">
        <f t="shared" si="69"/>
        <v>0</v>
      </c>
      <c r="C411" s="116"/>
      <c r="D411" s="99"/>
      <c r="E411" s="99"/>
      <c r="F411" s="99"/>
      <c r="G411" s="99"/>
      <c r="H411" s="99"/>
      <c r="I411" s="99"/>
      <c r="J411" s="99"/>
      <c r="K411" s="99"/>
      <c r="L411" s="99"/>
      <c r="M411" s="99"/>
      <c r="N411" s="99"/>
      <c r="O411" s="99"/>
      <c r="P411" s="99"/>
      <c r="Q411" s="99"/>
      <c r="R411" s="99"/>
      <c r="S411" s="99"/>
      <c r="T411" s="99"/>
      <c r="U411" s="99"/>
      <c r="V411" s="99"/>
      <c r="W411" s="99"/>
      <c r="X411" s="99"/>
      <c r="Y411" s="99"/>
      <c r="Z411" s="99"/>
      <c r="AA411" s="99"/>
      <c r="AB411" s="99"/>
      <c r="AC411" s="99"/>
      <c r="AD411" s="99"/>
      <c r="AE411" s="99"/>
      <c r="AF411" s="99"/>
      <c r="AG411" s="99"/>
      <c r="AH411" s="100">
        <f t="shared" si="70"/>
        <v>0</v>
      </c>
    </row>
    <row r="412" spans="1:34" s="312" customFormat="1" ht="15">
      <c r="A412" s="200" t="s">
        <v>111</v>
      </c>
      <c r="B412" s="585">
        <f t="shared" ref="B412:AH412" si="71">SUM(B400:B411)</f>
        <v>253.11899999999997</v>
      </c>
      <c r="C412" s="100">
        <f t="shared" si="71"/>
        <v>22.844999999999999</v>
      </c>
      <c r="D412" s="100">
        <f t="shared" si="71"/>
        <v>7.8840000000000003</v>
      </c>
      <c r="E412" s="100">
        <f t="shared" si="71"/>
        <v>12.361000000000001</v>
      </c>
      <c r="F412" s="100">
        <f t="shared" si="71"/>
        <v>0</v>
      </c>
      <c r="G412" s="100">
        <f t="shared" si="71"/>
        <v>0</v>
      </c>
      <c r="H412" s="100">
        <f t="shared" si="71"/>
        <v>3.7149999999999999</v>
      </c>
      <c r="I412" s="100">
        <f t="shared" si="71"/>
        <v>0</v>
      </c>
      <c r="J412" s="100">
        <f t="shared" si="71"/>
        <v>0.92</v>
      </c>
      <c r="K412" s="100">
        <f t="shared" si="71"/>
        <v>24.863</v>
      </c>
      <c r="L412" s="100">
        <f t="shared" si="71"/>
        <v>35.954000000000001</v>
      </c>
      <c r="M412" s="100">
        <f t="shared" si="71"/>
        <v>0.439</v>
      </c>
      <c r="N412" s="100">
        <f t="shared" si="71"/>
        <v>13.226000000000001</v>
      </c>
      <c r="O412" s="100">
        <f t="shared" si="71"/>
        <v>16.443000000000001</v>
      </c>
      <c r="P412" s="100">
        <f t="shared" si="71"/>
        <v>1.89</v>
      </c>
      <c r="Q412" s="100">
        <f t="shared" si="71"/>
        <v>7.06</v>
      </c>
      <c r="R412" s="100">
        <f t="shared" si="71"/>
        <v>11.307</v>
      </c>
      <c r="S412" s="100">
        <f t="shared" si="71"/>
        <v>8.1270000000000007</v>
      </c>
      <c r="T412" s="100">
        <f t="shared" si="71"/>
        <v>9.4090000000000007</v>
      </c>
      <c r="U412" s="100">
        <f t="shared" si="71"/>
        <v>1.62</v>
      </c>
      <c r="V412" s="100">
        <f t="shared" si="71"/>
        <v>4.7889999999999997</v>
      </c>
      <c r="W412" s="100">
        <f t="shared" si="71"/>
        <v>0</v>
      </c>
      <c r="X412" s="100">
        <f t="shared" si="71"/>
        <v>0</v>
      </c>
      <c r="Y412" s="100">
        <f t="shared" si="71"/>
        <v>2.34</v>
      </c>
      <c r="Z412" s="100">
        <f t="shared" si="71"/>
        <v>1.026</v>
      </c>
      <c r="AA412" s="100">
        <f t="shared" si="71"/>
        <v>11.497</v>
      </c>
      <c r="AB412" s="100">
        <f t="shared" si="71"/>
        <v>13.173</v>
      </c>
      <c r="AC412" s="100">
        <f t="shared" si="71"/>
        <v>22.434999999999999</v>
      </c>
      <c r="AD412" s="100">
        <f t="shared" si="71"/>
        <v>0</v>
      </c>
      <c r="AE412" s="100">
        <f t="shared" si="71"/>
        <v>0.70199999999999996</v>
      </c>
      <c r="AF412" s="100">
        <f t="shared" si="71"/>
        <v>14.962999999999999</v>
      </c>
      <c r="AG412" s="100">
        <f t="shared" si="71"/>
        <v>4.1310000000000002</v>
      </c>
      <c r="AH412" s="100">
        <f t="shared" si="71"/>
        <v>253.11899999999997</v>
      </c>
    </row>
    <row r="413" spans="1:34" s="312" customFormat="1" ht="15">
      <c r="A413" s="478"/>
      <c r="B413" s="478"/>
      <c r="C413" s="479"/>
      <c r="D413" s="479"/>
      <c r="E413" s="479"/>
      <c r="F413" s="479"/>
      <c r="G413" s="479"/>
      <c r="H413" s="479"/>
      <c r="I413" s="479"/>
      <c r="J413" s="479"/>
      <c r="K413" s="479"/>
      <c r="L413" s="479"/>
      <c r="M413" s="479"/>
      <c r="N413" s="479"/>
      <c r="O413" s="479"/>
      <c r="P413" s="479"/>
      <c r="Q413" s="479"/>
      <c r="R413" s="479"/>
      <c r="S413" s="479"/>
      <c r="T413" s="479"/>
      <c r="U413" s="479"/>
      <c r="V413" s="479"/>
      <c r="W413" s="479"/>
      <c r="X413" s="479"/>
      <c r="Y413" s="479"/>
      <c r="Z413" s="479"/>
      <c r="AA413" s="479"/>
      <c r="AB413" s="479"/>
      <c r="AC413" s="479"/>
      <c r="AD413" s="479"/>
      <c r="AE413" s="479"/>
      <c r="AF413" s="479"/>
      <c r="AG413" s="479"/>
      <c r="AH413" s="479"/>
    </row>
    <row r="414" spans="1:34" s="312" customFormat="1" ht="15">
      <c r="A414" s="3854" t="s">
        <v>467</v>
      </c>
      <c r="B414" s="3855"/>
      <c r="C414" s="3856"/>
      <c r="D414" s="14"/>
      <c r="E414" s="14"/>
      <c r="F414" s="14"/>
      <c r="G414" s="14"/>
      <c r="H414" s="14"/>
      <c r="I414" s="14"/>
      <c r="J414" s="14"/>
      <c r="K414" s="14"/>
      <c r="L414" s="14"/>
      <c r="M414" s="98"/>
      <c r="N414" s="14"/>
      <c r="O414" s="14"/>
      <c r="P414" s="14"/>
      <c r="Q414" s="14"/>
      <c r="R414" s="14"/>
      <c r="S414" s="14"/>
      <c r="T414" s="14"/>
      <c r="U414" s="14"/>
      <c r="V414" s="14"/>
      <c r="W414" s="14"/>
      <c r="X414" s="14"/>
      <c r="Y414" s="14"/>
      <c r="Z414" s="14"/>
      <c r="AA414" s="14"/>
      <c r="AB414" s="14"/>
      <c r="AC414" s="14"/>
      <c r="AD414" s="14"/>
      <c r="AE414" s="14"/>
      <c r="AF414" s="14"/>
      <c r="AG414" s="14"/>
      <c r="AH414" s="1"/>
    </row>
    <row r="415" spans="1:34" s="312" customFormat="1" ht="15">
      <c r="A415" s="8" t="s">
        <v>142</v>
      </c>
      <c r="B415" s="8" t="s">
        <v>143</v>
      </c>
      <c r="C415" s="2907">
        <v>1</v>
      </c>
      <c r="D415" s="73">
        <v>2</v>
      </c>
      <c r="E415" s="73">
        <v>3</v>
      </c>
      <c r="F415" s="73">
        <v>4</v>
      </c>
      <c r="G415" s="73">
        <v>5</v>
      </c>
      <c r="H415" s="73">
        <v>6</v>
      </c>
      <c r="I415" s="73">
        <v>7</v>
      </c>
      <c r="J415" s="73">
        <v>8</v>
      </c>
      <c r="K415" s="73">
        <v>9</v>
      </c>
      <c r="L415" s="73">
        <v>10</v>
      </c>
      <c r="M415" s="73">
        <v>11</v>
      </c>
      <c r="N415" s="73">
        <v>12</v>
      </c>
      <c r="O415" s="73">
        <v>13</v>
      </c>
      <c r="P415" s="73">
        <v>14</v>
      </c>
      <c r="Q415" s="73">
        <v>15</v>
      </c>
      <c r="R415" s="73">
        <v>16</v>
      </c>
      <c r="S415" s="73">
        <v>17</v>
      </c>
      <c r="T415" s="73">
        <v>18</v>
      </c>
      <c r="U415" s="73">
        <v>19</v>
      </c>
      <c r="V415" s="73">
        <v>20</v>
      </c>
      <c r="W415" s="73">
        <v>21</v>
      </c>
      <c r="X415" s="73">
        <v>22</v>
      </c>
      <c r="Y415" s="73">
        <v>23</v>
      </c>
      <c r="Z415" s="73">
        <v>24</v>
      </c>
      <c r="AA415" s="73">
        <v>25</v>
      </c>
      <c r="AB415" s="73">
        <v>26</v>
      </c>
      <c r="AC415" s="73">
        <v>27</v>
      </c>
      <c r="AD415" s="73">
        <v>28</v>
      </c>
      <c r="AE415" s="73">
        <v>29</v>
      </c>
      <c r="AF415" s="73">
        <v>30</v>
      </c>
      <c r="AG415" s="73">
        <v>31</v>
      </c>
      <c r="AH415" s="87" t="s">
        <v>144</v>
      </c>
    </row>
    <row r="416" spans="1:34" s="312" customFormat="1" ht="15">
      <c r="A416" s="363" t="s">
        <v>145</v>
      </c>
      <c r="B416" s="53">
        <f>+AH416</f>
        <v>0</v>
      </c>
      <c r="C416" s="3646"/>
      <c r="D416" s="588"/>
      <c r="E416" s="588"/>
      <c r="F416" s="588"/>
      <c r="G416" s="588"/>
      <c r="H416" s="588"/>
      <c r="I416" s="588"/>
      <c r="J416" s="588"/>
      <c r="K416" s="588"/>
      <c r="L416" s="588"/>
      <c r="M416" s="588"/>
      <c r="N416" s="588"/>
      <c r="O416" s="588"/>
      <c r="P416" s="588"/>
      <c r="Q416" s="588"/>
      <c r="R416" s="588"/>
      <c r="S416" s="588"/>
      <c r="T416" s="589"/>
      <c r="U416" s="589"/>
      <c r="V416" s="589"/>
      <c r="W416" s="589"/>
      <c r="X416" s="589"/>
      <c r="Y416" s="589"/>
      <c r="Z416" s="589"/>
      <c r="AA416" s="589"/>
      <c r="AB416" s="589"/>
      <c r="AC416" s="589"/>
      <c r="AD416" s="589"/>
      <c r="AE416" s="589"/>
      <c r="AF416" s="589"/>
      <c r="AG416" s="589"/>
      <c r="AH416" s="100">
        <f>SUM(C416:AG416)</f>
        <v>0</v>
      </c>
    </row>
    <row r="417" spans="1:34" s="312" customFormat="1" ht="15">
      <c r="A417" s="363" t="s">
        <v>146</v>
      </c>
      <c r="B417" s="53">
        <f t="shared" ref="B417:B427" si="72">+AH417</f>
        <v>8.407</v>
      </c>
      <c r="C417" s="589"/>
      <c r="D417" s="589"/>
      <c r="E417" s="589"/>
      <c r="F417" s="589"/>
      <c r="G417" s="589"/>
      <c r="H417" s="589"/>
      <c r="I417" s="589"/>
      <c r="J417" s="589"/>
      <c r="K417" s="589"/>
      <c r="L417" s="589"/>
      <c r="M417" s="589"/>
      <c r="N417" s="589"/>
      <c r="O417" s="589"/>
      <c r="P417" s="589"/>
      <c r="Q417" s="589"/>
      <c r="R417" s="99">
        <v>2.5000000000000001E-2</v>
      </c>
      <c r="S417" s="99">
        <v>0.69</v>
      </c>
      <c r="T417" s="99"/>
      <c r="U417" s="99"/>
      <c r="V417" s="99"/>
      <c r="W417" s="99"/>
      <c r="X417" s="99">
        <v>1.524</v>
      </c>
      <c r="Y417" s="99"/>
      <c r="Z417" s="99">
        <v>0.9</v>
      </c>
      <c r="AA417" s="99"/>
      <c r="AB417" s="99"/>
      <c r="AC417" s="99">
        <v>1.893</v>
      </c>
      <c r="AD417" s="99">
        <v>1.7549999999999999</v>
      </c>
      <c r="AE417" s="99">
        <v>1.62</v>
      </c>
      <c r="AF417" s="99"/>
      <c r="AG417" s="99"/>
      <c r="AH417" s="100">
        <f t="shared" ref="AH417:AH427" si="73">SUM(C417:AG417)</f>
        <v>8.407</v>
      </c>
    </row>
    <row r="418" spans="1:34" s="312" customFormat="1" ht="15">
      <c r="A418" s="363" t="s">
        <v>147</v>
      </c>
      <c r="B418" s="53">
        <f t="shared" si="72"/>
        <v>17.792000000000002</v>
      </c>
      <c r="C418" s="488"/>
      <c r="D418" s="549">
        <v>1.7370000000000001</v>
      </c>
      <c r="E418" s="549">
        <v>0.3</v>
      </c>
      <c r="F418" s="549"/>
      <c r="G418" s="549">
        <v>0.54</v>
      </c>
      <c r="H418" s="549">
        <v>0.54</v>
      </c>
      <c r="I418" s="549">
        <v>2.16</v>
      </c>
      <c r="J418" s="549">
        <v>1.62</v>
      </c>
      <c r="K418" s="549">
        <v>0.36</v>
      </c>
      <c r="L418" s="549"/>
      <c r="M418" s="549"/>
      <c r="N418" s="549"/>
      <c r="O418" s="549">
        <v>1.08</v>
      </c>
      <c r="P418" s="549"/>
      <c r="Q418" s="549">
        <v>0.56699999999999995</v>
      </c>
      <c r="R418" s="549"/>
      <c r="S418" s="549"/>
      <c r="T418" s="549"/>
      <c r="U418" s="549">
        <v>1.35</v>
      </c>
      <c r="V418" s="549">
        <v>0.57999999999999996</v>
      </c>
      <c r="W418" s="549">
        <v>1.071</v>
      </c>
      <c r="X418" s="549">
        <v>0.94499999999999995</v>
      </c>
      <c r="Y418" s="549"/>
      <c r="Z418" s="549"/>
      <c r="AA418" s="549"/>
      <c r="AB418" s="549"/>
      <c r="AC418" s="549">
        <v>1.377</v>
      </c>
      <c r="AD418" s="549">
        <v>1.105</v>
      </c>
      <c r="AE418" s="549">
        <v>2.19</v>
      </c>
      <c r="AF418" s="549">
        <v>0.27</v>
      </c>
      <c r="AG418" s="549"/>
      <c r="AH418" s="100">
        <f t="shared" si="73"/>
        <v>17.792000000000002</v>
      </c>
    </row>
    <row r="419" spans="1:34" s="312" customFormat="1" ht="15">
      <c r="A419" s="363" t="s">
        <v>148</v>
      </c>
      <c r="B419" s="53">
        <f t="shared" si="72"/>
        <v>24.213999999999999</v>
      </c>
      <c r="C419" s="488"/>
      <c r="D419" s="549"/>
      <c r="E419" s="549">
        <v>3.41</v>
      </c>
      <c r="F419" s="549">
        <v>5.1840000000000002</v>
      </c>
      <c r="G419" s="549">
        <v>1.6</v>
      </c>
      <c r="H419" s="549"/>
      <c r="I419" s="549"/>
      <c r="J419" s="549"/>
      <c r="K419" s="549"/>
      <c r="L419" s="549"/>
      <c r="M419" s="549">
        <v>0.54</v>
      </c>
      <c r="N419" s="549">
        <v>0.18</v>
      </c>
      <c r="O419" s="549">
        <v>1.7250000000000001</v>
      </c>
      <c r="P419" s="549"/>
      <c r="Q419" s="549"/>
      <c r="R419" s="549"/>
      <c r="S419" s="549">
        <v>3.36</v>
      </c>
      <c r="T419" s="549"/>
      <c r="U419" s="549"/>
      <c r="V419" s="549">
        <v>4.0350000000000001</v>
      </c>
      <c r="W419" s="549"/>
      <c r="X419" s="549"/>
      <c r="Y419" s="549">
        <v>2.5950000000000002</v>
      </c>
      <c r="Z419" s="549"/>
      <c r="AA419" s="549">
        <v>0.13500000000000001</v>
      </c>
      <c r="AB419" s="549"/>
      <c r="AC419" s="549">
        <v>0.82</v>
      </c>
      <c r="AD419" s="549"/>
      <c r="AE419" s="549"/>
      <c r="AF419" s="549">
        <v>0.63</v>
      </c>
      <c r="AG419" s="549"/>
      <c r="AH419" s="100">
        <f t="shared" si="73"/>
        <v>24.213999999999999</v>
      </c>
    </row>
    <row r="420" spans="1:34" s="312" customFormat="1" ht="15">
      <c r="A420" s="363" t="s">
        <v>149</v>
      </c>
      <c r="B420" s="53">
        <f t="shared" si="72"/>
        <v>6.625</v>
      </c>
      <c r="C420" s="488"/>
      <c r="D420" s="549"/>
      <c r="E420" s="549"/>
      <c r="F420" s="549"/>
      <c r="G420" s="549"/>
      <c r="H420" s="549"/>
      <c r="I420" s="549">
        <v>0.3</v>
      </c>
      <c r="J420" s="549">
        <v>1.1399999999999999</v>
      </c>
      <c r="K420" s="549">
        <v>1.19</v>
      </c>
      <c r="L420" s="549"/>
      <c r="M420" s="549"/>
      <c r="N420" s="549"/>
      <c r="O420" s="549"/>
      <c r="P420" s="549"/>
      <c r="Q420" s="549"/>
      <c r="R420" s="549"/>
      <c r="S420" s="549"/>
      <c r="T420" s="549">
        <v>2.5430000000000001</v>
      </c>
      <c r="U420" s="549"/>
      <c r="V420" s="549"/>
      <c r="W420" s="549"/>
      <c r="X420" s="549"/>
      <c r="Y420" s="549"/>
      <c r="Z420" s="549"/>
      <c r="AA420" s="549"/>
      <c r="AB420" s="549"/>
      <c r="AC420" s="549"/>
      <c r="AD420" s="549"/>
      <c r="AE420" s="549"/>
      <c r="AF420" s="549">
        <v>0.27</v>
      </c>
      <c r="AG420" s="549">
        <v>1.1819999999999999</v>
      </c>
      <c r="AH420" s="100">
        <f t="shared" si="73"/>
        <v>6.625</v>
      </c>
    </row>
    <row r="421" spans="1:34" s="312" customFormat="1" ht="15">
      <c r="A421" s="363" t="s">
        <v>150</v>
      </c>
      <c r="B421" s="53">
        <f t="shared" si="72"/>
        <v>9.2620000000000005</v>
      </c>
      <c r="C421" s="488">
        <v>0.86099999999999999</v>
      </c>
      <c r="D421" s="549"/>
      <c r="E421" s="549"/>
      <c r="F421" s="549"/>
      <c r="G421" s="549"/>
      <c r="H421" s="549"/>
      <c r="I421" s="549"/>
      <c r="J421" s="549">
        <v>0.45</v>
      </c>
      <c r="K421" s="549"/>
      <c r="L421" s="549"/>
      <c r="M421" s="549">
        <v>0.85</v>
      </c>
      <c r="N421" s="549"/>
      <c r="O421" s="549"/>
      <c r="P421" s="549"/>
      <c r="Q421" s="549">
        <v>1.8260000000000001</v>
      </c>
      <c r="R421" s="549"/>
      <c r="S421" s="549"/>
      <c r="T421" s="549"/>
      <c r="U421" s="549">
        <v>0.6</v>
      </c>
      <c r="V421" s="549"/>
      <c r="W421" s="549">
        <v>0.4</v>
      </c>
      <c r="X421" s="549">
        <v>0.27</v>
      </c>
      <c r="Y421" s="549"/>
      <c r="Z421" s="549"/>
      <c r="AA421" s="549">
        <v>1.0349999999999999</v>
      </c>
      <c r="AB421" s="549">
        <v>1.8</v>
      </c>
      <c r="AC421" s="549">
        <v>0.27</v>
      </c>
      <c r="AD421" s="549">
        <v>0.9</v>
      </c>
      <c r="AE421" s="549"/>
      <c r="AF421" s="549"/>
      <c r="AG421" s="549"/>
      <c r="AH421" s="100">
        <f t="shared" si="73"/>
        <v>9.2620000000000005</v>
      </c>
    </row>
    <row r="422" spans="1:34" s="312" customFormat="1" ht="15">
      <c r="A422" s="314" t="s">
        <v>151</v>
      </c>
      <c r="B422" s="53">
        <f t="shared" si="72"/>
        <v>23.321999999999999</v>
      </c>
      <c r="C422" s="488"/>
      <c r="D422" s="549"/>
      <c r="E422" s="549">
        <v>2.3639999999999999</v>
      </c>
      <c r="F422" s="549"/>
      <c r="G422" s="549">
        <v>0.3</v>
      </c>
      <c r="H422" s="549">
        <v>2.0379999999999998</v>
      </c>
      <c r="I422" s="549"/>
      <c r="J422" s="549"/>
      <c r="K422" s="549">
        <v>2.3010000000000002</v>
      </c>
      <c r="L422" s="549"/>
      <c r="M422" s="549"/>
      <c r="N422" s="549"/>
      <c r="O422" s="549"/>
      <c r="P422" s="549"/>
      <c r="Q422" s="549"/>
      <c r="R422" s="549"/>
      <c r="S422" s="549">
        <v>0.40500000000000003</v>
      </c>
      <c r="T422" s="549">
        <v>1.2749999999999999</v>
      </c>
      <c r="U422" s="549"/>
      <c r="V422" s="549">
        <v>1.1419999999999999</v>
      </c>
      <c r="W422" s="549"/>
      <c r="X422" s="549"/>
      <c r="Y422" s="549">
        <v>2.0110000000000001</v>
      </c>
      <c r="Z422" s="549"/>
      <c r="AA422" s="549">
        <v>0.999</v>
      </c>
      <c r="AB422" s="549">
        <v>3.7530000000000001</v>
      </c>
      <c r="AC422" s="549">
        <v>6.4640000000000004</v>
      </c>
      <c r="AD422" s="549"/>
      <c r="AE422" s="549"/>
      <c r="AF422" s="549">
        <v>0.27</v>
      </c>
      <c r="AG422" s="549"/>
      <c r="AH422" s="100">
        <f t="shared" si="73"/>
        <v>23.321999999999999</v>
      </c>
    </row>
    <row r="423" spans="1:34" s="312" customFormat="1" ht="15">
      <c r="A423" s="314" t="s">
        <v>152</v>
      </c>
      <c r="B423" s="53">
        <f t="shared" si="72"/>
        <v>32.866</v>
      </c>
      <c r="C423" s="488"/>
      <c r="D423" s="549"/>
      <c r="E423" s="549">
        <v>1.7609999999999999</v>
      </c>
      <c r="F423" s="549">
        <v>0.06</v>
      </c>
      <c r="G423" s="549"/>
      <c r="H423" s="549">
        <v>2.6269999999999998</v>
      </c>
      <c r="I423" s="549"/>
      <c r="J423" s="549">
        <v>3.6629999999999998</v>
      </c>
      <c r="K423" s="549"/>
      <c r="L423" s="549"/>
      <c r="M423" s="549"/>
      <c r="N423" s="549"/>
      <c r="O423" s="549"/>
      <c r="P423" s="549"/>
      <c r="Q423" s="550"/>
      <c r="R423" s="550"/>
      <c r="S423" s="550">
        <v>1.08</v>
      </c>
      <c r="T423" s="550"/>
      <c r="U423" s="550"/>
      <c r="V423" s="550">
        <v>0.4</v>
      </c>
      <c r="W423" s="550"/>
      <c r="X423" s="550"/>
      <c r="Y423" s="550">
        <v>0.16200000000000001</v>
      </c>
      <c r="Z423" s="550">
        <v>1.89</v>
      </c>
      <c r="AA423" s="550"/>
      <c r="AB423" s="550"/>
      <c r="AC423" s="550">
        <v>8.3740000000000006</v>
      </c>
      <c r="AD423" s="550">
        <v>0.39</v>
      </c>
      <c r="AE423" s="550"/>
      <c r="AF423" s="550">
        <v>11.946</v>
      </c>
      <c r="AG423" s="550">
        <v>0.51300000000000001</v>
      </c>
      <c r="AH423" s="100">
        <f t="shared" si="73"/>
        <v>32.866</v>
      </c>
    </row>
    <row r="424" spans="1:34" s="312" customFormat="1" ht="15">
      <c r="A424" s="314" t="s">
        <v>153</v>
      </c>
      <c r="B424" s="53">
        <f t="shared" si="72"/>
        <v>0</v>
      </c>
      <c r="C424" s="188" t="s">
        <v>162</v>
      </c>
      <c r="D424" s="188" t="s">
        <v>162</v>
      </c>
      <c r="E424" s="188" t="s">
        <v>162</v>
      </c>
      <c r="F424" s="188" t="s">
        <v>162</v>
      </c>
      <c r="G424" s="188" t="s">
        <v>162</v>
      </c>
      <c r="H424" s="188" t="s">
        <v>162</v>
      </c>
      <c r="I424" s="188" t="s">
        <v>162</v>
      </c>
      <c r="J424" s="188" t="s">
        <v>162</v>
      </c>
      <c r="K424" s="188" t="s">
        <v>162</v>
      </c>
      <c r="L424" s="188" t="s">
        <v>162</v>
      </c>
      <c r="M424" s="188" t="s">
        <v>162</v>
      </c>
      <c r="N424" s="188" t="s">
        <v>162</v>
      </c>
      <c r="O424" s="188" t="s">
        <v>162</v>
      </c>
      <c r="P424" s="188" t="s">
        <v>162</v>
      </c>
      <c r="Q424" s="188" t="s">
        <v>162</v>
      </c>
      <c r="R424" s="188" t="s">
        <v>162</v>
      </c>
      <c r="S424" s="188" t="s">
        <v>162</v>
      </c>
      <c r="T424" s="188" t="s">
        <v>162</v>
      </c>
      <c r="U424" s="188" t="s">
        <v>162</v>
      </c>
      <c r="V424" s="188" t="s">
        <v>162</v>
      </c>
      <c r="W424" s="188" t="s">
        <v>162</v>
      </c>
      <c r="X424" s="188" t="s">
        <v>162</v>
      </c>
      <c r="Y424" s="188" t="s">
        <v>162</v>
      </c>
      <c r="Z424" s="188" t="s">
        <v>162</v>
      </c>
      <c r="AA424" s="188" t="s">
        <v>162</v>
      </c>
      <c r="AB424" s="188" t="s">
        <v>162</v>
      </c>
      <c r="AC424" s="188" t="s">
        <v>162</v>
      </c>
      <c r="AD424" s="188" t="s">
        <v>162</v>
      </c>
      <c r="AE424" s="188" t="s">
        <v>162</v>
      </c>
      <c r="AF424" s="188" t="s">
        <v>162</v>
      </c>
      <c r="AG424" s="188" t="s">
        <v>162</v>
      </c>
      <c r="AH424" s="100">
        <f t="shared" si="73"/>
        <v>0</v>
      </c>
    </row>
    <row r="425" spans="1:34" s="312" customFormat="1" ht="15">
      <c r="A425" s="314" t="s">
        <v>154</v>
      </c>
      <c r="B425" s="53">
        <f t="shared" si="72"/>
        <v>23.18</v>
      </c>
      <c r="C425" s="488"/>
      <c r="D425" s="549">
        <v>11.195</v>
      </c>
      <c r="E425" s="549">
        <v>1.141</v>
      </c>
      <c r="F425" s="549"/>
      <c r="G425" s="549"/>
      <c r="H425" s="549"/>
      <c r="I425" s="549"/>
      <c r="J425" s="549">
        <v>1.278</v>
      </c>
      <c r="K425" s="549">
        <v>0.34399999999999997</v>
      </c>
      <c r="L425" s="549">
        <v>0.189</v>
      </c>
      <c r="M425" s="549">
        <v>0.186</v>
      </c>
      <c r="N425" s="549">
        <v>3.0510000000000002</v>
      </c>
      <c r="O425" s="549"/>
      <c r="P425" s="549"/>
      <c r="Q425" s="549"/>
      <c r="R425" s="549">
        <v>2.5000000000000001E-2</v>
      </c>
      <c r="S425" s="549">
        <v>0.996</v>
      </c>
      <c r="T425" s="549"/>
      <c r="U425" s="549">
        <v>1.4430000000000001</v>
      </c>
      <c r="V425" s="549"/>
      <c r="W425" s="549"/>
      <c r="X425" s="549">
        <v>1.62</v>
      </c>
      <c r="Y425" s="549">
        <v>0.45</v>
      </c>
      <c r="Z425" s="549">
        <v>0.13500000000000001</v>
      </c>
      <c r="AA425" s="549"/>
      <c r="AB425" s="549"/>
      <c r="AC425" s="549"/>
      <c r="AD425" s="549"/>
      <c r="AE425" s="549">
        <v>0.189</v>
      </c>
      <c r="AF425" s="549">
        <v>0.108</v>
      </c>
      <c r="AG425" s="549">
        <v>0.83</v>
      </c>
      <c r="AH425" s="100">
        <f t="shared" si="73"/>
        <v>23.18</v>
      </c>
    </row>
    <row r="426" spans="1:34" s="312" customFormat="1" ht="15">
      <c r="A426" s="314" t="s">
        <v>155</v>
      </c>
      <c r="B426" s="53">
        <f t="shared" si="72"/>
        <v>21.443999999999999</v>
      </c>
      <c r="C426" s="488"/>
      <c r="D426" s="549">
        <v>0.65</v>
      </c>
      <c r="E426" s="549"/>
      <c r="F426" s="549"/>
      <c r="G426" s="549">
        <v>1.234</v>
      </c>
      <c r="H426" s="549"/>
      <c r="I426" s="549">
        <v>2.6960000000000002</v>
      </c>
      <c r="J426" s="549"/>
      <c r="K426" s="549">
        <v>0.59399999999999997</v>
      </c>
      <c r="L426" s="549">
        <v>3.1859999999999999</v>
      </c>
      <c r="M426" s="549"/>
      <c r="N426" s="549">
        <v>2.625</v>
      </c>
      <c r="O426" s="549">
        <v>0.03</v>
      </c>
      <c r="P426" s="549">
        <v>0.27</v>
      </c>
      <c r="Q426" s="549">
        <v>0.435</v>
      </c>
      <c r="R426" s="549"/>
      <c r="S426" s="549"/>
      <c r="T426" s="549"/>
      <c r="U426" s="549">
        <v>1.5089999999999999</v>
      </c>
      <c r="V426" s="549"/>
      <c r="W426" s="549"/>
      <c r="X426" s="549"/>
      <c r="Y426" s="549"/>
      <c r="Z426" s="549"/>
      <c r="AA426" s="549"/>
      <c r="AB426" s="549">
        <v>1.855</v>
      </c>
      <c r="AC426" s="549"/>
      <c r="AD426" s="549">
        <v>0.27</v>
      </c>
      <c r="AE426" s="549">
        <v>4.5199999999999996</v>
      </c>
      <c r="AF426" s="549">
        <v>1.57</v>
      </c>
      <c r="AG426" s="549"/>
      <c r="AH426" s="100">
        <f t="shared" si="73"/>
        <v>21.443999999999999</v>
      </c>
    </row>
    <row r="427" spans="1:34" s="312" customFormat="1" ht="15">
      <c r="A427" s="314" t="s">
        <v>156</v>
      </c>
      <c r="B427" s="53">
        <f t="shared" si="72"/>
        <v>38.854999999999997</v>
      </c>
      <c r="C427" s="488"/>
      <c r="D427" s="549"/>
      <c r="E427" s="549"/>
      <c r="F427" s="549">
        <v>2.75</v>
      </c>
      <c r="G427" s="549">
        <v>1.05</v>
      </c>
      <c r="H427" s="549"/>
      <c r="I427" s="549">
        <v>1.64</v>
      </c>
      <c r="J427" s="549"/>
      <c r="K427" s="549"/>
      <c r="L427" s="549">
        <v>1.3560000000000001</v>
      </c>
      <c r="M427" s="549">
        <v>0.16200000000000001</v>
      </c>
      <c r="N427" s="549">
        <v>2.72</v>
      </c>
      <c r="O427" s="549"/>
      <c r="P427" s="549">
        <v>1.5</v>
      </c>
      <c r="Q427" s="549"/>
      <c r="R427" s="549"/>
      <c r="S427" s="549">
        <v>8.9960000000000004</v>
      </c>
      <c r="T427" s="549"/>
      <c r="U427" s="549"/>
      <c r="V427" s="549">
        <v>0.5</v>
      </c>
      <c r="W427" s="549">
        <v>6.3230000000000004</v>
      </c>
      <c r="X427" s="549"/>
      <c r="Y427" s="549"/>
      <c r="Z427" s="549"/>
      <c r="AA427" s="549"/>
      <c r="AB427" s="549">
        <v>2.9350000000000001</v>
      </c>
      <c r="AC427" s="549">
        <v>1.4350000000000001</v>
      </c>
      <c r="AD427" s="549">
        <v>7.4880000000000004</v>
      </c>
      <c r="AE427" s="549"/>
      <c r="AF427" s="549"/>
      <c r="AG427" s="549"/>
      <c r="AH427" s="100">
        <f t="shared" si="73"/>
        <v>38.854999999999997</v>
      </c>
    </row>
    <row r="428" spans="1:34" s="312" customFormat="1" ht="15">
      <c r="A428" s="200" t="s">
        <v>111</v>
      </c>
      <c r="B428" s="200">
        <f>SUM(B416:B427)</f>
        <v>205.96699999999998</v>
      </c>
      <c r="C428" s="100">
        <f t="shared" ref="C428:AG428" si="74">SUM(C416:C427)</f>
        <v>0.86099999999999999</v>
      </c>
      <c r="D428" s="100">
        <f t="shared" si="74"/>
        <v>13.582000000000001</v>
      </c>
      <c r="E428" s="100">
        <f t="shared" si="74"/>
        <v>8.9759999999999991</v>
      </c>
      <c r="F428" s="100">
        <f t="shared" si="74"/>
        <v>7.9939999999999998</v>
      </c>
      <c r="G428" s="100">
        <f t="shared" si="74"/>
        <v>4.7240000000000002</v>
      </c>
      <c r="H428" s="100">
        <f t="shared" si="74"/>
        <v>5.2050000000000001</v>
      </c>
      <c r="I428" s="100">
        <f t="shared" si="74"/>
        <v>6.7960000000000003</v>
      </c>
      <c r="J428" s="100">
        <f t="shared" si="74"/>
        <v>8.1509999999999998</v>
      </c>
      <c r="K428" s="100">
        <f t="shared" si="74"/>
        <v>4.7890000000000006</v>
      </c>
      <c r="L428" s="100">
        <f t="shared" si="74"/>
        <v>4.7309999999999999</v>
      </c>
      <c r="M428" s="100">
        <f t="shared" si="74"/>
        <v>1.738</v>
      </c>
      <c r="N428" s="100">
        <f t="shared" si="74"/>
        <v>8.5760000000000005</v>
      </c>
      <c r="O428" s="100">
        <f t="shared" si="74"/>
        <v>2.835</v>
      </c>
      <c r="P428" s="100">
        <f t="shared" si="74"/>
        <v>1.77</v>
      </c>
      <c r="Q428" s="100">
        <f t="shared" si="74"/>
        <v>2.8279999999999998</v>
      </c>
      <c r="R428" s="100">
        <f t="shared" si="74"/>
        <v>0.05</v>
      </c>
      <c r="S428" s="100">
        <f t="shared" si="74"/>
        <v>15.527000000000001</v>
      </c>
      <c r="T428" s="100">
        <f t="shared" si="74"/>
        <v>3.8180000000000001</v>
      </c>
      <c r="U428" s="100">
        <f t="shared" si="74"/>
        <v>4.9020000000000001</v>
      </c>
      <c r="V428" s="100">
        <f t="shared" si="74"/>
        <v>6.657</v>
      </c>
      <c r="W428" s="100">
        <f t="shared" si="74"/>
        <v>7.7940000000000005</v>
      </c>
      <c r="X428" s="100">
        <f t="shared" si="74"/>
        <v>4.359</v>
      </c>
      <c r="Y428" s="100">
        <f t="shared" si="74"/>
        <v>5.218</v>
      </c>
      <c r="Z428" s="100">
        <f t="shared" si="74"/>
        <v>2.9249999999999998</v>
      </c>
      <c r="AA428" s="100">
        <f t="shared" si="74"/>
        <v>2.169</v>
      </c>
      <c r="AB428" s="100">
        <f t="shared" si="74"/>
        <v>10.343</v>
      </c>
      <c r="AC428" s="100">
        <f t="shared" si="74"/>
        <v>20.632999999999999</v>
      </c>
      <c r="AD428" s="100">
        <f t="shared" si="74"/>
        <v>11.908000000000001</v>
      </c>
      <c r="AE428" s="100">
        <f t="shared" si="74"/>
        <v>8.5190000000000001</v>
      </c>
      <c r="AF428" s="100">
        <f t="shared" si="74"/>
        <v>15.064</v>
      </c>
      <c r="AG428" s="100">
        <f t="shared" si="74"/>
        <v>2.5249999999999999</v>
      </c>
      <c r="AH428" s="100">
        <f>SUM(AH416:AH427)</f>
        <v>205.96699999999998</v>
      </c>
    </row>
    <row r="429" spans="1:34" s="312" customFormat="1" ht="15">
      <c r="A429" s="478"/>
      <c r="B429" s="478"/>
      <c r="C429" s="479"/>
      <c r="D429" s="479"/>
      <c r="E429" s="479"/>
      <c r="F429" s="479"/>
      <c r="G429" s="479"/>
      <c r="H429" s="479"/>
      <c r="I429" s="479"/>
      <c r="J429" s="479"/>
      <c r="K429" s="479"/>
      <c r="L429" s="479"/>
      <c r="M429" s="479"/>
      <c r="N429" s="479"/>
      <c r="O429" s="479"/>
      <c r="P429" s="479"/>
      <c r="Q429" s="479"/>
      <c r="R429" s="479"/>
      <c r="S429" s="479"/>
      <c r="T429" s="479"/>
      <c r="U429" s="479"/>
      <c r="V429" s="479"/>
      <c r="W429" s="479"/>
      <c r="X429" s="479"/>
      <c r="Y429" s="479"/>
      <c r="Z429" s="479"/>
      <c r="AA429" s="479"/>
      <c r="AB429" s="479"/>
      <c r="AC429" s="479"/>
      <c r="AD429" s="479"/>
      <c r="AE429" s="479"/>
      <c r="AF429" s="479"/>
      <c r="AG429" s="479"/>
      <c r="AH429" s="479"/>
    </row>
    <row r="430" spans="1:34" ht="15">
      <c r="A430" s="3873" t="s">
        <v>112</v>
      </c>
      <c r="B430" s="3874"/>
      <c r="C430" s="3874"/>
      <c r="D430" s="3874"/>
      <c r="E430" s="3874"/>
      <c r="F430" s="3874"/>
      <c r="G430" s="3874"/>
      <c r="H430" s="3874"/>
      <c r="I430" s="3874"/>
      <c r="J430" s="3874"/>
      <c r="K430" s="3874"/>
      <c r="L430" s="3874"/>
      <c r="M430" s="3874"/>
      <c r="N430" s="3874"/>
      <c r="O430" s="3874"/>
      <c r="P430" s="3874"/>
      <c r="Q430" s="3874"/>
      <c r="R430" s="3875"/>
      <c r="S430" s="14"/>
      <c r="T430" s="14"/>
      <c r="U430" s="14"/>
      <c r="V430" s="14"/>
      <c r="W430" s="14"/>
      <c r="X430" s="14"/>
      <c r="Y430" s="14"/>
      <c r="Z430" s="14"/>
      <c r="AA430" s="14"/>
      <c r="AB430" s="14"/>
      <c r="AC430" s="14"/>
      <c r="AD430" s="14"/>
      <c r="AE430" s="14"/>
      <c r="AF430" s="14"/>
      <c r="AG430" s="14"/>
      <c r="AH430" s="1"/>
    </row>
    <row r="431" spans="1:34" ht="5.0999999999999996" customHeight="1">
      <c r="A431" s="14"/>
      <c r="B431" s="14"/>
      <c r="C431" s="14"/>
      <c r="D431" s="14"/>
      <c r="E431" s="14"/>
      <c r="F431" s="14"/>
      <c r="G431" s="14"/>
      <c r="H431" s="14"/>
      <c r="I431" s="14"/>
      <c r="J431" s="14"/>
      <c r="K431" s="14"/>
      <c r="L431" s="14"/>
      <c r="M431" s="98"/>
      <c r="N431" s="14"/>
      <c r="O431" s="14"/>
      <c r="P431" s="14"/>
      <c r="Q431" s="14"/>
      <c r="R431" s="14"/>
      <c r="S431" s="14"/>
      <c r="T431" s="14"/>
      <c r="U431" s="14"/>
      <c r="V431" s="14"/>
      <c r="W431" s="14"/>
      <c r="X431" s="14"/>
      <c r="Y431" s="14"/>
      <c r="Z431" s="14"/>
      <c r="AA431" s="14"/>
      <c r="AB431" s="14"/>
      <c r="AC431" s="14"/>
      <c r="AD431" s="14"/>
      <c r="AE431" s="14"/>
      <c r="AF431" s="14"/>
      <c r="AG431" s="14"/>
      <c r="AH431" s="1"/>
    </row>
    <row r="432" spans="1:34" ht="15">
      <c r="A432" s="3854" t="s">
        <v>132</v>
      </c>
      <c r="B432" s="3855"/>
      <c r="C432" s="3856"/>
      <c r="D432" s="535" t="s">
        <v>527</v>
      </c>
      <c r="E432" s="535"/>
      <c r="F432" s="535"/>
      <c r="G432" s="535"/>
      <c r="H432" s="14"/>
      <c r="I432" s="14"/>
      <c r="J432" s="14"/>
      <c r="K432" s="14"/>
      <c r="L432" s="14"/>
      <c r="M432" s="98"/>
      <c r="N432" s="14"/>
      <c r="O432" s="14"/>
      <c r="P432" s="14"/>
      <c r="Q432" s="14"/>
      <c r="R432" s="14"/>
      <c r="S432" s="14"/>
      <c r="T432" s="14"/>
      <c r="U432" s="14"/>
      <c r="V432" s="14"/>
      <c r="W432" s="14"/>
      <c r="X432" s="14"/>
      <c r="Y432" s="14"/>
      <c r="Z432" s="14"/>
      <c r="AA432" s="14"/>
      <c r="AB432" s="14"/>
      <c r="AC432" s="14"/>
      <c r="AD432" s="14"/>
      <c r="AE432" s="14"/>
      <c r="AF432" s="14"/>
      <c r="AG432" s="14"/>
      <c r="AH432" s="1"/>
    </row>
    <row r="433" spans="1:34" ht="15">
      <c r="A433" s="8" t="s">
        <v>142</v>
      </c>
      <c r="B433" s="8" t="s">
        <v>143</v>
      </c>
      <c r="C433" s="73">
        <v>1</v>
      </c>
      <c r="D433" s="73">
        <v>2</v>
      </c>
      <c r="E433" s="73">
        <v>3</v>
      </c>
      <c r="F433" s="73">
        <v>4</v>
      </c>
      <c r="G433" s="73">
        <v>5</v>
      </c>
      <c r="H433" s="73">
        <v>6</v>
      </c>
      <c r="I433" s="73">
        <v>7</v>
      </c>
      <c r="J433" s="73">
        <v>8</v>
      </c>
      <c r="K433" s="73">
        <v>9</v>
      </c>
      <c r="L433" s="73">
        <v>10</v>
      </c>
      <c r="M433" s="73">
        <v>11</v>
      </c>
      <c r="N433" s="73">
        <v>12</v>
      </c>
      <c r="O433" s="73">
        <v>13</v>
      </c>
      <c r="P433" s="73">
        <v>14</v>
      </c>
      <c r="Q433" s="73">
        <v>15</v>
      </c>
      <c r="R433" s="73">
        <v>16</v>
      </c>
      <c r="S433" s="73">
        <v>17</v>
      </c>
      <c r="T433" s="73">
        <v>18</v>
      </c>
      <c r="U433" s="73">
        <v>19</v>
      </c>
      <c r="V433" s="73">
        <v>20</v>
      </c>
      <c r="W433" s="73">
        <v>21</v>
      </c>
      <c r="X433" s="73">
        <v>22</v>
      </c>
      <c r="Y433" s="73">
        <v>23</v>
      </c>
      <c r="Z433" s="73">
        <v>24</v>
      </c>
      <c r="AA433" s="73">
        <v>25</v>
      </c>
      <c r="AB433" s="73">
        <v>26</v>
      </c>
      <c r="AC433" s="73">
        <v>27</v>
      </c>
      <c r="AD433" s="73">
        <v>28</v>
      </c>
      <c r="AE433" s="73">
        <v>29</v>
      </c>
      <c r="AF433" s="73">
        <v>30</v>
      </c>
      <c r="AG433" s="73">
        <v>31</v>
      </c>
      <c r="AH433" s="87" t="s">
        <v>144</v>
      </c>
    </row>
    <row r="434" spans="1:34" ht="15">
      <c r="A434" s="363" t="s">
        <v>145</v>
      </c>
      <c r="B434" s="162">
        <f>1.62+15.42+45.447+20.167+149.66+16.667+7.043</f>
        <v>256.024</v>
      </c>
      <c r="C434" s="536"/>
      <c r="D434" s="536"/>
      <c r="E434" s="536"/>
      <c r="F434" s="536"/>
      <c r="G434" s="536"/>
      <c r="H434" s="536"/>
      <c r="I434" s="536"/>
      <c r="J434" s="536"/>
      <c r="K434" s="536"/>
      <c r="L434" s="536"/>
      <c r="M434" s="536"/>
      <c r="N434" s="536"/>
      <c r="O434" s="536"/>
      <c r="P434" s="536"/>
      <c r="Q434" s="536"/>
      <c r="R434" s="536"/>
      <c r="S434" s="536"/>
      <c r="T434" s="536"/>
      <c r="U434" s="536"/>
      <c r="V434" s="536"/>
      <c r="W434" s="537"/>
      <c r="X434" s="536"/>
      <c r="Y434" s="536"/>
      <c r="Z434" s="536"/>
      <c r="AA434" s="536"/>
      <c r="AB434" s="536"/>
      <c r="AC434" s="536"/>
      <c r="AD434" s="536"/>
      <c r="AE434" s="536"/>
      <c r="AF434" s="536"/>
      <c r="AG434" s="536"/>
      <c r="AH434" s="100">
        <f>SUM(C434:AG434)</f>
        <v>0</v>
      </c>
    </row>
    <row r="435" spans="1:34" ht="15">
      <c r="A435" s="363" t="s">
        <v>146</v>
      </c>
      <c r="B435" s="53">
        <f t="shared" ref="B435:B445" si="75">+AH435</f>
        <v>0</v>
      </c>
      <c r="C435" s="536"/>
      <c r="D435" s="536"/>
      <c r="E435" s="536"/>
      <c r="F435" s="536"/>
      <c r="G435" s="536"/>
      <c r="H435" s="536"/>
      <c r="I435" s="536"/>
      <c r="J435" s="536"/>
      <c r="K435" s="536"/>
      <c r="L435" s="536"/>
      <c r="M435" s="536"/>
      <c r="N435" s="536"/>
      <c r="O435" s="536"/>
      <c r="P435" s="536"/>
      <c r="Q435" s="536"/>
      <c r="R435" s="536"/>
      <c r="S435" s="536"/>
      <c r="T435" s="536"/>
      <c r="U435" s="536"/>
      <c r="V435" s="536"/>
      <c r="W435" s="536"/>
      <c r="X435" s="536"/>
      <c r="Y435" s="536"/>
      <c r="Z435" s="536"/>
      <c r="AA435" s="536"/>
      <c r="AB435" s="536"/>
      <c r="AC435" s="536"/>
      <c r="AD435" s="536"/>
      <c r="AE435" s="536"/>
      <c r="AF435" s="536"/>
      <c r="AG435" s="536"/>
      <c r="AH435" s="100">
        <f t="shared" ref="AH435:AH445" si="76">SUM(C435:AG435)</f>
        <v>0</v>
      </c>
    </row>
    <row r="436" spans="1:34" ht="15">
      <c r="A436" s="363" t="s">
        <v>147</v>
      </c>
      <c r="B436" s="53">
        <f t="shared" si="75"/>
        <v>0</v>
      </c>
      <c r="C436" s="536"/>
      <c r="D436" s="536"/>
      <c r="E436" s="536"/>
      <c r="F436" s="536"/>
      <c r="G436" s="536"/>
      <c r="H436" s="536"/>
      <c r="I436" s="536"/>
      <c r="J436" s="536"/>
      <c r="K436" s="536"/>
      <c r="L436" s="536"/>
      <c r="M436" s="536"/>
      <c r="N436" s="536"/>
      <c r="O436" s="536"/>
      <c r="P436" s="536"/>
      <c r="Q436" s="536"/>
      <c r="R436" s="536"/>
      <c r="S436" s="536"/>
      <c r="T436" s="536"/>
      <c r="U436" s="536"/>
      <c r="V436" s="536"/>
      <c r="W436" s="536"/>
      <c r="X436" s="536"/>
      <c r="Y436" s="536"/>
      <c r="Z436" s="536"/>
      <c r="AA436" s="536"/>
      <c r="AB436" s="536"/>
      <c r="AC436" s="536"/>
      <c r="AD436" s="536"/>
      <c r="AE436" s="536"/>
      <c r="AF436" s="536"/>
      <c r="AG436" s="536"/>
      <c r="AH436" s="100">
        <f t="shared" si="76"/>
        <v>0</v>
      </c>
    </row>
    <row r="437" spans="1:34" ht="15">
      <c r="A437" s="363" t="s">
        <v>148</v>
      </c>
      <c r="B437" s="53">
        <f t="shared" si="75"/>
        <v>0</v>
      </c>
      <c r="C437" s="536"/>
      <c r="D437" s="536"/>
      <c r="E437" s="536"/>
      <c r="F437" s="536"/>
      <c r="G437" s="536"/>
      <c r="H437" s="536"/>
      <c r="I437" s="536"/>
      <c r="J437" s="536"/>
      <c r="K437" s="536"/>
      <c r="L437" s="536"/>
      <c r="M437" s="536"/>
      <c r="N437" s="536"/>
      <c r="O437" s="536"/>
      <c r="P437" s="536"/>
      <c r="Q437" s="536"/>
      <c r="R437" s="536"/>
      <c r="S437" s="536"/>
      <c r="T437" s="536"/>
      <c r="U437" s="536"/>
      <c r="V437" s="536"/>
      <c r="W437" s="536"/>
      <c r="X437" s="536"/>
      <c r="Y437" s="536"/>
      <c r="Z437" s="536"/>
      <c r="AA437" s="536"/>
      <c r="AB437" s="536"/>
      <c r="AC437" s="536"/>
      <c r="AD437" s="536"/>
      <c r="AE437" s="536"/>
      <c r="AF437" s="536"/>
      <c r="AG437" s="536"/>
      <c r="AH437" s="100">
        <f t="shared" si="76"/>
        <v>0</v>
      </c>
    </row>
    <row r="438" spans="1:34" ht="15">
      <c r="A438" s="363" t="s">
        <v>149</v>
      </c>
      <c r="B438" s="53">
        <f t="shared" si="75"/>
        <v>0</v>
      </c>
      <c r="C438" s="536"/>
      <c r="D438" s="536"/>
      <c r="E438" s="536"/>
      <c r="F438" s="536"/>
      <c r="G438" s="536"/>
      <c r="H438" s="536"/>
      <c r="I438" s="536"/>
      <c r="J438" s="536"/>
      <c r="K438" s="536"/>
      <c r="L438" s="536"/>
      <c r="M438" s="536"/>
      <c r="N438" s="536"/>
      <c r="O438" s="536"/>
      <c r="P438" s="536"/>
      <c r="Q438" s="536"/>
      <c r="R438" s="536"/>
      <c r="S438" s="536"/>
      <c r="T438" s="536"/>
      <c r="U438" s="536"/>
      <c r="V438" s="536"/>
      <c r="W438" s="536"/>
      <c r="X438" s="536"/>
      <c r="Y438" s="536"/>
      <c r="Z438" s="536"/>
      <c r="AA438" s="536"/>
      <c r="AB438" s="536"/>
      <c r="AC438" s="536"/>
      <c r="AD438" s="536"/>
      <c r="AE438" s="536"/>
      <c r="AF438" s="536"/>
      <c r="AG438" s="536"/>
      <c r="AH438" s="100">
        <f t="shared" si="76"/>
        <v>0</v>
      </c>
    </row>
    <row r="439" spans="1:34" ht="15">
      <c r="A439" s="363" t="s">
        <v>150</v>
      </c>
      <c r="B439" s="53">
        <f t="shared" si="75"/>
        <v>0</v>
      </c>
      <c r="C439" s="536"/>
      <c r="D439" s="536"/>
      <c r="E439" s="536"/>
      <c r="F439" s="536"/>
      <c r="G439" s="536"/>
      <c r="H439" s="536"/>
      <c r="I439" s="536"/>
      <c r="J439" s="536"/>
      <c r="K439" s="536"/>
      <c r="L439" s="536"/>
      <c r="M439" s="536"/>
      <c r="N439" s="536"/>
      <c r="O439" s="536"/>
      <c r="P439" s="536"/>
      <c r="Q439" s="536"/>
      <c r="R439" s="536"/>
      <c r="S439" s="536"/>
      <c r="T439" s="536"/>
      <c r="U439" s="536"/>
      <c r="V439" s="536"/>
      <c r="W439" s="536"/>
      <c r="X439" s="536"/>
      <c r="Y439" s="536"/>
      <c r="Z439" s="536"/>
      <c r="AA439" s="536"/>
      <c r="AB439" s="536"/>
      <c r="AC439" s="536"/>
      <c r="AD439" s="536"/>
      <c r="AE439" s="536"/>
      <c r="AF439" s="536"/>
      <c r="AG439" s="536"/>
      <c r="AH439" s="100">
        <f t="shared" si="76"/>
        <v>0</v>
      </c>
    </row>
    <row r="440" spans="1:34" ht="15">
      <c r="A440" s="314" t="s">
        <v>151</v>
      </c>
      <c r="B440" s="53">
        <f t="shared" si="75"/>
        <v>0</v>
      </c>
      <c r="C440" s="536"/>
      <c r="D440" s="536"/>
      <c r="E440" s="536"/>
      <c r="F440" s="536"/>
      <c r="G440" s="536"/>
      <c r="H440" s="536"/>
      <c r="I440" s="536"/>
      <c r="J440" s="536"/>
      <c r="K440" s="536"/>
      <c r="L440" s="536"/>
      <c r="M440" s="536"/>
      <c r="N440" s="536"/>
      <c r="O440" s="536"/>
      <c r="P440" s="536"/>
      <c r="Q440" s="536"/>
      <c r="R440" s="536"/>
      <c r="S440" s="536"/>
      <c r="T440" s="536"/>
      <c r="U440" s="536"/>
      <c r="V440" s="536"/>
      <c r="W440" s="536"/>
      <c r="X440" s="536"/>
      <c r="Y440" s="536"/>
      <c r="Z440" s="536"/>
      <c r="AA440" s="536"/>
      <c r="AB440" s="536"/>
      <c r="AC440" s="536"/>
      <c r="AD440" s="536"/>
      <c r="AE440" s="536"/>
      <c r="AF440" s="536"/>
      <c r="AG440" s="536"/>
      <c r="AH440" s="100">
        <f t="shared" si="76"/>
        <v>0</v>
      </c>
    </row>
    <row r="441" spans="1:34" ht="15">
      <c r="A441" s="314" t="s">
        <v>152</v>
      </c>
      <c r="B441" s="53">
        <f t="shared" si="75"/>
        <v>0</v>
      </c>
      <c r="C441" s="536"/>
      <c r="D441" s="536"/>
      <c r="E441" s="536"/>
      <c r="F441" s="536"/>
      <c r="G441" s="536"/>
      <c r="H441" s="536"/>
      <c r="I441" s="536"/>
      <c r="J441" s="536"/>
      <c r="K441" s="536"/>
      <c r="L441" s="536"/>
      <c r="M441" s="536"/>
      <c r="N441" s="536"/>
      <c r="O441" s="536"/>
      <c r="P441" s="536"/>
      <c r="Q441" s="538"/>
      <c r="R441" s="538"/>
      <c r="S441" s="538"/>
      <c r="T441" s="538"/>
      <c r="U441" s="538"/>
      <c r="V441" s="538"/>
      <c r="W441" s="538"/>
      <c r="X441" s="538"/>
      <c r="Y441" s="538"/>
      <c r="Z441" s="538"/>
      <c r="AA441" s="538"/>
      <c r="AB441" s="538"/>
      <c r="AC441" s="538"/>
      <c r="AD441" s="538"/>
      <c r="AE441" s="538"/>
      <c r="AF441" s="538"/>
      <c r="AG441" s="538"/>
      <c r="AH441" s="100">
        <f t="shared" si="76"/>
        <v>0</v>
      </c>
    </row>
    <row r="442" spans="1:34" ht="15">
      <c r="A442" s="314" t="s">
        <v>153</v>
      </c>
      <c r="B442" s="53">
        <f t="shared" si="75"/>
        <v>0</v>
      </c>
      <c r="C442" s="188" t="s">
        <v>162</v>
      </c>
      <c r="D442" s="188" t="s">
        <v>162</v>
      </c>
      <c r="E442" s="188" t="s">
        <v>162</v>
      </c>
      <c r="F442" s="188" t="s">
        <v>162</v>
      </c>
      <c r="G442" s="188" t="s">
        <v>162</v>
      </c>
      <c r="H442" s="188" t="s">
        <v>162</v>
      </c>
      <c r="I442" s="188" t="s">
        <v>162</v>
      </c>
      <c r="J442" s="188" t="s">
        <v>162</v>
      </c>
      <c r="K442" s="188" t="s">
        <v>162</v>
      </c>
      <c r="L442" s="188" t="s">
        <v>162</v>
      </c>
      <c r="M442" s="188" t="s">
        <v>162</v>
      </c>
      <c r="N442" s="188" t="s">
        <v>162</v>
      </c>
      <c r="O442" s="188" t="s">
        <v>162</v>
      </c>
      <c r="P442" s="188" t="s">
        <v>162</v>
      </c>
      <c r="Q442" s="188" t="s">
        <v>162</v>
      </c>
      <c r="R442" s="188" t="s">
        <v>162</v>
      </c>
      <c r="S442" s="188" t="s">
        <v>162</v>
      </c>
      <c r="T442" s="188" t="s">
        <v>162</v>
      </c>
      <c r="U442" s="188" t="s">
        <v>162</v>
      </c>
      <c r="V442" s="188" t="s">
        <v>162</v>
      </c>
      <c r="W442" s="188" t="s">
        <v>162</v>
      </c>
      <c r="X442" s="188" t="s">
        <v>162</v>
      </c>
      <c r="Y442" s="188" t="s">
        <v>162</v>
      </c>
      <c r="Z442" s="188" t="s">
        <v>162</v>
      </c>
      <c r="AA442" s="188" t="s">
        <v>162</v>
      </c>
      <c r="AB442" s="188" t="s">
        <v>162</v>
      </c>
      <c r="AC442" s="188" t="s">
        <v>162</v>
      </c>
      <c r="AD442" s="188" t="s">
        <v>162</v>
      </c>
      <c r="AE442" s="188" t="s">
        <v>162</v>
      </c>
      <c r="AF442" s="188" t="s">
        <v>162</v>
      </c>
      <c r="AG442" s="188" t="s">
        <v>162</v>
      </c>
      <c r="AH442" s="100">
        <f t="shared" si="76"/>
        <v>0</v>
      </c>
    </row>
    <row r="443" spans="1:34" ht="15">
      <c r="A443" s="314" t="s">
        <v>154</v>
      </c>
      <c r="B443" s="53">
        <f t="shared" si="75"/>
        <v>0</v>
      </c>
      <c r="C443" s="536"/>
      <c r="D443" s="536"/>
      <c r="E443" s="536"/>
      <c r="F443" s="536"/>
      <c r="G443" s="536"/>
      <c r="H443" s="536"/>
      <c r="I443" s="536"/>
      <c r="J443" s="536"/>
      <c r="K443" s="536"/>
      <c r="L443" s="536"/>
      <c r="M443" s="536"/>
      <c r="N443" s="536"/>
      <c r="O443" s="536"/>
      <c r="P443" s="536"/>
      <c r="Q443" s="536"/>
      <c r="R443" s="536"/>
      <c r="S443" s="536"/>
      <c r="T443" s="536"/>
      <c r="U443" s="536"/>
      <c r="V443" s="536"/>
      <c r="W443" s="536"/>
      <c r="X443" s="536"/>
      <c r="Y443" s="536"/>
      <c r="Z443" s="536"/>
      <c r="AA443" s="536"/>
      <c r="AB443" s="536"/>
      <c r="AC443" s="536"/>
      <c r="AD443" s="536"/>
      <c r="AE443" s="536"/>
      <c r="AF443" s="536"/>
      <c r="AG443" s="536"/>
      <c r="AH443" s="100">
        <f t="shared" si="76"/>
        <v>0</v>
      </c>
    </row>
    <row r="444" spans="1:34" ht="15">
      <c r="A444" s="314" t="s">
        <v>155</v>
      </c>
      <c r="B444" s="53">
        <f t="shared" si="75"/>
        <v>0</v>
      </c>
      <c r="C444" s="536"/>
      <c r="D444" s="536"/>
      <c r="E444" s="536"/>
      <c r="F444" s="536"/>
      <c r="G444" s="536"/>
      <c r="H444" s="536"/>
      <c r="I444" s="536"/>
      <c r="J444" s="536"/>
      <c r="K444" s="536"/>
      <c r="L444" s="536"/>
      <c r="M444" s="536"/>
      <c r="N444" s="536"/>
      <c r="O444" s="536"/>
      <c r="P444" s="536"/>
      <c r="Q444" s="536"/>
      <c r="R444" s="536"/>
      <c r="S444" s="536"/>
      <c r="T444" s="536"/>
      <c r="U444" s="536"/>
      <c r="V444" s="536"/>
      <c r="W444" s="536"/>
      <c r="X444" s="536"/>
      <c r="Y444" s="536"/>
      <c r="Z444" s="536"/>
      <c r="AA444" s="536"/>
      <c r="AB444" s="536"/>
      <c r="AC444" s="536"/>
      <c r="AD444" s="536"/>
      <c r="AE444" s="536"/>
      <c r="AF444" s="536"/>
      <c r="AG444" s="536"/>
      <c r="AH444" s="100">
        <f t="shared" si="76"/>
        <v>0</v>
      </c>
    </row>
    <row r="445" spans="1:34" ht="15">
      <c r="A445" s="314" t="s">
        <v>156</v>
      </c>
      <c r="B445" s="53">
        <f t="shared" si="75"/>
        <v>0</v>
      </c>
      <c r="C445" s="536"/>
      <c r="D445" s="536"/>
      <c r="E445" s="536"/>
      <c r="F445" s="536"/>
      <c r="G445" s="536"/>
      <c r="H445" s="536"/>
      <c r="I445" s="536"/>
      <c r="J445" s="536"/>
      <c r="K445" s="536"/>
      <c r="L445" s="536"/>
      <c r="M445" s="536"/>
      <c r="N445" s="536"/>
      <c r="O445" s="536"/>
      <c r="P445" s="536"/>
      <c r="Q445" s="536"/>
      <c r="R445" s="536"/>
      <c r="S445" s="536"/>
      <c r="T445" s="536"/>
      <c r="U445" s="536"/>
      <c r="V445" s="536"/>
      <c r="W445" s="536"/>
      <c r="X445" s="536"/>
      <c r="Y445" s="536"/>
      <c r="Z445" s="536"/>
      <c r="AA445" s="536"/>
      <c r="AB445" s="536"/>
      <c r="AC445" s="536"/>
      <c r="AD445" s="536"/>
      <c r="AE445" s="536"/>
      <c r="AF445" s="536"/>
      <c r="AG445" s="536"/>
      <c r="AH445" s="100">
        <f t="shared" si="76"/>
        <v>0</v>
      </c>
    </row>
    <row r="446" spans="1:34" ht="15">
      <c r="A446" s="200" t="s">
        <v>111</v>
      </c>
      <c r="B446" s="585">
        <f>+SUM(B434:B445)</f>
        <v>256.024</v>
      </c>
      <c r="C446" s="100">
        <f>SUM(C434:C445)</f>
        <v>0</v>
      </c>
      <c r="D446" s="100">
        <f t="shared" ref="D446:AH446" si="77">SUM(D434:D445)</f>
        <v>0</v>
      </c>
      <c r="E446" s="100">
        <f t="shared" si="77"/>
        <v>0</v>
      </c>
      <c r="F446" s="100">
        <f t="shared" si="77"/>
        <v>0</v>
      </c>
      <c r="G446" s="100">
        <f t="shared" si="77"/>
        <v>0</v>
      </c>
      <c r="H446" s="100">
        <f t="shared" si="77"/>
        <v>0</v>
      </c>
      <c r="I446" s="100">
        <f t="shared" si="77"/>
        <v>0</v>
      </c>
      <c r="J446" s="100">
        <f t="shared" si="77"/>
        <v>0</v>
      </c>
      <c r="K446" s="100">
        <f t="shared" si="77"/>
        <v>0</v>
      </c>
      <c r="L446" s="100">
        <f t="shared" si="77"/>
        <v>0</v>
      </c>
      <c r="M446" s="100">
        <f t="shared" si="77"/>
        <v>0</v>
      </c>
      <c r="N446" s="100">
        <f t="shared" si="77"/>
        <v>0</v>
      </c>
      <c r="O446" s="100">
        <f t="shared" si="77"/>
        <v>0</v>
      </c>
      <c r="P446" s="100">
        <f t="shared" si="77"/>
        <v>0</v>
      </c>
      <c r="Q446" s="100">
        <f t="shared" si="77"/>
        <v>0</v>
      </c>
      <c r="R446" s="100">
        <f t="shared" si="77"/>
        <v>0</v>
      </c>
      <c r="S446" s="100">
        <f t="shared" si="77"/>
        <v>0</v>
      </c>
      <c r="T446" s="100">
        <f t="shared" si="77"/>
        <v>0</v>
      </c>
      <c r="U446" s="100">
        <f t="shared" si="77"/>
        <v>0</v>
      </c>
      <c r="V446" s="100">
        <f t="shared" si="77"/>
        <v>0</v>
      </c>
      <c r="W446" s="100">
        <f t="shared" si="77"/>
        <v>0</v>
      </c>
      <c r="X446" s="100">
        <f t="shared" si="77"/>
        <v>0</v>
      </c>
      <c r="Y446" s="100">
        <f t="shared" si="77"/>
        <v>0</v>
      </c>
      <c r="Z446" s="100">
        <f t="shared" si="77"/>
        <v>0</v>
      </c>
      <c r="AA446" s="100">
        <f t="shared" si="77"/>
        <v>0</v>
      </c>
      <c r="AB446" s="100">
        <f t="shared" si="77"/>
        <v>0</v>
      </c>
      <c r="AC446" s="100">
        <f t="shared" si="77"/>
        <v>0</v>
      </c>
      <c r="AD446" s="100">
        <f t="shared" si="77"/>
        <v>0</v>
      </c>
      <c r="AE446" s="100">
        <f t="shared" si="77"/>
        <v>0</v>
      </c>
      <c r="AF446" s="100">
        <f t="shared" si="77"/>
        <v>0</v>
      </c>
      <c r="AG446" s="100">
        <f t="shared" si="77"/>
        <v>0</v>
      </c>
      <c r="AH446" s="100">
        <f t="shared" si="77"/>
        <v>0</v>
      </c>
    </row>
    <row r="447" spans="1:34" ht="15">
      <c r="A447" s="478"/>
      <c r="B447" s="478"/>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row>
    <row r="448" spans="1:34" ht="5.0999999999999996" customHeight="1">
      <c r="A448" s="49"/>
      <c r="B448" s="49"/>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row>
    <row r="449" spans="1:34" ht="15">
      <c r="A449" s="3854" t="s">
        <v>163</v>
      </c>
      <c r="B449" s="3855"/>
      <c r="C449" s="3856"/>
      <c r="D449" s="14"/>
      <c r="E449" s="14"/>
      <c r="F449" s="14"/>
      <c r="G449" s="14"/>
      <c r="H449" s="14"/>
      <c r="I449" s="14"/>
      <c r="J449" s="14"/>
      <c r="K449" s="14"/>
      <c r="L449" s="14"/>
      <c r="M449" s="98"/>
      <c r="N449" s="14"/>
      <c r="O449" s="14"/>
      <c r="P449" s="14"/>
      <c r="Q449" s="14"/>
      <c r="R449" s="14"/>
      <c r="S449" s="14"/>
      <c r="T449" s="14"/>
      <c r="U449" s="14"/>
      <c r="V449" s="14"/>
      <c r="W449" s="14"/>
      <c r="X449" s="14"/>
      <c r="Y449" s="14"/>
      <c r="Z449" s="14"/>
      <c r="AA449" s="14"/>
      <c r="AB449" s="14"/>
      <c r="AC449" s="14"/>
      <c r="AD449" s="14"/>
      <c r="AE449" s="14"/>
      <c r="AF449" s="14"/>
      <c r="AG449" s="14"/>
      <c r="AH449" s="1"/>
    </row>
    <row r="450" spans="1:34" ht="15">
      <c r="A450" s="8" t="s">
        <v>142</v>
      </c>
      <c r="B450" s="8" t="s">
        <v>143</v>
      </c>
      <c r="C450" s="372">
        <v>1</v>
      </c>
      <c r="D450" s="73">
        <v>2</v>
      </c>
      <c r="E450" s="73">
        <v>3</v>
      </c>
      <c r="F450" s="73">
        <v>4</v>
      </c>
      <c r="G450" s="73">
        <v>5</v>
      </c>
      <c r="H450" s="73">
        <v>6</v>
      </c>
      <c r="I450" s="73">
        <v>7</v>
      </c>
      <c r="J450" s="73">
        <v>8</v>
      </c>
      <c r="K450" s="73">
        <v>9</v>
      </c>
      <c r="L450" s="73">
        <v>10</v>
      </c>
      <c r="M450" s="73">
        <v>11</v>
      </c>
      <c r="N450" s="73">
        <v>12</v>
      </c>
      <c r="O450" s="73">
        <v>13</v>
      </c>
      <c r="P450" s="73">
        <v>14</v>
      </c>
      <c r="Q450" s="73">
        <v>15</v>
      </c>
      <c r="R450" s="73">
        <v>16</v>
      </c>
      <c r="S450" s="73">
        <v>17</v>
      </c>
      <c r="T450" s="73">
        <v>18</v>
      </c>
      <c r="U450" s="73">
        <v>19</v>
      </c>
      <c r="V450" s="73">
        <v>20</v>
      </c>
      <c r="W450" s="73">
        <v>21</v>
      </c>
      <c r="X450" s="73">
        <v>22</v>
      </c>
      <c r="Y450" s="73">
        <v>23</v>
      </c>
      <c r="Z450" s="73">
        <v>24</v>
      </c>
      <c r="AA450" s="73">
        <v>25</v>
      </c>
      <c r="AB450" s="73">
        <v>26</v>
      </c>
      <c r="AC450" s="73">
        <v>27</v>
      </c>
      <c r="AD450" s="73">
        <v>28</v>
      </c>
      <c r="AE450" s="73">
        <v>29</v>
      </c>
      <c r="AF450" s="73">
        <v>30</v>
      </c>
      <c r="AG450" s="73">
        <v>31</v>
      </c>
      <c r="AH450" s="87" t="s">
        <v>144</v>
      </c>
    </row>
    <row r="451" spans="1:34" ht="15">
      <c r="A451" s="363" t="s">
        <v>145</v>
      </c>
      <c r="B451" s="162">
        <f>0.99+2.04+2.901+5.266+5.81</f>
        <v>17.006999999999998</v>
      </c>
      <c r="C451" s="99"/>
      <c r="D451" s="99"/>
      <c r="E451" s="99"/>
      <c r="F451" s="99"/>
      <c r="G451" s="99"/>
      <c r="H451" s="99"/>
      <c r="I451" s="99"/>
      <c r="J451" s="99"/>
      <c r="K451" s="99"/>
      <c r="L451" s="99"/>
      <c r="M451" s="99"/>
      <c r="N451" s="99"/>
      <c r="O451" s="99"/>
      <c r="P451" s="99"/>
      <c r="Q451" s="99"/>
      <c r="R451" s="99"/>
      <c r="S451" s="99"/>
      <c r="T451" s="99"/>
      <c r="U451" s="99"/>
      <c r="V451" s="99"/>
      <c r="X451" s="99"/>
      <c r="Y451" s="99"/>
      <c r="Z451" s="99"/>
      <c r="AA451" s="99"/>
      <c r="AB451" s="99"/>
      <c r="AC451" s="99"/>
      <c r="AD451" s="99"/>
      <c r="AE451" s="99"/>
      <c r="AF451" s="99"/>
      <c r="AG451" s="99"/>
      <c r="AH451" s="100">
        <f>SUM(C451:AG451)</f>
        <v>0</v>
      </c>
    </row>
    <row r="452" spans="1:34" ht="15">
      <c r="A452" s="363" t="s">
        <v>146</v>
      </c>
      <c r="B452" s="162">
        <v>0.32</v>
      </c>
      <c r="C452" s="116"/>
      <c r="D452" s="99"/>
      <c r="E452" s="99"/>
      <c r="F452" s="99"/>
      <c r="G452" s="99"/>
      <c r="H452" s="99"/>
      <c r="I452" s="99"/>
      <c r="J452" s="99"/>
      <c r="K452" s="99"/>
      <c r="L452" s="99"/>
      <c r="M452" s="99"/>
      <c r="N452" s="99"/>
      <c r="O452" s="99"/>
      <c r="P452" s="99"/>
      <c r="Q452" s="99"/>
      <c r="R452" s="99"/>
      <c r="S452" s="99"/>
      <c r="T452" s="99"/>
      <c r="U452" s="99"/>
      <c r="V452" s="99"/>
      <c r="W452" s="99"/>
      <c r="X452" s="99"/>
      <c r="Y452" s="99"/>
      <c r="Z452" s="99"/>
      <c r="AA452" s="99"/>
      <c r="AB452" s="99"/>
      <c r="AC452" s="99"/>
      <c r="AD452" s="99"/>
      <c r="AE452" s="99"/>
      <c r="AF452" s="99"/>
      <c r="AG452" s="99"/>
      <c r="AH452" s="100">
        <f t="shared" ref="AH452:AH462" si="78">SUM(C452:AG452)</f>
        <v>0</v>
      </c>
    </row>
    <row r="453" spans="1:34" ht="15">
      <c r="A453" s="363" t="s">
        <v>147</v>
      </c>
      <c r="B453" s="162">
        <f>10.21+1.585+0.01+2.7+0.8+1.1+5.4+0.512+0.761</f>
        <v>23.078000000000007</v>
      </c>
      <c r="C453" s="116"/>
      <c r="D453" s="99"/>
      <c r="E453" s="99"/>
      <c r="F453" s="99"/>
      <c r="G453" s="99"/>
      <c r="H453" s="99"/>
      <c r="I453" s="99"/>
      <c r="J453" s="99"/>
      <c r="K453" s="99"/>
      <c r="L453" s="99"/>
      <c r="M453" s="99"/>
      <c r="N453" s="99"/>
      <c r="O453" s="99"/>
      <c r="P453" s="99"/>
      <c r="Q453" s="99"/>
      <c r="R453" s="99"/>
      <c r="S453" s="99"/>
      <c r="T453" s="99"/>
      <c r="U453" s="99"/>
      <c r="V453" s="99"/>
      <c r="W453" s="99"/>
      <c r="X453" s="99"/>
      <c r="Y453" s="99"/>
      <c r="Z453" s="99"/>
      <c r="AA453" s="99"/>
      <c r="AB453" s="99"/>
      <c r="AC453" s="99"/>
      <c r="AD453" s="99"/>
      <c r="AE453" s="99"/>
      <c r="AF453" s="99"/>
      <c r="AG453" s="99"/>
      <c r="AH453" s="100">
        <f t="shared" si="78"/>
        <v>0</v>
      </c>
    </row>
    <row r="454" spans="1:34" ht="15">
      <c r="A454" s="363" t="s">
        <v>148</v>
      </c>
      <c r="B454" s="162">
        <f>6.414+2.197+0.01+3.93+12.46+12.93+0.131</f>
        <v>38.072000000000003</v>
      </c>
      <c r="C454" s="116"/>
      <c r="D454" s="99"/>
      <c r="E454" s="99"/>
      <c r="F454" s="99"/>
      <c r="G454" s="99"/>
      <c r="H454" s="99"/>
      <c r="I454" s="99"/>
      <c r="J454" s="99"/>
      <c r="K454" s="99"/>
      <c r="L454" s="99"/>
      <c r="M454" s="99"/>
      <c r="N454" s="99"/>
      <c r="O454" s="99"/>
      <c r="P454" s="99"/>
      <c r="Q454" s="99"/>
      <c r="R454" s="99"/>
      <c r="S454" s="99"/>
      <c r="T454" s="99"/>
      <c r="U454" s="99"/>
      <c r="V454" s="99"/>
      <c r="W454" s="99"/>
      <c r="X454" s="99"/>
      <c r="Y454" s="99"/>
      <c r="Z454" s="99"/>
      <c r="AA454" s="99"/>
      <c r="AB454" s="99"/>
      <c r="AC454" s="99"/>
      <c r="AD454" s="99"/>
      <c r="AE454" s="99"/>
      <c r="AF454" s="99"/>
      <c r="AG454" s="99"/>
      <c r="AH454" s="100">
        <f t="shared" si="78"/>
        <v>0</v>
      </c>
    </row>
    <row r="455" spans="1:34" ht="15">
      <c r="A455" s="363" t="s">
        <v>149</v>
      </c>
      <c r="B455" s="162">
        <f t="shared" ref="B455:B462" si="79">+AH455</f>
        <v>0</v>
      </c>
      <c r="C455" s="116"/>
      <c r="D455" s="99"/>
      <c r="E455" s="99"/>
      <c r="F455" s="99"/>
      <c r="G455" s="99"/>
      <c r="H455" s="99"/>
      <c r="I455" s="99"/>
      <c r="J455" s="99"/>
      <c r="K455" s="99"/>
      <c r="L455" s="99"/>
      <c r="M455" s="99"/>
      <c r="N455" s="99"/>
      <c r="O455" s="99"/>
      <c r="P455" s="99"/>
      <c r="Q455" s="99"/>
      <c r="R455" s="99"/>
      <c r="S455" s="99"/>
      <c r="T455" s="99"/>
      <c r="U455" s="99"/>
      <c r="V455" s="99"/>
      <c r="W455" s="99"/>
      <c r="X455" s="99"/>
      <c r="Y455" s="99"/>
      <c r="Z455" s="99"/>
      <c r="AA455" s="99"/>
      <c r="AB455" s="99"/>
      <c r="AC455" s="99"/>
      <c r="AD455" s="99"/>
      <c r="AE455" s="99"/>
      <c r="AF455" s="99"/>
      <c r="AG455" s="99"/>
      <c r="AH455" s="100">
        <f t="shared" si="78"/>
        <v>0</v>
      </c>
    </row>
    <row r="456" spans="1:34" ht="15">
      <c r="A456" s="363" t="s">
        <v>150</v>
      </c>
      <c r="B456" s="162">
        <f t="shared" si="79"/>
        <v>0</v>
      </c>
      <c r="C456" s="116"/>
      <c r="D456" s="99"/>
      <c r="E456" s="99"/>
      <c r="F456" s="99"/>
      <c r="G456" s="99"/>
      <c r="H456" s="99"/>
      <c r="I456" s="99"/>
      <c r="J456" s="99"/>
      <c r="K456" s="99"/>
      <c r="L456" s="99"/>
      <c r="M456" s="99"/>
      <c r="N456" s="99"/>
      <c r="O456" s="99"/>
      <c r="P456" s="99"/>
      <c r="Q456" s="99"/>
      <c r="R456" s="99"/>
      <c r="S456" s="99"/>
      <c r="T456" s="99"/>
      <c r="U456" s="99"/>
      <c r="V456" s="99"/>
      <c r="W456" s="99"/>
      <c r="X456" s="99"/>
      <c r="Y456" s="99"/>
      <c r="Z456" s="99"/>
      <c r="AA456" s="99"/>
      <c r="AB456" s="99"/>
      <c r="AC456" s="99"/>
      <c r="AD456" s="99"/>
      <c r="AE456" s="99"/>
      <c r="AF456" s="99"/>
      <c r="AG456" s="99"/>
      <c r="AH456" s="100">
        <f t="shared" si="78"/>
        <v>0</v>
      </c>
    </row>
    <row r="457" spans="1:34" ht="15">
      <c r="A457" s="73" t="s">
        <v>151</v>
      </c>
      <c r="B457" s="162">
        <f t="shared" si="79"/>
        <v>0</v>
      </c>
      <c r="C457" s="116"/>
      <c r="D457" s="99"/>
      <c r="E457" s="99"/>
      <c r="F457" s="99"/>
      <c r="G457" s="99"/>
      <c r="H457" s="99"/>
      <c r="I457" s="99"/>
      <c r="J457" s="99"/>
      <c r="K457" s="99"/>
      <c r="L457" s="99"/>
      <c r="M457" s="99"/>
      <c r="N457" s="99"/>
      <c r="O457" s="99"/>
      <c r="P457" s="99"/>
      <c r="Q457" s="99"/>
      <c r="R457" s="99"/>
      <c r="S457" s="99"/>
      <c r="T457" s="99"/>
      <c r="U457" s="99"/>
      <c r="V457" s="99"/>
      <c r="W457" s="99"/>
      <c r="X457" s="99"/>
      <c r="Y457" s="99"/>
      <c r="Z457" s="99"/>
      <c r="AA457" s="99"/>
      <c r="AB457" s="99"/>
      <c r="AC457" s="99"/>
      <c r="AD457" s="99"/>
      <c r="AE457" s="99"/>
      <c r="AF457" s="99"/>
      <c r="AG457" s="99"/>
      <c r="AH457" s="100">
        <f t="shared" si="78"/>
        <v>0</v>
      </c>
    </row>
    <row r="458" spans="1:34" ht="15">
      <c r="A458" s="73" t="s">
        <v>152</v>
      </c>
      <c r="B458" s="162">
        <f t="shared" si="79"/>
        <v>0</v>
      </c>
      <c r="C458" s="116"/>
      <c r="D458" s="99"/>
      <c r="E458" s="99"/>
      <c r="F458" s="99"/>
      <c r="G458" s="99"/>
      <c r="H458" s="99"/>
      <c r="I458" s="99"/>
      <c r="J458" s="99"/>
      <c r="K458" s="99"/>
      <c r="L458" s="99"/>
      <c r="M458" s="99"/>
      <c r="N458" s="99"/>
      <c r="O458" s="99"/>
      <c r="P458" s="99"/>
      <c r="Q458" s="53"/>
      <c r="R458" s="53"/>
      <c r="S458" s="53"/>
      <c r="T458" s="53"/>
      <c r="U458" s="53"/>
      <c r="V458" s="53"/>
      <c r="W458" s="53"/>
      <c r="X458" s="53"/>
      <c r="Y458" s="53"/>
      <c r="Z458" s="53"/>
      <c r="AA458" s="53"/>
      <c r="AB458" s="53"/>
      <c r="AC458" s="53"/>
      <c r="AD458" s="53"/>
      <c r="AE458" s="53"/>
      <c r="AF458" s="53"/>
      <c r="AG458" s="53"/>
      <c r="AH458" s="100">
        <f t="shared" si="78"/>
        <v>0</v>
      </c>
    </row>
    <row r="459" spans="1:34" ht="15">
      <c r="A459" s="73" t="s">
        <v>153</v>
      </c>
      <c r="B459" s="162">
        <f t="shared" si="79"/>
        <v>0</v>
      </c>
      <c r="C459" s="188" t="s">
        <v>162</v>
      </c>
      <c r="D459" s="188" t="s">
        <v>162</v>
      </c>
      <c r="E459" s="188" t="s">
        <v>162</v>
      </c>
      <c r="F459" s="188" t="s">
        <v>162</v>
      </c>
      <c r="G459" s="188" t="s">
        <v>162</v>
      </c>
      <c r="H459" s="188" t="s">
        <v>162</v>
      </c>
      <c r="I459" s="188" t="s">
        <v>162</v>
      </c>
      <c r="J459" s="188" t="s">
        <v>162</v>
      </c>
      <c r="K459" s="188" t="s">
        <v>162</v>
      </c>
      <c r="L459" s="188" t="s">
        <v>162</v>
      </c>
      <c r="M459" s="188" t="s">
        <v>162</v>
      </c>
      <c r="N459" s="188" t="s">
        <v>162</v>
      </c>
      <c r="O459" s="188" t="s">
        <v>162</v>
      </c>
      <c r="P459" s="188" t="s">
        <v>162</v>
      </c>
      <c r="Q459" s="188" t="s">
        <v>162</v>
      </c>
      <c r="R459" s="188" t="s">
        <v>162</v>
      </c>
      <c r="S459" s="188" t="s">
        <v>162</v>
      </c>
      <c r="T459" s="188" t="s">
        <v>162</v>
      </c>
      <c r="U459" s="188" t="s">
        <v>162</v>
      </c>
      <c r="V459" s="188" t="s">
        <v>162</v>
      </c>
      <c r="W459" s="188" t="s">
        <v>162</v>
      </c>
      <c r="X459" s="188" t="s">
        <v>162</v>
      </c>
      <c r="Y459" s="188" t="s">
        <v>162</v>
      </c>
      <c r="Z459" s="188" t="s">
        <v>162</v>
      </c>
      <c r="AA459" s="188" t="s">
        <v>162</v>
      </c>
      <c r="AB459" s="188" t="s">
        <v>162</v>
      </c>
      <c r="AC459" s="188" t="s">
        <v>162</v>
      </c>
      <c r="AD459" s="188" t="s">
        <v>162</v>
      </c>
      <c r="AE459" s="188" t="s">
        <v>162</v>
      </c>
      <c r="AF459" s="188" t="s">
        <v>162</v>
      </c>
      <c r="AG459" s="188" t="s">
        <v>162</v>
      </c>
      <c r="AH459" s="100">
        <f t="shared" si="78"/>
        <v>0</v>
      </c>
    </row>
    <row r="460" spans="1:34" ht="15">
      <c r="A460" s="73" t="s">
        <v>154</v>
      </c>
      <c r="B460" s="162">
        <f t="shared" si="79"/>
        <v>0</v>
      </c>
      <c r="C460" s="116"/>
      <c r="D460" s="99"/>
      <c r="E460" s="99"/>
      <c r="F460" s="99"/>
      <c r="G460" s="99"/>
      <c r="H460" s="99"/>
      <c r="I460" s="99"/>
      <c r="J460" s="99"/>
      <c r="K460" s="99"/>
      <c r="L460" s="99"/>
      <c r="M460" s="99"/>
      <c r="N460" s="99"/>
      <c r="O460" s="99"/>
      <c r="P460" s="99"/>
      <c r="Q460" s="99"/>
      <c r="R460" s="99"/>
      <c r="S460" s="99"/>
      <c r="T460" s="99"/>
      <c r="U460" s="99"/>
      <c r="V460" s="99"/>
      <c r="W460" s="99"/>
      <c r="X460" s="99"/>
      <c r="Y460" s="99"/>
      <c r="Z460" s="99"/>
      <c r="AA460" s="99"/>
      <c r="AB460" s="99"/>
      <c r="AC460" s="99"/>
      <c r="AD460" s="99"/>
      <c r="AE460" s="99"/>
      <c r="AF460" s="99"/>
      <c r="AG460" s="99"/>
      <c r="AH460" s="100">
        <f t="shared" si="78"/>
        <v>0</v>
      </c>
    </row>
    <row r="461" spans="1:34" ht="15">
      <c r="A461" s="73" t="s">
        <v>155</v>
      </c>
      <c r="B461" s="162">
        <f t="shared" si="79"/>
        <v>0</v>
      </c>
      <c r="C461" s="116"/>
      <c r="D461" s="99"/>
      <c r="E461" s="99"/>
      <c r="F461" s="99"/>
      <c r="G461" s="99"/>
      <c r="H461" s="99"/>
      <c r="I461" s="99"/>
      <c r="J461" s="99"/>
      <c r="K461" s="99"/>
      <c r="L461" s="99"/>
      <c r="M461" s="99"/>
      <c r="N461" s="99"/>
      <c r="O461" s="99"/>
      <c r="P461" s="99"/>
      <c r="Q461" s="99"/>
      <c r="R461" s="99"/>
      <c r="S461" s="99"/>
      <c r="T461" s="99"/>
      <c r="U461" s="99"/>
      <c r="V461" s="99"/>
      <c r="W461" s="99"/>
      <c r="X461" s="99"/>
      <c r="Y461" s="99"/>
      <c r="Z461" s="99"/>
      <c r="AA461" s="99"/>
      <c r="AB461" s="99"/>
      <c r="AC461" s="99"/>
      <c r="AD461" s="99"/>
      <c r="AE461" s="99"/>
      <c r="AF461" s="99"/>
      <c r="AG461" s="99"/>
      <c r="AH461" s="100">
        <f t="shared" si="78"/>
        <v>0</v>
      </c>
    </row>
    <row r="462" spans="1:34" ht="15">
      <c r="A462" s="73" t="s">
        <v>156</v>
      </c>
      <c r="B462" s="162">
        <f t="shared" si="79"/>
        <v>0</v>
      </c>
      <c r="C462" s="116"/>
      <c r="D462" s="99"/>
      <c r="E462" s="99"/>
      <c r="F462" s="99"/>
      <c r="G462" s="99"/>
      <c r="H462" s="99"/>
      <c r="I462" s="99"/>
      <c r="J462" s="99"/>
      <c r="K462" s="99"/>
      <c r="L462" s="99"/>
      <c r="M462" s="99"/>
      <c r="N462" s="99"/>
      <c r="O462" s="99"/>
      <c r="P462" s="99"/>
      <c r="Q462" s="99"/>
      <c r="R462" s="99"/>
      <c r="S462" s="99"/>
      <c r="T462" s="99"/>
      <c r="U462" s="99"/>
      <c r="V462" s="99"/>
      <c r="W462" s="99"/>
      <c r="X462" s="99"/>
      <c r="Y462" s="99"/>
      <c r="Z462" s="99"/>
      <c r="AA462" s="99"/>
      <c r="AB462" s="99"/>
      <c r="AC462" s="99"/>
      <c r="AD462" s="99"/>
      <c r="AE462" s="99"/>
      <c r="AF462" s="99"/>
      <c r="AG462" s="99"/>
      <c r="AH462" s="100">
        <f t="shared" si="78"/>
        <v>0</v>
      </c>
    </row>
    <row r="463" spans="1:34" ht="15">
      <c r="A463" s="200" t="s">
        <v>111</v>
      </c>
      <c r="B463" s="232">
        <f t="shared" ref="B463:AH463" si="80">SUM(B451:B462)</f>
        <v>78.477000000000004</v>
      </c>
      <c r="C463" s="100">
        <f>SUM(C451:C462)</f>
        <v>0</v>
      </c>
      <c r="D463" s="100">
        <f t="shared" si="80"/>
        <v>0</v>
      </c>
      <c r="E463" s="100">
        <f t="shared" si="80"/>
        <v>0</v>
      </c>
      <c r="F463" s="100">
        <f t="shared" si="80"/>
        <v>0</v>
      </c>
      <c r="G463" s="100">
        <f t="shared" si="80"/>
        <v>0</v>
      </c>
      <c r="H463" s="100">
        <f t="shared" si="80"/>
        <v>0</v>
      </c>
      <c r="I463" s="100">
        <f t="shared" si="80"/>
        <v>0</v>
      </c>
      <c r="J463" s="100">
        <f t="shared" si="80"/>
        <v>0</v>
      </c>
      <c r="K463" s="100">
        <f t="shared" si="80"/>
        <v>0</v>
      </c>
      <c r="L463" s="100">
        <f t="shared" si="80"/>
        <v>0</v>
      </c>
      <c r="M463" s="100">
        <f t="shared" si="80"/>
        <v>0</v>
      </c>
      <c r="N463" s="100">
        <f t="shared" si="80"/>
        <v>0</v>
      </c>
      <c r="O463" s="100">
        <f t="shared" si="80"/>
        <v>0</v>
      </c>
      <c r="P463" s="100">
        <f t="shared" si="80"/>
        <v>0</v>
      </c>
      <c r="Q463" s="100">
        <f t="shared" si="80"/>
        <v>0</v>
      </c>
      <c r="R463" s="100">
        <f t="shared" si="80"/>
        <v>0</v>
      </c>
      <c r="S463" s="100">
        <f t="shared" si="80"/>
        <v>0</v>
      </c>
      <c r="T463" s="100">
        <f t="shared" si="80"/>
        <v>0</v>
      </c>
      <c r="U463" s="100">
        <f t="shared" si="80"/>
        <v>0</v>
      </c>
      <c r="V463" s="100">
        <f t="shared" si="80"/>
        <v>0</v>
      </c>
      <c r="W463" s="100">
        <f t="shared" si="80"/>
        <v>0</v>
      </c>
      <c r="X463" s="100">
        <f t="shared" si="80"/>
        <v>0</v>
      </c>
      <c r="Y463" s="100">
        <f t="shared" si="80"/>
        <v>0</v>
      </c>
      <c r="Z463" s="100">
        <f t="shared" si="80"/>
        <v>0</v>
      </c>
      <c r="AA463" s="100">
        <f t="shared" si="80"/>
        <v>0</v>
      </c>
      <c r="AB463" s="100">
        <f t="shared" si="80"/>
        <v>0</v>
      </c>
      <c r="AC463" s="100">
        <f t="shared" si="80"/>
        <v>0</v>
      </c>
      <c r="AD463" s="100">
        <f t="shared" si="80"/>
        <v>0</v>
      </c>
      <c r="AE463" s="100">
        <f t="shared" si="80"/>
        <v>0</v>
      </c>
      <c r="AF463" s="100">
        <f t="shared" si="80"/>
        <v>0</v>
      </c>
      <c r="AG463" s="100">
        <f t="shared" si="80"/>
        <v>0</v>
      </c>
      <c r="AH463" s="100">
        <f t="shared" si="80"/>
        <v>0</v>
      </c>
    </row>
    <row r="464" spans="1:34" ht="5.0999999999999996" customHeight="1">
      <c r="A464" s="49"/>
      <c r="B464" s="49"/>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row>
    <row r="465" spans="1:34" ht="15">
      <c r="A465" s="3854" t="s">
        <v>134</v>
      </c>
      <c r="B465" s="3855"/>
      <c r="C465" s="3856"/>
      <c r="D465" s="14"/>
      <c r="E465" s="14"/>
      <c r="F465" s="14"/>
      <c r="G465" s="14"/>
      <c r="H465" s="14"/>
      <c r="I465" s="14"/>
      <c r="J465" s="14"/>
      <c r="K465" s="14"/>
      <c r="L465" s="14"/>
      <c r="M465" s="98"/>
      <c r="N465" s="14"/>
      <c r="O465" s="14"/>
      <c r="P465" s="14"/>
      <c r="Q465" s="14"/>
      <c r="R465" s="14"/>
      <c r="S465" s="14"/>
      <c r="T465" s="14"/>
      <c r="U465" s="14"/>
      <c r="V465" s="14"/>
      <c r="W465" s="14"/>
      <c r="X465" s="14"/>
      <c r="Y465" s="14"/>
      <c r="Z465" s="14"/>
      <c r="AA465" s="14"/>
      <c r="AB465" s="14"/>
      <c r="AC465" s="14"/>
      <c r="AD465" s="14"/>
      <c r="AE465" s="14"/>
      <c r="AF465" s="14"/>
      <c r="AG465" s="14"/>
      <c r="AH465" s="1"/>
    </row>
    <row r="466" spans="1:34" ht="15">
      <c r="A466" s="8" t="s">
        <v>142</v>
      </c>
      <c r="B466" s="8" t="s">
        <v>143</v>
      </c>
      <c r="C466" s="372">
        <v>1</v>
      </c>
      <c r="D466" s="73">
        <v>2</v>
      </c>
      <c r="E466" s="73">
        <v>3</v>
      </c>
      <c r="F466" s="73">
        <v>4</v>
      </c>
      <c r="G466" s="73">
        <v>5</v>
      </c>
      <c r="H466" s="73">
        <v>6</v>
      </c>
      <c r="I466" s="73">
        <v>7</v>
      </c>
      <c r="J466" s="73">
        <v>8</v>
      </c>
      <c r="K466" s="73">
        <v>9</v>
      </c>
      <c r="L466" s="73">
        <v>10</v>
      </c>
      <c r="M466" s="73">
        <v>11</v>
      </c>
      <c r="N466" s="73">
        <v>12</v>
      </c>
      <c r="O466" s="73">
        <v>13</v>
      </c>
      <c r="P466" s="73">
        <v>14</v>
      </c>
      <c r="Q466" s="73">
        <v>15</v>
      </c>
      <c r="R466" s="73">
        <v>16</v>
      </c>
      <c r="S466" s="73">
        <v>17</v>
      </c>
      <c r="T466" s="73">
        <v>18</v>
      </c>
      <c r="U466" s="73">
        <v>19</v>
      </c>
      <c r="V466" s="73">
        <v>20</v>
      </c>
      <c r="W466" s="73">
        <v>21</v>
      </c>
      <c r="X466" s="73">
        <v>22</v>
      </c>
      <c r="Y466" s="73">
        <v>23</v>
      </c>
      <c r="Z466" s="73">
        <v>24</v>
      </c>
      <c r="AA466" s="73">
        <v>25</v>
      </c>
      <c r="AB466" s="73">
        <v>26</v>
      </c>
      <c r="AC466" s="73">
        <v>27</v>
      </c>
      <c r="AD466" s="73">
        <v>28</v>
      </c>
      <c r="AE466" s="73">
        <v>29</v>
      </c>
      <c r="AF466" s="73">
        <v>30</v>
      </c>
      <c r="AG466" s="73">
        <v>31</v>
      </c>
      <c r="AH466" s="87" t="s">
        <v>144</v>
      </c>
    </row>
    <row r="467" spans="1:34" ht="15">
      <c r="A467" s="363" t="s">
        <v>145</v>
      </c>
      <c r="B467" s="162">
        <f>0.05</f>
        <v>0.05</v>
      </c>
      <c r="C467" s="99"/>
      <c r="D467" s="99"/>
      <c r="E467" s="99"/>
      <c r="F467" s="99"/>
      <c r="G467" s="99"/>
      <c r="H467" s="99"/>
      <c r="I467" s="99"/>
      <c r="J467" s="99"/>
      <c r="K467" s="99"/>
      <c r="L467" s="99"/>
      <c r="M467" s="99"/>
      <c r="N467" s="99"/>
      <c r="O467" s="99"/>
      <c r="P467" s="99"/>
      <c r="Q467" s="99"/>
      <c r="R467" s="99"/>
      <c r="S467" s="99"/>
      <c r="T467" s="99"/>
      <c r="U467" s="99"/>
      <c r="V467" s="99"/>
      <c r="X467" s="99"/>
      <c r="Y467" s="99"/>
      <c r="Z467" s="99"/>
      <c r="AA467" s="99"/>
      <c r="AB467" s="99"/>
      <c r="AC467" s="99"/>
      <c r="AD467" s="99"/>
      <c r="AE467" s="99"/>
      <c r="AF467" s="99"/>
      <c r="AG467" s="99"/>
      <c r="AH467" s="100">
        <f>SUM(C467:AG467)</f>
        <v>0</v>
      </c>
    </row>
    <row r="468" spans="1:34" ht="15">
      <c r="A468" s="363" t="s">
        <v>146</v>
      </c>
      <c r="B468" s="162">
        <v>32.56</v>
      </c>
      <c r="C468" s="116"/>
      <c r="D468" s="99"/>
      <c r="E468" s="99"/>
      <c r="F468" s="99"/>
      <c r="G468" s="99"/>
      <c r="H468" s="99"/>
      <c r="I468" s="99"/>
      <c r="J468" s="99"/>
      <c r="K468" s="99"/>
      <c r="L468" s="99"/>
      <c r="M468" s="99"/>
      <c r="N468" s="99"/>
      <c r="O468" s="99"/>
      <c r="P468" s="99"/>
      <c r="Q468" s="99"/>
      <c r="R468" s="99"/>
      <c r="S468" s="99"/>
      <c r="T468" s="99"/>
      <c r="U468" s="99"/>
      <c r="V468" s="99"/>
      <c r="W468" s="99"/>
      <c r="X468" s="99"/>
      <c r="Y468" s="99"/>
      <c r="Z468" s="99"/>
      <c r="AA468" s="99"/>
      <c r="AB468" s="99"/>
      <c r="AC468" s="99"/>
      <c r="AD468" s="99"/>
      <c r="AE468" s="99"/>
      <c r="AF468" s="99"/>
      <c r="AG468" s="99"/>
      <c r="AH468" s="100">
        <f t="shared" ref="AH468:AH478" si="81">SUM(C468:AG468)</f>
        <v>0</v>
      </c>
    </row>
    <row r="469" spans="1:34" ht="15">
      <c r="A469" s="363" t="s">
        <v>147</v>
      </c>
      <c r="B469" s="162">
        <f>40.5+18.913+0.6+7.474</f>
        <v>67.486999999999995</v>
      </c>
      <c r="C469" s="116"/>
      <c r="D469" s="99"/>
      <c r="E469" s="99"/>
      <c r="F469" s="99"/>
      <c r="G469" s="99"/>
      <c r="H469" s="99"/>
      <c r="I469" s="99"/>
      <c r="J469" s="99"/>
      <c r="K469" s="99"/>
      <c r="L469" s="99"/>
      <c r="M469" s="99"/>
      <c r="N469" s="99"/>
      <c r="O469" s="99"/>
      <c r="P469" s="99"/>
      <c r="Q469" s="99"/>
      <c r="R469" s="99"/>
      <c r="S469" s="99"/>
      <c r="T469" s="99"/>
      <c r="U469" s="99"/>
      <c r="V469" s="99"/>
      <c r="W469" s="99"/>
      <c r="X469" s="99"/>
      <c r="Y469" s="99"/>
      <c r="Z469" s="99"/>
      <c r="AA469" s="99"/>
      <c r="AB469" s="99"/>
      <c r="AC469" s="99"/>
      <c r="AD469" s="99"/>
      <c r="AE469" s="99"/>
      <c r="AF469" s="99"/>
      <c r="AG469" s="99"/>
      <c r="AH469" s="100">
        <f t="shared" si="81"/>
        <v>0</v>
      </c>
    </row>
    <row r="470" spans="1:34" ht="15">
      <c r="A470" s="363" t="s">
        <v>148</v>
      </c>
      <c r="B470" s="162">
        <f>2.548+61.592+24.276+2.744</f>
        <v>91.16</v>
      </c>
      <c r="C470" s="116"/>
      <c r="D470" s="99"/>
      <c r="E470" s="99"/>
      <c r="F470" s="99"/>
      <c r="G470" s="99"/>
      <c r="H470" s="99"/>
      <c r="I470" s="99"/>
      <c r="J470" s="99"/>
      <c r="K470" s="99"/>
      <c r="L470" s="99"/>
      <c r="M470" s="99"/>
      <c r="N470" s="99"/>
      <c r="O470" s="99"/>
      <c r="P470" s="99"/>
      <c r="Q470" s="99"/>
      <c r="R470" s="99"/>
      <c r="S470" s="99"/>
      <c r="T470" s="99"/>
      <c r="U470" s="99"/>
      <c r="V470" s="99"/>
      <c r="W470" s="99"/>
      <c r="X470" s="99"/>
      <c r="Y470" s="99"/>
      <c r="Z470" s="99"/>
      <c r="AA470" s="99"/>
      <c r="AB470" s="99"/>
      <c r="AC470" s="99"/>
      <c r="AD470" s="99"/>
      <c r="AE470" s="99"/>
      <c r="AF470" s="99"/>
      <c r="AG470" s="99"/>
      <c r="AH470" s="100">
        <f t="shared" si="81"/>
        <v>0</v>
      </c>
    </row>
    <row r="471" spans="1:34" ht="15">
      <c r="A471" s="363" t="s">
        <v>149</v>
      </c>
      <c r="B471" s="162">
        <f t="shared" ref="B471:B478" si="82">+AH471</f>
        <v>0</v>
      </c>
      <c r="C471" s="116"/>
      <c r="D471" s="99"/>
      <c r="E471" s="99"/>
      <c r="F471" s="99"/>
      <c r="G471" s="99"/>
      <c r="H471" s="99"/>
      <c r="I471" s="99"/>
      <c r="J471" s="99"/>
      <c r="K471" s="99"/>
      <c r="L471" s="99"/>
      <c r="M471" s="99"/>
      <c r="N471" s="99"/>
      <c r="O471" s="99"/>
      <c r="P471" s="99"/>
      <c r="Q471" s="99"/>
      <c r="R471" s="99"/>
      <c r="S471" s="99"/>
      <c r="T471" s="99"/>
      <c r="U471" s="99"/>
      <c r="V471" s="99"/>
      <c r="W471" s="99"/>
      <c r="X471" s="99"/>
      <c r="Y471" s="99"/>
      <c r="Z471" s="99"/>
      <c r="AA471" s="99"/>
      <c r="AB471" s="99"/>
      <c r="AC471" s="99"/>
      <c r="AD471" s="99"/>
      <c r="AE471" s="99"/>
      <c r="AF471" s="99"/>
      <c r="AG471" s="99"/>
      <c r="AH471" s="100">
        <f t="shared" si="81"/>
        <v>0</v>
      </c>
    </row>
    <row r="472" spans="1:34" ht="15">
      <c r="A472" s="363" t="s">
        <v>150</v>
      </c>
      <c r="B472" s="162">
        <f t="shared" si="82"/>
        <v>0</v>
      </c>
      <c r="C472" s="116"/>
      <c r="D472" s="99"/>
      <c r="E472" s="99"/>
      <c r="F472" s="99"/>
      <c r="G472" s="99"/>
      <c r="H472" s="99"/>
      <c r="I472" s="99"/>
      <c r="J472" s="99"/>
      <c r="K472" s="99"/>
      <c r="L472" s="99"/>
      <c r="M472" s="99"/>
      <c r="N472" s="99"/>
      <c r="O472" s="99"/>
      <c r="P472" s="99"/>
      <c r="Q472" s="99"/>
      <c r="R472" s="99"/>
      <c r="S472" s="99"/>
      <c r="T472" s="99"/>
      <c r="U472" s="99"/>
      <c r="V472" s="99"/>
      <c r="W472" s="99"/>
      <c r="X472" s="99"/>
      <c r="Y472" s="99"/>
      <c r="Z472" s="99"/>
      <c r="AA472" s="99"/>
      <c r="AB472" s="99"/>
      <c r="AC472" s="99"/>
      <c r="AD472" s="99"/>
      <c r="AE472" s="99"/>
      <c r="AF472" s="99"/>
      <c r="AG472" s="99"/>
      <c r="AH472" s="100">
        <f t="shared" si="81"/>
        <v>0</v>
      </c>
    </row>
    <row r="473" spans="1:34" ht="15">
      <c r="A473" s="73" t="s">
        <v>151</v>
      </c>
      <c r="B473" s="162">
        <f t="shared" si="82"/>
        <v>0</v>
      </c>
      <c r="C473" s="116"/>
      <c r="D473" s="99"/>
      <c r="E473" s="99"/>
      <c r="F473" s="99"/>
      <c r="G473" s="99"/>
      <c r="H473" s="99"/>
      <c r="I473" s="99"/>
      <c r="J473" s="99"/>
      <c r="K473" s="99"/>
      <c r="L473" s="99"/>
      <c r="M473" s="99"/>
      <c r="N473" s="99"/>
      <c r="O473" s="99"/>
      <c r="P473" s="99"/>
      <c r="Q473" s="99"/>
      <c r="R473" s="99"/>
      <c r="S473" s="99"/>
      <c r="T473" s="99"/>
      <c r="U473" s="99"/>
      <c r="V473" s="99"/>
      <c r="W473" s="99"/>
      <c r="X473" s="99"/>
      <c r="Y473" s="99"/>
      <c r="Z473" s="99"/>
      <c r="AA473" s="99"/>
      <c r="AB473" s="99"/>
      <c r="AC473" s="99"/>
      <c r="AD473" s="99"/>
      <c r="AE473" s="99"/>
      <c r="AF473" s="99"/>
      <c r="AG473" s="99"/>
      <c r="AH473" s="100">
        <f t="shared" si="81"/>
        <v>0</v>
      </c>
    </row>
    <row r="474" spans="1:34" ht="15">
      <c r="A474" s="73" t="s">
        <v>152</v>
      </c>
      <c r="B474" s="162">
        <f t="shared" si="82"/>
        <v>0</v>
      </c>
      <c r="C474" s="116"/>
      <c r="D474" s="99"/>
      <c r="E474" s="99"/>
      <c r="F474" s="99"/>
      <c r="G474" s="99"/>
      <c r="H474" s="99"/>
      <c r="I474" s="99"/>
      <c r="J474" s="99"/>
      <c r="K474" s="99"/>
      <c r="L474" s="99"/>
      <c r="M474" s="99"/>
      <c r="N474" s="99"/>
      <c r="O474" s="99"/>
      <c r="P474" s="99"/>
      <c r="Q474" s="53"/>
      <c r="R474" s="53"/>
      <c r="S474" s="53"/>
      <c r="T474" s="53"/>
      <c r="U474" s="53"/>
      <c r="V474" s="53"/>
      <c r="W474" s="53"/>
      <c r="X474" s="53"/>
      <c r="Y474" s="53"/>
      <c r="Z474" s="53"/>
      <c r="AA474" s="53"/>
      <c r="AB474" s="53"/>
      <c r="AC474" s="53"/>
      <c r="AD474" s="53"/>
      <c r="AE474" s="53"/>
      <c r="AF474" s="53"/>
      <c r="AG474" s="53"/>
      <c r="AH474" s="100">
        <f t="shared" si="81"/>
        <v>0</v>
      </c>
    </row>
    <row r="475" spans="1:34" ht="15">
      <c r="A475" s="73" t="s">
        <v>153</v>
      </c>
      <c r="B475" s="162">
        <f t="shared" si="82"/>
        <v>0</v>
      </c>
      <c r="C475" s="188" t="s">
        <v>162</v>
      </c>
      <c r="D475" s="188" t="s">
        <v>162</v>
      </c>
      <c r="E475" s="188" t="s">
        <v>162</v>
      </c>
      <c r="F475" s="188" t="s">
        <v>162</v>
      </c>
      <c r="G475" s="188" t="s">
        <v>162</v>
      </c>
      <c r="H475" s="188" t="s">
        <v>162</v>
      </c>
      <c r="I475" s="188" t="s">
        <v>162</v>
      </c>
      <c r="J475" s="188" t="s">
        <v>162</v>
      </c>
      <c r="K475" s="188" t="s">
        <v>162</v>
      </c>
      <c r="L475" s="188" t="s">
        <v>162</v>
      </c>
      <c r="M475" s="188" t="s">
        <v>162</v>
      </c>
      <c r="N475" s="188" t="s">
        <v>162</v>
      </c>
      <c r="O475" s="188" t="s">
        <v>162</v>
      </c>
      <c r="P475" s="188" t="s">
        <v>162</v>
      </c>
      <c r="Q475" s="188" t="s">
        <v>162</v>
      </c>
      <c r="R475" s="188" t="s">
        <v>162</v>
      </c>
      <c r="S475" s="188" t="s">
        <v>162</v>
      </c>
      <c r="T475" s="188" t="s">
        <v>162</v>
      </c>
      <c r="U475" s="188" t="s">
        <v>162</v>
      </c>
      <c r="V475" s="188" t="s">
        <v>162</v>
      </c>
      <c r="W475" s="188" t="s">
        <v>162</v>
      </c>
      <c r="X475" s="188" t="s">
        <v>162</v>
      </c>
      <c r="Y475" s="188" t="s">
        <v>162</v>
      </c>
      <c r="Z475" s="188" t="s">
        <v>162</v>
      </c>
      <c r="AA475" s="188" t="s">
        <v>162</v>
      </c>
      <c r="AB475" s="188" t="s">
        <v>162</v>
      </c>
      <c r="AC475" s="188" t="s">
        <v>162</v>
      </c>
      <c r="AD475" s="188" t="s">
        <v>162</v>
      </c>
      <c r="AE475" s="188" t="s">
        <v>162</v>
      </c>
      <c r="AF475" s="188" t="s">
        <v>162</v>
      </c>
      <c r="AG475" s="188" t="s">
        <v>162</v>
      </c>
      <c r="AH475" s="100">
        <f t="shared" si="81"/>
        <v>0</v>
      </c>
    </row>
    <row r="476" spans="1:34" ht="15">
      <c r="A476" s="73" t="s">
        <v>154</v>
      </c>
      <c r="B476" s="162">
        <f t="shared" si="82"/>
        <v>0</v>
      </c>
      <c r="C476" s="116"/>
      <c r="D476" s="99"/>
      <c r="E476" s="99"/>
      <c r="F476" s="99"/>
      <c r="G476" s="99"/>
      <c r="H476" s="99"/>
      <c r="I476" s="99"/>
      <c r="J476" s="99"/>
      <c r="K476" s="99"/>
      <c r="L476" s="99"/>
      <c r="M476" s="99"/>
      <c r="N476" s="99"/>
      <c r="O476" s="99"/>
      <c r="P476" s="99"/>
      <c r="Q476" s="99"/>
      <c r="R476" s="99"/>
      <c r="S476" s="99"/>
      <c r="T476" s="99"/>
      <c r="U476" s="99"/>
      <c r="V476" s="99"/>
      <c r="W476" s="99"/>
      <c r="X476" s="99"/>
      <c r="Y476" s="99"/>
      <c r="Z476" s="99"/>
      <c r="AA476" s="99"/>
      <c r="AB476" s="99"/>
      <c r="AC476" s="99"/>
      <c r="AD476" s="99"/>
      <c r="AE476" s="99"/>
      <c r="AF476" s="99"/>
      <c r="AG476" s="99"/>
      <c r="AH476" s="100">
        <f t="shared" si="81"/>
        <v>0</v>
      </c>
    </row>
    <row r="477" spans="1:34" ht="15">
      <c r="A477" s="73" t="s">
        <v>155</v>
      </c>
      <c r="B477" s="162">
        <f t="shared" si="82"/>
        <v>0</v>
      </c>
      <c r="C477" s="116"/>
      <c r="D477" s="99"/>
      <c r="E477" s="99"/>
      <c r="F477" s="99"/>
      <c r="G477" s="99"/>
      <c r="H477" s="99"/>
      <c r="I477" s="99"/>
      <c r="J477" s="99"/>
      <c r="K477" s="99"/>
      <c r="L477" s="99"/>
      <c r="M477" s="99"/>
      <c r="N477" s="99"/>
      <c r="O477" s="99"/>
      <c r="P477" s="99"/>
      <c r="Q477" s="99"/>
      <c r="R477" s="99"/>
      <c r="S477" s="99"/>
      <c r="T477" s="99"/>
      <c r="U477" s="99"/>
      <c r="V477" s="99"/>
      <c r="W477" s="99"/>
      <c r="X477" s="99"/>
      <c r="Y477" s="99"/>
      <c r="Z477" s="99"/>
      <c r="AA477" s="99"/>
      <c r="AB477" s="99"/>
      <c r="AC477" s="99"/>
      <c r="AD477" s="99"/>
      <c r="AE477" s="99"/>
      <c r="AF477" s="99"/>
      <c r="AG477" s="99"/>
      <c r="AH477" s="100">
        <f t="shared" si="81"/>
        <v>0</v>
      </c>
    </row>
    <row r="478" spans="1:34" ht="15">
      <c r="A478" s="73" t="s">
        <v>156</v>
      </c>
      <c r="B478" s="162">
        <f t="shared" si="82"/>
        <v>0</v>
      </c>
      <c r="C478" s="116"/>
      <c r="D478" s="99"/>
      <c r="E478" s="99"/>
      <c r="F478" s="99"/>
      <c r="G478" s="99"/>
      <c r="H478" s="99"/>
      <c r="I478" s="99"/>
      <c r="J478" s="99"/>
      <c r="K478" s="99"/>
      <c r="L478" s="99"/>
      <c r="M478" s="99"/>
      <c r="N478" s="99"/>
      <c r="O478" s="99"/>
      <c r="P478" s="99"/>
      <c r="Q478" s="99"/>
      <c r="R478" s="99"/>
      <c r="S478" s="99"/>
      <c r="T478" s="99"/>
      <c r="U478" s="99"/>
      <c r="V478" s="99"/>
      <c r="W478" s="99"/>
      <c r="X478" s="99"/>
      <c r="Y478" s="99"/>
      <c r="Z478" s="99"/>
      <c r="AA478" s="99"/>
      <c r="AB478" s="99"/>
      <c r="AC478" s="99"/>
      <c r="AD478" s="99"/>
      <c r="AE478" s="99"/>
      <c r="AF478" s="99"/>
      <c r="AG478" s="99"/>
      <c r="AH478" s="100">
        <f t="shared" si="81"/>
        <v>0</v>
      </c>
    </row>
    <row r="479" spans="1:34" ht="15">
      <c r="A479" s="200" t="s">
        <v>111</v>
      </c>
      <c r="B479" s="232">
        <f t="shared" ref="B479:AH479" si="83">SUM(B467:B478)</f>
        <v>191.25700000000001</v>
      </c>
      <c r="C479" s="100">
        <f>SUM(C467:C478)</f>
        <v>0</v>
      </c>
      <c r="D479" s="100">
        <f t="shared" si="83"/>
        <v>0</v>
      </c>
      <c r="E479" s="100">
        <f t="shared" si="83"/>
        <v>0</v>
      </c>
      <c r="F479" s="100">
        <f t="shared" si="83"/>
        <v>0</v>
      </c>
      <c r="G479" s="100">
        <f t="shared" si="83"/>
        <v>0</v>
      </c>
      <c r="H479" s="100">
        <f t="shared" si="83"/>
        <v>0</v>
      </c>
      <c r="I479" s="100">
        <f t="shared" si="83"/>
        <v>0</v>
      </c>
      <c r="J479" s="100">
        <f t="shared" si="83"/>
        <v>0</v>
      </c>
      <c r="K479" s="100">
        <f t="shared" si="83"/>
        <v>0</v>
      </c>
      <c r="L479" s="100">
        <f t="shared" si="83"/>
        <v>0</v>
      </c>
      <c r="M479" s="100">
        <f t="shared" si="83"/>
        <v>0</v>
      </c>
      <c r="N479" s="100">
        <f t="shared" si="83"/>
        <v>0</v>
      </c>
      <c r="O479" s="100">
        <f t="shared" si="83"/>
        <v>0</v>
      </c>
      <c r="P479" s="100">
        <f t="shared" si="83"/>
        <v>0</v>
      </c>
      <c r="Q479" s="100">
        <f t="shared" si="83"/>
        <v>0</v>
      </c>
      <c r="R479" s="100">
        <f t="shared" si="83"/>
        <v>0</v>
      </c>
      <c r="S479" s="100">
        <f t="shared" si="83"/>
        <v>0</v>
      </c>
      <c r="T479" s="100">
        <f t="shared" si="83"/>
        <v>0</v>
      </c>
      <c r="U479" s="100">
        <f t="shared" si="83"/>
        <v>0</v>
      </c>
      <c r="V479" s="100">
        <f t="shared" si="83"/>
        <v>0</v>
      </c>
      <c r="W479" s="100">
        <f t="shared" si="83"/>
        <v>0</v>
      </c>
      <c r="X479" s="100">
        <f t="shared" si="83"/>
        <v>0</v>
      </c>
      <c r="Y479" s="100">
        <f t="shared" si="83"/>
        <v>0</v>
      </c>
      <c r="Z479" s="100">
        <f t="shared" si="83"/>
        <v>0</v>
      </c>
      <c r="AA479" s="100">
        <f t="shared" si="83"/>
        <v>0</v>
      </c>
      <c r="AB479" s="100">
        <f t="shared" si="83"/>
        <v>0</v>
      </c>
      <c r="AC479" s="100">
        <f t="shared" si="83"/>
        <v>0</v>
      </c>
      <c r="AD479" s="100">
        <f t="shared" si="83"/>
        <v>0</v>
      </c>
      <c r="AE479" s="100">
        <f t="shared" si="83"/>
        <v>0</v>
      </c>
      <c r="AF479" s="100">
        <f t="shared" si="83"/>
        <v>0</v>
      </c>
      <c r="AG479" s="100">
        <f t="shared" si="83"/>
        <v>0</v>
      </c>
      <c r="AH479" s="100">
        <f t="shared" si="83"/>
        <v>0</v>
      </c>
    </row>
    <row r="480" spans="1:34" ht="15">
      <c r="A480" s="49"/>
      <c r="B480" s="49"/>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row>
    <row r="481" spans="1:34" ht="15">
      <c r="A481" s="3873" t="s">
        <v>487</v>
      </c>
      <c r="B481" s="3874"/>
      <c r="C481" s="3874"/>
      <c r="D481" s="3874"/>
      <c r="E481" s="3874"/>
      <c r="F481" s="3874"/>
      <c r="G481" s="3874"/>
      <c r="H481" s="3874"/>
      <c r="I481" s="3874"/>
      <c r="J481" s="3874"/>
      <c r="K481" s="3874"/>
      <c r="L481" s="3874"/>
      <c r="M481" s="3874"/>
      <c r="N481" s="3874"/>
      <c r="O481" s="3874"/>
      <c r="P481" s="3874"/>
      <c r="Q481" s="3874"/>
      <c r="R481" s="3875"/>
      <c r="S481" s="1"/>
      <c r="T481" s="1"/>
      <c r="U481" s="1"/>
      <c r="V481" s="1"/>
      <c r="W481" s="1"/>
      <c r="X481" s="1"/>
      <c r="Y481" s="1"/>
      <c r="Z481" s="1"/>
      <c r="AA481" s="1"/>
      <c r="AB481" s="1"/>
      <c r="AC481" s="1"/>
      <c r="AD481" s="1"/>
      <c r="AE481" s="1"/>
      <c r="AF481" s="1"/>
      <c r="AG481" s="1"/>
      <c r="AH481" s="1"/>
    </row>
    <row r="482" spans="1:34" ht="15">
      <c r="A482" s="3854" t="s">
        <v>159</v>
      </c>
      <c r="B482" s="3855"/>
      <c r="C482" s="3856"/>
      <c r="D482" s="14"/>
      <c r="E482" s="14"/>
      <c r="F482" s="14"/>
      <c r="G482" s="14"/>
      <c r="H482" s="14"/>
      <c r="I482" s="14"/>
      <c r="J482" s="14"/>
      <c r="K482" s="14"/>
      <c r="L482" s="14"/>
      <c r="M482" s="98"/>
      <c r="N482" s="14"/>
      <c r="O482" s="14"/>
      <c r="P482" s="14"/>
      <c r="Q482" s="14"/>
      <c r="R482" s="14"/>
      <c r="S482" s="14"/>
      <c r="T482" s="14"/>
      <c r="U482" s="14"/>
      <c r="V482" s="14"/>
      <c r="W482" s="14"/>
      <c r="X482" s="14"/>
      <c r="Y482" s="14"/>
      <c r="Z482" s="14"/>
      <c r="AA482" s="14"/>
      <c r="AB482" s="14"/>
      <c r="AC482" s="14"/>
      <c r="AD482" s="14"/>
      <c r="AE482" s="14"/>
      <c r="AF482" s="14"/>
      <c r="AG482" s="14"/>
      <c r="AH482" s="1"/>
    </row>
    <row r="483" spans="1:34" ht="15">
      <c r="A483" s="8" t="s">
        <v>142</v>
      </c>
      <c r="B483" s="8" t="s">
        <v>143</v>
      </c>
      <c r="C483" s="73">
        <v>1</v>
      </c>
      <c r="D483" s="73">
        <v>2</v>
      </c>
      <c r="E483" s="73">
        <v>3</v>
      </c>
      <c r="F483" s="73">
        <v>4</v>
      </c>
      <c r="G483" s="73">
        <v>5</v>
      </c>
      <c r="H483" s="73">
        <v>6</v>
      </c>
      <c r="I483" s="73">
        <v>7</v>
      </c>
      <c r="J483" s="73">
        <v>8</v>
      </c>
      <c r="K483" s="73">
        <v>9</v>
      </c>
      <c r="L483" s="73">
        <v>10</v>
      </c>
      <c r="M483" s="73">
        <v>11</v>
      </c>
      <c r="N483" s="73">
        <v>12</v>
      </c>
      <c r="O483" s="73">
        <v>13</v>
      </c>
      <c r="P483" s="73">
        <v>14</v>
      </c>
      <c r="Q483" s="73">
        <v>15</v>
      </c>
      <c r="R483" s="73">
        <v>16</v>
      </c>
      <c r="S483" s="73">
        <v>17</v>
      </c>
      <c r="T483" s="73">
        <v>18</v>
      </c>
      <c r="U483" s="73">
        <v>19</v>
      </c>
      <c r="V483" s="73">
        <v>20</v>
      </c>
      <c r="W483" s="73">
        <v>21</v>
      </c>
      <c r="X483" s="73">
        <v>22</v>
      </c>
      <c r="Y483" s="73">
        <v>23</v>
      </c>
      <c r="Z483" s="73">
        <v>24</v>
      </c>
      <c r="AA483" s="73">
        <v>25</v>
      </c>
      <c r="AB483" s="73">
        <v>26</v>
      </c>
      <c r="AC483" s="73">
        <v>27</v>
      </c>
      <c r="AD483" s="73">
        <v>28</v>
      </c>
      <c r="AE483" s="73">
        <v>29</v>
      </c>
      <c r="AF483" s="73">
        <v>30</v>
      </c>
      <c r="AG483" s="73">
        <v>31</v>
      </c>
      <c r="AH483" s="87" t="s">
        <v>144</v>
      </c>
    </row>
    <row r="484" spans="1:34" ht="15">
      <c r="A484" s="363" t="s">
        <v>145</v>
      </c>
      <c r="B484" s="53">
        <f t="shared" ref="B484:B495" si="84">+AH484</f>
        <v>0</v>
      </c>
      <c r="C484" s="116"/>
      <c r="D484" s="99"/>
      <c r="E484" s="99"/>
      <c r="F484" s="99"/>
      <c r="G484" s="99"/>
      <c r="H484" s="99"/>
      <c r="I484" s="99"/>
      <c r="J484" s="99"/>
      <c r="K484" s="99"/>
      <c r="L484" s="99"/>
      <c r="M484" s="99"/>
      <c r="N484" s="99"/>
      <c r="O484" s="99"/>
      <c r="P484" s="99"/>
      <c r="Q484" s="99"/>
      <c r="R484" s="99"/>
      <c r="S484" s="99"/>
      <c r="T484" s="99"/>
      <c r="U484" s="99"/>
      <c r="V484" s="99"/>
      <c r="W484" s="99"/>
      <c r="X484" s="99"/>
      <c r="Y484" s="99"/>
      <c r="Z484" s="99"/>
      <c r="AA484" s="99"/>
      <c r="AB484" s="99"/>
      <c r="AC484" s="99"/>
      <c r="AD484" s="99"/>
      <c r="AE484" s="99"/>
      <c r="AF484" s="99"/>
      <c r="AG484" s="99"/>
      <c r="AH484" s="100">
        <f>SUM(C484:AG484)</f>
        <v>0</v>
      </c>
    </row>
    <row r="485" spans="1:34" ht="15">
      <c r="A485" s="363" t="s">
        <v>146</v>
      </c>
      <c r="B485" s="53">
        <f t="shared" si="84"/>
        <v>0</v>
      </c>
      <c r="C485" s="116"/>
      <c r="D485" s="99"/>
      <c r="E485" s="99"/>
      <c r="F485" s="99"/>
      <c r="G485" s="99"/>
      <c r="H485" s="99"/>
      <c r="I485" s="99"/>
      <c r="J485" s="99"/>
      <c r="K485" s="99"/>
      <c r="L485" s="99"/>
      <c r="M485" s="99"/>
      <c r="N485" s="99"/>
      <c r="O485" s="99"/>
      <c r="P485" s="99"/>
      <c r="Q485" s="99"/>
      <c r="R485" s="99"/>
      <c r="S485" s="99"/>
      <c r="T485" s="99"/>
      <c r="U485" s="99"/>
      <c r="V485" s="99"/>
      <c r="W485" s="99"/>
      <c r="X485" s="99"/>
      <c r="Y485" s="99"/>
      <c r="Z485" s="99"/>
      <c r="AA485" s="99"/>
      <c r="AB485" s="99"/>
      <c r="AC485" s="99"/>
      <c r="AD485" s="99"/>
      <c r="AE485" s="99"/>
      <c r="AF485" s="99"/>
      <c r="AG485" s="99"/>
      <c r="AH485" s="100">
        <f t="shared" ref="AH485:AH495" si="85">SUM(C485:AG485)</f>
        <v>0</v>
      </c>
    </row>
    <row r="486" spans="1:34" ht="15">
      <c r="A486" s="363" t="s">
        <v>147</v>
      </c>
      <c r="B486" s="53">
        <f t="shared" si="84"/>
        <v>0</v>
      </c>
      <c r="C486" s="116"/>
      <c r="D486" s="99"/>
      <c r="E486" s="99"/>
      <c r="F486" s="99"/>
      <c r="G486" s="99"/>
      <c r="H486" s="99"/>
      <c r="I486" s="99"/>
      <c r="J486" s="99"/>
      <c r="K486" s="99"/>
      <c r="L486" s="99"/>
      <c r="M486" s="99"/>
      <c r="N486" s="99"/>
      <c r="O486" s="99"/>
      <c r="P486" s="99"/>
      <c r="Q486" s="99"/>
      <c r="R486" s="99"/>
      <c r="S486" s="99"/>
      <c r="T486" s="99"/>
      <c r="U486" s="99"/>
      <c r="V486" s="99"/>
      <c r="W486" s="99"/>
      <c r="X486" s="99"/>
      <c r="Y486" s="99"/>
      <c r="Z486" s="99"/>
      <c r="AA486" s="99"/>
      <c r="AB486" s="99"/>
      <c r="AC486" s="99"/>
      <c r="AD486" s="99"/>
      <c r="AE486" s="99"/>
      <c r="AF486" s="99"/>
      <c r="AG486" s="99"/>
      <c r="AH486" s="100">
        <f t="shared" si="85"/>
        <v>0</v>
      </c>
    </row>
    <row r="487" spans="1:34" ht="15">
      <c r="A487" s="363" t="s">
        <v>148</v>
      </c>
      <c r="B487" s="53">
        <f t="shared" si="84"/>
        <v>0</v>
      </c>
      <c r="C487" s="116"/>
      <c r="D487" s="99"/>
      <c r="E487" s="99"/>
      <c r="F487" s="99"/>
      <c r="G487" s="99"/>
      <c r="H487" s="99"/>
      <c r="I487" s="99"/>
      <c r="J487" s="99"/>
      <c r="K487" s="99"/>
      <c r="L487" s="99"/>
      <c r="M487" s="99"/>
      <c r="N487" s="99"/>
      <c r="O487" s="99"/>
      <c r="P487" s="99"/>
      <c r="Q487" s="99"/>
      <c r="R487" s="99"/>
      <c r="S487" s="99"/>
      <c r="T487" s="99"/>
      <c r="U487" s="99"/>
      <c r="V487" s="99"/>
      <c r="W487" s="99"/>
      <c r="X487" s="99"/>
      <c r="Y487" s="99"/>
      <c r="Z487" s="99"/>
      <c r="AA487" s="99"/>
      <c r="AB487" s="99"/>
      <c r="AC487" s="99"/>
      <c r="AD487" s="99"/>
      <c r="AE487" s="99"/>
      <c r="AF487" s="99"/>
      <c r="AG487" s="99"/>
      <c r="AH487" s="100">
        <f t="shared" si="85"/>
        <v>0</v>
      </c>
    </row>
    <row r="488" spans="1:34" ht="15">
      <c r="A488" s="363" t="s">
        <v>149</v>
      </c>
      <c r="B488" s="53">
        <f t="shared" si="84"/>
        <v>0</v>
      </c>
      <c r="C488" s="116"/>
      <c r="D488" s="99"/>
      <c r="E488" s="99"/>
      <c r="F488" s="99"/>
      <c r="G488" s="99"/>
      <c r="H488" s="99"/>
      <c r="I488" s="99"/>
      <c r="J488" s="99"/>
      <c r="K488" s="99"/>
      <c r="L488" s="99"/>
      <c r="M488" s="99"/>
      <c r="N488" s="99"/>
      <c r="O488" s="99"/>
      <c r="P488" s="99"/>
      <c r="Q488" s="99"/>
      <c r="R488" s="99"/>
      <c r="S488" s="99"/>
      <c r="T488" s="99"/>
      <c r="U488" s="99"/>
      <c r="V488" s="99"/>
      <c r="W488" s="99"/>
      <c r="X488" s="99"/>
      <c r="Y488" s="99"/>
      <c r="Z488" s="99"/>
      <c r="AA488" s="99"/>
      <c r="AB488" s="99"/>
      <c r="AC488" s="99"/>
      <c r="AD488" s="99"/>
      <c r="AE488" s="99"/>
      <c r="AF488" s="99"/>
      <c r="AG488" s="99"/>
      <c r="AH488" s="100">
        <f t="shared" si="85"/>
        <v>0</v>
      </c>
    </row>
    <row r="489" spans="1:34" ht="15">
      <c r="A489" s="363" t="s">
        <v>150</v>
      </c>
      <c r="B489" s="53">
        <f t="shared" si="84"/>
        <v>0</v>
      </c>
      <c r="C489" s="116"/>
      <c r="D489" s="99"/>
      <c r="E489" s="99"/>
      <c r="F489" s="99"/>
      <c r="G489" s="99"/>
      <c r="H489" s="99"/>
      <c r="I489" s="99"/>
      <c r="J489" s="99"/>
      <c r="K489" s="99"/>
      <c r="L489" s="99"/>
      <c r="M489" s="99"/>
      <c r="N489" s="99"/>
      <c r="O489" s="99"/>
      <c r="P489" s="99"/>
      <c r="Q489" s="99"/>
      <c r="R489" s="99"/>
      <c r="S489" s="99"/>
      <c r="T489" s="99"/>
      <c r="U489" s="99"/>
      <c r="V489" s="99"/>
      <c r="W489" s="99"/>
      <c r="X489" s="99"/>
      <c r="Y489" s="99"/>
      <c r="Z489" s="99"/>
      <c r="AA489" s="99"/>
      <c r="AB489" s="99"/>
      <c r="AC489" s="99"/>
      <c r="AD489" s="99"/>
      <c r="AE489" s="99"/>
      <c r="AF489" s="99"/>
      <c r="AG489" s="99"/>
      <c r="AH489" s="100">
        <f t="shared" si="85"/>
        <v>0</v>
      </c>
    </row>
    <row r="490" spans="1:34" ht="15">
      <c r="A490" s="73" t="s">
        <v>151</v>
      </c>
      <c r="B490" s="53">
        <f t="shared" si="84"/>
        <v>0</v>
      </c>
      <c r="C490" s="116"/>
      <c r="D490" s="99"/>
      <c r="E490" s="99"/>
      <c r="F490" s="99"/>
      <c r="G490" s="99"/>
      <c r="H490" s="99"/>
      <c r="I490" s="99"/>
      <c r="J490" s="99"/>
      <c r="K490" s="99"/>
      <c r="L490" s="99"/>
      <c r="M490" s="99"/>
      <c r="N490" s="99"/>
      <c r="O490" s="99"/>
      <c r="P490" s="99"/>
      <c r="Q490" s="99"/>
      <c r="R490" s="99"/>
      <c r="S490" s="99"/>
      <c r="T490" s="99"/>
      <c r="U490" s="99"/>
      <c r="V490" s="99"/>
      <c r="W490" s="99"/>
      <c r="X490" s="99"/>
      <c r="Y490" s="99"/>
      <c r="Z490" s="99"/>
      <c r="AA490" s="99"/>
      <c r="AB490" s="99"/>
      <c r="AC490" s="99"/>
      <c r="AD490" s="99"/>
      <c r="AE490" s="99"/>
      <c r="AF490" s="99"/>
      <c r="AG490" s="99"/>
      <c r="AH490" s="100">
        <f t="shared" si="85"/>
        <v>0</v>
      </c>
    </row>
    <row r="491" spans="1:34" ht="15">
      <c r="A491" s="73" t="s">
        <v>152</v>
      </c>
      <c r="B491" s="53">
        <f t="shared" si="84"/>
        <v>0</v>
      </c>
      <c r="C491" s="116"/>
      <c r="D491" s="99"/>
      <c r="E491" s="99"/>
      <c r="F491" s="99"/>
      <c r="G491" s="99"/>
      <c r="H491" s="99"/>
      <c r="I491" s="99"/>
      <c r="J491" s="99"/>
      <c r="K491" s="99"/>
      <c r="L491" s="99"/>
      <c r="M491" s="99"/>
      <c r="N491" s="99"/>
      <c r="O491" s="99"/>
      <c r="P491" s="99"/>
      <c r="Q491" s="53"/>
      <c r="R491" s="53"/>
      <c r="S491" s="53"/>
      <c r="T491" s="53"/>
      <c r="U491" s="53"/>
      <c r="V491" s="53"/>
      <c r="W491" s="53"/>
      <c r="X491" s="53"/>
      <c r="Y491" s="53"/>
      <c r="Z491" s="53"/>
      <c r="AA491" s="53"/>
      <c r="AB491" s="53"/>
      <c r="AC491" s="53"/>
      <c r="AD491" s="53"/>
      <c r="AE491" s="53"/>
      <c r="AF491" s="53"/>
      <c r="AG491" s="53"/>
      <c r="AH491" s="100">
        <f t="shared" si="85"/>
        <v>0</v>
      </c>
    </row>
    <row r="492" spans="1:34" ht="15">
      <c r="A492" s="73" t="s">
        <v>153</v>
      </c>
      <c r="B492" s="53">
        <f t="shared" si="84"/>
        <v>0</v>
      </c>
      <c r="C492" s="188" t="s">
        <v>162</v>
      </c>
      <c r="D492" s="188" t="s">
        <v>162</v>
      </c>
      <c r="E492" s="188" t="s">
        <v>162</v>
      </c>
      <c r="F492" s="188" t="s">
        <v>162</v>
      </c>
      <c r="G492" s="188" t="s">
        <v>162</v>
      </c>
      <c r="H492" s="188" t="s">
        <v>162</v>
      </c>
      <c r="I492" s="188" t="s">
        <v>162</v>
      </c>
      <c r="J492" s="188" t="s">
        <v>162</v>
      </c>
      <c r="K492" s="188" t="s">
        <v>162</v>
      </c>
      <c r="L492" s="188" t="s">
        <v>162</v>
      </c>
      <c r="M492" s="188" t="s">
        <v>162</v>
      </c>
      <c r="N492" s="188" t="s">
        <v>162</v>
      </c>
      <c r="O492" s="188" t="s">
        <v>162</v>
      </c>
      <c r="P492" s="188" t="s">
        <v>162</v>
      </c>
      <c r="Q492" s="188" t="s">
        <v>162</v>
      </c>
      <c r="R492" s="188" t="s">
        <v>162</v>
      </c>
      <c r="S492" s="188" t="s">
        <v>162</v>
      </c>
      <c r="T492" s="188" t="s">
        <v>162</v>
      </c>
      <c r="U492" s="188" t="s">
        <v>162</v>
      </c>
      <c r="V492" s="188" t="s">
        <v>162</v>
      </c>
      <c r="W492" s="188" t="s">
        <v>162</v>
      </c>
      <c r="X492" s="188" t="s">
        <v>162</v>
      </c>
      <c r="Y492" s="188" t="s">
        <v>162</v>
      </c>
      <c r="Z492" s="188" t="s">
        <v>162</v>
      </c>
      <c r="AA492" s="188" t="s">
        <v>162</v>
      </c>
      <c r="AB492" s="188" t="s">
        <v>162</v>
      </c>
      <c r="AC492" s="188" t="s">
        <v>162</v>
      </c>
      <c r="AD492" s="188" t="s">
        <v>162</v>
      </c>
      <c r="AE492" s="188" t="s">
        <v>162</v>
      </c>
      <c r="AF492" s="188" t="s">
        <v>162</v>
      </c>
      <c r="AG492" s="188" t="s">
        <v>162</v>
      </c>
      <c r="AH492" s="100">
        <f t="shared" si="85"/>
        <v>0</v>
      </c>
    </row>
    <row r="493" spans="1:34" ht="15">
      <c r="A493" s="73" t="s">
        <v>154</v>
      </c>
      <c r="B493" s="53">
        <f t="shared" si="84"/>
        <v>0</v>
      </c>
      <c r="C493" s="116"/>
      <c r="D493" s="99"/>
      <c r="E493" s="99"/>
      <c r="F493" s="99"/>
      <c r="G493" s="99"/>
      <c r="H493" s="99"/>
      <c r="I493" s="99"/>
      <c r="J493" s="99"/>
      <c r="K493" s="99"/>
      <c r="L493" s="99"/>
      <c r="M493" s="99"/>
      <c r="N493" s="99"/>
      <c r="O493" s="99"/>
      <c r="P493" s="99"/>
      <c r="Q493" s="99"/>
      <c r="R493" s="99"/>
      <c r="S493" s="99"/>
      <c r="T493" s="99"/>
      <c r="U493" s="99"/>
      <c r="V493" s="99"/>
      <c r="W493" s="99"/>
      <c r="X493" s="99"/>
      <c r="Y493" s="99"/>
      <c r="Z493" s="99"/>
      <c r="AA493" s="99"/>
      <c r="AB493" s="99"/>
      <c r="AC493" s="99"/>
      <c r="AD493" s="99"/>
      <c r="AE493" s="99"/>
      <c r="AF493" s="99"/>
      <c r="AG493" s="99"/>
      <c r="AH493" s="100">
        <f t="shared" si="85"/>
        <v>0</v>
      </c>
    </row>
    <row r="494" spans="1:34" ht="15">
      <c r="A494" s="73" t="s">
        <v>155</v>
      </c>
      <c r="B494" s="53">
        <f t="shared" si="84"/>
        <v>0</v>
      </c>
      <c r="C494" s="116"/>
      <c r="D494" s="99"/>
      <c r="E494" s="99"/>
      <c r="F494" s="99"/>
      <c r="G494" s="99"/>
      <c r="H494" s="99"/>
      <c r="I494" s="99"/>
      <c r="J494" s="99"/>
      <c r="K494" s="99"/>
      <c r="L494" s="99"/>
      <c r="M494" s="99"/>
      <c r="N494" s="99"/>
      <c r="O494" s="99"/>
      <c r="P494" s="99"/>
      <c r="Q494" s="99"/>
      <c r="R494" s="99"/>
      <c r="S494" s="99"/>
      <c r="T494" s="99"/>
      <c r="U494" s="99"/>
      <c r="V494" s="99"/>
      <c r="W494" s="99"/>
      <c r="X494" s="99"/>
      <c r="Y494" s="99"/>
      <c r="Z494" s="99"/>
      <c r="AA494" s="99"/>
      <c r="AB494" s="99"/>
      <c r="AC494" s="99"/>
      <c r="AD494" s="99"/>
      <c r="AE494" s="99"/>
      <c r="AF494" s="99"/>
      <c r="AG494" s="99"/>
      <c r="AH494" s="100">
        <f t="shared" si="85"/>
        <v>0</v>
      </c>
    </row>
    <row r="495" spans="1:34" ht="15">
      <c r="A495" s="73" t="s">
        <v>156</v>
      </c>
      <c r="B495" s="53">
        <f t="shared" si="84"/>
        <v>0</v>
      </c>
      <c r="C495" s="116"/>
      <c r="D495" s="99"/>
      <c r="E495" s="99"/>
      <c r="F495" s="99"/>
      <c r="G495" s="99"/>
      <c r="H495" s="99"/>
      <c r="I495" s="99"/>
      <c r="J495" s="99"/>
      <c r="K495" s="99"/>
      <c r="L495" s="99"/>
      <c r="M495" s="99"/>
      <c r="N495" s="99"/>
      <c r="O495" s="99"/>
      <c r="P495" s="99"/>
      <c r="Q495" s="99"/>
      <c r="R495" s="99"/>
      <c r="S495" s="99"/>
      <c r="T495" s="99"/>
      <c r="U495" s="99"/>
      <c r="V495" s="99"/>
      <c r="W495" s="99"/>
      <c r="X495" s="99"/>
      <c r="Y495" s="99"/>
      <c r="Z495" s="99"/>
      <c r="AA495" s="99"/>
      <c r="AB495" s="99"/>
      <c r="AC495" s="99"/>
      <c r="AD495" s="99"/>
      <c r="AE495" s="99"/>
      <c r="AF495" s="99"/>
      <c r="AG495" s="99"/>
      <c r="AH495" s="100">
        <f t="shared" si="85"/>
        <v>0</v>
      </c>
    </row>
    <row r="496" spans="1:34" ht="15">
      <c r="A496" s="200" t="s">
        <v>111</v>
      </c>
      <c r="B496" s="200">
        <f t="shared" ref="B496:AH496" si="86">SUM(B484:B495)</f>
        <v>0</v>
      </c>
      <c r="C496" s="100">
        <f t="shared" si="86"/>
        <v>0</v>
      </c>
      <c r="D496" s="100">
        <f t="shared" si="86"/>
        <v>0</v>
      </c>
      <c r="E496" s="100">
        <f t="shared" si="86"/>
        <v>0</v>
      </c>
      <c r="F496" s="100">
        <f t="shared" si="86"/>
        <v>0</v>
      </c>
      <c r="G496" s="100">
        <f t="shared" si="86"/>
        <v>0</v>
      </c>
      <c r="H496" s="100">
        <f t="shared" si="86"/>
        <v>0</v>
      </c>
      <c r="I496" s="100">
        <f t="shared" si="86"/>
        <v>0</v>
      </c>
      <c r="J496" s="100">
        <f t="shared" si="86"/>
        <v>0</v>
      </c>
      <c r="K496" s="100">
        <f t="shared" si="86"/>
        <v>0</v>
      </c>
      <c r="L496" s="100">
        <f t="shared" si="86"/>
        <v>0</v>
      </c>
      <c r="M496" s="100">
        <f t="shared" si="86"/>
        <v>0</v>
      </c>
      <c r="N496" s="100">
        <f t="shared" si="86"/>
        <v>0</v>
      </c>
      <c r="O496" s="100">
        <f t="shared" si="86"/>
        <v>0</v>
      </c>
      <c r="P496" s="100">
        <f t="shared" si="86"/>
        <v>0</v>
      </c>
      <c r="Q496" s="100">
        <f t="shared" si="86"/>
        <v>0</v>
      </c>
      <c r="R496" s="100">
        <f t="shared" si="86"/>
        <v>0</v>
      </c>
      <c r="S496" s="100">
        <f t="shared" si="86"/>
        <v>0</v>
      </c>
      <c r="T496" s="100">
        <f t="shared" si="86"/>
        <v>0</v>
      </c>
      <c r="U496" s="100">
        <f t="shared" si="86"/>
        <v>0</v>
      </c>
      <c r="V496" s="100">
        <f t="shared" si="86"/>
        <v>0</v>
      </c>
      <c r="W496" s="100">
        <f t="shared" si="86"/>
        <v>0</v>
      </c>
      <c r="X496" s="100">
        <f t="shared" si="86"/>
        <v>0</v>
      </c>
      <c r="Y496" s="100">
        <f t="shared" si="86"/>
        <v>0</v>
      </c>
      <c r="Z496" s="100">
        <f t="shared" si="86"/>
        <v>0</v>
      </c>
      <c r="AA496" s="100">
        <f t="shared" si="86"/>
        <v>0</v>
      </c>
      <c r="AB496" s="100">
        <f t="shared" si="86"/>
        <v>0</v>
      </c>
      <c r="AC496" s="100">
        <f t="shared" si="86"/>
        <v>0</v>
      </c>
      <c r="AD496" s="100">
        <f t="shared" si="86"/>
        <v>0</v>
      </c>
      <c r="AE496" s="100">
        <f t="shared" si="86"/>
        <v>0</v>
      </c>
      <c r="AF496" s="100">
        <f t="shared" si="86"/>
        <v>0</v>
      </c>
      <c r="AG496" s="100">
        <f t="shared" si="86"/>
        <v>0</v>
      </c>
      <c r="AH496" s="100">
        <f t="shared" si="86"/>
        <v>0</v>
      </c>
    </row>
    <row r="497" spans="1:34" ht="15">
      <c r="A497" s="3046"/>
      <c r="B497" s="3047"/>
      <c r="C497" s="3048"/>
      <c r="D497" s="3048"/>
      <c r="E497" s="3049"/>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row>
    <row r="498" spans="1:34" ht="15">
      <c r="A498" s="3046"/>
      <c r="B498" s="3047"/>
      <c r="C498" s="3048"/>
      <c r="D498" s="3048"/>
      <c r="E498" s="3049"/>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row>
    <row r="499" spans="1:34" ht="15">
      <c r="A499" s="3873" t="s">
        <v>1186</v>
      </c>
      <c r="B499" s="3874"/>
      <c r="C499" s="3874"/>
      <c r="D499" s="3874"/>
      <c r="E499" s="3874"/>
      <c r="F499" s="3874"/>
      <c r="G499" s="3874"/>
      <c r="H499" s="3874"/>
      <c r="I499" s="3874"/>
      <c r="J499" s="3874"/>
      <c r="K499" s="3874"/>
      <c r="L499" s="3874"/>
      <c r="M499" s="3874"/>
      <c r="N499" s="3874"/>
      <c r="O499" s="3874"/>
      <c r="P499" s="3874"/>
      <c r="Q499" s="3874"/>
      <c r="R499" s="3875"/>
      <c r="S499" s="16"/>
      <c r="T499" s="16"/>
      <c r="U499" s="16"/>
      <c r="V499" s="16"/>
      <c r="W499" s="16"/>
      <c r="X499" s="16"/>
      <c r="Y499" s="16"/>
      <c r="Z499" s="16"/>
      <c r="AA499" s="16"/>
      <c r="AB499" s="16"/>
      <c r="AC499" s="16"/>
      <c r="AD499" s="16"/>
      <c r="AE499" s="16"/>
      <c r="AF499" s="16"/>
      <c r="AG499" s="16"/>
      <c r="AH499" s="16"/>
    </row>
    <row r="500" spans="1:34" ht="15">
      <c r="A500" s="3854" t="s">
        <v>164</v>
      </c>
      <c r="B500" s="3855"/>
      <c r="C500" s="3855"/>
      <c r="D500" s="3855"/>
      <c r="E500" s="3856"/>
      <c r="F500" s="14"/>
      <c r="G500" s="14"/>
      <c r="H500" s="14"/>
      <c r="I500" s="14"/>
      <c r="J500" s="14"/>
      <c r="K500" s="14"/>
      <c r="L500" s="14"/>
      <c r="M500" s="98"/>
      <c r="N500" s="14"/>
      <c r="O500" s="14"/>
      <c r="P500" s="14"/>
      <c r="Q500" s="14"/>
      <c r="R500" s="14"/>
      <c r="S500" s="14"/>
      <c r="T500" s="14"/>
      <c r="U500" s="14"/>
      <c r="V500" s="14"/>
      <c r="W500" s="14"/>
      <c r="X500" s="14"/>
      <c r="Y500" s="14"/>
      <c r="Z500" s="14"/>
      <c r="AA500" s="14"/>
      <c r="AB500" s="14"/>
      <c r="AC500" s="14"/>
      <c r="AD500" s="14"/>
      <c r="AE500" s="14"/>
      <c r="AF500" s="14"/>
      <c r="AG500" s="14"/>
      <c r="AH500" s="1"/>
    </row>
    <row r="501" spans="1:34" ht="15">
      <c r="A501" s="8" t="s">
        <v>142</v>
      </c>
      <c r="B501" s="8" t="s">
        <v>143</v>
      </c>
      <c r="C501" s="73">
        <v>1</v>
      </c>
      <c r="D501" s="73">
        <v>2</v>
      </c>
      <c r="E501" s="73">
        <v>3</v>
      </c>
      <c r="F501" s="73">
        <v>4</v>
      </c>
      <c r="G501" s="73">
        <v>5</v>
      </c>
      <c r="H501" s="73">
        <v>6</v>
      </c>
      <c r="I501" s="73">
        <v>7</v>
      </c>
      <c r="J501" s="73">
        <v>8</v>
      </c>
      <c r="K501" s="73">
        <v>9</v>
      </c>
      <c r="L501" s="73">
        <v>10</v>
      </c>
      <c r="M501" s="73">
        <v>11</v>
      </c>
      <c r="N501" s="73">
        <v>12</v>
      </c>
      <c r="O501" s="73">
        <v>13</v>
      </c>
      <c r="P501" s="73">
        <v>14</v>
      </c>
      <c r="Q501" s="73">
        <v>15</v>
      </c>
      <c r="R501" s="73">
        <v>16</v>
      </c>
      <c r="S501" s="73">
        <v>17</v>
      </c>
      <c r="T501" s="73">
        <v>18</v>
      </c>
      <c r="U501" s="73">
        <v>19</v>
      </c>
      <c r="V501" s="73">
        <v>20</v>
      </c>
      <c r="W501" s="73">
        <v>21</v>
      </c>
      <c r="X501" s="73">
        <v>22</v>
      </c>
      <c r="Y501" s="73">
        <v>23</v>
      </c>
      <c r="Z501" s="73">
        <v>24</v>
      </c>
      <c r="AA501" s="73">
        <v>25</v>
      </c>
      <c r="AB501" s="73">
        <v>26</v>
      </c>
      <c r="AC501" s="73">
        <v>27</v>
      </c>
      <c r="AD501" s="73">
        <v>28</v>
      </c>
      <c r="AE501" s="73">
        <v>29</v>
      </c>
      <c r="AF501" s="73">
        <v>30</v>
      </c>
      <c r="AG501" s="73">
        <v>31</v>
      </c>
      <c r="AH501" s="87" t="s">
        <v>144</v>
      </c>
    </row>
    <row r="502" spans="1:34" ht="15">
      <c r="A502" s="363" t="s">
        <v>145</v>
      </c>
      <c r="B502" s="330">
        <f t="shared" ref="B502:B513" si="87">+AH502</f>
        <v>0</v>
      </c>
      <c r="C502" s="116"/>
      <c r="D502" s="99"/>
      <c r="E502" s="99"/>
      <c r="F502" s="99"/>
      <c r="G502" s="99"/>
      <c r="H502" s="99"/>
      <c r="I502" s="99"/>
      <c r="J502" s="99"/>
      <c r="K502" s="99"/>
      <c r="L502" s="99"/>
      <c r="M502" s="99"/>
      <c r="N502" s="99"/>
      <c r="O502" s="99"/>
      <c r="P502" s="99"/>
      <c r="Q502" s="99"/>
      <c r="R502" s="99"/>
      <c r="S502" s="99"/>
      <c r="T502" s="99"/>
      <c r="U502" s="99"/>
      <c r="V502" s="99"/>
      <c r="W502" s="99"/>
      <c r="X502" s="99"/>
      <c r="Y502" s="99"/>
      <c r="Z502" s="99"/>
      <c r="AA502" s="99"/>
      <c r="AB502" s="99"/>
      <c r="AC502" s="99"/>
      <c r="AD502" s="99"/>
      <c r="AE502" s="99"/>
      <c r="AF502" s="99"/>
      <c r="AG502" s="99"/>
      <c r="AH502" s="100">
        <f>SUM(C502:AG502)</f>
        <v>0</v>
      </c>
    </row>
    <row r="503" spans="1:34" ht="15">
      <c r="A503" s="363" t="s">
        <v>146</v>
      </c>
      <c r="B503" s="330">
        <f t="shared" si="87"/>
        <v>0</v>
      </c>
      <c r="C503" s="116"/>
      <c r="D503" s="99"/>
      <c r="E503" s="99"/>
      <c r="F503" s="99"/>
      <c r="G503" s="99"/>
      <c r="H503" s="99"/>
      <c r="I503" s="99"/>
      <c r="J503" s="99"/>
      <c r="K503" s="99"/>
      <c r="L503" s="99"/>
      <c r="M503" s="99"/>
      <c r="N503" s="99"/>
      <c r="O503" s="99"/>
      <c r="P503" s="99"/>
      <c r="Q503" s="99"/>
      <c r="R503" s="99"/>
      <c r="S503" s="99"/>
      <c r="T503" s="99"/>
      <c r="U503" s="99"/>
      <c r="V503" s="99"/>
      <c r="W503" s="99"/>
      <c r="X503" s="99"/>
      <c r="Y503" s="99"/>
      <c r="Z503" s="102"/>
      <c r="AA503" s="99"/>
      <c r="AB503" s="99"/>
      <c r="AC503" s="99"/>
      <c r="AD503" s="99"/>
      <c r="AE503" s="99"/>
      <c r="AF503" s="99"/>
      <c r="AG503" s="99"/>
      <c r="AH503" s="101">
        <f t="shared" ref="AH503:AH513" si="88">SUM(C503:AG503)</f>
        <v>0</v>
      </c>
    </row>
    <row r="504" spans="1:34" ht="15">
      <c r="A504" s="363" t="s">
        <v>147</v>
      </c>
      <c r="B504" s="330">
        <f t="shared" si="87"/>
        <v>0</v>
      </c>
      <c r="C504" s="116"/>
      <c r="D504" s="99"/>
      <c r="E504" s="99"/>
      <c r="F504" s="99"/>
      <c r="G504" s="99"/>
      <c r="H504" s="99"/>
      <c r="I504" s="99"/>
      <c r="J504" s="99"/>
      <c r="K504" s="99"/>
      <c r="L504" s="99"/>
      <c r="M504" s="99"/>
      <c r="N504" s="99"/>
      <c r="O504" s="99"/>
      <c r="P504" s="99"/>
      <c r="Q504" s="99"/>
      <c r="R504" s="99"/>
      <c r="S504" s="99"/>
      <c r="T504" s="99"/>
      <c r="U504" s="99"/>
      <c r="V504" s="99"/>
      <c r="W504" s="99"/>
      <c r="X504" s="99"/>
      <c r="Y504" s="99"/>
      <c r="Z504" s="99"/>
      <c r="AA504" s="99"/>
      <c r="AB504" s="99"/>
      <c r="AC504" s="99"/>
      <c r="AD504" s="99"/>
      <c r="AE504" s="99"/>
      <c r="AF504" s="99"/>
      <c r="AG504" s="99"/>
      <c r="AH504" s="100">
        <f t="shared" si="88"/>
        <v>0</v>
      </c>
    </row>
    <row r="505" spans="1:34" ht="15">
      <c r="A505" s="363" t="s">
        <v>148</v>
      </c>
      <c r="B505" s="330">
        <f t="shared" si="87"/>
        <v>0</v>
      </c>
      <c r="C505" s="116"/>
      <c r="D505" s="99"/>
      <c r="E505" s="99"/>
      <c r="F505" s="99"/>
      <c r="G505" s="99"/>
      <c r="H505" s="99"/>
      <c r="I505" s="99"/>
      <c r="J505" s="99"/>
      <c r="K505" s="99"/>
      <c r="L505" s="99"/>
      <c r="M505" s="99"/>
      <c r="N505" s="99"/>
      <c r="O505" s="99"/>
      <c r="P505" s="99"/>
      <c r="Q505" s="99"/>
      <c r="R505" s="99"/>
      <c r="S505" s="99"/>
      <c r="T505" s="99"/>
      <c r="U505" s="99"/>
      <c r="V505" s="99"/>
      <c r="W505" s="99"/>
      <c r="X505" s="99"/>
      <c r="Y505" s="99"/>
      <c r="Z505" s="99"/>
      <c r="AA505" s="99"/>
      <c r="AB505" s="99"/>
      <c r="AC505" s="99"/>
      <c r="AD505" s="99"/>
      <c r="AE505" s="99"/>
      <c r="AF505" s="99"/>
      <c r="AG505" s="99"/>
      <c r="AH505" s="100">
        <f t="shared" si="88"/>
        <v>0</v>
      </c>
    </row>
    <row r="506" spans="1:34" ht="15">
      <c r="A506" s="363" t="s">
        <v>149</v>
      </c>
      <c r="B506" s="330">
        <f t="shared" si="87"/>
        <v>0</v>
      </c>
      <c r="C506" s="116"/>
      <c r="D506" s="99"/>
      <c r="E506" s="99"/>
      <c r="F506" s="99"/>
      <c r="G506" s="99"/>
      <c r="H506" s="99"/>
      <c r="I506" s="99"/>
      <c r="J506" s="99"/>
      <c r="K506" s="99"/>
      <c r="L506" s="99"/>
      <c r="M506" s="99"/>
      <c r="N506" s="99"/>
      <c r="O506" s="99"/>
      <c r="P506" s="99"/>
      <c r="Q506" s="99"/>
      <c r="R506" s="99"/>
      <c r="S506" s="99"/>
      <c r="T506" s="99"/>
      <c r="U506" s="99"/>
      <c r="V506" s="99"/>
      <c r="W506" s="99"/>
      <c r="X506" s="99"/>
      <c r="Y506" s="99"/>
      <c r="Z506" s="99"/>
      <c r="AA506" s="99"/>
      <c r="AB506" s="99"/>
      <c r="AC506" s="99"/>
      <c r="AD506" s="99"/>
      <c r="AE506" s="99"/>
      <c r="AF506" s="99"/>
      <c r="AG506" s="99"/>
      <c r="AH506" s="100">
        <f t="shared" si="88"/>
        <v>0</v>
      </c>
    </row>
    <row r="507" spans="1:34" ht="15">
      <c r="A507" s="363" t="s">
        <v>150</v>
      </c>
      <c r="B507" s="162">
        <f t="shared" si="87"/>
        <v>0.53500000000000003</v>
      </c>
      <c r="C507" s="116"/>
      <c r="D507" s="99"/>
      <c r="E507" s="99"/>
      <c r="F507" s="99"/>
      <c r="G507" s="99"/>
      <c r="H507" s="99"/>
      <c r="I507" s="99"/>
      <c r="J507" s="99"/>
      <c r="K507" s="99"/>
      <c r="L507" s="99"/>
      <c r="M507" s="99"/>
      <c r="N507" s="99"/>
      <c r="O507" s="99"/>
      <c r="P507" s="99"/>
      <c r="Q507" s="99"/>
      <c r="R507" s="99"/>
      <c r="S507" s="99"/>
      <c r="T507" s="99"/>
      <c r="U507" s="99"/>
      <c r="V507" s="99"/>
      <c r="W507" s="99"/>
      <c r="X507" s="99"/>
      <c r="Y507" s="99"/>
      <c r="Z507" s="99"/>
      <c r="AA507" s="99">
        <v>0.53500000000000003</v>
      </c>
      <c r="AB507" s="99"/>
      <c r="AC507" s="99"/>
      <c r="AD507" s="99"/>
      <c r="AE507" s="99"/>
      <c r="AF507" s="99"/>
      <c r="AG507" s="99"/>
      <c r="AH507" s="100">
        <f t="shared" si="88"/>
        <v>0.53500000000000003</v>
      </c>
    </row>
    <row r="508" spans="1:34" ht="15">
      <c r="A508" s="73" t="s">
        <v>151</v>
      </c>
      <c r="B508" s="162">
        <f t="shared" si="87"/>
        <v>0</v>
      </c>
      <c r="C508" s="116"/>
      <c r="D508" s="99"/>
      <c r="E508" s="99"/>
      <c r="F508" s="99"/>
      <c r="G508" s="99"/>
      <c r="H508" s="99"/>
      <c r="I508" s="99"/>
      <c r="J508" s="99"/>
      <c r="K508" s="99"/>
      <c r="L508" s="99"/>
      <c r="M508" s="99"/>
      <c r="N508" s="99"/>
      <c r="O508" s="99"/>
      <c r="P508" s="99"/>
      <c r="Q508" s="99"/>
      <c r="R508" s="99"/>
      <c r="S508" s="99"/>
      <c r="T508" s="99"/>
      <c r="U508" s="99"/>
      <c r="V508" s="99"/>
      <c r="W508" s="99"/>
      <c r="X508" s="99"/>
      <c r="Y508" s="99"/>
      <c r="Z508" s="99"/>
      <c r="AA508" s="99"/>
      <c r="AB508" s="99"/>
      <c r="AC508" s="99"/>
      <c r="AD508" s="99"/>
      <c r="AE508" s="99"/>
      <c r="AF508" s="99"/>
      <c r="AG508" s="99"/>
      <c r="AH508" s="100">
        <f t="shared" si="88"/>
        <v>0</v>
      </c>
    </row>
    <row r="509" spans="1:34" ht="15">
      <c r="A509" s="73" t="s">
        <v>152</v>
      </c>
      <c r="B509" s="162">
        <f t="shared" si="87"/>
        <v>0</v>
      </c>
      <c r="C509" s="116"/>
      <c r="D509" s="99"/>
      <c r="E509" s="99"/>
      <c r="F509" s="99"/>
      <c r="G509" s="99"/>
      <c r="H509" s="99"/>
      <c r="I509" s="99"/>
      <c r="J509" s="99"/>
      <c r="K509" s="99"/>
      <c r="L509" s="99"/>
      <c r="M509" s="99"/>
      <c r="N509" s="99"/>
      <c r="O509" s="99"/>
      <c r="P509" s="99"/>
      <c r="Q509" s="53"/>
      <c r="R509" s="53"/>
      <c r="S509" s="53"/>
      <c r="T509" s="53"/>
      <c r="U509" s="53"/>
      <c r="V509" s="53"/>
      <c r="W509" s="53"/>
      <c r="X509" s="53"/>
      <c r="Y509" s="53"/>
      <c r="Z509" s="53"/>
      <c r="AA509" s="53"/>
      <c r="AB509" s="53"/>
      <c r="AC509" s="53"/>
      <c r="AD509" s="53"/>
      <c r="AE509" s="53"/>
      <c r="AF509" s="53"/>
      <c r="AG509" s="53"/>
      <c r="AH509" s="100">
        <f t="shared" si="88"/>
        <v>0</v>
      </c>
    </row>
    <row r="510" spans="1:34" ht="15">
      <c r="A510" s="73" t="s">
        <v>153</v>
      </c>
      <c r="B510" s="162">
        <f t="shared" si="87"/>
        <v>0</v>
      </c>
      <c r="C510" s="188" t="s">
        <v>162</v>
      </c>
      <c r="D510" s="188" t="s">
        <v>162</v>
      </c>
      <c r="E510" s="188" t="s">
        <v>162</v>
      </c>
      <c r="F510" s="188" t="s">
        <v>162</v>
      </c>
      <c r="G510" s="188" t="s">
        <v>162</v>
      </c>
      <c r="H510" s="188" t="s">
        <v>162</v>
      </c>
      <c r="I510" s="188" t="s">
        <v>162</v>
      </c>
      <c r="J510" s="188" t="s">
        <v>162</v>
      </c>
      <c r="K510" s="188" t="s">
        <v>162</v>
      </c>
      <c r="L510" s="188" t="s">
        <v>162</v>
      </c>
      <c r="M510" s="188" t="s">
        <v>162</v>
      </c>
      <c r="N510" s="188" t="s">
        <v>162</v>
      </c>
      <c r="O510" s="188" t="s">
        <v>162</v>
      </c>
      <c r="P510" s="188" t="s">
        <v>162</v>
      </c>
      <c r="Q510" s="188" t="s">
        <v>162</v>
      </c>
      <c r="R510" s="188" t="s">
        <v>162</v>
      </c>
      <c r="S510" s="188" t="s">
        <v>162</v>
      </c>
      <c r="T510" s="188" t="s">
        <v>162</v>
      </c>
      <c r="U510" s="188" t="s">
        <v>162</v>
      </c>
      <c r="V510" s="188" t="s">
        <v>162</v>
      </c>
      <c r="W510" s="188" t="s">
        <v>162</v>
      </c>
      <c r="X510" s="188" t="s">
        <v>162</v>
      </c>
      <c r="Y510" s="188" t="s">
        <v>162</v>
      </c>
      <c r="Z510" s="188" t="s">
        <v>162</v>
      </c>
      <c r="AA510" s="188" t="s">
        <v>162</v>
      </c>
      <c r="AB510" s="188" t="s">
        <v>162</v>
      </c>
      <c r="AC510" s="188" t="s">
        <v>162</v>
      </c>
      <c r="AD510" s="188" t="s">
        <v>162</v>
      </c>
      <c r="AE510" s="188" t="s">
        <v>162</v>
      </c>
      <c r="AF510" s="188" t="s">
        <v>162</v>
      </c>
      <c r="AG510" s="188" t="s">
        <v>162</v>
      </c>
      <c r="AH510" s="100">
        <f t="shared" si="88"/>
        <v>0</v>
      </c>
    </row>
    <row r="511" spans="1:34" ht="15">
      <c r="A511" s="73" t="s">
        <v>154</v>
      </c>
      <c r="B511" s="162">
        <f t="shared" si="87"/>
        <v>0</v>
      </c>
      <c r="C511" s="116"/>
      <c r="D511" s="99"/>
      <c r="E511" s="99"/>
      <c r="F511" s="99"/>
      <c r="G511" s="99"/>
      <c r="H511" s="99"/>
      <c r="I511" s="99"/>
      <c r="J511" s="99"/>
      <c r="K511" s="99"/>
      <c r="L511" s="99"/>
      <c r="M511" s="99"/>
      <c r="N511" s="99"/>
      <c r="O511" s="99"/>
      <c r="P511" s="99"/>
      <c r="Q511" s="99"/>
      <c r="R511" s="99"/>
      <c r="S511" s="99"/>
      <c r="T511" s="99"/>
      <c r="U511" s="99"/>
      <c r="V511" s="99"/>
      <c r="W511" s="99"/>
      <c r="X511" s="99"/>
      <c r="Y511" s="99"/>
      <c r="Z511" s="99"/>
      <c r="AA511" s="99"/>
      <c r="AB511" s="99"/>
      <c r="AC511" s="99"/>
      <c r="AD511" s="99"/>
      <c r="AE511" s="99"/>
      <c r="AF511" s="99"/>
      <c r="AG511" s="99"/>
      <c r="AH511" s="100">
        <f t="shared" si="88"/>
        <v>0</v>
      </c>
    </row>
    <row r="512" spans="1:34" ht="15">
      <c r="A512" s="73" t="s">
        <v>155</v>
      </c>
      <c r="B512" s="162">
        <f t="shared" si="87"/>
        <v>0</v>
      </c>
      <c r="C512" s="116"/>
      <c r="D512" s="99"/>
      <c r="E512" s="99"/>
      <c r="F512" s="99"/>
      <c r="G512" s="99"/>
      <c r="H512" s="99"/>
      <c r="I512" s="99"/>
      <c r="J512" s="99"/>
      <c r="K512" s="99"/>
      <c r="L512" s="99"/>
      <c r="M512" s="99"/>
      <c r="N512" s="99"/>
      <c r="O512" s="99"/>
      <c r="P512" s="99"/>
      <c r="Q512" s="99"/>
      <c r="R512" s="99"/>
      <c r="S512" s="99"/>
      <c r="T512" s="99"/>
      <c r="U512" s="99"/>
      <c r="V512" s="99"/>
      <c r="W512" s="99"/>
      <c r="X512" s="99"/>
      <c r="Y512" s="99"/>
      <c r="Z512" s="99"/>
      <c r="AA512" s="99"/>
      <c r="AB512" s="99"/>
      <c r="AC512" s="99"/>
      <c r="AD512" s="99"/>
      <c r="AE512" s="99"/>
      <c r="AF512" s="99"/>
      <c r="AG512" s="99"/>
      <c r="AH512" s="100">
        <f t="shared" si="88"/>
        <v>0</v>
      </c>
    </row>
    <row r="513" spans="1:34" ht="15">
      <c r="A513" s="73" t="s">
        <v>156</v>
      </c>
      <c r="B513" s="162">
        <f t="shared" si="87"/>
        <v>0</v>
      </c>
      <c r="C513" s="116"/>
      <c r="D513" s="99"/>
      <c r="E513" s="99"/>
      <c r="F513" s="99"/>
      <c r="G513" s="99"/>
      <c r="H513" s="99"/>
      <c r="I513" s="99"/>
      <c r="J513" s="99"/>
      <c r="K513" s="99"/>
      <c r="L513" s="99"/>
      <c r="M513" s="99"/>
      <c r="N513" s="99"/>
      <c r="O513" s="99"/>
      <c r="P513" s="99"/>
      <c r="Q513" s="99"/>
      <c r="R513" s="99"/>
      <c r="S513" s="99"/>
      <c r="T513" s="99"/>
      <c r="U513" s="99"/>
      <c r="V513" s="99"/>
      <c r="W513" s="99"/>
      <c r="X513" s="99"/>
      <c r="Y513" s="99"/>
      <c r="Z513" s="99"/>
      <c r="AA513" s="99"/>
      <c r="AB513" s="99"/>
      <c r="AC513" s="99"/>
      <c r="AD513" s="99"/>
      <c r="AE513" s="99"/>
      <c r="AF513" s="99"/>
      <c r="AG513" s="99"/>
      <c r="AH513" s="100">
        <f t="shared" si="88"/>
        <v>0</v>
      </c>
    </row>
    <row r="514" spans="1:34" ht="15">
      <c r="A514" s="200" t="s">
        <v>111</v>
      </c>
      <c r="B514" s="232">
        <f t="shared" ref="B514:AH514" si="89">SUM(B502:B513)</f>
        <v>0.53500000000000003</v>
      </c>
      <c r="C514" s="100">
        <f t="shared" si="89"/>
        <v>0</v>
      </c>
      <c r="D514" s="100">
        <f t="shared" si="89"/>
        <v>0</v>
      </c>
      <c r="E514" s="100">
        <f t="shared" si="89"/>
        <v>0</v>
      </c>
      <c r="F514" s="100">
        <f t="shared" si="89"/>
        <v>0</v>
      </c>
      <c r="G514" s="100">
        <f t="shared" si="89"/>
        <v>0</v>
      </c>
      <c r="H514" s="100">
        <f t="shared" si="89"/>
        <v>0</v>
      </c>
      <c r="I514" s="100">
        <f t="shared" si="89"/>
        <v>0</v>
      </c>
      <c r="J514" s="100">
        <f t="shared" si="89"/>
        <v>0</v>
      </c>
      <c r="K514" s="100">
        <f t="shared" si="89"/>
        <v>0</v>
      </c>
      <c r="L514" s="100">
        <f t="shared" si="89"/>
        <v>0</v>
      </c>
      <c r="M514" s="100">
        <f t="shared" si="89"/>
        <v>0</v>
      </c>
      <c r="N514" s="100">
        <f t="shared" si="89"/>
        <v>0</v>
      </c>
      <c r="O514" s="100">
        <f t="shared" si="89"/>
        <v>0</v>
      </c>
      <c r="P514" s="100">
        <f t="shared" si="89"/>
        <v>0</v>
      </c>
      <c r="Q514" s="100">
        <f t="shared" si="89"/>
        <v>0</v>
      </c>
      <c r="R514" s="100">
        <f t="shared" si="89"/>
        <v>0</v>
      </c>
      <c r="S514" s="100">
        <f t="shared" si="89"/>
        <v>0</v>
      </c>
      <c r="T514" s="100">
        <f t="shared" si="89"/>
        <v>0</v>
      </c>
      <c r="U514" s="100">
        <f t="shared" si="89"/>
        <v>0</v>
      </c>
      <c r="V514" s="100">
        <f t="shared" si="89"/>
        <v>0</v>
      </c>
      <c r="W514" s="100">
        <f t="shared" si="89"/>
        <v>0</v>
      </c>
      <c r="X514" s="100">
        <f t="shared" si="89"/>
        <v>0</v>
      </c>
      <c r="Y514" s="100">
        <f t="shared" si="89"/>
        <v>0</v>
      </c>
      <c r="Z514" s="100">
        <f t="shared" si="89"/>
        <v>0</v>
      </c>
      <c r="AA514" s="100">
        <f t="shared" si="89"/>
        <v>0.53500000000000003</v>
      </c>
      <c r="AB514" s="100">
        <f t="shared" si="89"/>
        <v>0</v>
      </c>
      <c r="AC514" s="100">
        <f t="shared" si="89"/>
        <v>0</v>
      </c>
      <c r="AD514" s="100">
        <f t="shared" si="89"/>
        <v>0</v>
      </c>
      <c r="AE514" s="100">
        <f t="shared" si="89"/>
        <v>0</v>
      </c>
      <c r="AF514" s="100">
        <f t="shared" si="89"/>
        <v>0</v>
      </c>
      <c r="AG514" s="100">
        <f t="shared" si="89"/>
        <v>0</v>
      </c>
      <c r="AH514" s="100">
        <f t="shared" si="89"/>
        <v>0.53500000000000003</v>
      </c>
    </row>
  </sheetData>
  <mergeCells count="39">
    <mergeCell ref="A499:R499"/>
    <mergeCell ref="A500:E500"/>
    <mergeCell ref="A430:R430"/>
    <mergeCell ref="A432:C432"/>
    <mergeCell ref="A449:C449"/>
    <mergeCell ref="A482:C482"/>
    <mergeCell ref="A254:C254"/>
    <mergeCell ref="A350:C350"/>
    <mergeCell ref="A366:C366"/>
    <mergeCell ref="A382:C382"/>
    <mergeCell ref="A414:C414"/>
    <mergeCell ref="A334:C334"/>
    <mergeCell ref="A270:C270"/>
    <mergeCell ref="A286:C286"/>
    <mergeCell ref="A302:C302"/>
    <mergeCell ref="A318:C318"/>
    <mergeCell ref="A398:C398"/>
    <mergeCell ref="A221:E221"/>
    <mergeCell ref="A39:C39"/>
    <mergeCell ref="A55:R55"/>
    <mergeCell ref="A57:C57"/>
    <mergeCell ref="A137:C137"/>
    <mergeCell ref="A153:R153"/>
    <mergeCell ref="A237:E237"/>
    <mergeCell ref="A481:R481"/>
    <mergeCell ref="A2:T2"/>
    <mergeCell ref="A5:R5"/>
    <mergeCell ref="A7:C7"/>
    <mergeCell ref="A23:C23"/>
    <mergeCell ref="A465:C465"/>
    <mergeCell ref="A89:C89"/>
    <mergeCell ref="A171:C171"/>
    <mergeCell ref="A187:R187"/>
    <mergeCell ref="A73:C73"/>
    <mergeCell ref="A189:C189"/>
    <mergeCell ref="A205:C205"/>
    <mergeCell ref="A105:C105"/>
    <mergeCell ref="A155:C155"/>
    <mergeCell ref="A121:C121"/>
  </mergeCells>
  <phoneticPr fontId="0" type="noConversion"/>
  <pageMargins left="0.75" right="0.75" top="1" bottom="1" header="0" footer="0"/>
  <pageSetup orientation="portrait" r:id="rId1"/>
  <headerFooter alignWithMargins="0"/>
  <legacyDrawing r:id="rId2"/>
  <oleObjects>
    <oleObject progId="MSPhotoEd.3" shapeId="18433" r:id="rId3"/>
  </oleObjects>
</worksheet>
</file>

<file path=xl/worksheets/sheet12.xml><?xml version="1.0" encoding="utf-8"?>
<worksheet xmlns="http://schemas.openxmlformats.org/spreadsheetml/2006/main" xmlns:r="http://schemas.openxmlformats.org/officeDocument/2006/relationships">
  <dimension ref="A2:L101"/>
  <sheetViews>
    <sheetView topLeftCell="A7" zoomScaleSheetLayoutView="55" workbookViewId="0">
      <selection activeCell="A18" sqref="A18:I29"/>
    </sheetView>
  </sheetViews>
  <sheetFormatPr baseColWidth="10" defaultRowHeight="13.2"/>
  <cols>
    <col min="1" max="1" width="57.33203125" customWidth="1"/>
    <col min="2" max="2" width="13.109375" customWidth="1"/>
    <col min="3" max="3" width="23.44140625" bestFit="1" customWidth="1"/>
    <col min="4" max="4" width="19.6640625" customWidth="1"/>
    <col min="5" max="5" width="20.5546875" customWidth="1"/>
    <col min="6" max="6" width="20.109375" customWidth="1"/>
    <col min="7" max="7" width="13.44140625" customWidth="1"/>
    <col min="8" max="8" width="10.88671875" style="169" customWidth="1"/>
    <col min="9" max="9" width="18.5546875" bestFit="1" customWidth="1"/>
    <col min="10" max="10" width="15.5546875" customWidth="1"/>
    <col min="11" max="11" width="10.109375" customWidth="1"/>
    <col min="12" max="12" width="15" customWidth="1"/>
    <col min="13" max="13" width="16.5546875" customWidth="1"/>
  </cols>
  <sheetData>
    <row r="2" spans="1:12" ht="15">
      <c r="A2" s="3854" t="s">
        <v>399</v>
      </c>
      <c r="B2" s="3855"/>
      <c r="C2" s="3855"/>
      <c r="D2" s="3855"/>
      <c r="E2" s="3855"/>
      <c r="F2" s="3855"/>
      <c r="G2" s="3855"/>
      <c r="H2" s="3855"/>
      <c r="I2" s="3856"/>
    </row>
    <row r="3" spans="1:12" ht="15">
      <c r="A3" s="387"/>
      <c r="B3" s="387"/>
      <c r="C3" s="387"/>
      <c r="D3" s="387"/>
      <c r="E3" s="387"/>
      <c r="F3" s="387"/>
      <c r="G3" s="387"/>
      <c r="H3" s="387"/>
      <c r="I3" s="387"/>
    </row>
    <row r="4" spans="1:12" ht="15">
      <c r="A4" s="3852" t="s">
        <v>319</v>
      </c>
      <c r="B4" s="3853"/>
      <c r="C4" s="50"/>
      <c r="D4" s="50"/>
      <c r="E4" s="50"/>
      <c r="F4" s="11"/>
      <c r="G4" s="11"/>
      <c r="H4" s="14"/>
      <c r="I4" s="1"/>
    </row>
    <row r="5" spans="1:12" ht="15">
      <c r="A5" s="14"/>
      <c r="B5" s="11"/>
      <c r="C5" s="50"/>
      <c r="D5" s="50"/>
      <c r="E5" s="50"/>
      <c r="F5" s="11"/>
      <c r="G5" s="11"/>
      <c r="H5" s="14"/>
      <c r="I5" s="1"/>
    </row>
    <row r="6" spans="1:12" ht="15">
      <c r="A6" s="199" t="s">
        <v>106</v>
      </c>
      <c r="B6" s="199" t="s">
        <v>107</v>
      </c>
      <c r="C6" s="233" t="s">
        <v>108</v>
      </c>
      <c r="D6" s="233" t="s">
        <v>645</v>
      </c>
      <c r="E6" s="233" t="s">
        <v>109</v>
      </c>
      <c r="F6" s="199" t="s">
        <v>47</v>
      </c>
      <c r="G6" s="199" t="s">
        <v>48</v>
      </c>
      <c r="H6" s="199" t="s">
        <v>110</v>
      </c>
      <c r="I6" s="234" t="s">
        <v>50</v>
      </c>
    </row>
    <row r="7" spans="1:12" ht="15">
      <c r="A7" s="51" t="s">
        <v>323</v>
      </c>
      <c r="B7" s="373" t="s">
        <v>75</v>
      </c>
      <c r="C7" s="52">
        <v>2020</v>
      </c>
      <c r="D7" s="793">
        <v>-100</v>
      </c>
      <c r="E7" s="52">
        <f>+D7+C7</f>
        <v>1920</v>
      </c>
      <c r="F7" s="53">
        <f>+SUM('RAE Jurel'!B9:B18)</f>
        <v>1930.2790000000002</v>
      </c>
      <c r="G7" s="71">
        <f>+E7-F7</f>
        <v>-10.279000000000224</v>
      </c>
      <c r="H7" s="1915">
        <f>+F7/E7</f>
        <v>1.0053536458333334</v>
      </c>
      <c r="I7" s="787">
        <v>41137</v>
      </c>
      <c r="J7" s="1469"/>
      <c r="K7" s="2323">
        <v>41242</v>
      </c>
    </row>
    <row r="8" spans="1:12" ht="14.25" customHeight="1">
      <c r="A8" s="51" t="s">
        <v>320</v>
      </c>
      <c r="B8" s="373" t="s">
        <v>75</v>
      </c>
      <c r="C8" s="52">
        <v>240</v>
      </c>
      <c r="D8" s="52"/>
      <c r="E8" s="52">
        <f>+C8</f>
        <v>240</v>
      </c>
      <c r="F8" s="56">
        <f>+SUM('RAE Jurel'!B25:B34)</f>
        <v>117.53400000000001</v>
      </c>
      <c r="G8" s="71">
        <f>+E8-F8</f>
        <v>122.46599999999999</v>
      </c>
      <c r="H8" s="72">
        <f>+F8/E8</f>
        <v>0.48972500000000002</v>
      </c>
      <c r="I8" s="546"/>
      <c r="J8" s="712" t="s">
        <v>1018</v>
      </c>
      <c r="K8" s="2291"/>
    </row>
    <row r="9" spans="1:12" ht="15">
      <c r="A9" s="51" t="s">
        <v>321</v>
      </c>
      <c r="B9" s="373" t="s">
        <v>75</v>
      </c>
      <c r="C9" s="52">
        <v>269</v>
      </c>
      <c r="D9" s="52"/>
      <c r="E9" s="52">
        <f>+C9</f>
        <v>269</v>
      </c>
      <c r="F9" s="56">
        <f>+SUM('RAE Jurel'!B41:B50)</f>
        <v>274.37000000000006</v>
      </c>
      <c r="G9" s="386">
        <f>+E9-F9</f>
        <v>-5.3700000000000614</v>
      </c>
      <c r="H9" s="562">
        <f>+F9/E9</f>
        <v>1.0199628252788107</v>
      </c>
      <c r="I9" s="563">
        <v>40984</v>
      </c>
      <c r="J9" s="486"/>
      <c r="K9" s="486"/>
    </row>
    <row r="10" spans="1:12" ht="15">
      <c r="A10" s="58" t="s">
        <v>111</v>
      </c>
      <c r="B10" s="385" t="s">
        <v>75</v>
      </c>
      <c r="C10" s="59">
        <f>SUM(C7:C9)</f>
        <v>2529</v>
      </c>
      <c r="D10" s="59"/>
      <c r="E10" s="59">
        <f>SUM(E7:E9)</f>
        <v>2429</v>
      </c>
      <c r="F10" s="60">
        <f>SUM(F7:F9)</f>
        <v>2322.1830000000004</v>
      </c>
      <c r="G10" s="386">
        <f>+E10-F10</f>
        <v>106.81699999999955</v>
      </c>
      <c r="H10" s="14"/>
      <c r="I10" s="1"/>
      <c r="K10" s="486"/>
    </row>
    <row r="11" spans="1:12" ht="15">
      <c r="A11" s="14"/>
      <c r="B11" s="11"/>
      <c r="C11" s="50"/>
      <c r="D11" s="50"/>
      <c r="E11" s="50"/>
      <c r="F11" s="11"/>
      <c r="G11" s="11"/>
      <c r="H11" s="14"/>
      <c r="I11" s="1"/>
    </row>
    <row r="12" spans="1:12" ht="15">
      <c r="A12" s="199" t="s">
        <v>106</v>
      </c>
      <c r="B12" s="199" t="s">
        <v>107</v>
      </c>
      <c r="C12" s="233" t="s">
        <v>108</v>
      </c>
      <c r="D12" s="233" t="s">
        <v>645</v>
      </c>
      <c r="E12" s="233" t="s">
        <v>109</v>
      </c>
      <c r="F12" s="199" t="s">
        <v>47</v>
      </c>
      <c r="G12" s="199" t="s">
        <v>48</v>
      </c>
      <c r="H12" s="199" t="s">
        <v>110</v>
      </c>
      <c r="I12" s="234" t="s">
        <v>50</v>
      </c>
    </row>
    <row r="13" spans="1:12" ht="15">
      <c r="A13" s="51" t="s">
        <v>323</v>
      </c>
      <c r="B13" s="373" t="s">
        <v>76</v>
      </c>
      <c r="C13" s="52">
        <v>106</v>
      </c>
      <c r="D13" s="3286"/>
      <c r="E13" s="75">
        <f>+C13+G7+D13</f>
        <v>95.720999999999776</v>
      </c>
      <c r="F13" s="53">
        <f>+SUM('RAE Jurel'!B19:B20)</f>
        <v>0.96</v>
      </c>
      <c r="G13" s="71">
        <f>+E13-F13</f>
        <v>94.760999999999783</v>
      </c>
      <c r="H13" s="72">
        <f>+F13/E13</f>
        <v>1.0029147209076401E-2</v>
      </c>
      <c r="I13" s="55"/>
    </row>
    <row r="14" spans="1:12" ht="16.5" customHeight="1">
      <c r="A14" s="51" t="s">
        <v>320</v>
      </c>
      <c r="B14" s="373" t="s">
        <v>76</v>
      </c>
      <c r="C14" s="52">
        <v>13</v>
      </c>
      <c r="D14" s="52"/>
      <c r="E14" s="52">
        <f>+C14+G8</f>
        <v>135.46600000000001</v>
      </c>
      <c r="F14" s="56">
        <f>+SUM('RAE Jurel'!B35:B36)</f>
        <v>134.37</v>
      </c>
      <c r="G14" s="71">
        <f>+E14-F14</f>
        <v>1.0960000000000036</v>
      </c>
      <c r="H14" s="72">
        <f>+F14/E14</f>
        <v>0.99190940900299707</v>
      </c>
      <c r="I14" s="244"/>
    </row>
    <row r="15" spans="1:12" ht="15">
      <c r="A15" s="51" t="s">
        <v>321</v>
      </c>
      <c r="B15" s="373" t="s">
        <v>76</v>
      </c>
      <c r="C15" s="52">
        <v>14</v>
      </c>
      <c r="D15" s="52"/>
      <c r="E15" s="52">
        <f>+C15+G9</f>
        <v>8.6299999999999386</v>
      </c>
      <c r="F15" s="56">
        <f>+SUM('RAE Jurel'!B51:B52)</f>
        <v>6.8650000000000002</v>
      </c>
      <c r="G15" s="71">
        <f>+E15-F15</f>
        <v>1.7649999999999384</v>
      </c>
      <c r="H15" s="72">
        <f>+F15/E15</f>
        <v>0.79548088064890488</v>
      </c>
      <c r="I15" s="546"/>
      <c r="J15" s="486"/>
      <c r="K15" s="486"/>
      <c r="L15" s="391"/>
    </row>
    <row r="16" spans="1:12" ht="15">
      <c r="A16" s="58" t="s">
        <v>111</v>
      </c>
      <c r="B16" s="385" t="s">
        <v>76</v>
      </c>
      <c r="C16" s="59">
        <f>SUM(C13:C15)</f>
        <v>133</v>
      </c>
      <c r="D16" s="59"/>
      <c r="E16" s="390">
        <f>+C16+G10</f>
        <v>239.81699999999955</v>
      </c>
      <c r="F16" s="60">
        <f>SUM(F13:F15)</f>
        <v>142.19500000000002</v>
      </c>
      <c r="G16" s="386">
        <f>+E16-F16</f>
        <v>97.621999999999531</v>
      </c>
      <c r="H16" s="14"/>
      <c r="I16" s="1"/>
    </row>
    <row r="17" spans="1:11" ht="15">
      <c r="A17" s="387"/>
      <c r="B17" s="387"/>
      <c r="C17" s="387"/>
      <c r="D17" s="387"/>
      <c r="E17" s="387"/>
      <c r="F17" s="387"/>
      <c r="G17" s="387"/>
      <c r="H17" s="387"/>
      <c r="I17" s="387"/>
    </row>
    <row r="18" spans="1:11" ht="15">
      <c r="A18" s="3852" t="s">
        <v>126</v>
      </c>
      <c r="B18" s="3853"/>
      <c r="C18" s="50"/>
      <c r="D18" s="50"/>
      <c r="E18" s="50"/>
      <c r="F18" s="11"/>
      <c r="G18" s="11"/>
      <c r="H18" s="11"/>
      <c r="I18" s="1"/>
    </row>
    <row r="19" spans="1:11" ht="5.0999999999999996" customHeight="1">
      <c r="A19" s="14"/>
      <c r="B19" s="11"/>
      <c r="C19" s="50"/>
      <c r="D19" s="50"/>
      <c r="E19" s="50"/>
      <c r="F19" s="11"/>
      <c r="G19" s="11"/>
      <c r="H19" s="11"/>
      <c r="I19" s="1"/>
    </row>
    <row r="20" spans="1:11" ht="15">
      <c r="A20" s="199" t="s">
        <v>106</v>
      </c>
      <c r="B20" s="199" t="s">
        <v>107</v>
      </c>
      <c r="C20" s="233" t="s">
        <v>108</v>
      </c>
      <c r="D20" s="233" t="s">
        <v>645</v>
      </c>
      <c r="E20" s="233" t="s">
        <v>109</v>
      </c>
      <c r="F20" s="199" t="s">
        <v>47</v>
      </c>
      <c r="G20" s="199" t="s">
        <v>48</v>
      </c>
      <c r="H20" s="199" t="s">
        <v>110</v>
      </c>
      <c r="I20" s="234" t="s">
        <v>50</v>
      </c>
    </row>
    <row r="21" spans="1:11" ht="15">
      <c r="A21" s="51" t="s">
        <v>272</v>
      </c>
      <c r="B21" s="373" t="s">
        <v>287</v>
      </c>
      <c r="C21" s="52">
        <v>1117</v>
      </c>
      <c r="D21" s="793">
        <v>-580</v>
      </c>
      <c r="E21" s="52">
        <f>+C21+D21</f>
        <v>537</v>
      </c>
      <c r="F21" s="53">
        <f>+SUM('RAE Jurel'!B59:B67)</f>
        <v>333.61500000000001</v>
      </c>
      <c r="G21" s="54">
        <f>+E21-F21</f>
        <v>203.38499999999999</v>
      </c>
      <c r="H21" s="72">
        <f>+F21/E21</f>
        <v>0.62125698324022349</v>
      </c>
      <c r="I21" s="55"/>
    </row>
    <row r="22" spans="1:11" ht="15">
      <c r="A22" s="51" t="s">
        <v>273</v>
      </c>
      <c r="B22" s="373" t="s">
        <v>287</v>
      </c>
      <c r="C22" s="52">
        <v>73</v>
      </c>
      <c r="D22" s="52"/>
      <c r="E22" s="52">
        <f>+C22</f>
        <v>73</v>
      </c>
      <c r="F22" s="56">
        <f>+SUM('RAE Jurel'!B75:B83)</f>
        <v>50.277000000000001</v>
      </c>
      <c r="G22" s="89">
        <f>+E22-F22</f>
        <v>22.722999999999999</v>
      </c>
      <c r="H22" s="72">
        <f>+F22/E22</f>
        <v>0.6887260273972603</v>
      </c>
      <c r="I22" s="838"/>
      <c r="J22" s="486"/>
      <c r="K22" s="486"/>
    </row>
    <row r="23" spans="1:11" ht="15">
      <c r="A23" s="58" t="s">
        <v>111</v>
      </c>
      <c r="B23" s="65" t="s">
        <v>287</v>
      </c>
      <c r="C23" s="59">
        <f>SUM(C21:C22)</f>
        <v>1190</v>
      </c>
      <c r="D23" s="59"/>
      <c r="E23" s="59">
        <f>SUM(E21:E22)</f>
        <v>610</v>
      </c>
      <c r="F23" s="60">
        <f>SUM(F21:F22)</f>
        <v>383.892</v>
      </c>
      <c r="G23" s="386">
        <f>+E23-F23</f>
        <v>226.108</v>
      </c>
      <c r="H23" s="11"/>
      <c r="I23" s="1"/>
    </row>
    <row r="24" spans="1:11" ht="5.0999999999999996" customHeight="1">
      <c r="A24" s="62"/>
      <c r="B24" s="11"/>
      <c r="C24" s="63"/>
      <c r="D24" s="63"/>
      <c r="E24" s="63"/>
      <c r="F24" s="64"/>
      <c r="G24" s="64"/>
      <c r="H24" s="11"/>
      <c r="I24" s="1"/>
    </row>
    <row r="25" spans="1:11" ht="15">
      <c r="A25" s="199" t="s">
        <v>106</v>
      </c>
      <c r="B25" s="199" t="s">
        <v>107</v>
      </c>
      <c r="C25" s="233" t="s">
        <v>108</v>
      </c>
      <c r="D25" s="233" t="s">
        <v>645</v>
      </c>
      <c r="E25" s="233" t="s">
        <v>109</v>
      </c>
      <c r="F25" s="199" t="s">
        <v>47</v>
      </c>
      <c r="G25" s="199" t="s">
        <v>48</v>
      </c>
      <c r="H25" s="199" t="s">
        <v>110</v>
      </c>
      <c r="I25" s="234" t="s">
        <v>50</v>
      </c>
    </row>
    <row r="26" spans="1:11" ht="15">
      <c r="A26" s="51" t="s">
        <v>272</v>
      </c>
      <c r="B26" s="373" t="s">
        <v>74</v>
      </c>
      <c r="C26" s="52">
        <v>59</v>
      </c>
      <c r="D26" s="52"/>
      <c r="E26" s="52">
        <f>+C26+G21</f>
        <v>262.38499999999999</v>
      </c>
      <c r="F26" s="53">
        <f>+SUM('RAE Jurel'!B68:B70)</f>
        <v>0</v>
      </c>
      <c r="G26" s="2351">
        <f>+E26-F26</f>
        <v>262.38499999999999</v>
      </c>
      <c r="H26" s="72">
        <v>0</v>
      </c>
      <c r="I26" s="55"/>
    </row>
    <row r="27" spans="1:11" ht="15">
      <c r="A27" s="51" t="s">
        <v>273</v>
      </c>
      <c r="B27" s="373" t="s">
        <v>74</v>
      </c>
      <c r="C27" s="52">
        <v>4</v>
      </c>
      <c r="D27" s="52"/>
      <c r="E27" s="52">
        <f>+C27+G22</f>
        <v>26.722999999999999</v>
      </c>
      <c r="F27" s="56">
        <f>+SUM('RAE Jurel'!B84:B86)</f>
        <v>12.092999999999998</v>
      </c>
      <c r="G27" s="89">
        <f>+E27-F27</f>
        <v>14.63</v>
      </c>
      <c r="H27" s="90">
        <f>+F27/E27</f>
        <v>0.45253152714889788</v>
      </c>
      <c r="I27" s="837"/>
      <c r="J27" s="3651"/>
    </row>
    <row r="28" spans="1:11" ht="15">
      <c r="A28" s="58" t="s">
        <v>111</v>
      </c>
      <c r="B28" s="65" t="s">
        <v>74</v>
      </c>
      <c r="C28" s="59">
        <f>SUM(C26:C27)</f>
        <v>63</v>
      </c>
      <c r="D28" s="59"/>
      <c r="E28" s="59">
        <f>+C28+G23</f>
        <v>289.108</v>
      </c>
      <c r="F28" s="85">
        <f>SUM(F26:F27)</f>
        <v>12.092999999999998</v>
      </c>
      <c r="G28" s="61">
        <f>SUM(G26:G27)</f>
        <v>277.01499999999999</v>
      </c>
      <c r="H28" s="11"/>
      <c r="I28" s="1"/>
    </row>
    <row r="29" spans="1:11" ht="5.0999999999999996" customHeight="1">
      <c r="A29" s="66"/>
      <c r="B29" s="67"/>
      <c r="C29" s="63"/>
      <c r="D29" s="63"/>
      <c r="E29" s="63"/>
      <c r="F29" s="63"/>
      <c r="G29" s="64"/>
      <c r="H29" s="11"/>
      <c r="I29" s="1"/>
    </row>
    <row r="30" spans="1:11" ht="15">
      <c r="A30" s="66"/>
      <c r="B30" s="67"/>
      <c r="C30" s="63"/>
      <c r="D30" s="63"/>
      <c r="E30" s="63"/>
      <c r="F30" s="63"/>
      <c r="G30" s="64"/>
      <c r="H30" s="11"/>
      <c r="I30" s="1"/>
    </row>
    <row r="31" spans="1:11" ht="15">
      <c r="A31" s="3852" t="s">
        <v>114</v>
      </c>
      <c r="B31" s="3853"/>
      <c r="C31" s="50"/>
      <c r="D31" s="50"/>
      <c r="E31" s="50"/>
      <c r="F31" s="11"/>
      <c r="G31" s="11"/>
      <c r="H31" s="11"/>
      <c r="I31" s="1"/>
    </row>
    <row r="32" spans="1:11" ht="5.0999999999999996" customHeight="1">
      <c r="A32" s="14"/>
      <c r="B32" s="11"/>
      <c r="C32" s="50"/>
      <c r="D32" s="50"/>
      <c r="E32" s="50"/>
      <c r="F32" s="11"/>
      <c r="G32" s="11"/>
      <c r="H32" s="11"/>
      <c r="I32" s="1"/>
    </row>
    <row r="33" spans="1:9" ht="15">
      <c r="A33" s="199" t="s">
        <v>106</v>
      </c>
      <c r="B33" s="199" t="s">
        <v>107</v>
      </c>
      <c r="C33" s="233" t="s">
        <v>108</v>
      </c>
      <c r="D33" s="233" t="s">
        <v>819</v>
      </c>
      <c r="E33" s="233" t="s">
        <v>109</v>
      </c>
      <c r="F33" s="199" t="s">
        <v>47</v>
      </c>
      <c r="G33" s="199" t="s">
        <v>48</v>
      </c>
      <c r="H33" s="199" t="s">
        <v>110</v>
      </c>
      <c r="I33" s="234" t="s">
        <v>50</v>
      </c>
    </row>
    <row r="34" spans="1:9" ht="15" customHeight="1">
      <c r="A34" s="436" t="s">
        <v>115</v>
      </c>
      <c r="B34" s="373" t="s">
        <v>287</v>
      </c>
      <c r="C34" s="76">
        <v>118.04900000000001</v>
      </c>
      <c r="D34" s="1367">
        <v>-118.04900000000001</v>
      </c>
      <c r="E34" s="75">
        <f>+C34+D34</f>
        <v>0</v>
      </c>
      <c r="F34" s="426">
        <f>+SUM('RAE Jurel'!B93:B101)</f>
        <v>0</v>
      </c>
      <c r="G34" s="75">
        <f>+E34-F34</f>
        <v>0</v>
      </c>
      <c r="H34" s="72" t="e">
        <f t="shared" ref="H34:H50" si="0">+F34/E34</f>
        <v>#DIV/0!</v>
      </c>
      <c r="I34" s="55"/>
    </row>
    <row r="35" spans="1:9" ht="15" customHeight="1">
      <c r="A35" s="436" t="s">
        <v>116</v>
      </c>
      <c r="B35" s="373" t="s">
        <v>287</v>
      </c>
      <c r="C35" s="76">
        <v>4.9539999999999997</v>
      </c>
      <c r="D35" s="76"/>
      <c r="E35" s="76">
        <f t="shared" ref="E35:E50" si="1">+C35</f>
        <v>4.9539999999999997</v>
      </c>
      <c r="F35" s="434">
        <f>+SUM('RAE Jurel'!B109:B117)</f>
        <v>0</v>
      </c>
      <c r="G35" s="76">
        <f t="shared" ref="G35:G50" si="2">+E35-F35</f>
        <v>4.9539999999999997</v>
      </c>
      <c r="H35" s="72">
        <f t="shared" si="0"/>
        <v>0</v>
      </c>
      <c r="I35" s="55"/>
    </row>
    <row r="36" spans="1:9" ht="15" customHeight="1">
      <c r="A36" s="436" t="s">
        <v>117</v>
      </c>
      <c r="B36" s="373" t="s">
        <v>287</v>
      </c>
      <c r="C36" s="76">
        <v>4.8000000000000001E-2</v>
      </c>
      <c r="D36" s="76"/>
      <c r="E36" s="76">
        <f t="shared" si="1"/>
        <v>4.8000000000000001E-2</v>
      </c>
      <c r="F36" s="434">
        <f>+SUM('RAE Jurel'!B125:B133)</f>
        <v>0</v>
      </c>
      <c r="G36" s="76">
        <f t="shared" si="2"/>
        <v>4.8000000000000001E-2</v>
      </c>
      <c r="H36" s="72">
        <f t="shared" si="0"/>
        <v>0</v>
      </c>
      <c r="I36" s="55"/>
    </row>
    <row r="37" spans="1:9" ht="15" customHeight="1">
      <c r="A37" s="436" t="s">
        <v>288</v>
      </c>
      <c r="B37" s="373" t="s">
        <v>287</v>
      </c>
      <c r="C37" s="76">
        <v>3.7999999999999999E-2</v>
      </c>
      <c r="D37" s="76"/>
      <c r="E37" s="76">
        <f t="shared" si="1"/>
        <v>3.7999999999999999E-2</v>
      </c>
      <c r="F37" s="434">
        <f>+SUM('RAE Jurel'!B141:B149)</f>
        <v>0</v>
      </c>
      <c r="G37" s="76">
        <f t="shared" si="2"/>
        <v>3.7999999999999999E-2</v>
      </c>
      <c r="H37" s="72">
        <f t="shared" si="0"/>
        <v>0</v>
      </c>
      <c r="I37" s="55"/>
    </row>
    <row r="38" spans="1:9" ht="15" customHeight="1">
      <c r="A38" s="436" t="s">
        <v>118</v>
      </c>
      <c r="B38" s="373" t="s">
        <v>287</v>
      </c>
      <c r="C38" s="434">
        <v>102.30500000000001</v>
      </c>
      <c r="D38" s="1947">
        <v>102.30500000000001</v>
      </c>
      <c r="E38" s="434">
        <f>+C38-D38</f>
        <v>0</v>
      </c>
      <c r="F38" s="434">
        <f>+SUM('RAE Jurel'!B157:B165)</f>
        <v>0</v>
      </c>
      <c r="G38" s="434">
        <f t="shared" si="2"/>
        <v>0</v>
      </c>
      <c r="H38" s="553" t="e">
        <f t="shared" si="0"/>
        <v>#DIV/0!</v>
      </c>
      <c r="I38" s="1946"/>
    </row>
    <row r="39" spans="1:9" ht="15" customHeight="1">
      <c r="A39" s="436" t="s">
        <v>289</v>
      </c>
      <c r="B39" s="373" t="s">
        <v>287</v>
      </c>
      <c r="C39" s="76">
        <v>0.04</v>
      </c>
      <c r="D39" s="76"/>
      <c r="E39" s="76">
        <f t="shared" si="1"/>
        <v>0.04</v>
      </c>
      <c r="F39" s="434">
        <f>+SUM('RAE Jurel'!B173:B181)</f>
        <v>1.8000000000000002E-2</v>
      </c>
      <c r="G39" s="76">
        <f t="shared" si="2"/>
        <v>2.1999999999999999E-2</v>
      </c>
      <c r="H39" s="72">
        <f t="shared" si="0"/>
        <v>0.45000000000000007</v>
      </c>
      <c r="I39" s="55"/>
    </row>
    <row r="40" spans="1:9" ht="15" customHeight="1">
      <c r="A40" s="436" t="s">
        <v>290</v>
      </c>
      <c r="B40" s="373" t="s">
        <v>287</v>
      </c>
      <c r="C40" s="76">
        <v>7.4999999999999997E-2</v>
      </c>
      <c r="D40" s="76"/>
      <c r="E40" s="76">
        <f t="shared" si="1"/>
        <v>7.4999999999999997E-2</v>
      </c>
      <c r="F40" s="434">
        <f>+SUM('RAE Jurel'!B189:B197)</f>
        <v>0</v>
      </c>
      <c r="G40" s="76">
        <f t="shared" si="2"/>
        <v>7.4999999999999997E-2</v>
      </c>
      <c r="H40" s="72">
        <f t="shared" si="0"/>
        <v>0</v>
      </c>
      <c r="I40" s="55"/>
    </row>
    <row r="41" spans="1:9" ht="15" customHeight="1">
      <c r="A41" s="436" t="s">
        <v>291</v>
      </c>
      <c r="B41" s="373" t="s">
        <v>287</v>
      </c>
      <c r="C41" s="76">
        <v>7.8E-2</v>
      </c>
      <c r="D41" s="76"/>
      <c r="E41" s="76">
        <f t="shared" si="1"/>
        <v>7.8E-2</v>
      </c>
      <c r="F41" s="434">
        <f>+SUM('RAE Jurel'!B205:B213)</f>
        <v>0</v>
      </c>
      <c r="G41" s="76">
        <f t="shared" si="2"/>
        <v>7.8E-2</v>
      </c>
      <c r="H41" s="72">
        <f t="shared" si="0"/>
        <v>0</v>
      </c>
      <c r="I41" s="55"/>
    </row>
    <row r="42" spans="1:9" ht="15" customHeight="1">
      <c r="A42" s="436" t="s">
        <v>292</v>
      </c>
      <c r="B42" s="373" t="s">
        <v>287</v>
      </c>
      <c r="C42" s="76">
        <v>1.9E-2</v>
      </c>
      <c r="D42" s="76"/>
      <c r="E42" s="76">
        <f t="shared" si="1"/>
        <v>1.9E-2</v>
      </c>
      <c r="F42" s="434">
        <f>+SUM('RAE Jurel'!B221:B229)</f>
        <v>0</v>
      </c>
      <c r="G42" s="76">
        <f t="shared" si="2"/>
        <v>1.9E-2</v>
      </c>
      <c r="H42" s="72">
        <f>+F42/E42</f>
        <v>0</v>
      </c>
      <c r="I42" s="55"/>
    </row>
    <row r="43" spans="1:9" ht="15" customHeight="1">
      <c r="A43" s="436" t="s">
        <v>293</v>
      </c>
      <c r="B43" s="373" t="s">
        <v>287</v>
      </c>
      <c r="C43" s="76">
        <v>0.157</v>
      </c>
      <c r="D43" s="76"/>
      <c r="E43" s="76">
        <f t="shared" si="1"/>
        <v>0.157</v>
      </c>
      <c r="F43" s="434">
        <f>+SUM('RAE Jurel'!B237:B245)</f>
        <v>0</v>
      </c>
      <c r="G43" s="76">
        <f t="shared" si="2"/>
        <v>0.157</v>
      </c>
      <c r="H43" s="72">
        <f t="shared" si="0"/>
        <v>0</v>
      </c>
      <c r="I43" s="55"/>
    </row>
    <row r="44" spans="1:9" ht="15" customHeight="1">
      <c r="A44" s="436" t="s">
        <v>294</v>
      </c>
      <c r="B44" s="373" t="s">
        <v>287</v>
      </c>
      <c r="C44" s="76">
        <v>2E-3</v>
      </c>
      <c r="D44" s="76"/>
      <c r="E44" s="76">
        <f t="shared" si="1"/>
        <v>2E-3</v>
      </c>
      <c r="F44" s="434">
        <f>+SUM('RAE Jurel'!B253:B261)</f>
        <v>0</v>
      </c>
      <c r="G44" s="76">
        <f>+E44-F44</f>
        <v>2E-3</v>
      </c>
      <c r="H44" s="72">
        <f t="shared" si="0"/>
        <v>0</v>
      </c>
      <c r="I44" s="91"/>
    </row>
    <row r="45" spans="1:9" ht="15" customHeight="1">
      <c r="A45" s="436" t="s">
        <v>295</v>
      </c>
      <c r="B45" s="373" t="s">
        <v>287</v>
      </c>
      <c r="C45" s="76">
        <v>0.39600000000000002</v>
      </c>
      <c r="D45" s="76"/>
      <c r="E45" s="76">
        <f t="shared" si="1"/>
        <v>0.39600000000000002</v>
      </c>
      <c r="F45" s="434">
        <f>+SUM('RAE Jurel'!B269:B277)</f>
        <v>0</v>
      </c>
      <c r="G45" s="76">
        <f>+E45-F45</f>
        <v>0.39600000000000002</v>
      </c>
      <c r="H45" s="72">
        <f t="shared" si="0"/>
        <v>0</v>
      </c>
      <c r="I45" s="91"/>
    </row>
    <row r="46" spans="1:9" ht="15" customHeight="1">
      <c r="A46" s="436" t="s">
        <v>409</v>
      </c>
      <c r="B46" s="373" t="s">
        <v>287</v>
      </c>
      <c r="C46" s="310">
        <v>69.718000000000004</v>
      </c>
      <c r="D46" s="310"/>
      <c r="E46" s="310">
        <f t="shared" si="1"/>
        <v>69.718000000000004</v>
      </c>
      <c r="F46" s="435">
        <f>+SUM('RAE Jurel'!B285:B293)</f>
        <v>0</v>
      </c>
      <c r="G46" s="310">
        <f>+E46-F46</f>
        <v>69.718000000000004</v>
      </c>
      <c r="H46" s="72">
        <f t="shared" si="0"/>
        <v>0</v>
      </c>
      <c r="I46" s="91"/>
    </row>
    <row r="47" spans="1:9" ht="15" customHeight="1">
      <c r="A47" s="436" t="s">
        <v>410</v>
      </c>
      <c r="B47" s="373" t="s">
        <v>287</v>
      </c>
      <c r="C47" s="75">
        <v>0</v>
      </c>
      <c r="D47" s="75"/>
      <c r="E47" s="75">
        <f t="shared" si="1"/>
        <v>0</v>
      </c>
      <c r="F47" s="426">
        <f>+SUM('RAE Jurel'!B301:B309)</f>
        <v>0</v>
      </c>
      <c r="G47" s="75">
        <f t="shared" si="2"/>
        <v>0</v>
      </c>
      <c r="H47" s="72" t="e">
        <f t="shared" si="0"/>
        <v>#DIV/0!</v>
      </c>
      <c r="I47" s="91"/>
    </row>
    <row r="48" spans="1:9" ht="15" customHeight="1">
      <c r="A48" s="436" t="s">
        <v>411</v>
      </c>
      <c r="B48" s="373" t="s">
        <v>287</v>
      </c>
      <c r="C48" s="76">
        <v>8.9999999999999993E-3</v>
      </c>
      <c r="D48" s="76"/>
      <c r="E48" s="76">
        <f t="shared" si="1"/>
        <v>8.9999999999999993E-3</v>
      </c>
      <c r="F48" s="434">
        <f>+SUM('RAE Jurel'!B317:B325)</f>
        <v>0</v>
      </c>
      <c r="G48" s="76">
        <f t="shared" si="2"/>
        <v>8.9999999999999993E-3</v>
      </c>
      <c r="H48" s="72">
        <f t="shared" si="0"/>
        <v>0</v>
      </c>
      <c r="I48" s="91"/>
    </row>
    <row r="49" spans="1:9" ht="15" customHeight="1">
      <c r="A49" s="436" t="s">
        <v>413</v>
      </c>
      <c r="B49" s="373" t="s">
        <v>287</v>
      </c>
      <c r="C49" s="76">
        <v>1E-3</v>
      </c>
      <c r="D49" s="76"/>
      <c r="E49" s="76">
        <f t="shared" si="1"/>
        <v>1E-3</v>
      </c>
      <c r="F49" s="434">
        <f>+SUM('RAE Jurel'!B333:B341)</f>
        <v>0</v>
      </c>
      <c r="G49" s="76">
        <f t="shared" si="2"/>
        <v>1E-3</v>
      </c>
      <c r="H49" s="72">
        <f t="shared" si="0"/>
        <v>0</v>
      </c>
      <c r="I49" s="91"/>
    </row>
    <row r="50" spans="1:9" ht="15" customHeight="1">
      <c r="A50" s="436" t="s">
        <v>119</v>
      </c>
      <c r="B50" s="373" t="s">
        <v>287</v>
      </c>
      <c r="C50" s="76">
        <v>0.111</v>
      </c>
      <c r="D50" s="76"/>
      <c r="E50" s="76">
        <f t="shared" si="1"/>
        <v>0.111</v>
      </c>
      <c r="F50" s="434">
        <f>+SUM('RAE Jurel'!B349:B357)</f>
        <v>0.51</v>
      </c>
      <c r="G50" s="76">
        <f t="shared" si="2"/>
        <v>-0.39900000000000002</v>
      </c>
      <c r="H50" s="72">
        <f t="shared" si="0"/>
        <v>4.5945945945945947</v>
      </c>
      <c r="I50" s="57"/>
    </row>
    <row r="51" spans="1:9" ht="15" customHeight="1">
      <c r="A51" s="58" t="s">
        <v>111</v>
      </c>
      <c r="B51" s="59" t="s">
        <v>287</v>
      </c>
      <c r="C51" s="59">
        <f>SUM(C34:C50)</f>
        <v>296</v>
      </c>
      <c r="D51" s="59"/>
      <c r="E51" s="59">
        <f>SUM(E34:E50)</f>
        <v>75.646000000000015</v>
      </c>
      <c r="F51" s="59">
        <f>SUM(F34:F50)</f>
        <v>0.52800000000000002</v>
      </c>
      <c r="G51" s="59">
        <f>+E51-F51</f>
        <v>75.118000000000009</v>
      </c>
      <c r="H51" s="11"/>
      <c r="I51" s="1"/>
    </row>
    <row r="52" spans="1:9" ht="5.0999999999999996" customHeight="1">
      <c r="A52" s="62"/>
      <c r="B52" s="11"/>
      <c r="C52" s="63"/>
      <c r="D52" s="63"/>
      <c r="E52" s="63"/>
      <c r="F52" s="64"/>
      <c r="G52" s="64"/>
      <c r="H52" s="11"/>
      <c r="I52" s="1"/>
    </row>
    <row r="53" spans="1:9" ht="15" customHeight="1">
      <c r="A53" s="199" t="s">
        <v>106</v>
      </c>
      <c r="B53" s="199" t="s">
        <v>107</v>
      </c>
      <c r="C53" s="233" t="s">
        <v>108</v>
      </c>
      <c r="D53" s="233" t="s">
        <v>645</v>
      </c>
      <c r="E53" s="233" t="s">
        <v>109</v>
      </c>
      <c r="F53" s="199" t="s">
        <v>47</v>
      </c>
      <c r="G53" s="199" t="s">
        <v>48</v>
      </c>
      <c r="H53" s="199" t="s">
        <v>110</v>
      </c>
      <c r="I53" s="234" t="s">
        <v>50</v>
      </c>
    </row>
    <row r="54" spans="1:9" ht="15" customHeight="1">
      <c r="A54" s="436" t="s">
        <v>115</v>
      </c>
      <c r="B54" s="373" t="s">
        <v>74</v>
      </c>
      <c r="C54" s="56">
        <v>6.3810000000000002</v>
      </c>
      <c r="D54" s="1368">
        <v>-1.381</v>
      </c>
      <c r="E54" s="56">
        <f>+C54+D54</f>
        <v>5</v>
      </c>
      <c r="F54" s="306">
        <f>+SUM('RAE Jurel'!B102:B104)</f>
        <v>0</v>
      </c>
      <c r="G54" s="53">
        <f t="shared" ref="G54:G70" si="3">+E54-F54</f>
        <v>5</v>
      </c>
      <c r="H54" s="72">
        <f t="shared" ref="H54:H61" si="4">+F54/E54</f>
        <v>0</v>
      </c>
      <c r="I54" s="55"/>
    </row>
    <row r="55" spans="1:9" ht="15" customHeight="1">
      <c r="A55" s="436" t="s">
        <v>116</v>
      </c>
      <c r="B55" s="373" t="s">
        <v>74</v>
      </c>
      <c r="C55" s="310">
        <v>0.26800000000000002</v>
      </c>
      <c r="D55" s="310"/>
      <c r="E55" s="310">
        <f t="shared" ref="E55:E70" si="5">+C55+G35</f>
        <v>5.2219999999999995</v>
      </c>
      <c r="F55" s="329">
        <f>+SUM('RAE Jurel'!B118:B120)</f>
        <v>0</v>
      </c>
      <c r="G55" s="162">
        <f t="shared" si="3"/>
        <v>5.2219999999999995</v>
      </c>
      <c r="H55" s="72">
        <f t="shared" si="4"/>
        <v>0</v>
      </c>
      <c r="I55" s="55"/>
    </row>
    <row r="56" spans="1:9" ht="15" customHeight="1">
      <c r="A56" s="436" t="s">
        <v>117</v>
      </c>
      <c r="B56" s="373" t="s">
        <v>74</v>
      </c>
      <c r="C56" s="310">
        <v>3.0000000000000001E-3</v>
      </c>
      <c r="D56" s="310"/>
      <c r="E56" s="310">
        <f t="shared" si="5"/>
        <v>5.1000000000000004E-2</v>
      </c>
      <c r="F56" s="329">
        <f>+SUM('RAE Jurel'!B134:B136)</f>
        <v>0</v>
      </c>
      <c r="G56" s="162">
        <f t="shared" si="3"/>
        <v>5.1000000000000004E-2</v>
      </c>
      <c r="H56" s="72">
        <f t="shared" si="4"/>
        <v>0</v>
      </c>
      <c r="I56" s="55"/>
    </row>
    <row r="57" spans="1:9" ht="15" customHeight="1">
      <c r="A57" s="436" t="s">
        <v>288</v>
      </c>
      <c r="B57" s="373" t="s">
        <v>74</v>
      </c>
      <c r="C57" s="310">
        <v>2E-3</v>
      </c>
      <c r="D57" s="310"/>
      <c r="E57" s="310">
        <f t="shared" si="5"/>
        <v>0.04</v>
      </c>
      <c r="F57" s="329">
        <f>+SUM('RAE Jurel'!B150:B152)</f>
        <v>0</v>
      </c>
      <c r="G57" s="162">
        <f t="shared" si="3"/>
        <v>0.04</v>
      </c>
      <c r="H57" s="72">
        <f t="shared" si="4"/>
        <v>0</v>
      </c>
      <c r="I57" s="55"/>
    </row>
    <row r="58" spans="1:9" ht="15" customHeight="1">
      <c r="A58" s="436" t="s">
        <v>118</v>
      </c>
      <c r="B58" s="373" t="s">
        <v>74</v>
      </c>
      <c r="C58" s="435">
        <v>5.53</v>
      </c>
      <c r="D58" s="1945">
        <v>5.53</v>
      </c>
      <c r="E58" s="435">
        <f>+C58-D58</f>
        <v>0</v>
      </c>
      <c r="F58" s="329">
        <f>+SUM('RAE Jurel'!B166:B168)</f>
        <v>0</v>
      </c>
      <c r="G58" s="329">
        <f t="shared" si="3"/>
        <v>0</v>
      </c>
      <c r="H58" s="553" t="e">
        <f t="shared" si="4"/>
        <v>#DIV/0!</v>
      </c>
      <c r="I58" s="1946"/>
    </row>
    <row r="59" spans="1:9" ht="15" customHeight="1">
      <c r="A59" s="436" t="s">
        <v>289</v>
      </c>
      <c r="B59" s="373" t="s">
        <v>74</v>
      </c>
      <c r="C59" s="310">
        <v>2E-3</v>
      </c>
      <c r="D59" s="310"/>
      <c r="E59" s="310">
        <f t="shared" si="5"/>
        <v>2.4E-2</v>
      </c>
      <c r="F59" s="329">
        <f>+SUM('RAE Jurel'!B182:B184)</f>
        <v>0</v>
      </c>
      <c r="G59" s="162">
        <f t="shared" si="3"/>
        <v>2.4E-2</v>
      </c>
      <c r="H59" s="72">
        <f t="shared" si="4"/>
        <v>0</v>
      </c>
      <c r="I59" s="55"/>
    </row>
    <row r="60" spans="1:9" ht="15" customHeight="1">
      <c r="A60" s="436" t="s">
        <v>290</v>
      </c>
      <c r="B60" s="373" t="s">
        <v>74</v>
      </c>
      <c r="C60" s="310">
        <v>4.0000000000000001E-3</v>
      </c>
      <c r="D60" s="310"/>
      <c r="E60" s="310">
        <f t="shared" si="5"/>
        <v>7.9000000000000001E-2</v>
      </c>
      <c r="F60" s="329">
        <f>+SUM('RAE Jurel'!B198:B200)</f>
        <v>0</v>
      </c>
      <c r="G60" s="162">
        <f t="shared" si="3"/>
        <v>7.9000000000000001E-2</v>
      </c>
      <c r="H60" s="72">
        <f t="shared" si="4"/>
        <v>0</v>
      </c>
      <c r="I60" s="55"/>
    </row>
    <row r="61" spans="1:9" ht="15" customHeight="1">
      <c r="A61" s="436" t="s">
        <v>291</v>
      </c>
      <c r="B61" s="373" t="s">
        <v>74</v>
      </c>
      <c r="C61" s="310">
        <v>4.0000000000000001E-3</v>
      </c>
      <c r="D61" s="310"/>
      <c r="E61" s="310">
        <f t="shared" si="5"/>
        <v>8.2000000000000003E-2</v>
      </c>
      <c r="F61" s="329">
        <f>+SUM('RAE Jurel'!B214:B216)</f>
        <v>0</v>
      </c>
      <c r="G61" s="162">
        <f t="shared" si="3"/>
        <v>8.2000000000000003E-2</v>
      </c>
      <c r="H61" s="72">
        <f t="shared" si="4"/>
        <v>0</v>
      </c>
      <c r="I61" s="55"/>
    </row>
    <row r="62" spans="1:9" ht="15" customHeight="1">
      <c r="A62" s="436" t="s">
        <v>292</v>
      </c>
      <c r="B62" s="373" t="s">
        <v>74</v>
      </c>
      <c r="C62" s="310">
        <v>1E-3</v>
      </c>
      <c r="D62" s="310"/>
      <c r="E62" s="310">
        <f t="shared" si="5"/>
        <v>0.02</v>
      </c>
      <c r="F62" s="329">
        <f>+SUM('RAE Jurel'!B230:B232)</f>
        <v>0</v>
      </c>
      <c r="G62" s="162">
        <f t="shared" si="3"/>
        <v>0.02</v>
      </c>
      <c r="H62" s="72">
        <f>+F62/E62</f>
        <v>0</v>
      </c>
      <c r="I62" s="55"/>
    </row>
    <row r="63" spans="1:9" ht="15" customHeight="1">
      <c r="A63" s="436" t="s">
        <v>293</v>
      </c>
      <c r="B63" s="373" t="s">
        <v>74</v>
      </c>
      <c r="C63" s="310">
        <v>8.9999999999999993E-3</v>
      </c>
      <c r="D63" s="310"/>
      <c r="E63" s="310">
        <f t="shared" si="5"/>
        <v>0.16600000000000001</v>
      </c>
      <c r="F63" s="329">
        <f>+SUM('RAE Jurel'!B246:B248)</f>
        <v>0</v>
      </c>
      <c r="G63" s="162">
        <f t="shared" si="3"/>
        <v>0.16600000000000001</v>
      </c>
      <c r="H63" s="72">
        <f t="shared" ref="H63:H70" si="6">+F63/E63</f>
        <v>0</v>
      </c>
      <c r="I63" s="55"/>
    </row>
    <row r="64" spans="1:9" ht="15" customHeight="1">
      <c r="A64" s="436" t="s">
        <v>294</v>
      </c>
      <c r="B64" s="373" t="s">
        <v>74</v>
      </c>
      <c r="C64" s="310">
        <v>0</v>
      </c>
      <c r="D64" s="310"/>
      <c r="E64" s="310">
        <f t="shared" si="5"/>
        <v>2E-3</v>
      </c>
      <c r="F64" s="329">
        <f>+SUM('RAE Jurel'!B262:B264)</f>
        <v>0</v>
      </c>
      <c r="G64" s="162">
        <f t="shared" si="3"/>
        <v>2E-3</v>
      </c>
      <c r="H64" s="72">
        <f t="shared" si="6"/>
        <v>0</v>
      </c>
      <c r="I64" s="91"/>
    </row>
    <row r="65" spans="1:11" ht="15" customHeight="1">
      <c r="A65" s="436" t="s">
        <v>295</v>
      </c>
      <c r="B65" s="373" t="s">
        <v>74</v>
      </c>
      <c r="C65" s="310">
        <v>2.1000000000000001E-2</v>
      </c>
      <c r="D65" s="310"/>
      <c r="E65" s="310">
        <f t="shared" si="5"/>
        <v>0.41700000000000004</v>
      </c>
      <c r="F65" s="329">
        <f>+SUM('RAE Jurel'!B278:B280)</f>
        <v>0</v>
      </c>
      <c r="G65" s="162">
        <f t="shared" si="3"/>
        <v>0.41700000000000004</v>
      </c>
      <c r="H65" s="72">
        <f t="shared" si="6"/>
        <v>0</v>
      </c>
      <c r="I65" s="91"/>
    </row>
    <row r="66" spans="1:11" ht="15" customHeight="1">
      <c r="A66" s="436" t="s">
        <v>409</v>
      </c>
      <c r="B66" s="373" t="s">
        <v>74</v>
      </c>
      <c r="C66" s="310">
        <v>3.7690000000000001</v>
      </c>
      <c r="D66" s="310"/>
      <c r="E66" s="310">
        <f t="shared" si="5"/>
        <v>73.487000000000009</v>
      </c>
      <c r="F66" s="329">
        <f>+SUM('RAE Jurel'!B294:B296)</f>
        <v>0</v>
      </c>
      <c r="G66" s="162">
        <f t="shared" si="3"/>
        <v>73.487000000000009</v>
      </c>
      <c r="H66" s="72">
        <f t="shared" si="6"/>
        <v>0</v>
      </c>
      <c r="I66" s="91"/>
    </row>
    <row r="67" spans="1:11" ht="15" customHeight="1">
      <c r="A67" s="436" t="s">
        <v>410</v>
      </c>
      <c r="B67" s="373" t="s">
        <v>74</v>
      </c>
      <c r="C67" s="56">
        <v>0</v>
      </c>
      <c r="D67" s="56"/>
      <c r="E67" s="56">
        <f t="shared" si="5"/>
        <v>0</v>
      </c>
      <c r="F67" s="306">
        <f>+SUM('RAE Jurel'!B310:B312)</f>
        <v>0</v>
      </c>
      <c r="G67" s="53">
        <f t="shared" si="3"/>
        <v>0</v>
      </c>
      <c r="H67" s="72" t="e">
        <f t="shared" si="6"/>
        <v>#DIV/0!</v>
      </c>
      <c r="I67" s="91"/>
    </row>
    <row r="68" spans="1:11" ht="15" customHeight="1">
      <c r="A68" s="436" t="s">
        <v>411</v>
      </c>
      <c r="B68" s="373" t="s">
        <v>74</v>
      </c>
      <c r="C68" s="310">
        <v>0</v>
      </c>
      <c r="D68" s="310"/>
      <c r="E68" s="310">
        <f t="shared" si="5"/>
        <v>8.9999999999999993E-3</v>
      </c>
      <c r="F68" s="329">
        <f>+SUM('RAE Jurel'!B326:B328)</f>
        <v>0</v>
      </c>
      <c r="G68" s="162">
        <f t="shared" si="3"/>
        <v>8.9999999999999993E-3</v>
      </c>
      <c r="H68" s="72">
        <f t="shared" si="6"/>
        <v>0</v>
      </c>
      <c r="I68" s="91"/>
    </row>
    <row r="69" spans="1:11" ht="15" customHeight="1">
      <c r="A69" s="436" t="s">
        <v>413</v>
      </c>
      <c r="B69" s="373" t="s">
        <v>74</v>
      </c>
      <c r="C69" s="310">
        <v>0</v>
      </c>
      <c r="D69" s="310"/>
      <c r="E69" s="310">
        <f t="shared" si="5"/>
        <v>1E-3</v>
      </c>
      <c r="F69" s="329">
        <f>+SUM('RAE Jurel'!B342:B344)</f>
        <v>0</v>
      </c>
      <c r="G69" s="162">
        <f t="shared" si="3"/>
        <v>1E-3</v>
      </c>
      <c r="H69" s="72">
        <f t="shared" si="6"/>
        <v>0</v>
      </c>
      <c r="I69" s="91"/>
    </row>
    <row r="70" spans="1:11" ht="15" customHeight="1">
      <c r="A70" s="436" t="s">
        <v>119</v>
      </c>
      <c r="B70" s="373" t="s">
        <v>74</v>
      </c>
      <c r="C70" s="310">
        <v>6.0000000000000001E-3</v>
      </c>
      <c r="D70" s="310"/>
      <c r="E70" s="310">
        <f t="shared" si="5"/>
        <v>-0.39300000000000002</v>
      </c>
      <c r="F70" s="329">
        <f>+SUM('RAE Jurel'!B358:B360)</f>
        <v>0</v>
      </c>
      <c r="G70" s="162">
        <f t="shared" si="3"/>
        <v>-0.39300000000000002</v>
      </c>
      <c r="H70" s="72">
        <f t="shared" si="6"/>
        <v>0</v>
      </c>
      <c r="I70" s="57"/>
    </row>
    <row r="71" spans="1:11" ht="15" customHeight="1">
      <c r="A71" s="58" t="s">
        <v>111</v>
      </c>
      <c r="B71" s="65" t="s">
        <v>74</v>
      </c>
      <c r="C71" s="59">
        <f>SUM(C54:C70)</f>
        <v>16</v>
      </c>
      <c r="D71" s="59"/>
      <c r="E71" s="59">
        <f>SUM(E54:E70)</f>
        <v>84.207000000000008</v>
      </c>
      <c r="F71" s="59">
        <f>SUM(F54:F70)</f>
        <v>0</v>
      </c>
      <c r="G71" s="59">
        <f>+E71-F71</f>
        <v>84.207000000000008</v>
      </c>
      <c r="H71" s="11"/>
      <c r="I71" s="1"/>
    </row>
    <row r="72" spans="1:11" ht="5.0999999999999996" customHeight="1">
      <c r="A72" s="66"/>
      <c r="B72" s="67"/>
      <c r="C72" s="63"/>
      <c r="D72" s="63"/>
      <c r="E72" s="63"/>
      <c r="F72" s="63"/>
      <c r="G72" s="64"/>
      <c r="H72" s="11"/>
      <c r="I72" s="1"/>
    </row>
    <row r="73" spans="1:11" ht="15">
      <c r="A73" s="3852" t="s">
        <v>120</v>
      </c>
      <c r="B73" s="3853"/>
      <c r="C73" s="63"/>
      <c r="D73" s="63"/>
      <c r="E73" s="63"/>
      <c r="F73" s="63"/>
      <c r="G73" s="64"/>
      <c r="H73" s="11"/>
      <c r="I73" s="1"/>
    </row>
    <row r="74" spans="1:11" ht="5.0999999999999996" customHeight="1">
      <c r="A74" s="62"/>
      <c r="B74" s="11"/>
      <c r="C74" s="63"/>
      <c r="D74" s="63"/>
      <c r="E74" s="63"/>
      <c r="F74" s="64"/>
      <c r="G74" s="64"/>
      <c r="H74" s="77"/>
      <c r="I74" s="1"/>
    </row>
    <row r="75" spans="1:11" ht="15">
      <c r="A75" s="199" t="s">
        <v>106</v>
      </c>
      <c r="B75" s="199" t="s">
        <v>107</v>
      </c>
      <c r="C75" s="233" t="s">
        <v>108</v>
      </c>
      <c r="D75" s="233" t="s">
        <v>645</v>
      </c>
      <c r="E75" s="233" t="s">
        <v>109</v>
      </c>
      <c r="F75" s="199" t="s">
        <v>47</v>
      </c>
      <c r="G75" s="199" t="s">
        <v>48</v>
      </c>
      <c r="H75" s="199" t="s">
        <v>110</v>
      </c>
      <c r="I75" s="370" t="s">
        <v>50</v>
      </c>
    </row>
    <row r="76" spans="1:11" ht="15">
      <c r="A76" s="436" t="s">
        <v>121</v>
      </c>
      <c r="B76" s="373" t="s">
        <v>287</v>
      </c>
      <c r="C76" s="310">
        <v>7.6360000000000001</v>
      </c>
      <c r="D76" s="310"/>
      <c r="E76" s="310">
        <f t="shared" ref="E76:E85" si="7">+C76</f>
        <v>7.6360000000000001</v>
      </c>
      <c r="F76" s="162">
        <f>+SUM('RAE Jurel'!B367:B375)</f>
        <v>0</v>
      </c>
      <c r="G76" s="162">
        <f t="shared" ref="G76:G85" si="8">+E76-F76</f>
        <v>7.6360000000000001</v>
      </c>
      <c r="H76" s="72">
        <f t="shared" ref="H76:H85" si="9">+F76/E76</f>
        <v>0</v>
      </c>
      <c r="I76" s="483"/>
    </row>
    <row r="77" spans="1:11" ht="15">
      <c r="A77" s="436" t="s">
        <v>122</v>
      </c>
      <c r="B77" s="373" t="s">
        <v>287</v>
      </c>
      <c r="C77" s="435">
        <v>1572</v>
      </c>
      <c r="D77" s="1945">
        <v>827</v>
      </c>
      <c r="E77" s="435">
        <f>+C77-D77</f>
        <v>745</v>
      </c>
      <c r="F77" s="329">
        <f>+SUM('RAE Jurel'!B383:B391)</f>
        <v>266.87099999999998</v>
      </c>
      <c r="G77" s="329">
        <f t="shared" si="8"/>
        <v>478.12900000000002</v>
      </c>
      <c r="H77" s="553">
        <f t="shared" si="9"/>
        <v>0.35821610738255033</v>
      </c>
      <c r="I77" s="1948"/>
    </row>
    <row r="78" spans="1:11" ht="15">
      <c r="A78" s="436" t="s">
        <v>123</v>
      </c>
      <c r="B78" s="373" t="s">
        <v>287</v>
      </c>
      <c r="C78" s="310">
        <v>3.6999999999999998E-2</v>
      </c>
      <c r="D78" s="310"/>
      <c r="E78" s="310">
        <f t="shared" si="7"/>
        <v>3.6999999999999998E-2</v>
      </c>
      <c r="F78" s="162">
        <f>+SUM('RAE Jurel'!B399:B407)</f>
        <v>20.18</v>
      </c>
      <c r="G78" s="485">
        <f t="shared" si="8"/>
        <v>-20.143000000000001</v>
      </c>
      <c r="H78" s="72">
        <f t="shared" si="9"/>
        <v>545.40540540540542</v>
      </c>
      <c r="I78" s="484">
        <v>40966</v>
      </c>
      <c r="K78" s="246"/>
    </row>
    <row r="79" spans="1:11" ht="15">
      <c r="A79" s="436" t="s">
        <v>274</v>
      </c>
      <c r="B79" s="373" t="s">
        <v>287</v>
      </c>
      <c r="C79" s="310">
        <v>0</v>
      </c>
      <c r="D79" s="310"/>
      <c r="E79" s="310">
        <f t="shared" si="7"/>
        <v>0</v>
      </c>
      <c r="F79" s="162">
        <f>+SUM('RAE Jurel'!B431:B439)</f>
        <v>0</v>
      </c>
      <c r="G79" s="162">
        <f t="shared" si="8"/>
        <v>0</v>
      </c>
      <c r="H79" s="72" t="e">
        <f t="shared" si="9"/>
        <v>#DIV/0!</v>
      </c>
      <c r="I79" s="483"/>
      <c r="J79" s="391"/>
      <c r="K79" s="391"/>
    </row>
    <row r="80" spans="1:11" ht="15">
      <c r="A80" s="437" t="s">
        <v>276</v>
      </c>
      <c r="B80" s="373" t="s">
        <v>287</v>
      </c>
      <c r="C80" s="310">
        <v>9.7000000000000003E-2</v>
      </c>
      <c r="D80" s="310"/>
      <c r="E80" s="310">
        <f t="shared" si="7"/>
        <v>9.7000000000000003E-2</v>
      </c>
      <c r="F80" s="162">
        <f>+SUM('RAE Jurel'!B464:B473)</f>
        <v>0</v>
      </c>
      <c r="G80" s="162">
        <f t="shared" si="8"/>
        <v>9.7000000000000003E-2</v>
      </c>
      <c r="H80" s="72">
        <f t="shared" si="9"/>
        <v>0</v>
      </c>
      <c r="I80" s="483"/>
      <c r="J80" s="391"/>
      <c r="K80" s="391"/>
    </row>
    <row r="81" spans="1:9" ht="15">
      <c r="A81" s="436" t="s">
        <v>124</v>
      </c>
      <c r="B81" s="373" t="s">
        <v>287</v>
      </c>
      <c r="C81" s="310">
        <v>280</v>
      </c>
      <c r="D81" s="310"/>
      <c r="E81" s="310">
        <f t="shared" si="7"/>
        <v>280</v>
      </c>
      <c r="F81" s="162">
        <f>+SUM('RAE Jurel'!B415:B423)</f>
        <v>305.43700000000001</v>
      </c>
      <c r="G81" s="485">
        <f t="shared" si="8"/>
        <v>-25.437000000000012</v>
      </c>
      <c r="H81" s="72">
        <f t="shared" si="9"/>
        <v>1.0908464285714286</v>
      </c>
      <c r="I81" s="484">
        <v>40953</v>
      </c>
    </row>
    <row r="82" spans="1:9" ht="15">
      <c r="A82" s="51" t="s">
        <v>125</v>
      </c>
      <c r="B82" s="373" t="s">
        <v>287</v>
      </c>
      <c r="C82" s="310">
        <v>0</v>
      </c>
      <c r="D82" s="310"/>
      <c r="E82" s="310">
        <f>+C82</f>
        <v>0</v>
      </c>
      <c r="F82" s="162">
        <v>0</v>
      </c>
      <c r="G82" s="485">
        <v>0</v>
      </c>
      <c r="H82" s="72" t="e">
        <f>+F82/E82</f>
        <v>#DIV/0!</v>
      </c>
      <c r="I82" s="484"/>
    </row>
    <row r="83" spans="1:9" ht="15">
      <c r="A83" s="436" t="s">
        <v>277</v>
      </c>
      <c r="B83" s="373" t="s">
        <v>287</v>
      </c>
      <c r="C83" s="310">
        <v>0.223</v>
      </c>
      <c r="D83" s="310"/>
      <c r="E83" s="310">
        <f t="shared" si="7"/>
        <v>0.223</v>
      </c>
      <c r="F83" s="162">
        <f>+SUM('RAE Jurel'!B480:B488)</f>
        <v>0</v>
      </c>
      <c r="G83" s="162">
        <f t="shared" si="8"/>
        <v>0.223</v>
      </c>
      <c r="H83" s="72">
        <f t="shared" si="9"/>
        <v>0</v>
      </c>
      <c r="I83" s="483"/>
    </row>
    <row r="84" spans="1:9" ht="15">
      <c r="A84" s="436" t="s">
        <v>407</v>
      </c>
      <c r="B84" s="373" t="s">
        <v>287</v>
      </c>
      <c r="C84" s="310">
        <v>99</v>
      </c>
      <c r="D84" s="310"/>
      <c r="E84" s="310">
        <f t="shared" si="7"/>
        <v>99</v>
      </c>
      <c r="F84" s="162">
        <f>+SUM('RAE Jurel'!B496:B504)</f>
        <v>0</v>
      </c>
      <c r="G84" s="162">
        <f t="shared" si="8"/>
        <v>99</v>
      </c>
      <c r="H84" s="72">
        <f t="shared" si="9"/>
        <v>0</v>
      </c>
      <c r="I84" s="483"/>
    </row>
    <row r="85" spans="1:9" ht="15">
      <c r="A85" s="436" t="s">
        <v>119</v>
      </c>
      <c r="B85" s="373" t="s">
        <v>287</v>
      </c>
      <c r="C85" s="310">
        <v>26</v>
      </c>
      <c r="D85" s="310"/>
      <c r="E85" s="310">
        <f t="shared" si="7"/>
        <v>26</v>
      </c>
      <c r="F85" s="162">
        <f>+SUM('RAE Jurel'!B448:B456)</f>
        <v>15.733000000000001</v>
      </c>
      <c r="G85" s="162">
        <f t="shared" si="8"/>
        <v>10.266999999999999</v>
      </c>
      <c r="H85" s="72">
        <f t="shared" si="9"/>
        <v>0.60511538461538461</v>
      </c>
      <c r="I85" s="483"/>
    </row>
    <row r="86" spans="1:9" ht="15">
      <c r="A86" s="58" t="s">
        <v>111</v>
      </c>
      <c r="B86" s="65" t="s">
        <v>287</v>
      </c>
      <c r="C86" s="416">
        <f>SUM(C76:C85)</f>
        <v>1984.9929999999999</v>
      </c>
      <c r="D86" s="416"/>
      <c r="E86" s="59">
        <f>SUM(E76:E85)</f>
        <v>1157.9929999999999</v>
      </c>
      <c r="F86" s="85">
        <f>SUM(F76:F85)</f>
        <v>608.221</v>
      </c>
      <c r="G86" s="92">
        <f>+E86-F86</f>
        <v>549.77199999999993</v>
      </c>
      <c r="H86" s="77"/>
      <c r="I86" s="1"/>
    </row>
    <row r="87" spans="1:9" ht="5.0999999999999996" customHeight="1">
      <c r="A87" s="62"/>
      <c r="B87" s="11"/>
      <c r="C87" s="63"/>
      <c r="D87" s="63"/>
      <c r="E87" s="63"/>
      <c r="F87" s="64"/>
      <c r="G87" s="64"/>
      <c r="H87" s="77"/>
      <c r="I87" s="1"/>
    </row>
    <row r="88" spans="1:9" ht="15">
      <c r="A88" s="199" t="s">
        <v>106</v>
      </c>
      <c r="B88" s="199" t="s">
        <v>107</v>
      </c>
      <c r="C88" s="233" t="s">
        <v>108</v>
      </c>
      <c r="D88" s="233" t="s">
        <v>645</v>
      </c>
      <c r="E88" s="233" t="s">
        <v>109</v>
      </c>
      <c r="F88" s="199" t="s">
        <v>47</v>
      </c>
      <c r="G88" s="199" t="s">
        <v>48</v>
      </c>
      <c r="H88" s="199" t="s">
        <v>110</v>
      </c>
      <c r="I88" s="370" t="s">
        <v>50</v>
      </c>
    </row>
    <row r="89" spans="1:9" ht="15">
      <c r="A89" s="436" t="s">
        <v>121</v>
      </c>
      <c r="B89" s="373" t="s">
        <v>74</v>
      </c>
      <c r="C89" s="310">
        <v>0.40400000000000003</v>
      </c>
      <c r="D89" s="310"/>
      <c r="E89" s="310">
        <f t="shared" ref="E89:E99" si="10">+C89+G76</f>
        <v>8.0400000000000009</v>
      </c>
      <c r="F89" s="162">
        <f>+SUM('RAE Jurel'!B376:B378)</f>
        <v>0</v>
      </c>
      <c r="G89" s="162">
        <f t="shared" ref="G89:G98" si="11">+E89-F89</f>
        <v>8.0400000000000009</v>
      </c>
      <c r="H89" s="72">
        <f t="shared" ref="H89:H98" si="12">+F89/E89</f>
        <v>0</v>
      </c>
      <c r="I89" s="88"/>
    </row>
    <row r="90" spans="1:9" ht="15">
      <c r="A90" s="436" t="s">
        <v>122</v>
      </c>
      <c r="B90" s="373" t="s">
        <v>74</v>
      </c>
      <c r="C90" s="310">
        <v>83</v>
      </c>
      <c r="D90" s="310"/>
      <c r="E90" s="310">
        <f t="shared" si="10"/>
        <v>561.12900000000002</v>
      </c>
      <c r="F90" s="162">
        <f>+SUM('RAE Jurel'!B392:B394)</f>
        <v>0</v>
      </c>
      <c r="G90" s="162">
        <f t="shared" si="11"/>
        <v>561.12900000000002</v>
      </c>
      <c r="H90" s="72">
        <f t="shared" si="12"/>
        <v>0</v>
      </c>
      <c r="I90" s="8"/>
    </row>
    <row r="91" spans="1:9" ht="15">
      <c r="A91" s="436" t="s">
        <v>123</v>
      </c>
      <c r="B91" s="373" t="s">
        <v>74</v>
      </c>
      <c r="C91" s="310">
        <v>2E-3</v>
      </c>
      <c r="D91" s="310"/>
      <c r="E91" s="310">
        <f t="shared" si="10"/>
        <v>-20.141000000000002</v>
      </c>
      <c r="F91" s="162">
        <f>+SUM('RAE Jurel'!B408:B410)</f>
        <v>0</v>
      </c>
      <c r="G91" s="485">
        <f t="shared" si="11"/>
        <v>-20.141000000000002</v>
      </c>
      <c r="H91" s="72">
        <f t="shared" si="12"/>
        <v>0</v>
      </c>
      <c r="I91" s="506" t="s">
        <v>490</v>
      </c>
    </row>
    <row r="92" spans="1:9" ht="15">
      <c r="A92" s="436" t="s">
        <v>274</v>
      </c>
      <c r="B92" s="373" t="s">
        <v>74</v>
      </c>
      <c r="C92" s="310">
        <v>0</v>
      </c>
      <c r="D92" s="310"/>
      <c r="E92" s="310">
        <f t="shared" si="10"/>
        <v>0</v>
      </c>
      <c r="F92" s="162">
        <f>+SUM('RAE Jurel'!B440:B442)</f>
        <v>0</v>
      </c>
      <c r="G92" s="162">
        <f t="shared" si="11"/>
        <v>0</v>
      </c>
      <c r="H92" s="72" t="e">
        <f t="shared" si="12"/>
        <v>#DIV/0!</v>
      </c>
      <c r="I92" s="88"/>
    </row>
    <row r="93" spans="1:9" ht="15">
      <c r="A93" s="437" t="s">
        <v>276</v>
      </c>
      <c r="B93" s="373" t="s">
        <v>74</v>
      </c>
      <c r="C93" s="310">
        <v>5.0000000000000001E-3</v>
      </c>
      <c r="D93" s="310"/>
      <c r="E93" s="310">
        <f t="shared" si="10"/>
        <v>0.10200000000000001</v>
      </c>
      <c r="F93" s="162">
        <f>+SUM('RAE Jurel'!B473:B475)</f>
        <v>0</v>
      </c>
      <c r="G93" s="162">
        <f t="shared" si="11"/>
        <v>0.10200000000000001</v>
      </c>
      <c r="H93" s="72">
        <f t="shared" si="12"/>
        <v>0</v>
      </c>
      <c r="I93" s="88"/>
    </row>
    <row r="94" spans="1:9" ht="15">
      <c r="A94" s="436" t="s">
        <v>124</v>
      </c>
      <c r="B94" s="373" t="s">
        <v>74</v>
      </c>
      <c r="C94" s="310">
        <v>15</v>
      </c>
      <c r="D94" s="310"/>
      <c r="E94" s="310">
        <f t="shared" si="10"/>
        <v>-10.437000000000012</v>
      </c>
      <c r="F94" s="162">
        <f>+SUM('RAE Jurel'!B424:B426)</f>
        <v>0</v>
      </c>
      <c r="G94" s="485">
        <f t="shared" si="11"/>
        <v>-10.437000000000012</v>
      </c>
      <c r="H94" s="72">
        <f t="shared" si="12"/>
        <v>0</v>
      </c>
      <c r="I94" s="506" t="s">
        <v>484</v>
      </c>
    </row>
    <row r="95" spans="1:9" ht="15">
      <c r="A95" s="51" t="s">
        <v>125</v>
      </c>
      <c r="B95" s="373" t="s">
        <v>74</v>
      </c>
      <c r="C95" s="310">
        <v>0</v>
      </c>
      <c r="D95" s="310"/>
      <c r="E95" s="310">
        <f t="shared" si="10"/>
        <v>0</v>
      </c>
      <c r="F95" s="162">
        <v>0</v>
      </c>
      <c r="G95" s="1904">
        <v>0</v>
      </c>
      <c r="H95" s="72" t="e">
        <f t="shared" si="12"/>
        <v>#DIV/0!</v>
      </c>
      <c r="I95" s="506"/>
    </row>
    <row r="96" spans="1:9" ht="15">
      <c r="A96" s="436" t="s">
        <v>277</v>
      </c>
      <c r="B96" s="373" t="s">
        <v>74</v>
      </c>
      <c r="C96" s="310">
        <v>1.2E-2</v>
      </c>
      <c r="D96" s="310"/>
      <c r="E96" s="310">
        <f t="shared" si="10"/>
        <v>0.23500000000000001</v>
      </c>
      <c r="F96" s="162">
        <f>+SUM('RAE Jurel'!B489:B491)</f>
        <v>0</v>
      </c>
      <c r="G96" s="162">
        <f t="shared" si="11"/>
        <v>0.23500000000000001</v>
      </c>
      <c r="H96" s="72">
        <f t="shared" si="12"/>
        <v>0</v>
      </c>
      <c r="I96" s="88"/>
    </row>
    <row r="97" spans="1:9" ht="15">
      <c r="A97" s="51" t="s">
        <v>407</v>
      </c>
      <c r="B97" s="373" t="s">
        <v>74</v>
      </c>
      <c r="C97" s="310">
        <v>5</v>
      </c>
      <c r="D97" s="310"/>
      <c r="E97" s="310">
        <f t="shared" si="10"/>
        <v>104</v>
      </c>
      <c r="F97" s="162">
        <f>+SUM('RAE Jurel'!B505:B507)</f>
        <v>0</v>
      </c>
      <c r="G97" s="162">
        <f t="shared" si="11"/>
        <v>104</v>
      </c>
      <c r="H97" s="72">
        <f t="shared" si="12"/>
        <v>0</v>
      </c>
      <c r="I97" s="88"/>
    </row>
    <row r="98" spans="1:9" ht="15">
      <c r="A98" s="51" t="s">
        <v>119</v>
      </c>
      <c r="B98" s="373" t="s">
        <v>74</v>
      </c>
      <c r="C98" s="310">
        <v>1</v>
      </c>
      <c r="D98" s="310"/>
      <c r="E98" s="310">
        <f t="shared" si="10"/>
        <v>11.266999999999999</v>
      </c>
      <c r="F98" s="162">
        <f>+SUM('RAE Jurel'!B457:B459)</f>
        <v>0</v>
      </c>
      <c r="G98" s="162">
        <f t="shared" si="11"/>
        <v>11.266999999999999</v>
      </c>
      <c r="H98" s="72">
        <f t="shared" si="12"/>
        <v>0</v>
      </c>
      <c r="I98" s="88"/>
    </row>
    <row r="99" spans="1:9" ht="15">
      <c r="A99" s="58" t="s">
        <v>111</v>
      </c>
      <c r="B99" s="65" t="s">
        <v>74</v>
      </c>
      <c r="C99" s="85">
        <f>SUM(C89:C98)</f>
        <v>104.42299999999999</v>
      </c>
      <c r="D99" s="85"/>
      <c r="E99" s="59">
        <f t="shared" si="10"/>
        <v>654.19499999999994</v>
      </c>
      <c r="F99" s="85">
        <f>SUM(F89:F98)</f>
        <v>0</v>
      </c>
      <c r="G99" s="416">
        <f>+E99-F99</f>
        <v>654.19499999999994</v>
      </c>
      <c r="H99" s="77"/>
      <c r="I99" s="1"/>
    </row>
    <row r="100" spans="1:9" ht="5.0999999999999996" customHeight="1">
      <c r="A100" s="62"/>
      <c r="B100" s="11"/>
      <c r="C100" s="93"/>
      <c r="D100" s="93"/>
      <c r="E100" s="93"/>
      <c r="F100" s="94"/>
      <c r="G100" s="94"/>
      <c r="H100" s="95"/>
      <c r="I100" s="1"/>
    </row>
    <row r="101" spans="1:9">
      <c r="C101" s="730"/>
      <c r="D101" s="730"/>
    </row>
  </sheetData>
  <mergeCells count="5">
    <mergeCell ref="A2:I2"/>
    <mergeCell ref="A18:B18"/>
    <mergeCell ref="A31:B31"/>
    <mergeCell ref="A73:B73"/>
    <mergeCell ref="A4:B4"/>
  </mergeCells>
  <phoneticPr fontId="0" type="noConversion"/>
  <pageMargins left="0.75" right="0.75" top="1" bottom="1" header="0" footer="0"/>
  <pageSetup paperSize="5" orientation="portrait" r:id="rId1"/>
  <headerFooter alignWithMargins="0"/>
  <legacyDrawing r:id="rId2"/>
  <oleObjects>
    <oleObject progId="MSPhotoEd.3" shapeId="9217" r:id="rId3"/>
  </oleObjects>
</worksheet>
</file>

<file path=xl/worksheets/sheet13.xml><?xml version="1.0" encoding="utf-8"?>
<worksheet xmlns="http://schemas.openxmlformats.org/spreadsheetml/2006/main" xmlns:r="http://schemas.openxmlformats.org/officeDocument/2006/relationships">
  <dimension ref="A2:AI524"/>
  <sheetViews>
    <sheetView topLeftCell="A37" zoomScale="85" zoomScaleNormal="85" zoomScaleSheetLayoutView="50" workbookViewId="0">
      <selection activeCell="C25" sqref="C25:AG36"/>
    </sheetView>
  </sheetViews>
  <sheetFormatPr baseColWidth="10" defaultColWidth="11.44140625" defaultRowHeight="15" customHeight="1"/>
  <cols>
    <col min="1" max="1" width="11.44140625" style="189"/>
    <col min="2" max="2" width="13.33203125" style="193" customWidth="1"/>
    <col min="3" max="3" width="11.5546875" style="189" customWidth="1"/>
    <col min="4" max="4" width="6.44140625" style="189" bestFit="1" customWidth="1"/>
    <col min="5" max="5" width="10" style="189" customWidth="1"/>
    <col min="6" max="7" width="6.109375" style="189" bestFit="1" customWidth="1"/>
    <col min="8" max="8" width="5.6640625" style="189" bestFit="1" customWidth="1"/>
    <col min="9" max="10" width="6.44140625" style="189" bestFit="1" customWidth="1"/>
    <col min="11" max="11" width="6.88671875" style="189" bestFit="1" customWidth="1"/>
    <col min="12" max="12" width="6.6640625" style="189" bestFit="1" customWidth="1"/>
    <col min="13" max="13" width="8.109375" style="189" bestFit="1" customWidth="1"/>
    <col min="14" max="14" width="6.44140625" style="189" bestFit="1" customWidth="1"/>
    <col min="15" max="15" width="6.88671875" style="189" bestFit="1" customWidth="1"/>
    <col min="16" max="17" width="7.44140625" style="189" bestFit="1" customWidth="1"/>
    <col min="18" max="18" width="6.88671875" style="189" bestFit="1" customWidth="1"/>
    <col min="19" max="19" width="7.44140625" style="189" bestFit="1" customWidth="1"/>
    <col min="20" max="20" width="8.109375" style="189" customWidth="1"/>
    <col min="21" max="21" width="6.88671875" style="189" bestFit="1" customWidth="1"/>
    <col min="22" max="22" width="7" style="189" bestFit="1" customWidth="1"/>
    <col min="23" max="23" width="6.88671875" style="189" bestFit="1" customWidth="1"/>
    <col min="24" max="24" width="6.6640625" style="189" bestFit="1" customWidth="1"/>
    <col min="25" max="25" width="5.88671875" style="189" bestFit="1" customWidth="1"/>
    <col min="26" max="26" width="6.88671875" style="189" bestFit="1" customWidth="1"/>
    <col min="27" max="27" width="6.44140625" style="189" bestFit="1" customWidth="1"/>
    <col min="28" max="28" width="7.44140625" style="189" bestFit="1" customWidth="1"/>
    <col min="29" max="29" width="5.88671875" style="189" bestFit="1" customWidth="1"/>
    <col min="30" max="30" width="6.44140625" style="189" bestFit="1" customWidth="1"/>
    <col min="31" max="33" width="5.88671875" style="189" bestFit="1" customWidth="1"/>
    <col min="34" max="34" width="8.109375" style="189" bestFit="1" customWidth="1"/>
    <col min="35" max="16384" width="11.44140625" style="189"/>
  </cols>
  <sheetData>
    <row r="2" spans="1:34" ht="15" customHeight="1">
      <c r="A2" s="3854" t="s">
        <v>398</v>
      </c>
      <c r="B2" s="3855"/>
      <c r="C2" s="3855"/>
      <c r="D2" s="3855"/>
      <c r="E2" s="3855"/>
      <c r="F2" s="3855"/>
      <c r="G2" s="3855"/>
      <c r="H2" s="3855"/>
      <c r="I2" s="3855"/>
      <c r="J2" s="3855"/>
      <c r="K2" s="3855"/>
      <c r="L2" s="3855"/>
      <c r="M2" s="3855"/>
      <c r="N2" s="3855"/>
      <c r="O2" s="3855"/>
      <c r="P2" s="3855"/>
      <c r="Q2" s="3855"/>
      <c r="R2" s="3855"/>
      <c r="S2" s="3855"/>
      <c r="T2" s="3856"/>
      <c r="U2" s="14"/>
      <c r="V2" s="14"/>
      <c r="W2" s="14"/>
      <c r="X2" s="14"/>
      <c r="Y2" s="14"/>
      <c r="Z2" s="14"/>
      <c r="AA2" s="14"/>
      <c r="AB2" s="14"/>
      <c r="AC2" s="14"/>
      <c r="AD2" s="14"/>
      <c r="AE2" s="14"/>
      <c r="AF2" s="14"/>
      <c r="AG2" s="14"/>
      <c r="AH2" s="1"/>
    </row>
    <row r="3" spans="1:34" ht="15" customHeight="1">
      <c r="A3" s="387"/>
      <c r="B3" s="387"/>
      <c r="C3" s="387"/>
      <c r="D3" s="387"/>
      <c r="E3" s="387"/>
      <c r="F3" s="387"/>
      <c r="G3" s="387"/>
      <c r="H3" s="387"/>
      <c r="I3" s="387"/>
      <c r="J3" s="387"/>
      <c r="K3" s="387"/>
      <c r="L3" s="387"/>
      <c r="M3" s="387"/>
      <c r="N3" s="387"/>
      <c r="O3" s="387"/>
      <c r="P3" s="387"/>
      <c r="Q3" s="387"/>
      <c r="R3" s="387"/>
      <c r="S3" s="387"/>
      <c r="T3" s="387"/>
      <c r="U3" s="14"/>
      <c r="V3" s="14"/>
      <c r="W3" s="14"/>
      <c r="X3" s="14"/>
      <c r="Y3" s="14"/>
      <c r="Z3" s="14"/>
      <c r="AA3" s="14"/>
      <c r="AB3" s="14"/>
      <c r="AC3" s="14"/>
      <c r="AD3" s="14"/>
      <c r="AE3" s="14"/>
      <c r="AF3" s="14"/>
      <c r="AG3" s="14"/>
      <c r="AH3" s="1"/>
    </row>
    <row r="4" spans="1:34" ht="15" customHeight="1">
      <c r="A4" s="387"/>
      <c r="B4" s="387"/>
      <c r="C4" s="387"/>
      <c r="D4" s="387"/>
      <c r="E4" s="387"/>
      <c r="F4" s="387"/>
      <c r="G4" s="387"/>
      <c r="H4" s="387"/>
      <c r="I4" s="387"/>
      <c r="J4" s="387"/>
      <c r="K4" s="387"/>
      <c r="L4" s="387"/>
      <c r="M4" s="387"/>
      <c r="N4" s="387"/>
      <c r="O4" s="387"/>
      <c r="P4" s="387"/>
      <c r="Q4" s="387"/>
      <c r="R4" s="387"/>
      <c r="S4" s="387"/>
      <c r="T4" s="387"/>
      <c r="U4" s="14"/>
      <c r="V4" s="14"/>
      <c r="W4" s="14"/>
      <c r="X4" s="14"/>
      <c r="Y4" s="14"/>
      <c r="Z4" s="14"/>
      <c r="AA4" s="14"/>
      <c r="AB4" s="14"/>
      <c r="AC4" s="14"/>
      <c r="AD4" s="14"/>
      <c r="AE4" s="14"/>
      <c r="AF4" s="14"/>
      <c r="AG4" s="14"/>
      <c r="AH4" s="1"/>
    </row>
    <row r="5" spans="1:34" ht="15" customHeight="1">
      <c r="A5" s="3873" t="s">
        <v>328</v>
      </c>
      <c r="B5" s="3874"/>
      <c r="C5" s="3874"/>
      <c r="D5" s="3874"/>
      <c r="E5" s="3874"/>
      <c r="F5" s="3874"/>
      <c r="G5" s="3874"/>
      <c r="H5" s="3874"/>
      <c r="I5" s="3874"/>
      <c r="J5" s="3874"/>
      <c r="K5" s="3874"/>
      <c r="L5" s="3874"/>
      <c r="M5" s="3874"/>
      <c r="N5" s="3874"/>
      <c r="O5" s="3874"/>
      <c r="P5" s="3874"/>
      <c r="Q5" s="3874"/>
      <c r="R5" s="3875"/>
      <c r="S5" s="387"/>
      <c r="T5" s="387"/>
      <c r="U5" s="14"/>
      <c r="V5" s="14"/>
      <c r="W5" s="14"/>
      <c r="X5" s="14"/>
      <c r="Y5" s="14"/>
      <c r="Z5" s="14"/>
      <c r="AA5" s="14"/>
      <c r="AB5" s="14"/>
      <c r="AC5" s="14"/>
      <c r="AD5" s="14"/>
      <c r="AE5" s="14"/>
      <c r="AF5" s="14"/>
      <c r="AG5" s="14"/>
      <c r="AH5" s="1"/>
    </row>
    <row r="6" spans="1:34" ht="5.25" customHeight="1">
      <c r="A6" s="388"/>
      <c r="B6" s="389"/>
      <c r="C6" s="389"/>
      <c r="D6" s="389"/>
      <c r="E6" s="389"/>
      <c r="F6" s="389"/>
      <c r="G6" s="389"/>
      <c r="H6" s="389"/>
      <c r="I6" s="387"/>
      <c r="J6" s="387"/>
      <c r="K6" s="387"/>
      <c r="L6" s="387"/>
      <c r="M6" s="387"/>
      <c r="N6" s="387"/>
      <c r="O6" s="387"/>
      <c r="P6" s="387"/>
      <c r="Q6" s="387"/>
      <c r="R6" s="387"/>
      <c r="S6" s="387"/>
      <c r="T6" s="387"/>
      <c r="U6" s="14"/>
      <c r="V6" s="14"/>
      <c r="W6" s="14"/>
      <c r="X6" s="14"/>
      <c r="Y6" s="14"/>
      <c r="Z6" s="14"/>
      <c r="AA6" s="14"/>
      <c r="AB6" s="14"/>
      <c r="AC6" s="14"/>
      <c r="AD6" s="14"/>
      <c r="AE6" s="14"/>
      <c r="AF6" s="14"/>
      <c r="AG6" s="14"/>
      <c r="AH6" s="1"/>
    </row>
    <row r="7" spans="1:34" ht="15" customHeight="1">
      <c r="A7" s="3854" t="s">
        <v>325</v>
      </c>
      <c r="B7" s="3855"/>
      <c r="C7" s="3855"/>
      <c r="D7" s="3855"/>
      <c r="E7" s="3855"/>
      <c r="F7" s="3855"/>
      <c r="G7" s="3855"/>
      <c r="H7" s="3856"/>
      <c r="I7" s="14"/>
      <c r="J7" s="114"/>
      <c r="K7" s="14"/>
      <c r="L7" s="14"/>
      <c r="M7" s="14"/>
      <c r="N7" s="14"/>
      <c r="O7" s="14"/>
      <c r="P7" s="14"/>
      <c r="Q7" s="14"/>
      <c r="R7" s="14"/>
      <c r="S7" s="14"/>
      <c r="T7" s="14"/>
      <c r="U7" s="14"/>
      <c r="V7" s="14"/>
      <c r="W7" s="14"/>
      <c r="X7" s="14"/>
      <c r="Y7" s="14"/>
      <c r="Z7" s="14"/>
      <c r="AA7" s="14"/>
      <c r="AB7" s="14"/>
      <c r="AC7" s="14"/>
      <c r="AD7" s="14"/>
      <c r="AE7" s="14"/>
      <c r="AF7" s="14"/>
      <c r="AG7" s="14"/>
      <c r="AH7" s="14"/>
    </row>
    <row r="8" spans="1:34" ht="15" customHeight="1">
      <c r="A8" s="8" t="s">
        <v>142</v>
      </c>
      <c r="B8" s="8" t="s">
        <v>143</v>
      </c>
      <c r="C8" s="372">
        <v>1</v>
      </c>
      <c r="D8" s="73">
        <v>2</v>
      </c>
      <c r="E8" s="73">
        <v>3</v>
      </c>
      <c r="F8" s="73">
        <v>4</v>
      </c>
      <c r="G8" s="73">
        <v>5</v>
      </c>
      <c r="H8" s="73">
        <v>6</v>
      </c>
      <c r="I8" s="73">
        <v>7</v>
      </c>
      <c r="J8" s="73">
        <v>8</v>
      </c>
      <c r="K8" s="73">
        <v>9</v>
      </c>
      <c r="L8" s="73">
        <v>10</v>
      </c>
      <c r="M8" s="73">
        <v>11</v>
      </c>
      <c r="N8" s="73">
        <v>12</v>
      </c>
      <c r="O8" s="73">
        <v>13</v>
      </c>
      <c r="P8" s="73">
        <v>14</v>
      </c>
      <c r="Q8" s="73">
        <v>15</v>
      </c>
      <c r="R8" s="73">
        <v>16</v>
      </c>
      <c r="S8" s="73">
        <v>17</v>
      </c>
      <c r="T8" s="73">
        <v>18</v>
      </c>
      <c r="U8" s="73">
        <v>19</v>
      </c>
      <c r="V8" s="73">
        <v>20</v>
      </c>
      <c r="W8" s="73">
        <v>21</v>
      </c>
      <c r="X8" s="73">
        <v>22</v>
      </c>
      <c r="Y8" s="73">
        <v>23</v>
      </c>
      <c r="Z8" s="73">
        <v>24</v>
      </c>
      <c r="AA8" s="73">
        <v>25</v>
      </c>
      <c r="AB8" s="73">
        <v>26</v>
      </c>
      <c r="AC8" s="73">
        <v>27</v>
      </c>
      <c r="AD8" s="73">
        <v>28</v>
      </c>
      <c r="AE8" s="73">
        <v>29</v>
      </c>
      <c r="AF8" s="73">
        <v>30</v>
      </c>
      <c r="AG8" s="73">
        <v>31</v>
      </c>
      <c r="AH8" s="88" t="s">
        <v>144</v>
      </c>
    </row>
    <row r="9" spans="1:34" s="192" customFormat="1" ht="15" customHeight="1">
      <c r="A9" s="363" t="s">
        <v>145</v>
      </c>
      <c r="B9" s="53">
        <f>+AH9</f>
        <v>9.5830000000000002</v>
      </c>
      <c r="C9" s="823">
        <v>0</v>
      </c>
      <c r="D9" s="453">
        <v>0</v>
      </c>
      <c r="E9" s="453">
        <v>0</v>
      </c>
      <c r="F9" s="453">
        <v>0</v>
      </c>
      <c r="G9" s="453">
        <v>0</v>
      </c>
      <c r="H9" s="453">
        <v>0</v>
      </c>
      <c r="I9" s="636">
        <v>0</v>
      </c>
      <c r="J9" s="636">
        <v>0</v>
      </c>
      <c r="K9" s="636">
        <v>0</v>
      </c>
      <c r="L9" s="636">
        <v>0</v>
      </c>
      <c r="M9" s="453">
        <v>0</v>
      </c>
      <c r="N9" s="453">
        <v>0</v>
      </c>
      <c r="O9" s="453">
        <v>0</v>
      </c>
      <c r="P9" s="453">
        <v>0</v>
      </c>
      <c r="Q9" s="453">
        <v>0</v>
      </c>
      <c r="R9" s="453">
        <v>0</v>
      </c>
      <c r="S9" s="453">
        <v>6.7030000000000003</v>
      </c>
      <c r="T9" s="453">
        <v>0</v>
      </c>
      <c r="U9" s="453">
        <v>0.57999999999999996</v>
      </c>
      <c r="V9" s="453">
        <v>0</v>
      </c>
      <c r="W9" s="824">
        <v>0</v>
      </c>
      <c r="X9" s="453">
        <v>0</v>
      </c>
      <c r="Y9" s="453">
        <v>0.5</v>
      </c>
      <c r="Z9" s="453">
        <v>1.8</v>
      </c>
      <c r="AA9" s="453">
        <v>0</v>
      </c>
      <c r="AB9" s="453">
        <v>0</v>
      </c>
      <c r="AC9" s="453">
        <v>0</v>
      </c>
      <c r="AD9" s="453">
        <v>0</v>
      </c>
      <c r="AE9" s="453">
        <v>0</v>
      </c>
      <c r="AF9" s="453">
        <v>0</v>
      </c>
      <c r="AG9" s="453">
        <v>0</v>
      </c>
      <c r="AH9" s="53">
        <f>SUM(C9:AG9)</f>
        <v>9.5830000000000002</v>
      </c>
    </row>
    <row r="10" spans="1:34" ht="15" customHeight="1">
      <c r="A10" s="363" t="s">
        <v>146</v>
      </c>
      <c r="B10" s="53">
        <f>+AH10</f>
        <v>241.12500000000003</v>
      </c>
      <c r="C10" s="306">
        <v>0</v>
      </c>
      <c r="D10" s="306">
        <v>0</v>
      </c>
      <c r="E10" s="306">
        <v>0</v>
      </c>
      <c r="F10" s="306">
        <v>0</v>
      </c>
      <c r="G10" s="306">
        <v>0</v>
      </c>
      <c r="H10" s="306">
        <v>0</v>
      </c>
      <c r="I10" s="306">
        <v>0</v>
      </c>
      <c r="J10" s="306">
        <v>0</v>
      </c>
      <c r="K10" s="306">
        <v>0</v>
      </c>
      <c r="L10" s="306">
        <v>0</v>
      </c>
      <c r="M10" s="306">
        <v>0</v>
      </c>
      <c r="N10" s="306">
        <v>0</v>
      </c>
      <c r="O10" s="306">
        <v>0</v>
      </c>
      <c r="P10" s="306">
        <v>141.51300000000001</v>
      </c>
      <c r="Q10" s="306">
        <v>36.938000000000002</v>
      </c>
      <c r="R10" s="306">
        <v>0</v>
      </c>
      <c r="S10" s="306">
        <v>62.674000000000007</v>
      </c>
      <c r="T10" s="306">
        <v>0</v>
      </c>
      <c r="U10" s="306">
        <v>0</v>
      </c>
      <c r="V10" s="306">
        <v>0</v>
      </c>
      <c r="W10" s="306">
        <v>0</v>
      </c>
      <c r="X10" s="306">
        <v>0</v>
      </c>
      <c r="Y10" s="306">
        <v>0</v>
      </c>
      <c r="Z10" s="306">
        <v>0</v>
      </c>
      <c r="AA10" s="306">
        <v>0</v>
      </c>
      <c r="AB10" s="306">
        <v>0</v>
      </c>
      <c r="AC10" s="306">
        <v>0</v>
      </c>
      <c r="AD10" s="306">
        <v>0</v>
      </c>
      <c r="AE10" s="306">
        <v>0</v>
      </c>
      <c r="AF10" s="306"/>
      <c r="AG10" s="306"/>
      <c r="AH10" s="53">
        <f t="shared" ref="AH10:AH21" si="0">SUM(C10:AG10)</f>
        <v>241.12500000000003</v>
      </c>
    </row>
    <row r="11" spans="1:34" s="192" customFormat="1" ht="15" customHeight="1">
      <c r="A11" s="363" t="s">
        <v>147</v>
      </c>
      <c r="B11" s="53">
        <f t="shared" ref="B11:B20" si="1">+AH11</f>
        <v>1273.499</v>
      </c>
      <c r="C11" s="636">
        <v>0</v>
      </c>
      <c r="D11" s="453">
        <v>0</v>
      </c>
      <c r="E11" s="667">
        <v>0</v>
      </c>
      <c r="F11" s="667">
        <v>0</v>
      </c>
      <c r="G11" s="667">
        <v>0</v>
      </c>
      <c r="H11" s="667">
        <v>0</v>
      </c>
      <c r="I11" s="667">
        <v>0</v>
      </c>
      <c r="J11" s="667">
        <v>0</v>
      </c>
      <c r="K11" s="667">
        <v>122.20299999999999</v>
      </c>
      <c r="L11" s="667">
        <v>292.88599999999997</v>
      </c>
      <c r="M11" s="667">
        <v>0</v>
      </c>
      <c r="N11" s="667">
        <v>37.655999999999999</v>
      </c>
      <c r="O11" s="667">
        <v>101.69</v>
      </c>
      <c r="P11" s="667">
        <v>84.763999999999996</v>
      </c>
      <c r="Q11" s="667">
        <v>76.631</v>
      </c>
      <c r="R11" s="667">
        <v>54.995999999999995</v>
      </c>
      <c r="S11" s="667">
        <v>40.819000000000003</v>
      </c>
      <c r="T11" s="667">
        <v>0</v>
      </c>
      <c r="U11" s="667">
        <v>43.667999999999999</v>
      </c>
      <c r="V11" s="667">
        <v>3.8410000000000002</v>
      </c>
      <c r="W11" s="667">
        <v>0</v>
      </c>
      <c r="X11" s="667">
        <v>0</v>
      </c>
      <c r="Y11" s="667">
        <v>34.281999999999996</v>
      </c>
      <c r="Z11" s="667">
        <v>109.53099999999999</v>
      </c>
      <c r="AA11" s="667">
        <v>0</v>
      </c>
      <c r="AB11" s="667">
        <v>79.661000000000001</v>
      </c>
      <c r="AC11" s="667">
        <v>83.304999999999993</v>
      </c>
      <c r="AD11" s="667">
        <v>19.238000000000003</v>
      </c>
      <c r="AE11" s="667">
        <v>1.31</v>
      </c>
      <c r="AF11" s="667">
        <v>45.694000000000003</v>
      </c>
      <c r="AG11" s="667">
        <v>41.323999999999998</v>
      </c>
      <c r="AH11" s="53">
        <f t="shared" si="0"/>
        <v>1273.499</v>
      </c>
    </row>
    <row r="12" spans="1:34" s="192" customFormat="1" ht="15" customHeight="1">
      <c r="A12" s="363" t="s">
        <v>148</v>
      </c>
      <c r="B12" s="53">
        <f t="shared" si="1"/>
        <v>169.45099999999994</v>
      </c>
      <c r="C12" s="821">
        <v>0</v>
      </c>
      <c r="D12" s="303">
        <v>86.039999999999992</v>
      </c>
      <c r="E12" s="822">
        <v>46.667999999999992</v>
      </c>
      <c r="F12" s="822">
        <v>7.7759999999999998</v>
      </c>
      <c r="G12" s="822">
        <v>0.6</v>
      </c>
      <c r="H12" s="822">
        <v>0</v>
      </c>
      <c r="I12" s="822">
        <v>0</v>
      </c>
      <c r="J12" s="822">
        <v>0.2</v>
      </c>
      <c r="K12" s="822">
        <v>0.1</v>
      </c>
      <c r="L12" s="822">
        <v>15.010000000000002</v>
      </c>
      <c r="M12" s="822">
        <v>0</v>
      </c>
      <c r="N12" s="822">
        <v>0</v>
      </c>
      <c r="O12" s="822">
        <v>0</v>
      </c>
      <c r="P12" s="822">
        <v>0</v>
      </c>
      <c r="Q12" s="822">
        <v>0</v>
      </c>
      <c r="R12" s="822">
        <v>0</v>
      </c>
      <c r="S12" s="822">
        <v>0</v>
      </c>
      <c r="T12" s="822">
        <v>0</v>
      </c>
      <c r="U12" s="822">
        <v>0</v>
      </c>
      <c r="V12" s="822">
        <v>0</v>
      </c>
      <c r="W12" s="822">
        <v>0</v>
      </c>
      <c r="X12" s="822">
        <v>0</v>
      </c>
      <c r="Y12" s="822">
        <v>0</v>
      </c>
      <c r="Z12" s="822">
        <v>0</v>
      </c>
      <c r="AA12" s="822">
        <v>0</v>
      </c>
      <c r="AB12" s="822">
        <v>13.057</v>
      </c>
      <c r="AC12" s="822">
        <v>0</v>
      </c>
      <c r="AD12" s="822">
        <v>0</v>
      </c>
      <c r="AE12" s="822">
        <v>0</v>
      </c>
      <c r="AF12" s="822">
        <v>0</v>
      </c>
      <c r="AG12" s="822"/>
      <c r="AH12" s="53">
        <f t="shared" si="0"/>
        <v>169.45099999999994</v>
      </c>
    </row>
    <row r="13" spans="1:34" ht="15" customHeight="1">
      <c r="A13" s="363" t="s">
        <v>149</v>
      </c>
      <c r="B13" s="53">
        <f t="shared" si="1"/>
        <v>3.6</v>
      </c>
      <c r="C13" s="329">
        <v>0</v>
      </c>
      <c r="D13" s="329">
        <v>0</v>
      </c>
      <c r="E13" s="329">
        <v>0</v>
      </c>
      <c r="F13" s="329">
        <v>0</v>
      </c>
      <c r="G13" s="329">
        <v>0</v>
      </c>
      <c r="H13" s="329">
        <v>0</v>
      </c>
      <c r="I13" s="329">
        <v>0</v>
      </c>
      <c r="J13" s="329">
        <v>0</v>
      </c>
      <c r="K13" s="329">
        <v>0</v>
      </c>
      <c r="L13" s="329">
        <v>0</v>
      </c>
      <c r="M13" s="329">
        <v>0</v>
      </c>
      <c r="N13" s="329">
        <v>0</v>
      </c>
      <c r="O13" s="329">
        <v>0</v>
      </c>
      <c r="P13" s="329">
        <v>0</v>
      </c>
      <c r="Q13" s="329">
        <v>0</v>
      </c>
      <c r="R13" s="329">
        <v>0</v>
      </c>
      <c r="S13" s="329">
        <v>0</v>
      </c>
      <c r="T13" s="329">
        <v>0</v>
      </c>
      <c r="U13" s="329">
        <v>0</v>
      </c>
      <c r="V13" s="329">
        <v>0</v>
      </c>
      <c r="W13" s="329">
        <v>0</v>
      </c>
      <c r="X13" s="329">
        <v>1.2</v>
      </c>
      <c r="Y13" s="329">
        <v>0</v>
      </c>
      <c r="Z13" s="329">
        <v>0.8</v>
      </c>
      <c r="AA13" s="329">
        <v>1</v>
      </c>
      <c r="AB13" s="329">
        <v>0</v>
      </c>
      <c r="AC13" s="329">
        <v>0</v>
      </c>
      <c r="AD13" s="329">
        <v>0</v>
      </c>
      <c r="AE13" s="329">
        <v>0</v>
      </c>
      <c r="AF13" s="329">
        <v>0.6</v>
      </c>
      <c r="AG13" s="329">
        <v>0</v>
      </c>
      <c r="AH13" s="53">
        <f t="shared" si="0"/>
        <v>3.6</v>
      </c>
    </row>
    <row r="14" spans="1:34" ht="15" customHeight="1">
      <c r="A14" s="363" t="s">
        <v>150</v>
      </c>
      <c r="B14" s="53">
        <f t="shared" si="1"/>
        <v>40.180999999999997</v>
      </c>
      <c r="C14" s="329">
        <v>0</v>
      </c>
      <c r="D14" s="329">
        <v>0</v>
      </c>
      <c r="E14" s="329">
        <v>0</v>
      </c>
      <c r="F14" s="329">
        <v>0</v>
      </c>
      <c r="G14" s="329">
        <v>0</v>
      </c>
      <c r="H14" s="329">
        <v>0</v>
      </c>
      <c r="I14" s="329">
        <v>0</v>
      </c>
      <c r="J14" s="329">
        <v>0</v>
      </c>
      <c r="K14" s="329">
        <v>29.81</v>
      </c>
      <c r="L14" s="329">
        <v>0</v>
      </c>
      <c r="M14" s="329">
        <v>0</v>
      </c>
      <c r="N14" s="329">
        <v>0</v>
      </c>
      <c r="O14" s="329">
        <v>0.6</v>
      </c>
      <c r="P14" s="329">
        <v>0</v>
      </c>
      <c r="Q14" s="329">
        <v>0</v>
      </c>
      <c r="R14" s="329">
        <v>0</v>
      </c>
      <c r="S14" s="329">
        <v>0</v>
      </c>
      <c r="T14" s="329">
        <v>0</v>
      </c>
      <c r="U14" s="329">
        <v>0</v>
      </c>
      <c r="V14" s="329">
        <v>0</v>
      </c>
      <c r="W14" s="329">
        <v>0</v>
      </c>
      <c r="X14" s="329">
        <v>0</v>
      </c>
      <c r="Y14" s="329">
        <v>0</v>
      </c>
      <c r="Z14" s="329">
        <v>0</v>
      </c>
      <c r="AA14" s="329">
        <v>0</v>
      </c>
      <c r="AB14" s="329">
        <v>0</v>
      </c>
      <c r="AC14" s="329">
        <v>4.7</v>
      </c>
      <c r="AD14" s="329">
        <v>0</v>
      </c>
      <c r="AE14" s="329">
        <v>0</v>
      </c>
      <c r="AF14" s="329">
        <v>5.0709999999999997</v>
      </c>
      <c r="AG14" s="329"/>
      <c r="AH14" s="53">
        <f t="shared" si="0"/>
        <v>40.180999999999997</v>
      </c>
    </row>
    <row r="15" spans="1:34" ht="15" customHeight="1">
      <c r="A15" s="363" t="s">
        <v>151</v>
      </c>
      <c r="B15" s="53">
        <f t="shared" si="1"/>
        <v>134.69999999999999</v>
      </c>
      <c r="C15" s="329">
        <v>0</v>
      </c>
      <c r="D15" s="329">
        <v>0</v>
      </c>
      <c r="E15" s="329">
        <v>0</v>
      </c>
      <c r="F15" s="329">
        <v>0</v>
      </c>
      <c r="G15" s="329">
        <v>0</v>
      </c>
      <c r="H15" s="329">
        <v>1.6</v>
      </c>
      <c r="I15" s="329">
        <v>3.8</v>
      </c>
      <c r="J15" s="329">
        <v>0</v>
      </c>
      <c r="K15" s="329">
        <v>23</v>
      </c>
      <c r="L15" s="329">
        <v>18</v>
      </c>
      <c r="M15" s="329">
        <v>0</v>
      </c>
      <c r="N15" s="329">
        <v>0</v>
      </c>
      <c r="O15" s="329">
        <v>0</v>
      </c>
      <c r="P15" s="329">
        <v>0.4</v>
      </c>
      <c r="Q15" s="329">
        <v>0</v>
      </c>
      <c r="R15" s="329">
        <v>0</v>
      </c>
      <c r="S15" s="329">
        <v>0</v>
      </c>
      <c r="T15" s="329">
        <v>18</v>
      </c>
      <c r="U15" s="329">
        <v>18</v>
      </c>
      <c r="V15" s="329">
        <v>49.4</v>
      </c>
      <c r="W15" s="329">
        <v>0</v>
      </c>
      <c r="X15" s="329">
        <v>0</v>
      </c>
      <c r="Y15" s="329">
        <v>0</v>
      </c>
      <c r="Z15" s="329">
        <v>0</v>
      </c>
      <c r="AA15" s="329">
        <v>2.5</v>
      </c>
      <c r="AB15" s="329">
        <v>0</v>
      </c>
      <c r="AC15" s="329">
        <v>0</v>
      </c>
      <c r="AD15" s="329">
        <v>0</v>
      </c>
      <c r="AE15" s="329">
        <v>0</v>
      </c>
      <c r="AF15" s="329">
        <v>0</v>
      </c>
      <c r="AG15" s="329">
        <v>0</v>
      </c>
      <c r="AH15" s="53">
        <f t="shared" si="0"/>
        <v>134.69999999999999</v>
      </c>
    </row>
    <row r="16" spans="1:34" ht="15" customHeight="1">
      <c r="A16" s="363" t="s">
        <v>152</v>
      </c>
      <c r="B16" s="53">
        <f t="shared" si="1"/>
        <v>58.14</v>
      </c>
      <c r="C16" s="329">
        <v>0</v>
      </c>
      <c r="D16" s="329">
        <v>0</v>
      </c>
      <c r="E16" s="329">
        <v>0</v>
      </c>
      <c r="F16" s="329">
        <v>0</v>
      </c>
      <c r="G16" s="329">
        <v>0</v>
      </c>
      <c r="H16" s="329">
        <v>0</v>
      </c>
      <c r="I16" s="329">
        <v>0</v>
      </c>
      <c r="J16" s="329">
        <v>0</v>
      </c>
      <c r="K16" s="329">
        <v>0</v>
      </c>
      <c r="L16" s="329">
        <v>13</v>
      </c>
      <c r="M16" s="329">
        <v>0</v>
      </c>
      <c r="N16" s="329">
        <v>0</v>
      </c>
      <c r="O16" s="329">
        <v>0</v>
      </c>
      <c r="P16" s="329">
        <v>0</v>
      </c>
      <c r="Q16" s="329">
        <v>13.5</v>
      </c>
      <c r="R16" s="329">
        <v>31.64</v>
      </c>
      <c r="S16" s="329">
        <v>0</v>
      </c>
      <c r="T16" s="329">
        <v>0</v>
      </c>
      <c r="U16" s="329">
        <v>0</v>
      </c>
      <c r="V16" s="329">
        <v>0</v>
      </c>
      <c r="W16" s="329">
        <v>0</v>
      </c>
      <c r="X16" s="329">
        <v>0</v>
      </c>
      <c r="Y16" s="329">
        <v>0</v>
      </c>
      <c r="Z16" s="329">
        <v>0</v>
      </c>
      <c r="AA16" s="329">
        <v>0</v>
      </c>
      <c r="AB16" s="329">
        <v>0</v>
      </c>
      <c r="AC16" s="329">
        <v>0</v>
      </c>
      <c r="AD16" s="329">
        <v>0</v>
      </c>
      <c r="AE16" s="329">
        <v>0</v>
      </c>
      <c r="AF16" s="329">
        <v>0</v>
      </c>
      <c r="AG16" s="329">
        <v>0</v>
      </c>
      <c r="AH16" s="107">
        <f t="shared" si="0"/>
        <v>58.14</v>
      </c>
    </row>
    <row r="17" spans="1:34" ht="15" customHeight="1">
      <c r="A17" s="363" t="s">
        <v>153</v>
      </c>
      <c r="B17" s="53">
        <f t="shared" si="1"/>
        <v>0</v>
      </c>
      <c r="C17" s="329"/>
      <c r="D17" s="329"/>
      <c r="E17" s="329"/>
      <c r="F17" s="329"/>
      <c r="G17" s="329"/>
      <c r="H17" s="329"/>
      <c r="I17" s="329"/>
      <c r="J17" s="329"/>
      <c r="K17" s="329"/>
      <c r="L17" s="329"/>
      <c r="M17" s="329"/>
      <c r="N17" s="329"/>
      <c r="O17" s="329"/>
      <c r="P17" s="329"/>
      <c r="Q17" s="329"/>
      <c r="R17" s="329"/>
      <c r="S17" s="329"/>
      <c r="T17" s="329"/>
      <c r="U17" s="329"/>
      <c r="V17" s="329"/>
      <c r="W17" s="329"/>
      <c r="X17" s="329"/>
      <c r="Y17" s="329"/>
      <c r="Z17" s="329"/>
      <c r="AA17" s="329"/>
      <c r="AB17" s="329"/>
      <c r="AC17" s="329"/>
      <c r="AD17" s="329"/>
      <c r="AE17" s="329"/>
      <c r="AF17" s="329"/>
      <c r="AG17" s="329"/>
      <c r="AH17" s="107">
        <f t="shared" si="0"/>
        <v>0</v>
      </c>
    </row>
    <row r="18" spans="1:34" ht="15" customHeight="1">
      <c r="A18" s="363" t="s">
        <v>154</v>
      </c>
      <c r="B18" s="53">
        <f t="shared" si="1"/>
        <v>0</v>
      </c>
      <c r="C18" s="329"/>
      <c r="D18" s="329"/>
      <c r="E18" s="329"/>
      <c r="F18" s="329"/>
      <c r="G18" s="329"/>
      <c r="H18" s="329"/>
      <c r="I18" s="329"/>
      <c r="J18" s="329"/>
      <c r="K18" s="329"/>
      <c r="L18" s="329"/>
      <c r="M18" s="329"/>
      <c r="N18" s="329"/>
      <c r="O18" s="329"/>
      <c r="P18" s="329"/>
      <c r="Q18" s="329"/>
      <c r="R18" s="329"/>
      <c r="S18" s="329"/>
      <c r="T18" s="329"/>
      <c r="U18" s="329"/>
      <c r="V18" s="329"/>
      <c r="W18" s="329"/>
      <c r="X18" s="329"/>
      <c r="Y18" s="329"/>
      <c r="Z18" s="329"/>
      <c r="AA18" s="329"/>
      <c r="AB18" s="329"/>
      <c r="AC18" s="329"/>
      <c r="AD18" s="329"/>
      <c r="AE18" s="329"/>
      <c r="AF18" s="329"/>
      <c r="AG18" s="329"/>
      <c r="AH18" s="107">
        <f t="shared" si="0"/>
        <v>0</v>
      </c>
    </row>
    <row r="19" spans="1:34" ht="15" customHeight="1">
      <c r="A19" s="73" t="s">
        <v>155</v>
      </c>
      <c r="B19" s="53">
        <f t="shared" si="1"/>
        <v>0.96</v>
      </c>
      <c r="C19" s="329">
        <v>0</v>
      </c>
      <c r="D19" s="329">
        <v>0</v>
      </c>
      <c r="E19" s="329">
        <v>0</v>
      </c>
      <c r="F19" s="329">
        <v>0</v>
      </c>
      <c r="G19" s="329">
        <v>0</v>
      </c>
      <c r="H19" s="329">
        <v>0</v>
      </c>
      <c r="I19" s="329">
        <v>0</v>
      </c>
      <c r="J19" s="329">
        <v>0</v>
      </c>
      <c r="K19" s="329">
        <v>0</v>
      </c>
      <c r="L19" s="329">
        <v>0</v>
      </c>
      <c r="M19" s="329">
        <v>0</v>
      </c>
      <c r="N19" s="329">
        <v>0</v>
      </c>
      <c r="O19" s="329">
        <v>0</v>
      </c>
      <c r="P19" s="329">
        <v>0</v>
      </c>
      <c r="Q19" s="329">
        <v>0</v>
      </c>
      <c r="R19" s="329">
        <v>0</v>
      </c>
      <c r="S19" s="329">
        <v>0</v>
      </c>
      <c r="T19" s="329">
        <v>0</v>
      </c>
      <c r="U19" s="329">
        <v>0</v>
      </c>
      <c r="V19" s="329">
        <v>0</v>
      </c>
      <c r="W19" s="329">
        <v>0</v>
      </c>
      <c r="X19" s="329">
        <v>0</v>
      </c>
      <c r="Y19" s="329">
        <v>0.3</v>
      </c>
      <c r="Z19" s="329">
        <v>0.5</v>
      </c>
      <c r="AA19" s="329">
        <v>0</v>
      </c>
      <c r="AB19" s="329">
        <v>0</v>
      </c>
      <c r="AC19" s="329">
        <v>0</v>
      </c>
      <c r="AD19" s="329">
        <v>0.09</v>
      </c>
      <c r="AE19" s="329">
        <v>7.0000000000000007E-2</v>
      </c>
      <c r="AF19" s="329">
        <v>0</v>
      </c>
      <c r="AG19" s="329"/>
      <c r="AH19" s="107">
        <f t="shared" si="0"/>
        <v>0.96</v>
      </c>
    </row>
    <row r="20" spans="1:34" ht="15" customHeight="1">
      <c r="A20" s="73" t="s">
        <v>156</v>
      </c>
      <c r="B20" s="53">
        <f t="shared" si="1"/>
        <v>0</v>
      </c>
      <c r="C20" s="329"/>
      <c r="D20" s="329"/>
      <c r="E20" s="329"/>
      <c r="F20" s="329"/>
      <c r="G20" s="329"/>
      <c r="H20" s="329"/>
      <c r="I20" s="329"/>
      <c r="J20" s="329"/>
      <c r="K20" s="329"/>
      <c r="L20" s="329"/>
      <c r="M20" s="329"/>
      <c r="N20" s="329"/>
      <c r="O20" s="329"/>
      <c r="P20" s="329"/>
      <c r="Q20" s="329"/>
      <c r="R20" s="329"/>
      <c r="S20" s="329"/>
      <c r="T20" s="329"/>
      <c r="U20" s="329"/>
      <c r="V20" s="329"/>
      <c r="W20" s="329"/>
      <c r="X20" s="329"/>
      <c r="Y20" s="329"/>
      <c r="Z20" s="329"/>
      <c r="AA20" s="329"/>
      <c r="AB20" s="329"/>
      <c r="AC20" s="329"/>
      <c r="AD20" s="329"/>
      <c r="AE20" s="329"/>
      <c r="AF20" s="329"/>
      <c r="AG20" s="329"/>
      <c r="AH20" s="107">
        <f t="shared" si="0"/>
        <v>0</v>
      </c>
    </row>
    <row r="21" spans="1:34" ht="15" customHeight="1">
      <c r="A21" s="199" t="s">
        <v>144</v>
      </c>
      <c r="B21" s="200">
        <f>SUM(B9:B20)</f>
        <v>1931.2390000000003</v>
      </c>
      <c r="C21" s="100">
        <f>SUM(C9:C20)</f>
        <v>0</v>
      </c>
      <c r="D21" s="100">
        <f t="shared" ref="D21:AG21" si="2">SUM(D9:D20)</f>
        <v>86.039999999999992</v>
      </c>
      <c r="E21" s="100">
        <f t="shared" si="2"/>
        <v>46.667999999999992</v>
      </c>
      <c r="F21" s="100">
        <f t="shared" si="2"/>
        <v>7.7759999999999998</v>
      </c>
      <c r="G21" s="100">
        <f t="shared" si="2"/>
        <v>0.6</v>
      </c>
      <c r="H21" s="100">
        <f t="shared" si="2"/>
        <v>1.6</v>
      </c>
      <c r="I21" s="100">
        <f t="shared" si="2"/>
        <v>3.8</v>
      </c>
      <c r="J21" s="100">
        <f t="shared" si="2"/>
        <v>0.2</v>
      </c>
      <c r="K21" s="100">
        <f t="shared" si="2"/>
        <v>175.11299999999997</v>
      </c>
      <c r="L21" s="100">
        <f t="shared" si="2"/>
        <v>338.89599999999996</v>
      </c>
      <c r="M21" s="100">
        <f t="shared" si="2"/>
        <v>0</v>
      </c>
      <c r="N21" s="100">
        <f t="shared" si="2"/>
        <v>37.655999999999999</v>
      </c>
      <c r="O21" s="100">
        <f>SUM(O9:O20)</f>
        <v>102.28999999999999</v>
      </c>
      <c r="P21" s="100">
        <f t="shared" si="2"/>
        <v>226.67699999999999</v>
      </c>
      <c r="Q21" s="100">
        <f t="shared" si="2"/>
        <v>127.069</v>
      </c>
      <c r="R21" s="100">
        <f t="shared" si="2"/>
        <v>86.635999999999996</v>
      </c>
      <c r="S21" s="100">
        <f t="shared" si="2"/>
        <v>110.19600000000001</v>
      </c>
      <c r="T21" s="100">
        <f t="shared" si="2"/>
        <v>18</v>
      </c>
      <c r="U21" s="100">
        <f t="shared" si="2"/>
        <v>62.247999999999998</v>
      </c>
      <c r="V21" s="100">
        <f t="shared" si="2"/>
        <v>53.241</v>
      </c>
      <c r="W21" s="100">
        <f t="shared" si="2"/>
        <v>0</v>
      </c>
      <c r="X21" s="100">
        <f t="shared" si="2"/>
        <v>1.2</v>
      </c>
      <c r="Y21" s="100">
        <f t="shared" si="2"/>
        <v>35.081999999999994</v>
      </c>
      <c r="Z21" s="100">
        <f t="shared" si="2"/>
        <v>112.63099999999999</v>
      </c>
      <c r="AA21" s="100">
        <f t="shared" si="2"/>
        <v>3.5</v>
      </c>
      <c r="AB21" s="100">
        <f t="shared" si="2"/>
        <v>92.718000000000004</v>
      </c>
      <c r="AC21" s="100">
        <f t="shared" si="2"/>
        <v>88.004999999999995</v>
      </c>
      <c r="AD21" s="100">
        <f t="shared" si="2"/>
        <v>19.328000000000003</v>
      </c>
      <c r="AE21" s="100">
        <f>SUM(AE9:AE20)</f>
        <v>1.3800000000000001</v>
      </c>
      <c r="AF21" s="100">
        <f t="shared" si="2"/>
        <v>51.365000000000002</v>
      </c>
      <c r="AG21" s="100">
        <f t="shared" si="2"/>
        <v>41.323999999999998</v>
      </c>
      <c r="AH21" s="107">
        <f t="shared" si="0"/>
        <v>1931.2390000000003</v>
      </c>
    </row>
    <row r="22" spans="1:34" ht="15" customHeight="1">
      <c r="A22" s="387"/>
      <c r="B22" s="387"/>
      <c r="C22" s="387"/>
      <c r="D22" s="387"/>
      <c r="E22" s="387"/>
      <c r="F22" s="387"/>
      <c r="G22" s="387"/>
      <c r="H22" s="387"/>
      <c r="I22" s="387"/>
      <c r="J22" s="387"/>
      <c r="K22" s="387"/>
      <c r="L22" s="387"/>
      <c r="M22" s="387"/>
      <c r="N22" s="387"/>
      <c r="O22" s="387"/>
      <c r="P22" s="387"/>
      <c r="Q22" s="387"/>
      <c r="R22" s="387"/>
      <c r="S22" s="387"/>
      <c r="T22" s="387"/>
      <c r="U22" s="114"/>
      <c r="V22" s="114"/>
      <c r="W22" s="114"/>
      <c r="X22" s="114"/>
      <c r="Y22" s="114"/>
      <c r="Z22" s="114"/>
      <c r="AA22" s="114"/>
      <c r="AB22" s="114"/>
      <c r="AC22" s="114"/>
      <c r="AD22" s="114"/>
      <c r="AE22" s="114"/>
      <c r="AF22" s="114"/>
      <c r="AG22" s="114"/>
      <c r="AH22" s="114"/>
    </row>
    <row r="23" spans="1:34" ht="15" customHeight="1">
      <c r="A23" s="3896" t="s">
        <v>327</v>
      </c>
      <c r="B23" s="3897"/>
      <c r="C23" s="3897"/>
      <c r="D23" s="3897"/>
      <c r="E23" s="3897"/>
      <c r="F23" s="3897"/>
      <c r="G23" s="3897"/>
      <c r="H23" s="3898"/>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row>
    <row r="24" spans="1:34" ht="15" customHeight="1">
      <c r="A24" s="8" t="s">
        <v>142</v>
      </c>
      <c r="B24" s="8" t="s">
        <v>143</v>
      </c>
      <c r="C24" s="372">
        <v>1</v>
      </c>
      <c r="D24" s="73">
        <v>2</v>
      </c>
      <c r="E24" s="73">
        <v>3</v>
      </c>
      <c r="F24" s="73">
        <v>4</v>
      </c>
      <c r="G24" s="73">
        <v>5</v>
      </c>
      <c r="H24" s="73">
        <v>6</v>
      </c>
      <c r="I24" s="73">
        <v>7</v>
      </c>
      <c r="J24" s="73">
        <v>8</v>
      </c>
      <c r="K24" s="73">
        <v>9</v>
      </c>
      <c r="L24" s="73">
        <v>10</v>
      </c>
      <c r="M24" s="73">
        <v>11</v>
      </c>
      <c r="N24" s="73">
        <v>12</v>
      </c>
      <c r="O24" s="73">
        <v>13</v>
      </c>
      <c r="P24" s="73">
        <v>14</v>
      </c>
      <c r="Q24" s="73">
        <v>15</v>
      </c>
      <c r="R24" s="73">
        <v>16</v>
      </c>
      <c r="S24" s="73">
        <v>17</v>
      </c>
      <c r="T24" s="73">
        <v>18</v>
      </c>
      <c r="U24" s="73">
        <v>19</v>
      </c>
      <c r="V24" s="73">
        <v>20</v>
      </c>
      <c r="W24" s="73">
        <v>21</v>
      </c>
      <c r="X24" s="73">
        <v>22</v>
      </c>
      <c r="Y24" s="73">
        <v>23</v>
      </c>
      <c r="Z24" s="73">
        <v>24</v>
      </c>
      <c r="AA24" s="73">
        <v>25</v>
      </c>
      <c r="AB24" s="73">
        <v>26</v>
      </c>
      <c r="AC24" s="73">
        <v>27</v>
      </c>
      <c r="AD24" s="73">
        <v>28</v>
      </c>
      <c r="AE24" s="73">
        <v>29</v>
      </c>
      <c r="AF24" s="73">
        <v>30</v>
      </c>
      <c r="AG24" s="73">
        <v>31</v>
      </c>
      <c r="AH24" s="88" t="s">
        <v>144</v>
      </c>
    </row>
    <row r="25" spans="1:34" s="192" customFormat="1" ht="15" customHeight="1">
      <c r="A25" s="363" t="s">
        <v>145</v>
      </c>
      <c r="B25" s="53">
        <f>+AH25</f>
        <v>5.8729999999999993</v>
      </c>
      <c r="C25" s="302">
        <v>0</v>
      </c>
      <c r="D25" s="303">
        <v>7.0000000000000007E-2</v>
      </c>
      <c r="E25" s="303">
        <v>0.45999999999999996</v>
      </c>
      <c r="F25" s="821">
        <v>0.12000000000000001</v>
      </c>
      <c r="G25" s="303">
        <v>0.59</v>
      </c>
      <c r="H25" s="303">
        <v>0</v>
      </c>
      <c r="I25" s="303">
        <v>0.11</v>
      </c>
      <c r="J25" s="303">
        <v>0.1</v>
      </c>
      <c r="K25" s="303">
        <v>0.08</v>
      </c>
      <c r="L25" s="303">
        <v>0.23</v>
      </c>
      <c r="M25" s="303">
        <v>0.21</v>
      </c>
      <c r="N25" s="303">
        <v>0.16</v>
      </c>
      <c r="O25" s="303">
        <v>4.4999999999999998E-2</v>
      </c>
      <c r="P25" s="303">
        <v>0.30000000000000004</v>
      </c>
      <c r="Q25" s="303">
        <v>0.255</v>
      </c>
      <c r="R25" s="453">
        <v>1.7999999999999999E-2</v>
      </c>
      <c r="S25" s="453">
        <v>0.245</v>
      </c>
      <c r="T25" s="303">
        <v>9.5000000000000001E-2</v>
      </c>
      <c r="U25" s="636">
        <v>0.56000000000000005</v>
      </c>
      <c r="V25" s="303">
        <v>0.49</v>
      </c>
      <c r="W25" s="821">
        <v>0.41499999999999998</v>
      </c>
      <c r="X25" s="303">
        <v>0.1</v>
      </c>
      <c r="Y25" s="303">
        <v>0.03</v>
      </c>
      <c r="Z25" s="303">
        <v>0.06</v>
      </c>
      <c r="AA25" s="303">
        <v>0.27</v>
      </c>
      <c r="AB25" s="303">
        <v>0.06</v>
      </c>
      <c r="AC25" s="303">
        <v>6.0000000000000005E-2</v>
      </c>
      <c r="AD25" s="303">
        <v>0.39999999999999997</v>
      </c>
      <c r="AE25" s="303">
        <v>0.09</v>
      </c>
      <c r="AF25" s="303">
        <v>0</v>
      </c>
      <c r="AG25" s="303">
        <v>0.25</v>
      </c>
      <c r="AH25" s="53">
        <f>SUM(C25:AG25)</f>
        <v>5.8729999999999993</v>
      </c>
    </row>
    <row r="26" spans="1:34" ht="15" customHeight="1">
      <c r="A26" s="363" t="s">
        <v>146</v>
      </c>
      <c r="B26" s="53">
        <f>+AH26</f>
        <v>16.855</v>
      </c>
      <c r="C26" s="302">
        <v>0.35</v>
      </c>
      <c r="D26" s="303">
        <v>0</v>
      </c>
      <c r="E26" s="303">
        <v>0.45</v>
      </c>
      <c r="F26" s="303">
        <v>0.3</v>
      </c>
      <c r="G26" s="303">
        <v>0</v>
      </c>
      <c r="H26" s="303">
        <v>0</v>
      </c>
      <c r="I26" s="303">
        <v>4.4999999999999998E-2</v>
      </c>
      <c r="J26" s="303">
        <v>0</v>
      </c>
      <c r="K26" s="303">
        <v>0</v>
      </c>
      <c r="L26" s="303">
        <v>0</v>
      </c>
      <c r="M26" s="303">
        <v>0</v>
      </c>
      <c r="N26" s="303">
        <v>0</v>
      </c>
      <c r="O26" s="303">
        <v>0</v>
      </c>
      <c r="P26" s="303">
        <v>0.11</v>
      </c>
      <c r="Q26" s="303">
        <v>4.4799999999999995</v>
      </c>
      <c r="R26" s="303">
        <v>8.32</v>
      </c>
      <c r="S26" s="303">
        <v>0.28000000000000003</v>
      </c>
      <c r="T26" s="303">
        <v>0.14000000000000001</v>
      </c>
      <c r="U26" s="303">
        <v>0.06</v>
      </c>
      <c r="V26" s="303">
        <v>0</v>
      </c>
      <c r="W26" s="303">
        <v>0.3</v>
      </c>
      <c r="X26" s="303">
        <v>0.5</v>
      </c>
      <c r="Y26" s="303">
        <v>0.16</v>
      </c>
      <c r="Z26" s="303">
        <v>7.0000000000000007E-2</v>
      </c>
      <c r="AA26" s="303">
        <v>1.2</v>
      </c>
      <c r="AB26" s="303">
        <v>0</v>
      </c>
      <c r="AC26" s="303">
        <v>0</v>
      </c>
      <c r="AD26" s="303">
        <v>0</v>
      </c>
      <c r="AE26" s="303">
        <v>0.09</v>
      </c>
      <c r="AF26" s="303"/>
      <c r="AG26" s="303"/>
      <c r="AH26" s="107">
        <f t="shared" ref="AH26:AH37" si="3">SUM(C26:AG26)</f>
        <v>16.855</v>
      </c>
    </row>
    <row r="27" spans="1:34" ht="15" customHeight="1">
      <c r="A27" s="363" t="s">
        <v>147</v>
      </c>
      <c r="B27" s="53">
        <f t="shared" ref="B27:B36" si="4">+AH27</f>
        <v>59.481999999999999</v>
      </c>
      <c r="C27" s="636">
        <v>0.18</v>
      </c>
      <c r="D27" s="453">
        <v>0.03</v>
      </c>
      <c r="E27" s="667">
        <v>0.03</v>
      </c>
      <c r="F27" s="667">
        <v>0</v>
      </c>
      <c r="G27" s="667">
        <v>0</v>
      </c>
      <c r="H27" s="667">
        <v>0</v>
      </c>
      <c r="I27" s="667">
        <v>0.1</v>
      </c>
      <c r="J27" s="667">
        <v>14.7</v>
      </c>
      <c r="K27" s="667">
        <v>0</v>
      </c>
      <c r="L27" s="667">
        <v>0</v>
      </c>
      <c r="M27" s="667">
        <v>0</v>
      </c>
      <c r="N27" s="667">
        <v>0</v>
      </c>
      <c r="O27" s="667">
        <v>0</v>
      </c>
      <c r="P27" s="667">
        <v>7.28</v>
      </c>
      <c r="Q27" s="667">
        <v>0</v>
      </c>
      <c r="R27" s="667">
        <v>10.744999999999999</v>
      </c>
      <c r="S27" s="667">
        <v>0</v>
      </c>
      <c r="T27" s="667">
        <v>0</v>
      </c>
      <c r="U27" s="667">
        <v>0</v>
      </c>
      <c r="V27" s="667">
        <v>0.10500000000000001</v>
      </c>
      <c r="W27" s="667">
        <v>0.09</v>
      </c>
      <c r="X27" s="667">
        <v>0.06</v>
      </c>
      <c r="Y27" s="667">
        <v>0.05</v>
      </c>
      <c r="Z27" s="667">
        <v>0.06</v>
      </c>
      <c r="AA27" s="667">
        <v>0</v>
      </c>
      <c r="AB27" s="667">
        <v>12.702</v>
      </c>
      <c r="AC27" s="667">
        <v>5.4850000000000003</v>
      </c>
      <c r="AD27" s="667">
        <v>0.125</v>
      </c>
      <c r="AE27" s="667">
        <v>0.06</v>
      </c>
      <c r="AF27" s="667">
        <v>0.08</v>
      </c>
      <c r="AG27" s="667">
        <v>7.6000000000000005</v>
      </c>
      <c r="AH27" s="107">
        <f t="shared" si="3"/>
        <v>59.481999999999999</v>
      </c>
    </row>
    <row r="28" spans="1:34" ht="15" customHeight="1">
      <c r="A28" s="363" t="s">
        <v>148</v>
      </c>
      <c r="B28" s="53">
        <f t="shared" si="4"/>
        <v>9.713000000000001</v>
      </c>
      <c r="C28" s="821">
        <v>0</v>
      </c>
      <c r="D28" s="303">
        <v>0</v>
      </c>
      <c r="E28" s="822">
        <v>8.7200000000000006</v>
      </c>
      <c r="F28" s="822">
        <v>0.09</v>
      </c>
      <c r="G28" s="822">
        <v>0.16</v>
      </c>
      <c r="H28" s="822">
        <v>0</v>
      </c>
      <c r="I28" s="822">
        <v>0</v>
      </c>
      <c r="J28" s="822">
        <v>0</v>
      </c>
      <c r="K28" s="822">
        <v>0</v>
      </c>
      <c r="L28" s="822">
        <v>0</v>
      </c>
      <c r="M28" s="822">
        <v>0</v>
      </c>
      <c r="N28" s="822">
        <v>0</v>
      </c>
      <c r="O28" s="822">
        <v>2.5000000000000001E-2</v>
      </c>
      <c r="P28" s="822">
        <v>0</v>
      </c>
      <c r="Q28" s="822">
        <v>0</v>
      </c>
      <c r="R28" s="822">
        <v>0</v>
      </c>
      <c r="S28" s="822">
        <v>0.14000000000000001</v>
      </c>
      <c r="T28" s="822">
        <v>0</v>
      </c>
      <c r="U28" s="822">
        <v>0</v>
      </c>
      <c r="V28" s="822">
        <v>0</v>
      </c>
      <c r="W28" s="822">
        <v>2.5000000000000001E-2</v>
      </c>
      <c r="X28" s="822">
        <v>0.09</v>
      </c>
      <c r="Y28" s="822">
        <v>0</v>
      </c>
      <c r="Z28" s="822">
        <v>6.0000000000000001E-3</v>
      </c>
      <c r="AA28" s="822">
        <v>6.9999999999999993E-2</v>
      </c>
      <c r="AB28" s="822">
        <v>0.09</v>
      </c>
      <c r="AC28" s="822">
        <v>0.13500000000000001</v>
      </c>
      <c r="AD28" s="822">
        <v>6.2E-2</v>
      </c>
      <c r="AE28" s="822">
        <v>0</v>
      </c>
      <c r="AF28" s="822">
        <v>0.1</v>
      </c>
      <c r="AG28" s="822"/>
      <c r="AH28" s="107">
        <f t="shared" si="3"/>
        <v>9.713000000000001</v>
      </c>
    </row>
    <row r="29" spans="1:34" ht="15" customHeight="1">
      <c r="A29" s="363" t="s">
        <v>149</v>
      </c>
      <c r="B29" s="53">
        <f t="shared" si="4"/>
        <v>5.0510000000000002</v>
      </c>
      <c r="C29" s="821">
        <v>7.6000000000000012E-2</v>
      </c>
      <c r="D29" s="303">
        <v>0.09</v>
      </c>
      <c r="E29" s="822">
        <v>0.02</v>
      </c>
      <c r="F29" s="822">
        <v>0.03</v>
      </c>
      <c r="G29" s="822">
        <v>1.07</v>
      </c>
      <c r="H29" s="822">
        <v>0</v>
      </c>
      <c r="I29" s="822">
        <v>0</v>
      </c>
      <c r="J29" s="822">
        <v>0.25</v>
      </c>
      <c r="K29" s="822">
        <v>6.5000000000000002E-2</v>
      </c>
      <c r="L29" s="822">
        <v>0.08</v>
      </c>
      <c r="M29" s="822">
        <v>0.1</v>
      </c>
      <c r="N29" s="822">
        <v>0.06</v>
      </c>
      <c r="O29" s="822">
        <v>0.04</v>
      </c>
      <c r="P29" s="822">
        <v>0</v>
      </c>
      <c r="Q29" s="822">
        <v>0</v>
      </c>
      <c r="R29" s="822">
        <v>0</v>
      </c>
      <c r="S29" s="822">
        <v>0.04</v>
      </c>
      <c r="T29" s="822">
        <v>0.09</v>
      </c>
      <c r="U29" s="822">
        <v>7.0000000000000007E-2</v>
      </c>
      <c r="V29" s="822">
        <v>0.06</v>
      </c>
      <c r="W29" s="822">
        <v>0</v>
      </c>
      <c r="X29" s="822">
        <v>0</v>
      </c>
      <c r="Y29" s="822">
        <v>6.9999999999999993E-2</v>
      </c>
      <c r="Z29" s="822">
        <v>0.08</v>
      </c>
      <c r="AA29" s="822">
        <v>0.06</v>
      </c>
      <c r="AB29" s="822">
        <v>0</v>
      </c>
      <c r="AC29" s="822">
        <v>0</v>
      </c>
      <c r="AD29" s="822">
        <v>0</v>
      </c>
      <c r="AE29" s="822">
        <v>0</v>
      </c>
      <c r="AF29" s="822">
        <v>0</v>
      </c>
      <c r="AG29" s="822">
        <v>2.7</v>
      </c>
      <c r="AH29" s="107">
        <f t="shared" si="3"/>
        <v>5.0510000000000002</v>
      </c>
    </row>
    <row r="30" spans="1:34" ht="15" customHeight="1">
      <c r="A30" s="363" t="s">
        <v>150</v>
      </c>
      <c r="B30" s="53">
        <f t="shared" si="4"/>
        <v>5.4930000000000003</v>
      </c>
      <c r="C30" s="329">
        <v>1.8</v>
      </c>
      <c r="D30" s="329">
        <v>0.08</v>
      </c>
      <c r="E30" s="329">
        <v>0.05</v>
      </c>
      <c r="F30" s="329">
        <v>0</v>
      </c>
      <c r="G30" s="329">
        <v>0.14000000000000001</v>
      </c>
      <c r="H30" s="329">
        <v>1.34</v>
      </c>
      <c r="I30" s="329">
        <v>0</v>
      </c>
      <c r="J30" s="329">
        <v>0.16500000000000001</v>
      </c>
      <c r="K30" s="329">
        <v>0.39</v>
      </c>
      <c r="L30" s="329">
        <v>0.06</v>
      </c>
      <c r="M30" s="329">
        <v>0</v>
      </c>
      <c r="N30" s="329">
        <v>0.26</v>
      </c>
      <c r="O30" s="329">
        <v>0.2</v>
      </c>
      <c r="P30" s="329">
        <v>0.03</v>
      </c>
      <c r="Q30" s="329">
        <v>0</v>
      </c>
      <c r="R30" s="329">
        <v>0.308</v>
      </c>
      <c r="S30" s="329">
        <v>0</v>
      </c>
      <c r="T30" s="329">
        <v>0.02</v>
      </c>
      <c r="U30" s="329">
        <v>0.01</v>
      </c>
      <c r="V30" s="329">
        <v>0.03</v>
      </c>
      <c r="W30" s="329">
        <v>0.05</v>
      </c>
      <c r="X30" s="329">
        <v>0</v>
      </c>
      <c r="Y30" s="329">
        <v>2.5000000000000001E-2</v>
      </c>
      <c r="Z30" s="329">
        <v>0</v>
      </c>
      <c r="AA30" s="329">
        <v>0</v>
      </c>
      <c r="AB30" s="329">
        <v>0.2</v>
      </c>
      <c r="AC30" s="329">
        <v>2.5000000000000001E-2</v>
      </c>
      <c r="AD30" s="329">
        <v>0</v>
      </c>
      <c r="AE30" s="329">
        <v>0</v>
      </c>
      <c r="AF30" s="329">
        <v>0.31</v>
      </c>
      <c r="AG30" s="329"/>
      <c r="AH30" s="107">
        <f t="shared" si="3"/>
        <v>5.4930000000000003</v>
      </c>
    </row>
    <row r="31" spans="1:34" ht="15" customHeight="1">
      <c r="A31" s="363" t="s">
        <v>151</v>
      </c>
      <c r="B31" s="53">
        <f t="shared" si="4"/>
        <v>0.8869999999999999</v>
      </c>
      <c r="C31" s="329">
        <v>0</v>
      </c>
      <c r="D31" s="329">
        <v>0.2</v>
      </c>
      <c r="E31" s="329">
        <v>0</v>
      </c>
      <c r="F31" s="329">
        <v>0</v>
      </c>
      <c r="G31" s="329">
        <v>0</v>
      </c>
      <c r="H31" s="329">
        <v>0</v>
      </c>
      <c r="I31" s="329">
        <v>0.09</v>
      </c>
      <c r="J31" s="329">
        <v>0.06</v>
      </c>
      <c r="K31" s="329">
        <v>0</v>
      </c>
      <c r="L31" s="329">
        <v>0.04</v>
      </c>
      <c r="M31" s="329">
        <v>0</v>
      </c>
      <c r="N31" s="329">
        <v>0</v>
      </c>
      <c r="O31" s="329">
        <v>3.6999999999999998E-2</v>
      </c>
      <c r="P31" s="329">
        <v>0</v>
      </c>
      <c r="Q31" s="329">
        <v>0</v>
      </c>
      <c r="R31" s="329">
        <v>2.5000000000000001E-2</v>
      </c>
      <c r="S31" s="329">
        <v>0</v>
      </c>
      <c r="T31" s="329">
        <v>3.5000000000000003E-2</v>
      </c>
      <c r="U31" s="329">
        <v>0</v>
      </c>
      <c r="V31" s="329">
        <v>0.01</v>
      </c>
      <c r="W31" s="329">
        <v>0.09</v>
      </c>
      <c r="X31" s="329">
        <v>0.06</v>
      </c>
      <c r="Y31" s="329">
        <v>0.08</v>
      </c>
      <c r="Z31" s="329">
        <v>0</v>
      </c>
      <c r="AA31" s="329">
        <v>0</v>
      </c>
      <c r="AB31" s="329">
        <v>0.08</v>
      </c>
      <c r="AC31" s="329">
        <v>0</v>
      </c>
      <c r="AD31" s="329">
        <v>0.08</v>
      </c>
      <c r="AE31" s="329">
        <v>0</v>
      </c>
      <c r="AF31" s="329">
        <v>0</v>
      </c>
      <c r="AG31" s="329">
        <v>0</v>
      </c>
      <c r="AH31" s="107">
        <f t="shared" si="3"/>
        <v>0.8869999999999999</v>
      </c>
    </row>
    <row r="32" spans="1:34" ht="15" customHeight="1">
      <c r="A32" s="363" t="s">
        <v>152</v>
      </c>
      <c r="B32" s="53">
        <f t="shared" si="4"/>
        <v>9.82</v>
      </c>
      <c r="C32" s="329">
        <v>0</v>
      </c>
      <c r="D32" s="329">
        <v>0.06</v>
      </c>
      <c r="E32" s="329">
        <v>0.9</v>
      </c>
      <c r="F32" s="329">
        <v>0</v>
      </c>
      <c r="G32" s="329">
        <v>0</v>
      </c>
      <c r="H32" s="329">
        <v>0</v>
      </c>
      <c r="I32" s="329">
        <v>7.0000000000000007E-2</v>
      </c>
      <c r="J32" s="329">
        <v>0.04</v>
      </c>
      <c r="K32" s="329">
        <v>0</v>
      </c>
      <c r="L32" s="329">
        <v>0</v>
      </c>
      <c r="M32" s="329">
        <v>0</v>
      </c>
      <c r="N32" s="329">
        <v>0</v>
      </c>
      <c r="O32" s="329">
        <v>0</v>
      </c>
      <c r="P32" s="329">
        <v>1.5</v>
      </c>
      <c r="Q32" s="329">
        <v>0.8</v>
      </c>
      <c r="R32" s="329">
        <v>0.03</v>
      </c>
      <c r="S32" s="329">
        <v>0</v>
      </c>
      <c r="T32" s="329">
        <v>0</v>
      </c>
      <c r="U32" s="329">
        <v>0</v>
      </c>
      <c r="V32" s="329">
        <v>0.02</v>
      </c>
      <c r="W32" s="329">
        <v>1.6</v>
      </c>
      <c r="X32" s="329">
        <v>4.8</v>
      </c>
      <c r="Y32" s="329">
        <v>0</v>
      </c>
      <c r="Z32" s="329">
        <v>0</v>
      </c>
      <c r="AA32" s="329">
        <v>0</v>
      </c>
      <c r="AB32" s="329">
        <v>0</v>
      </c>
      <c r="AC32" s="329">
        <v>0</v>
      </c>
      <c r="AD32" s="329">
        <v>0</v>
      </c>
      <c r="AE32" s="329">
        <v>0</v>
      </c>
      <c r="AF32" s="329">
        <v>0</v>
      </c>
      <c r="AG32" s="329">
        <v>0</v>
      </c>
      <c r="AH32" s="107">
        <f t="shared" si="3"/>
        <v>9.82</v>
      </c>
    </row>
    <row r="33" spans="1:34" ht="15" customHeight="1">
      <c r="A33" s="363" t="s">
        <v>153</v>
      </c>
      <c r="B33" s="53">
        <f t="shared" si="4"/>
        <v>0.03</v>
      </c>
      <c r="C33" s="329">
        <v>0</v>
      </c>
      <c r="D33" s="329">
        <v>0</v>
      </c>
      <c r="E33" s="329">
        <v>0</v>
      </c>
      <c r="F33" s="329">
        <v>0</v>
      </c>
      <c r="G33" s="329">
        <v>0</v>
      </c>
      <c r="H33" s="329">
        <v>0</v>
      </c>
      <c r="I33" s="329">
        <v>5.0000000000000001E-3</v>
      </c>
      <c r="J33" s="329">
        <v>0</v>
      </c>
      <c r="K33" s="329">
        <v>0</v>
      </c>
      <c r="L33" s="329">
        <v>0</v>
      </c>
      <c r="M33" s="329">
        <v>0</v>
      </c>
      <c r="N33" s="329">
        <v>0</v>
      </c>
      <c r="O33" s="329">
        <v>0</v>
      </c>
      <c r="P33" s="329">
        <v>0.01</v>
      </c>
      <c r="Q33" s="329">
        <v>0</v>
      </c>
      <c r="R33" s="329">
        <v>0</v>
      </c>
      <c r="S33" s="329">
        <v>0</v>
      </c>
      <c r="T33" s="329">
        <v>0</v>
      </c>
      <c r="U33" s="329">
        <v>0</v>
      </c>
      <c r="V33" s="329">
        <v>0</v>
      </c>
      <c r="W33" s="329">
        <v>0</v>
      </c>
      <c r="X33" s="329">
        <v>0</v>
      </c>
      <c r="Y33" s="329">
        <v>0</v>
      </c>
      <c r="Z33" s="329">
        <v>0</v>
      </c>
      <c r="AA33" s="329">
        <v>0</v>
      </c>
      <c r="AB33" s="329">
        <v>0</v>
      </c>
      <c r="AC33" s="329">
        <v>0</v>
      </c>
      <c r="AD33" s="329">
        <v>0</v>
      </c>
      <c r="AE33" s="329">
        <v>1.4999999999999999E-2</v>
      </c>
      <c r="AF33" s="329">
        <v>0</v>
      </c>
      <c r="AG33" s="329"/>
      <c r="AH33" s="107">
        <f t="shared" si="3"/>
        <v>0.03</v>
      </c>
    </row>
    <row r="34" spans="1:34" ht="15" customHeight="1">
      <c r="A34" s="363" t="s">
        <v>154</v>
      </c>
      <c r="B34" s="53">
        <f t="shared" si="4"/>
        <v>4.33</v>
      </c>
      <c r="C34" s="329">
        <v>0</v>
      </c>
      <c r="D34" s="329">
        <v>0.25</v>
      </c>
      <c r="E34" s="329">
        <v>0</v>
      </c>
      <c r="F34" s="329">
        <v>7.0000000000000007E-2</v>
      </c>
      <c r="G34" s="329">
        <v>0.04</v>
      </c>
      <c r="H34" s="329">
        <v>0</v>
      </c>
      <c r="I34" s="329">
        <v>0</v>
      </c>
      <c r="J34" s="329">
        <v>0</v>
      </c>
      <c r="K34" s="329">
        <v>0.05</v>
      </c>
      <c r="L34" s="329">
        <v>0.06</v>
      </c>
      <c r="M34" s="329">
        <v>0</v>
      </c>
      <c r="N34" s="329">
        <v>0.06</v>
      </c>
      <c r="O34" s="329">
        <v>9.0000000000000011E-2</v>
      </c>
      <c r="P34" s="329">
        <v>0</v>
      </c>
      <c r="Q34" s="329">
        <v>0</v>
      </c>
      <c r="R34" s="329">
        <v>0.44</v>
      </c>
      <c r="S34" s="329">
        <v>0.06</v>
      </c>
      <c r="T34" s="329">
        <v>0.32999999999999996</v>
      </c>
      <c r="U34" s="329">
        <v>0.05</v>
      </c>
      <c r="V34" s="329">
        <v>0.06</v>
      </c>
      <c r="W34" s="329">
        <v>0</v>
      </c>
      <c r="X34" s="329">
        <v>0</v>
      </c>
      <c r="Y34" s="329">
        <v>0.48</v>
      </c>
      <c r="Z34" s="329">
        <v>0.06</v>
      </c>
      <c r="AA34" s="329">
        <v>0.08</v>
      </c>
      <c r="AB34" s="329">
        <v>2.04</v>
      </c>
      <c r="AC34" s="329">
        <v>0.02</v>
      </c>
      <c r="AD34" s="329">
        <v>0</v>
      </c>
      <c r="AE34" s="329">
        <v>0</v>
      </c>
      <c r="AF34" s="329">
        <v>0.05</v>
      </c>
      <c r="AG34" s="329">
        <v>0.04</v>
      </c>
      <c r="AH34" s="107">
        <f t="shared" si="3"/>
        <v>4.33</v>
      </c>
    </row>
    <row r="35" spans="1:34" ht="15" customHeight="1">
      <c r="A35" s="73" t="s">
        <v>155</v>
      </c>
      <c r="B35" s="53">
        <f t="shared" si="4"/>
        <v>66.59</v>
      </c>
      <c r="C35" s="329">
        <v>0.08</v>
      </c>
      <c r="D35" s="329">
        <v>0.09</v>
      </c>
      <c r="E35" s="329">
        <v>6.3599999999999994</v>
      </c>
      <c r="F35" s="329">
        <v>3.6</v>
      </c>
      <c r="G35" s="329">
        <v>2.9</v>
      </c>
      <c r="H35" s="329">
        <v>8.620000000000001</v>
      </c>
      <c r="I35" s="329">
        <v>3.7</v>
      </c>
      <c r="J35" s="329">
        <v>0.06</v>
      </c>
      <c r="K35" s="329">
        <v>2.2599999999999998</v>
      </c>
      <c r="L35" s="329">
        <v>3.69</v>
      </c>
      <c r="M35" s="329">
        <v>0</v>
      </c>
      <c r="N35" s="329">
        <v>0</v>
      </c>
      <c r="O35" s="329">
        <v>12.36</v>
      </c>
      <c r="P35" s="329">
        <v>2</v>
      </c>
      <c r="Q35" s="329">
        <v>3</v>
      </c>
      <c r="R35" s="329">
        <v>0.06</v>
      </c>
      <c r="S35" s="329">
        <v>0</v>
      </c>
      <c r="T35" s="329">
        <v>0</v>
      </c>
      <c r="U35" s="329">
        <v>0</v>
      </c>
      <c r="V35" s="329">
        <v>7.59</v>
      </c>
      <c r="W35" s="329">
        <v>0.05</v>
      </c>
      <c r="X35" s="329">
        <v>0.24000000000000002</v>
      </c>
      <c r="Y35" s="329">
        <v>0</v>
      </c>
      <c r="Z35" s="329">
        <v>0</v>
      </c>
      <c r="AA35" s="329">
        <v>0</v>
      </c>
      <c r="AB35" s="329">
        <v>0</v>
      </c>
      <c r="AC35" s="329">
        <v>9.8600000000000012</v>
      </c>
      <c r="AD35" s="329">
        <v>7.0000000000000007E-2</v>
      </c>
      <c r="AE35" s="329">
        <v>0</v>
      </c>
      <c r="AF35" s="329">
        <v>0</v>
      </c>
      <c r="AG35" s="329"/>
      <c r="AH35" s="107">
        <f t="shared" si="3"/>
        <v>66.59</v>
      </c>
    </row>
    <row r="36" spans="1:34" ht="15" customHeight="1">
      <c r="A36" s="73" t="s">
        <v>156</v>
      </c>
      <c r="B36" s="53">
        <f t="shared" si="4"/>
        <v>67.78</v>
      </c>
      <c r="C36" s="329">
        <v>0</v>
      </c>
      <c r="D36" s="329">
        <v>5.3</v>
      </c>
      <c r="E36" s="329">
        <v>2.9499999999999997</v>
      </c>
      <c r="F36" s="329">
        <v>4.6599999999999993</v>
      </c>
      <c r="G36" s="329">
        <v>2.11</v>
      </c>
      <c r="H36" s="329">
        <v>0</v>
      </c>
      <c r="I36" s="329">
        <v>2.0699999999999998</v>
      </c>
      <c r="J36" s="329">
        <v>4.04</v>
      </c>
      <c r="K36" s="329">
        <v>12</v>
      </c>
      <c r="L36" s="329">
        <v>0</v>
      </c>
      <c r="M36" s="329">
        <v>0.08</v>
      </c>
      <c r="N36" s="329">
        <v>0.04</v>
      </c>
      <c r="O36" s="329">
        <v>0.44</v>
      </c>
      <c r="P36" s="329">
        <v>0.09</v>
      </c>
      <c r="Q36" s="329">
        <v>0</v>
      </c>
      <c r="R36" s="329">
        <v>0</v>
      </c>
      <c r="S36" s="329">
        <v>0.06</v>
      </c>
      <c r="T36" s="329">
        <v>0.06</v>
      </c>
      <c r="U36" s="329">
        <v>0.05</v>
      </c>
      <c r="V36" s="329">
        <v>3.63</v>
      </c>
      <c r="W36" s="329">
        <v>0.05</v>
      </c>
      <c r="X36" s="329">
        <v>4.28</v>
      </c>
      <c r="Y36" s="329">
        <v>2.83</v>
      </c>
      <c r="Z36" s="329">
        <v>0</v>
      </c>
      <c r="AA36" s="329">
        <v>0</v>
      </c>
      <c r="AB36" s="329">
        <v>11</v>
      </c>
      <c r="AC36" s="329">
        <v>11.6</v>
      </c>
      <c r="AD36" s="329">
        <v>0</v>
      </c>
      <c r="AE36" s="329">
        <v>0.26</v>
      </c>
      <c r="AF36" s="329">
        <v>0</v>
      </c>
      <c r="AG36" s="329">
        <v>0.18</v>
      </c>
      <c r="AH36" s="107">
        <f t="shared" si="3"/>
        <v>67.78</v>
      </c>
    </row>
    <row r="37" spans="1:34" ht="15" customHeight="1">
      <c r="A37" s="199" t="s">
        <v>144</v>
      </c>
      <c r="B37" s="200">
        <f t="shared" ref="B37:AG37" si="5">SUM(B25:B36)</f>
        <v>251.90400000000002</v>
      </c>
      <c r="C37" s="100">
        <f t="shared" si="5"/>
        <v>2.4860000000000002</v>
      </c>
      <c r="D37" s="100">
        <f t="shared" si="5"/>
        <v>6.17</v>
      </c>
      <c r="E37" s="100">
        <f t="shared" si="5"/>
        <v>19.940000000000001</v>
      </c>
      <c r="F37" s="100">
        <f t="shared" si="5"/>
        <v>8.8699999999999992</v>
      </c>
      <c r="G37" s="100">
        <f t="shared" si="5"/>
        <v>7.01</v>
      </c>
      <c r="H37" s="100">
        <f t="shared" si="5"/>
        <v>9.9600000000000009</v>
      </c>
      <c r="I37" s="100">
        <f t="shared" si="5"/>
        <v>6.1899999999999995</v>
      </c>
      <c r="J37" s="100">
        <f t="shared" si="5"/>
        <v>19.414999999999999</v>
      </c>
      <c r="K37" s="100">
        <f t="shared" si="5"/>
        <v>14.844999999999999</v>
      </c>
      <c r="L37" s="100">
        <f t="shared" si="5"/>
        <v>4.16</v>
      </c>
      <c r="M37" s="100">
        <f t="shared" si="5"/>
        <v>0.39</v>
      </c>
      <c r="N37" s="100">
        <f t="shared" si="5"/>
        <v>0.58000000000000007</v>
      </c>
      <c r="O37" s="100">
        <f t="shared" si="5"/>
        <v>13.236999999999998</v>
      </c>
      <c r="P37" s="100">
        <f t="shared" si="5"/>
        <v>11.32</v>
      </c>
      <c r="Q37" s="100">
        <f t="shared" si="5"/>
        <v>8.5350000000000001</v>
      </c>
      <c r="R37" s="100">
        <f t="shared" si="5"/>
        <v>19.945999999999998</v>
      </c>
      <c r="S37" s="100">
        <f t="shared" si="5"/>
        <v>0.82500000000000018</v>
      </c>
      <c r="T37" s="100">
        <f t="shared" si="5"/>
        <v>0.77</v>
      </c>
      <c r="U37" s="100">
        <f t="shared" si="5"/>
        <v>0.80000000000000027</v>
      </c>
      <c r="V37" s="100">
        <f t="shared" si="5"/>
        <v>11.995000000000001</v>
      </c>
      <c r="W37" s="100">
        <f t="shared" si="5"/>
        <v>2.67</v>
      </c>
      <c r="X37" s="100">
        <f t="shared" si="5"/>
        <v>10.129999999999999</v>
      </c>
      <c r="Y37" s="100">
        <f t="shared" si="5"/>
        <v>3.7250000000000001</v>
      </c>
      <c r="Z37" s="100">
        <f t="shared" si="5"/>
        <v>0.33600000000000002</v>
      </c>
      <c r="AA37" s="100">
        <f t="shared" si="5"/>
        <v>1.6800000000000002</v>
      </c>
      <c r="AB37" s="100">
        <f t="shared" si="5"/>
        <v>26.172000000000001</v>
      </c>
      <c r="AC37" s="100">
        <f t="shared" si="5"/>
        <v>27.185000000000002</v>
      </c>
      <c r="AD37" s="100">
        <f t="shared" si="5"/>
        <v>0.73699999999999988</v>
      </c>
      <c r="AE37" s="100">
        <f t="shared" si="5"/>
        <v>0.51500000000000001</v>
      </c>
      <c r="AF37" s="100">
        <f t="shared" si="5"/>
        <v>0.54</v>
      </c>
      <c r="AG37" s="100">
        <f t="shared" si="5"/>
        <v>10.77</v>
      </c>
      <c r="AH37" s="107">
        <f t="shared" si="3"/>
        <v>251.90399999999997</v>
      </c>
    </row>
    <row r="38" spans="1:34" ht="15" customHeight="1">
      <c r="A38" s="387"/>
      <c r="B38" s="387"/>
      <c r="C38" s="387"/>
      <c r="D38" s="387"/>
      <c r="E38" s="387"/>
      <c r="F38" s="387"/>
      <c r="G38" s="387"/>
      <c r="H38" s="387"/>
      <c r="I38" s="387"/>
      <c r="J38" s="387"/>
      <c r="K38" s="387"/>
      <c r="L38" s="387"/>
      <c r="M38" s="387"/>
      <c r="N38" s="387"/>
      <c r="O38" s="387"/>
      <c r="P38" s="387"/>
      <c r="Q38" s="387"/>
      <c r="R38" s="387"/>
      <c r="S38" s="387"/>
      <c r="T38" s="387"/>
      <c r="U38" s="114"/>
      <c r="V38" s="114"/>
      <c r="W38" s="114"/>
      <c r="X38" s="114"/>
      <c r="Y38" s="114"/>
      <c r="Z38" s="114"/>
      <c r="AA38" s="114"/>
      <c r="AB38" s="114"/>
      <c r="AC38" s="114"/>
      <c r="AD38" s="114"/>
      <c r="AE38" s="114"/>
      <c r="AF38" s="114"/>
      <c r="AG38" s="114"/>
      <c r="AH38" s="114"/>
    </row>
    <row r="39" spans="1:34" ht="15" customHeight="1">
      <c r="A39" s="3854" t="s">
        <v>326</v>
      </c>
      <c r="B39" s="3855"/>
      <c r="C39" s="3855"/>
      <c r="D39" s="3855"/>
      <c r="E39" s="3855"/>
      <c r="F39" s="3855"/>
      <c r="G39" s="3855"/>
      <c r="H39" s="3856"/>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row>
    <row r="40" spans="1:34" ht="15" customHeight="1">
      <c r="A40" s="8" t="s">
        <v>142</v>
      </c>
      <c r="B40" s="8" t="s">
        <v>143</v>
      </c>
      <c r="C40" s="372">
        <v>1</v>
      </c>
      <c r="D40" s="73">
        <v>2</v>
      </c>
      <c r="E40" s="73">
        <v>3</v>
      </c>
      <c r="F40" s="73">
        <v>4</v>
      </c>
      <c r="G40" s="73">
        <v>5</v>
      </c>
      <c r="H40" s="73">
        <v>6</v>
      </c>
      <c r="I40" s="73">
        <v>7</v>
      </c>
      <c r="J40" s="73">
        <v>8</v>
      </c>
      <c r="K40" s="73">
        <v>9</v>
      </c>
      <c r="L40" s="73">
        <v>10</v>
      </c>
      <c r="M40" s="73">
        <v>11</v>
      </c>
      <c r="N40" s="73">
        <v>12</v>
      </c>
      <c r="O40" s="73">
        <v>13</v>
      </c>
      <c r="P40" s="73">
        <v>14</v>
      </c>
      <c r="Q40" s="73">
        <v>15</v>
      </c>
      <c r="R40" s="73">
        <v>16</v>
      </c>
      <c r="S40" s="73">
        <v>17</v>
      </c>
      <c r="T40" s="73">
        <v>18</v>
      </c>
      <c r="U40" s="73">
        <v>19</v>
      </c>
      <c r="V40" s="73">
        <v>20</v>
      </c>
      <c r="W40" s="73">
        <v>21</v>
      </c>
      <c r="X40" s="73">
        <v>22</v>
      </c>
      <c r="Y40" s="73">
        <v>23</v>
      </c>
      <c r="Z40" s="73">
        <v>24</v>
      </c>
      <c r="AA40" s="73">
        <v>25</v>
      </c>
      <c r="AB40" s="73">
        <v>26</v>
      </c>
      <c r="AC40" s="73">
        <v>27</v>
      </c>
      <c r="AD40" s="73">
        <v>28</v>
      </c>
      <c r="AE40" s="73">
        <v>29</v>
      </c>
      <c r="AF40" s="73">
        <v>30</v>
      </c>
      <c r="AG40" s="73">
        <v>31</v>
      </c>
      <c r="AH40" s="88" t="s">
        <v>144</v>
      </c>
    </row>
    <row r="41" spans="1:34" ht="15" customHeight="1">
      <c r="A41" s="363" t="s">
        <v>145</v>
      </c>
      <c r="B41" s="53">
        <f>+AH41</f>
        <v>27.429000000000006</v>
      </c>
      <c r="C41" s="302">
        <v>0</v>
      </c>
      <c r="D41" s="303">
        <v>0.03</v>
      </c>
      <c r="E41" s="303">
        <v>1.502</v>
      </c>
      <c r="F41" s="303">
        <v>0.6130000000000001</v>
      </c>
      <c r="G41" s="303">
        <v>3.9569999999999999</v>
      </c>
      <c r="H41" s="303">
        <v>1.6</v>
      </c>
      <c r="I41" s="303">
        <v>0.75800000000000001</v>
      </c>
      <c r="J41" s="303">
        <v>0</v>
      </c>
      <c r="K41" s="303">
        <v>5.3999999999999999E-2</v>
      </c>
      <c r="L41" s="303">
        <v>1.7000000000000001E-2</v>
      </c>
      <c r="M41" s="303">
        <v>0.107</v>
      </c>
      <c r="N41" s="303">
        <v>0</v>
      </c>
      <c r="O41" s="303">
        <v>0.35</v>
      </c>
      <c r="P41" s="303">
        <v>0.29000000000000004</v>
      </c>
      <c r="Q41" s="303">
        <v>0.105</v>
      </c>
      <c r="R41" s="303">
        <v>0.73</v>
      </c>
      <c r="S41" s="303">
        <v>1.7809999999999999</v>
      </c>
      <c r="T41" s="303">
        <v>2.5300000000000002</v>
      </c>
      <c r="U41" s="303">
        <v>1.133</v>
      </c>
      <c r="V41" s="303">
        <v>6.9000000000000006E-2</v>
      </c>
      <c r="W41" s="303">
        <v>0.375</v>
      </c>
      <c r="X41" s="303">
        <v>0.35799999999999998</v>
      </c>
      <c r="Y41" s="303">
        <v>0</v>
      </c>
      <c r="Z41" s="303">
        <v>0.46</v>
      </c>
      <c r="AA41" s="303">
        <v>0.309</v>
      </c>
      <c r="AB41" s="303">
        <v>0.63800000000000001</v>
      </c>
      <c r="AC41" s="303">
        <v>0.28000000000000003</v>
      </c>
      <c r="AD41" s="303">
        <v>0.46299999999999997</v>
      </c>
      <c r="AE41" s="303">
        <v>0.3</v>
      </c>
      <c r="AF41" s="303">
        <v>8.5500000000000007</v>
      </c>
      <c r="AG41" s="303">
        <v>7.0000000000000007E-2</v>
      </c>
      <c r="AH41" s="107">
        <f>SUM(C41:AG41)</f>
        <v>27.429000000000006</v>
      </c>
    </row>
    <row r="42" spans="1:34" ht="15" customHeight="1">
      <c r="A42" s="363" t="s">
        <v>146</v>
      </c>
      <c r="B42" s="53">
        <f>+AH42</f>
        <v>149.45100000000005</v>
      </c>
      <c r="C42" s="302">
        <v>0.11</v>
      </c>
      <c r="D42" s="303">
        <v>1.877</v>
      </c>
      <c r="E42" s="303">
        <v>1.526</v>
      </c>
      <c r="F42" s="303">
        <v>2.2549999999999999</v>
      </c>
      <c r="G42" s="303">
        <v>1.2E-2</v>
      </c>
      <c r="H42" s="303">
        <v>0</v>
      </c>
      <c r="I42" s="303">
        <v>0.16500000000000001</v>
      </c>
      <c r="J42" s="303">
        <v>0.372</v>
      </c>
      <c r="K42" s="303">
        <v>0.60200000000000009</v>
      </c>
      <c r="L42" s="303">
        <v>0.72900000000000009</v>
      </c>
      <c r="M42" s="303">
        <v>0.30500000000000005</v>
      </c>
      <c r="N42" s="303">
        <v>0.41499999999999998</v>
      </c>
      <c r="O42" s="303">
        <v>4.9000000000000004</v>
      </c>
      <c r="P42" s="303">
        <v>45.805</v>
      </c>
      <c r="Q42" s="303">
        <v>44.096000000000004</v>
      </c>
      <c r="R42" s="303">
        <v>2.3699999999999997</v>
      </c>
      <c r="S42" s="303">
        <v>12.707000000000001</v>
      </c>
      <c r="T42" s="303">
        <v>1.2749999999999999</v>
      </c>
      <c r="U42" s="303">
        <v>0</v>
      </c>
      <c r="V42" s="303">
        <v>0.09</v>
      </c>
      <c r="W42" s="303">
        <v>17.64</v>
      </c>
      <c r="X42" s="303">
        <v>2.4300000000000002</v>
      </c>
      <c r="Y42" s="303">
        <v>2.0999999999999996</v>
      </c>
      <c r="Z42" s="303">
        <v>1</v>
      </c>
      <c r="AA42" s="303">
        <v>0.61</v>
      </c>
      <c r="AB42" s="303">
        <v>0.22</v>
      </c>
      <c r="AC42" s="303">
        <v>5.29</v>
      </c>
      <c r="AD42" s="303">
        <v>0.5</v>
      </c>
      <c r="AE42" s="303">
        <v>0.05</v>
      </c>
      <c r="AF42" s="303"/>
      <c r="AG42" s="303"/>
      <c r="AH42" s="107">
        <f t="shared" ref="AH42:AH53" si="6">SUM(C42:AG42)</f>
        <v>149.45100000000005</v>
      </c>
    </row>
    <row r="43" spans="1:34" ht="15" customHeight="1">
      <c r="A43" s="363" t="s">
        <v>147</v>
      </c>
      <c r="B43" s="53">
        <f t="shared" ref="B43:B52" si="7">+AH43</f>
        <v>97.440000000000012</v>
      </c>
      <c r="C43" s="640">
        <v>4.2999999999999997E-2</v>
      </c>
      <c r="D43" s="641">
        <v>0.48100000000000004</v>
      </c>
      <c r="E43" s="642">
        <v>5.1999999999999998E-2</v>
      </c>
      <c r="F43" s="642">
        <v>0.77</v>
      </c>
      <c r="G43" s="642">
        <v>2.0449999999999999</v>
      </c>
      <c r="H43" s="642">
        <v>0.87899999999999989</v>
      </c>
      <c r="I43" s="642">
        <v>2.6580000000000004</v>
      </c>
      <c r="J43" s="642">
        <v>6.3610000000000007</v>
      </c>
      <c r="K43" s="642">
        <v>25.087</v>
      </c>
      <c r="L43" s="642">
        <v>5.9300000000000006</v>
      </c>
      <c r="M43" s="642">
        <v>5.2000000000000005E-2</v>
      </c>
      <c r="N43" s="642">
        <v>10.074</v>
      </c>
      <c r="O43" s="642">
        <v>0</v>
      </c>
      <c r="P43" s="642">
        <v>39.700000000000003</v>
      </c>
      <c r="Q43" s="642">
        <v>0.5</v>
      </c>
      <c r="R43" s="642">
        <v>1.0230000000000001</v>
      </c>
      <c r="S43" s="642">
        <v>0.86499999999999999</v>
      </c>
      <c r="T43" s="642">
        <v>9.2999999999999999E-2</v>
      </c>
      <c r="U43" s="642">
        <v>0.17699999999999999</v>
      </c>
      <c r="V43" s="642">
        <v>0</v>
      </c>
      <c r="W43" s="642">
        <v>0.45</v>
      </c>
      <c r="X43" s="642">
        <v>0</v>
      </c>
      <c r="Y43" s="642">
        <v>0</v>
      </c>
      <c r="Z43" s="642">
        <v>0</v>
      </c>
      <c r="AA43" s="642">
        <v>0</v>
      </c>
      <c r="AB43" s="642">
        <v>0</v>
      </c>
      <c r="AC43" s="642">
        <v>0</v>
      </c>
      <c r="AD43" s="642">
        <v>0.2</v>
      </c>
      <c r="AE43" s="642">
        <v>0</v>
      </c>
      <c r="AF43" s="642">
        <v>0</v>
      </c>
      <c r="AG43" s="642">
        <v>0</v>
      </c>
      <c r="AH43" s="107">
        <f t="shared" si="6"/>
        <v>97.440000000000012</v>
      </c>
    </row>
    <row r="44" spans="1:34" ht="15" customHeight="1">
      <c r="A44" s="363" t="s">
        <v>148</v>
      </c>
      <c r="B44" s="53">
        <f t="shared" si="7"/>
        <v>0</v>
      </c>
      <c r="C44" s="306">
        <v>0</v>
      </c>
      <c r="D44" s="306">
        <v>0</v>
      </c>
      <c r="E44" s="306">
        <v>0</v>
      </c>
      <c r="F44" s="306">
        <v>0</v>
      </c>
      <c r="G44" s="306">
        <v>0</v>
      </c>
      <c r="H44" s="306">
        <v>0</v>
      </c>
      <c r="I44" s="306">
        <v>0</v>
      </c>
      <c r="J44" s="306">
        <v>0</v>
      </c>
      <c r="K44" s="306">
        <v>0</v>
      </c>
      <c r="L44" s="306">
        <v>0</v>
      </c>
      <c r="M44" s="306">
        <v>0</v>
      </c>
      <c r="N44" s="306">
        <v>0</v>
      </c>
      <c r="O44" s="306">
        <v>0</v>
      </c>
      <c r="P44" s="306">
        <v>0</v>
      </c>
      <c r="Q44" s="306">
        <v>0</v>
      </c>
      <c r="R44" s="306">
        <v>0</v>
      </c>
      <c r="S44" s="306">
        <v>0</v>
      </c>
      <c r="T44" s="306">
        <v>0</v>
      </c>
      <c r="U44" s="306">
        <v>0</v>
      </c>
      <c r="V44" s="306">
        <v>0</v>
      </c>
      <c r="W44" s="306">
        <v>0</v>
      </c>
      <c r="X44" s="306">
        <v>0</v>
      </c>
      <c r="Y44" s="306">
        <v>0</v>
      </c>
      <c r="Z44" s="306">
        <v>0</v>
      </c>
      <c r="AA44" s="306">
        <v>0</v>
      </c>
      <c r="AB44" s="306">
        <v>0</v>
      </c>
      <c r="AC44" s="306">
        <v>0</v>
      </c>
      <c r="AD44" s="306">
        <v>0</v>
      </c>
      <c r="AE44" s="306">
        <v>0</v>
      </c>
      <c r="AF44" s="306">
        <v>0</v>
      </c>
      <c r="AG44" s="306"/>
      <c r="AH44" s="107">
        <f t="shared" si="6"/>
        <v>0</v>
      </c>
    </row>
    <row r="45" spans="1:34" ht="15" customHeight="1">
      <c r="A45" s="363" t="s">
        <v>149</v>
      </c>
      <c r="B45" s="53">
        <f t="shared" si="7"/>
        <v>0</v>
      </c>
      <c r="C45" s="103">
        <v>0</v>
      </c>
      <c r="D45" s="53">
        <v>0</v>
      </c>
      <c r="E45" s="53">
        <v>0</v>
      </c>
      <c r="F45" s="53">
        <v>0</v>
      </c>
      <c r="G45" s="53">
        <v>0</v>
      </c>
      <c r="H45" s="53">
        <v>0</v>
      </c>
      <c r="I45" s="53">
        <v>0</v>
      </c>
      <c r="J45" s="53">
        <v>0</v>
      </c>
      <c r="K45" s="53">
        <v>0</v>
      </c>
      <c r="L45" s="53">
        <v>0</v>
      </c>
      <c r="M45" s="53">
        <v>0</v>
      </c>
      <c r="N45" s="53">
        <v>0</v>
      </c>
      <c r="O45" s="53">
        <v>0</v>
      </c>
      <c r="P45" s="53">
        <v>0</v>
      </c>
      <c r="Q45" s="53">
        <v>0</v>
      </c>
      <c r="R45" s="53">
        <v>0</v>
      </c>
      <c r="S45" s="53">
        <v>0</v>
      </c>
      <c r="T45" s="53">
        <v>0</v>
      </c>
      <c r="U45" s="53">
        <v>0</v>
      </c>
      <c r="V45" s="53">
        <v>0</v>
      </c>
      <c r="W45" s="53">
        <v>0</v>
      </c>
      <c r="X45" s="53">
        <v>0</v>
      </c>
      <c r="Y45" s="53">
        <v>0</v>
      </c>
      <c r="Z45" s="53">
        <v>0</v>
      </c>
      <c r="AA45" s="53">
        <v>0</v>
      </c>
      <c r="AB45" s="53">
        <v>0</v>
      </c>
      <c r="AC45" s="53">
        <v>0</v>
      </c>
      <c r="AD45" s="53">
        <v>0</v>
      </c>
      <c r="AE45" s="53">
        <v>0</v>
      </c>
      <c r="AF45" s="53">
        <v>0</v>
      </c>
      <c r="AG45" s="53"/>
      <c r="AH45" s="107">
        <f t="shared" si="6"/>
        <v>0</v>
      </c>
    </row>
    <row r="46" spans="1:34" ht="15" customHeight="1">
      <c r="A46" s="363" t="s">
        <v>150</v>
      </c>
      <c r="B46" s="53">
        <f t="shared" si="7"/>
        <v>0</v>
      </c>
      <c r="C46" s="103">
        <v>0</v>
      </c>
      <c r="D46" s="53">
        <v>0</v>
      </c>
      <c r="E46" s="53">
        <v>0</v>
      </c>
      <c r="F46" s="53">
        <v>0</v>
      </c>
      <c r="G46" s="53">
        <v>0</v>
      </c>
      <c r="H46" s="53">
        <v>0</v>
      </c>
      <c r="I46" s="53">
        <v>0</v>
      </c>
      <c r="J46" s="53">
        <v>0</v>
      </c>
      <c r="K46" s="53">
        <v>0</v>
      </c>
      <c r="L46" s="53">
        <v>0</v>
      </c>
      <c r="M46" s="53">
        <v>0</v>
      </c>
      <c r="N46" s="53">
        <v>0</v>
      </c>
      <c r="O46" s="53">
        <v>0</v>
      </c>
      <c r="P46" s="53">
        <v>0</v>
      </c>
      <c r="Q46" s="53">
        <v>0</v>
      </c>
      <c r="R46" s="53">
        <v>0</v>
      </c>
      <c r="S46" s="53">
        <v>0</v>
      </c>
      <c r="T46" s="53">
        <v>0</v>
      </c>
      <c r="U46" s="53">
        <v>0</v>
      </c>
      <c r="V46" s="53">
        <v>0</v>
      </c>
      <c r="W46" s="53">
        <v>0</v>
      </c>
      <c r="X46" s="53">
        <v>0</v>
      </c>
      <c r="Y46" s="53">
        <v>0</v>
      </c>
      <c r="Z46" s="53">
        <v>0</v>
      </c>
      <c r="AA46" s="53">
        <v>0</v>
      </c>
      <c r="AB46" s="53">
        <v>0</v>
      </c>
      <c r="AC46" s="53">
        <v>0</v>
      </c>
      <c r="AD46" s="53">
        <v>0</v>
      </c>
      <c r="AE46" s="53">
        <v>0</v>
      </c>
      <c r="AF46" s="53">
        <v>0</v>
      </c>
      <c r="AG46" s="53"/>
      <c r="AH46" s="107">
        <f t="shared" si="6"/>
        <v>0</v>
      </c>
    </row>
    <row r="47" spans="1:34" ht="15" customHeight="1">
      <c r="A47" s="363" t="s">
        <v>151</v>
      </c>
      <c r="B47" s="53">
        <f t="shared" si="7"/>
        <v>0</v>
      </c>
      <c r="C47" s="103">
        <v>0</v>
      </c>
      <c r="D47" s="53">
        <v>0</v>
      </c>
      <c r="E47" s="53">
        <v>0</v>
      </c>
      <c r="F47" s="53">
        <v>0</v>
      </c>
      <c r="G47" s="53">
        <v>0</v>
      </c>
      <c r="H47" s="53">
        <v>0</v>
      </c>
      <c r="I47" s="53">
        <v>0</v>
      </c>
      <c r="J47" s="103">
        <v>0</v>
      </c>
      <c r="K47" s="103">
        <v>0</v>
      </c>
      <c r="L47" s="53">
        <v>0</v>
      </c>
      <c r="M47" s="53">
        <v>0</v>
      </c>
      <c r="N47" s="53">
        <v>0</v>
      </c>
      <c r="O47" s="53">
        <v>0</v>
      </c>
      <c r="P47" s="53">
        <v>0</v>
      </c>
      <c r="Q47" s="53">
        <v>0</v>
      </c>
      <c r="R47" s="53">
        <v>0</v>
      </c>
      <c r="S47" s="53">
        <v>0</v>
      </c>
      <c r="T47" s="53">
        <v>0</v>
      </c>
      <c r="U47" s="53">
        <v>0</v>
      </c>
      <c r="V47" s="53">
        <v>0</v>
      </c>
      <c r="W47" s="53">
        <v>0</v>
      </c>
      <c r="X47" s="53">
        <v>0</v>
      </c>
      <c r="Y47" s="53">
        <v>0</v>
      </c>
      <c r="Z47" s="53">
        <v>0</v>
      </c>
      <c r="AA47" s="53">
        <v>0</v>
      </c>
      <c r="AB47" s="53">
        <v>0</v>
      </c>
      <c r="AC47" s="53">
        <v>0</v>
      </c>
      <c r="AD47" s="53">
        <v>0</v>
      </c>
      <c r="AE47" s="53">
        <v>0</v>
      </c>
      <c r="AF47" s="53">
        <v>0</v>
      </c>
      <c r="AG47" s="53"/>
      <c r="AH47" s="107">
        <f t="shared" si="6"/>
        <v>0</v>
      </c>
    </row>
    <row r="48" spans="1:34" ht="15" customHeight="1">
      <c r="A48" s="363" t="s">
        <v>152</v>
      </c>
      <c r="B48" s="53">
        <f t="shared" si="7"/>
        <v>0</v>
      </c>
      <c r="C48" s="103">
        <v>0</v>
      </c>
      <c r="D48" s="53">
        <v>0</v>
      </c>
      <c r="E48" s="53">
        <v>0</v>
      </c>
      <c r="F48" s="53">
        <v>0</v>
      </c>
      <c r="G48" s="53">
        <v>0</v>
      </c>
      <c r="H48" s="53">
        <v>0</v>
      </c>
      <c r="I48" s="53">
        <v>0</v>
      </c>
      <c r="J48" s="103">
        <v>0</v>
      </c>
      <c r="K48" s="103">
        <v>0</v>
      </c>
      <c r="L48" s="53">
        <v>0</v>
      </c>
      <c r="M48" s="53">
        <v>0</v>
      </c>
      <c r="N48" s="53">
        <v>0</v>
      </c>
      <c r="O48" s="53">
        <v>0</v>
      </c>
      <c r="P48" s="53">
        <v>0</v>
      </c>
      <c r="Q48" s="53">
        <v>0</v>
      </c>
      <c r="R48" s="53">
        <v>0</v>
      </c>
      <c r="S48" s="53">
        <v>0</v>
      </c>
      <c r="T48" s="53">
        <v>0</v>
      </c>
      <c r="U48" s="53">
        <v>0</v>
      </c>
      <c r="V48" s="53">
        <v>0</v>
      </c>
      <c r="W48" s="53">
        <v>0</v>
      </c>
      <c r="X48" s="53">
        <v>0</v>
      </c>
      <c r="Y48" s="53">
        <v>0</v>
      </c>
      <c r="Z48" s="53">
        <v>0</v>
      </c>
      <c r="AA48" s="53">
        <v>0</v>
      </c>
      <c r="AB48" s="53">
        <v>0</v>
      </c>
      <c r="AC48" s="53">
        <v>0</v>
      </c>
      <c r="AD48" s="53">
        <v>0</v>
      </c>
      <c r="AE48" s="53">
        <v>0</v>
      </c>
      <c r="AF48" s="53">
        <v>0</v>
      </c>
      <c r="AG48" s="53"/>
      <c r="AH48" s="107">
        <f t="shared" si="6"/>
        <v>0</v>
      </c>
    </row>
    <row r="49" spans="1:34" ht="15" customHeight="1">
      <c r="A49" s="363" t="s">
        <v>153</v>
      </c>
      <c r="B49" s="53">
        <f t="shared" si="7"/>
        <v>0</v>
      </c>
      <c r="C49" s="103">
        <v>0</v>
      </c>
      <c r="D49" s="53">
        <v>0</v>
      </c>
      <c r="E49" s="53">
        <v>0</v>
      </c>
      <c r="F49" s="53">
        <v>0</v>
      </c>
      <c r="G49" s="53">
        <v>0</v>
      </c>
      <c r="H49" s="53">
        <v>0</v>
      </c>
      <c r="I49" s="53">
        <v>0</v>
      </c>
      <c r="J49" s="103">
        <v>0</v>
      </c>
      <c r="K49" s="103">
        <v>0</v>
      </c>
      <c r="L49" s="53">
        <v>0</v>
      </c>
      <c r="M49" s="53">
        <v>0</v>
      </c>
      <c r="N49" s="53">
        <v>0</v>
      </c>
      <c r="O49" s="53">
        <v>0</v>
      </c>
      <c r="P49" s="53">
        <v>0</v>
      </c>
      <c r="Q49" s="53">
        <v>0</v>
      </c>
      <c r="R49" s="53">
        <v>0</v>
      </c>
      <c r="S49" s="53">
        <v>0</v>
      </c>
      <c r="T49" s="53">
        <v>0</v>
      </c>
      <c r="U49" s="53">
        <v>0</v>
      </c>
      <c r="V49" s="53">
        <v>0</v>
      </c>
      <c r="W49" s="53">
        <v>0</v>
      </c>
      <c r="X49" s="53">
        <v>0</v>
      </c>
      <c r="Y49" s="53">
        <v>0</v>
      </c>
      <c r="Z49" s="53">
        <v>0</v>
      </c>
      <c r="AA49" s="53">
        <v>0</v>
      </c>
      <c r="AB49" s="53">
        <v>0</v>
      </c>
      <c r="AC49" s="53">
        <v>0</v>
      </c>
      <c r="AD49" s="53">
        <v>0</v>
      </c>
      <c r="AE49" s="53">
        <v>0</v>
      </c>
      <c r="AF49" s="53">
        <v>0</v>
      </c>
      <c r="AG49" s="53"/>
      <c r="AH49" s="107">
        <f t="shared" si="6"/>
        <v>0</v>
      </c>
    </row>
    <row r="50" spans="1:34" ht="15" customHeight="1">
      <c r="A50" s="363" t="s">
        <v>154</v>
      </c>
      <c r="B50" s="53">
        <f t="shared" si="7"/>
        <v>0.05</v>
      </c>
      <c r="C50" s="103">
        <v>0</v>
      </c>
      <c r="D50" s="53">
        <v>0</v>
      </c>
      <c r="E50" s="53">
        <v>0</v>
      </c>
      <c r="F50" s="53">
        <v>0</v>
      </c>
      <c r="G50" s="53">
        <v>0</v>
      </c>
      <c r="H50" s="53">
        <v>0</v>
      </c>
      <c r="I50" s="53">
        <v>0</v>
      </c>
      <c r="J50" s="53">
        <v>0</v>
      </c>
      <c r="K50" s="53">
        <v>0</v>
      </c>
      <c r="L50" s="53">
        <v>0</v>
      </c>
      <c r="M50" s="53">
        <v>0</v>
      </c>
      <c r="N50" s="53">
        <v>0</v>
      </c>
      <c r="O50" s="53">
        <v>0</v>
      </c>
      <c r="P50" s="53">
        <v>0</v>
      </c>
      <c r="Q50" s="53">
        <v>0</v>
      </c>
      <c r="R50" s="53">
        <v>0</v>
      </c>
      <c r="S50" s="53">
        <v>0</v>
      </c>
      <c r="T50" s="53">
        <v>0</v>
      </c>
      <c r="U50" s="53">
        <v>0</v>
      </c>
      <c r="V50" s="53">
        <v>0</v>
      </c>
      <c r="W50" s="53">
        <v>0</v>
      </c>
      <c r="X50" s="53">
        <v>0</v>
      </c>
      <c r="Y50" s="53">
        <v>0</v>
      </c>
      <c r="Z50" s="53">
        <v>0</v>
      </c>
      <c r="AA50" s="53">
        <v>0</v>
      </c>
      <c r="AB50" s="53">
        <v>0</v>
      </c>
      <c r="AC50" s="53">
        <v>0.05</v>
      </c>
      <c r="AD50" s="53">
        <v>0</v>
      </c>
      <c r="AE50" s="53">
        <v>0</v>
      </c>
      <c r="AF50" s="53">
        <v>0</v>
      </c>
      <c r="AG50" s="53">
        <v>0</v>
      </c>
      <c r="AH50" s="107">
        <f t="shared" si="6"/>
        <v>0.05</v>
      </c>
    </row>
    <row r="51" spans="1:34" ht="15" customHeight="1">
      <c r="A51" s="73" t="s">
        <v>155</v>
      </c>
      <c r="B51" s="53">
        <f t="shared" si="7"/>
        <v>4.6020000000000003</v>
      </c>
      <c r="C51" s="103">
        <v>0</v>
      </c>
      <c r="D51" s="53">
        <v>0</v>
      </c>
      <c r="E51" s="53">
        <v>0</v>
      </c>
      <c r="F51" s="53">
        <v>0</v>
      </c>
      <c r="G51" s="11">
        <v>0</v>
      </c>
      <c r="H51" s="53">
        <v>0</v>
      </c>
      <c r="I51" s="53">
        <v>0</v>
      </c>
      <c r="J51" s="53">
        <v>3.0000000000000001E-3</v>
      </c>
      <c r="K51" s="53">
        <v>5.8000000000000003E-2</v>
      </c>
      <c r="L51" s="53">
        <v>0</v>
      </c>
      <c r="M51" s="53">
        <v>0</v>
      </c>
      <c r="N51" s="53">
        <v>0</v>
      </c>
      <c r="O51" s="53">
        <v>0.05</v>
      </c>
      <c r="P51" s="53">
        <v>0</v>
      </c>
      <c r="Q51" s="53">
        <v>1</v>
      </c>
      <c r="R51" s="53">
        <v>0.1</v>
      </c>
      <c r="S51" s="53">
        <v>0.09</v>
      </c>
      <c r="T51" s="53">
        <v>0</v>
      </c>
      <c r="U51" s="53">
        <v>0.04</v>
      </c>
      <c r="V51" s="53">
        <v>2</v>
      </c>
      <c r="W51" s="53">
        <v>0.04</v>
      </c>
      <c r="X51" s="53">
        <v>0.02</v>
      </c>
      <c r="Y51" s="11">
        <v>0</v>
      </c>
      <c r="Z51" s="53">
        <v>0.9</v>
      </c>
      <c r="AA51" s="53">
        <v>0.18099999999999999</v>
      </c>
      <c r="AB51" s="53">
        <v>0</v>
      </c>
      <c r="AC51" s="53">
        <v>7.0000000000000007E-2</v>
      </c>
      <c r="AD51" s="53">
        <v>0</v>
      </c>
      <c r="AE51" s="53">
        <v>0.05</v>
      </c>
      <c r="AF51" s="53">
        <v>0</v>
      </c>
      <c r="AG51" s="53"/>
      <c r="AH51" s="107">
        <f t="shared" si="6"/>
        <v>4.6020000000000003</v>
      </c>
    </row>
    <row r="52" spans="1:34" ht="15" customHeight="1">
      <c r="A52" s="73" t="s">
        <v>156</v>
      </c>
      <c r="B52" s="53">
        <f t="shared" si="7"/>
        <v>2.2630000000000003</v>
      </c>
      <c r="C52" s="3578">
        <v>0.09</v>
      </c>
      <c r="D52" s="3579">
        <v>0</v>
      </c>
      <c r="E52" s="3579">
        <v>4.1999999999999996E-2</v>
      </c>
      <c r="F52" s="3579">
        <v>1.0999999999999999E-2</v>
      </c>
      <c r="G52" s="3579">
        <v>1.252</v>
      </c>
      <c r="H52" s="3579">
        <v>6.5000000000000002E-2</v>
      </c>
      <c r="I52" s="3579">
        <v>0.06</v>
      </c>
      <c r="J52" s="3579">
        <v>1.2E-2</v>
      </c>
      <c r="K52" s="3579">
        <v>5.8000000000000003E-2</v>
      </c>
      <c r="L52" s="3579">
        <v>0.01</v>
      </c>
      <c r="M52" s="3579">
        <v>0.02</v>
      </c>
      <c r="N52" s="3579">
        <v>0.08</v>
      </c>
      <c r="O52" s="3579">
        <v>0</v>
      </c>
      <c r="P52" s="3579">
        <v>0.127</v>
      </c>
      <c r="Q52" s="3579">
        <v>7.2000000000000008E-2</v>
      </c>
      <c r="R52" s="3579">
        <v>0</v>
      </c>
      <c r="S52" s="3579">
        <v>1.7000000000000001E-2</v>
      </c>
      <c r="T52" s="3579">
        <v>0</v>
      </c>
      <c r="U52" s="3579">
        <v>0</v>
      </c>
      <c r="V52" s="3579">
        <v>0.1</v>
      </c>
      <c r="W52" s="3579">
        <v>0</v>
      </c>
      <c r="X52" s="3579">
        <v>3.5000000000000003E-2</v>
      </c>
      <c r="Y52" s="3579">
        <v>1.2E-2</v>
      </c>
      <c r="Z52" s="3579">
        <v>0</v>
      </c>
      <c r="AA52" s="3579">
        <v>0</v>
      </c>
      <c r="AB52" s="53">
        <v>0</v>
      </c>
      <c r="AC52" s="53">
        <v>0</v>
      </c>
      <c r="AD52" s="53">
        <v>0.1</v>
      </c>
      <c r="AE52" s="53">
        <v>0</v>
      </c>
      <c r="AF52" s="53">
        <v>0.1</v>
      </c>
      <c r="AG52" s="53">
        <v>0</v>
      </c>
      <c r="AH52" s="107">
        <f t="shared" si="6"/>
        <v>2.2630000000000003</v>
      </c>
    </row>
    <row r="53" spans="1:34" ht="15" customHeight="1">
      <c r="A53" s="199" t="s">
        <v>144</v>
      </c>
      <c r="B53" s="200">
        <f t="shared" ref="B53:AG53" si="8">SUM(B41:B52)</f>
        <v>281.23500000000001</v>
      </c>
      <c r="C53" s="100">
        <f t="shared" si="8"/>
        <v>0.24299999999999999</v>
      </c>
      <c r="D53" s="107">
        <f t="shared" si="8"/>
        <v>2.3879999999999999</v>
      </c>
      <c r="E53" s="107">
        <f t="shared" si="8"/>
        <v>3.1219999999999999</v>
      </c>
      <c r="F53" s="107">
        <f t="shared" si="8"/>
        <v>3.649</v>
      </c>
      <c r="G53" s="107">
        <f t="shared" si="8"/>
        <v>7.2659999999999991</v>
      </c>
      <c r="H53" s="107">
        <f t="shared" si="8"/>
        <v>2.544</v>
      </c>
      <c r="I53" s="107">
        <f t="shared" si="8"/>
        <v>3.6410000000000005</v>
      </c>
      <c r="J53" s="107">
        <f t="shared" si="8"/>
        <v>6.7480000000000002</v>
      </c>
      <c r="K53" s="107">
        <f t="shared" si="8"/>
        <v>25.858999999999998</v>
      </c>
      <c r="L53" s="107">
        <f t="shared" si="8"/>
        <v>6.6860000000000008</v>
      </c>
      <c r="M53" s="107">
        <f t="shared" si="8"/>
        <v>0.48400000000000004</v>
      </c>
      <c r="N53" s="107">
        <f t="shared" si="8"/>
        <v>10.568999999999999</v>
      </c>
      <c r="O53" s="107">
        <f t="shared" si="8"/>
        <v>5.3</v>
      </c>
      <c r="P53" s="107">
        <f t="shared" si="8"/>
        <v>85.921999999999997</v>
      </c>
      <c r="Q53" s="107">
        <f t="shared" si="8"/>
        <v>45.773000000000003</v>
      </c>
      <c r="R53" s="107">
        <f t="shared" si="8"/>
        <v>4.222999999999999</v>
      </c>
      <c r="S53" s="107">
        <f t="shared" si="8"/>
        <v>15.46</v>
      </c>
      <c r="T53" s="107">
        <f t="shared" si="8"/>
        <v>3.8980000000000001</v>
      </c>
      <c r="U53" s="107">
        <f t="shared" si="8"/>
        <v>1.35</v>
      </c>
      <c r="V53" s="107">
        <f t="shared" si="8"/>
        <v>2.2589999999999999</v>
      </c>
      <c r="W53" s="107">
        <f t="shared" si="8"/>
        <v>18.504999999999999</v>
      </c>
      <c r="X53" s="107">
        <f t="shared" si="8"/>
        <v>2.8430000000000004</v>
      </c>
      <c r="Y53" s="107">
        <f t="shared" si="8"/>
        <v>2.1119999999999997</v>
      </c>
      <c r="Z53" s="107">
        <f t="shared" si="8"/>
        <v>2.36</v>
      </c>
      <c r="AA53" s="107">
        <f t="shared" si="8"/>
        <v>1.1000000000000001</v>
      </c>
      <c r="AB53" s="107">
        <f t="shared" si="8"/>
        <v>0.85799999999999998</v>
      </c>
      <c r="AC53" s="107">
        <f t="shared" si="8"/>
        <v>5.69</v>
      </c>
      <c r="AD53" s="107">
        <f t="shared" si="8"/>
        <v>1.2630000000000001</v>
      </c>
      <c r="AE53" s="107">
        <f t="shared" si="8"/>
        <v>0.39999999999999997</v>
      </c>
      <c r="AF53" s="107">
        <f t="shared" si="8"/>
        <v>8.65</v>
      </c>
      <c r="AG53" s="107">
        <f t="shared" si="8"/>
        <v>7.0000000000000007E-2</v>
      </c>
      <c r="AH53" s="100">
        <f t="shared" si="6"/>
        <v>281.23499999999996</v>
      </c>
    </row>
    <row r="54" spans="1:34" ht="15" customHeight="1">
      <c r="A54" s="387"/>
      <c r="B54" s="387"/>
      <c r="C54" s="387"/>
      <c r="D54" s="387"/>
      <c r="E54" s="387"/>
      <c r="F54" s="387"/>
      <c r="G54" s="387"/>
      <c r="H54" s="387"/>
      <c r="I54" s="387"/>
      <c r="J54" s="387"/>
      <c r="K54" s="387"/>
      <c r="L54" s="387"/>
      <c r="M54" s="387"/>
      <c r="N54" s="387"/>
      <c r="O54" s="387"/>
      <c r="P54" s="387"/>
      <c r="Q54" s="387"/>
      <c r="R54" s="387"/>
      <c r="S54" s="387"/>
      <c r="T54" s="387"/>
      <c r="U54" s="14"/>
      <c r="V54" s="14"/>
      <c r="W54" s="14"/>
      <c r="X54" s="14"/>
      <c r="Y54" s="14"/>
      <c r="Z54" s="14"/>
      <c r="AA54" s="14"/>
      <c r="AB54" s="14"/>
      <c r="AC54" s="14"/>
      <c r="AD54" s="14"/>
      <c r="AE54" s="14"/>
      <c r="AF54" s="14"/>
      <c r="AG54" s="14"/>
      <c r="AH54" s="1"/>
    </row>
    <row r="55" spans="1:34" ht="15" customHeight="1">
      <c r="A55" s="3873" t="s">
        <v>226</v>
      </c>
      <c r="B55" s="3874"/>
      <c r="C55" s="3874"/>
      <c r="D55" s="3874"/>
      <c r="E55" s="3874"/>
      <c r="F55" s="3874"/>
      <c r="G55" s="3874"/>
      <c r="H55" s="3874"/>
      <c r="I55" s="3874"/>
      <c r="J55" s="3874"/>
      <c r="K55" s="3874"/>
      <c r="L55" s="3874"/>
      <c r="M55" s="3874"/>
      <c r="N55" s="3874"/>
      <c r="O55" s="3874"/>
      <c r="P55" s="3874"/>
      <c r="Q55" s="3874"/>
      <c r="R55" s="3875"/>
      <c r="S55" s="14"/>
      <c r="T55" s="14"/>
      <c r="U55" s="14"/>
      <c r="V55" s="14"/>
      <c r="W55" s="14"/>
      <c r="X55" s="14"/>
      <c r="Y55" s="14"/>
      <c r="Z55" s="14"/>
      <c r="AA55" s="14"/>
      <c r="AB55" s="14"/>
      <c r="AC55" s="14"/>
      <c r="AD55" s="14"/>
      <c r="AE55" s="14"/>
      <c r="AF55" s="14"/>
      <c r="AG55" s="14"/>
      <c r="AH55" s="1"/>
    </row>
    <row r="56" spans="1:34" ht="5.0999999999999996" customHeight="1">
      <c r="A56" s="104"/>
      <c r="B56" s="176"/>
      <c r="C56" s="16"/>
      <c r="D56" s="106"/>
      <c r="E56" s="106"/>
      <c r="F56" s="106"/>
      <c r="G56" s="106"/>
      <c r="H56" s="106"/>
      <c r="I56" s="106"/>
      <c r="J56" s="106"/>
      <c r="K56" s="106"/>
      <c r="L56" s="106"/>
      <c r="M56" s="106"/>
      <c r="N56" s="106"/>
      <c r="O56" s="106"/>
      <c r="P56" s="106"/>
      <c r="Q56" s="106"/>
      <c r="R56" s="106"/>
      <c r="S56" s="106"/>
      <c r="T56" s="106"/>
      <c r="U56" s="106"/>
      <c r="V56" s="106"/>
      <c r="W56" s="106"/>
      <c r="X56" s="106"/>
      <c r="Y56" s="106"/>
      <c r="Z56" s="106"/>
      <c r="AA56" s="106"/>
      <c r="AB56" s="106"/>
      <c r="AC56" s="106"/>
      <c r="AD56" s="106"/>
      <c r="AE56" s="106"/>
      <c r="AF56" s="106"/>
      <c r="AG56" s="106"/>
      <c r="AH56" s="16"/>
    </row>
    <row r="57" spans="1:34" ht="15" customHeight="1">
      <c r="A57" s="3864" t="s">
        <v>160</v>
      </c>
      <c r="B57" s="3865"/>
      <c r="C57" s="3865"/>
      <c r="D57" s="3865"/>
      <c r="E57" s="3865"/>
      <c r="F57" s="3865"/>
      <c r="G57" s="3865"/>
      <c r="H57" s="3866"/>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row>
    <row r="58" spans="1:34" ht="15" customHeight="1">
      <c r="A58" s="8" t="s">
        <v>161</v>
      </c>
      <c r="B58" s="172" t="s">
        <v>143</v>
      </c>
      <c r="C58" s="2907">
        <v>1</v>
      </c>
      <c r="D58" s="73">
        <v>2</v>
      </c>
      <c r="E58" s="73">
        <v>3</v>
      </c>
      <c r="F58" s="73">
        <v>4</v>
      </c>
      <c r="G58" s="73">
        <v>5</v>
      </c>
      <c r="H58" s="73">
        <v>6</v>
      </c>
      <c r="I58" s="73">
        <v>7</v>
      </c>
      <c r="J58" s="73">
        <v>8</v>
      </c>
      <c r="K58" s="73">
        <v>9</v>
      </c>
      <c r="L58" s="73">
        <v>10</v>
      </c>
      <c r="M58" s="73">
        <v>11</v>
      </c>
      <c r="N58" s="73">
        <v>12</v>
      </c>
      <c r="O58" s="73">
        <v>13</v>
      </c>
      <c r="P58" s="73">
        <v>14</v>
      </c>
      <c r="Q58" s="73">
        <v>15</v>
      </c>
      <c r="R58" s="73">
        <v>16</v>
      </c>
      <c r="S58" s="73">
        <v>17</v>
      </c>
      <c r="T58" s="73">
        <v>18</v>
      </c>
      <c r="U58" s="73">
        <v>19</v>
      </c>
      <c r="V58" s="73">
        <v>20</v>
      </c>
      <c r="W58" s="73">
        <v>21</v>
      </c>
      <c r="X58" s="73">
        <v>22</v>
      </c>
      <c r="Y58" s="73">
        <v>23</v>
      </c>
      <c r="Z58" s="73">
        <v>24</v>
      </c>
      <c r="AA58" s="73">
        <v>25</v>
      </c>
      <c r="AB58" s="73">
        <v>26</v>
      </c>
      <c r="AC58" s="73">
        <v>27</v>
      </c>
      <c r="AD58" s="73">
        <v>28</v>
      </c>
      <c r="AE58" s="73">
        <v>29</v>
      </c>
      <c r="AF58" s="73">
        <v>30</v>
      </c>
      <c r="AG58" s="73">
        <v>31</v>
      </c>
      <c r="AH58" s="88" t="s">
        <v>144</v>
      </c>
    </row>
    <row r="59" spans="1:34" ht="15" customHeight="1">
      <c r="A59" s="375" t="s">
        <v>145</v>
      </c>
      <c r="B59" s="319">
        <f t="shared" ref="B59:B70" si="9">+AH59</f>
        <v>0</v>
      </c>
      <c r="C59" s="103">
        <v>0</v>
      </c>
      <c r="D59" s="53">
        <v>0</v>
      </c>
      <c r="E59" s="53">
        <v>0</v>
      </c>
      <c r="F59" s="53">
        <v>0</v>
      </c>
      <c r="G59" s="53">
        <v>0</v>
      </c>
      <c r="H59" s="53">
        <v>0</v>
      </c>
      <c r="I59" s="53">
        <v>0</v>
      </c>
      <c r="J59" s="53">
        <v>0</v>
      </c>
      <c r="K59" s="53">
        <v>0</v>
      </c>
      <c r="L59" s="53">
        <v>0</v>
      </c>
      <c r="M59" s="53">
        <v>0</v>
      </c>
      <c r="N59" s="53">
        <v>0</v>
      </c>
      <c r="O59" s="53">
        <v>0</v>
      </c>
      <c r="P59" s="53">
        <v>0</v>
      </c>
      <c r="Q59" s="53">
        <v>0</v>
      </c>
      <c r="R59" s="53">
        <v>0</v>
      </c>
      <c r="S59" s="53">
        <v>0</v>
      </c>
      <c r="T59" s="53">
        <v>0</v>
      </c>
      <c r="U59" s="53">
        <v>0</v>
      </c>
      <c r="V59" s="53">
        <v>0</v>
      </c>
      <c r="W59" s="53">
        <v>0</v>
      </c>
      <c r="X59" s="53">
        <v>0</v>
      </c>
      <c r="Y59" s="53">
        <v>0</v>
      </c>
      <c r="Z59" s="53">
        <v>0</v>
      </c>
      <c r="AA59" s="53">
        <v>0</v>
      </c>
      <c r="AB59" s="53">
        <v>0</v>
      </c>
      <c r="AC59" s="53">
        <v>0</v>
      </c>
      <c r="AD59" s="53">
        <v>0</v>
      </c>
      <c r="AE59" s="53">
        <v>0</v>
      </c>
      <c r="AF59" s="53">
        <v>0</v>
      </c>
      <c r="AG59" s="53">
        <v>0</v>
      </c>
      <c r="AH59" s="107">
        <f>SUM(C59:AG59)</f>
        <v>0</v>
      </c>
    </row>
    <row r="60" spans="1:34" ht="15" customHeight="1">
      <c r="A60" s="375" t="s">
        <v>146</v>
      </c>
      <c r="B60" s="319">
        <f t="shared" si="9"/>
        <v>0</v>
      </c>
      <c r="C60" s="103">
        <v>0</v>
      </c>
      <c r="D60" s="53">
        <v>0</v>
      </c>
      <c r="E60" s="53">
        <v>0</v>
      </c>
      <c r="F60" s="53">
        <v>0</v>
      </c>
      <c r="G60" s="53">
        <v>0</v>
      </c>
      <c r="H60" s="53">
        <v>0</v>
      </c>
      <c r="I60" s="53">
        <v>0</v>
      </c>
      <c r="J60" s="53">
        <v>0</v>
      </c>
      <c r="K60" s="53">
        <v>0</v>
      </c>
      <c r="L60" s="53">
        <v>0</v>
      </c>
      <c r="M60" s="53">
        <v>0</v>
      </c>
      <c r="N60" s="53">
        <v>0</v>
      </c>
      <c r="O60" s="53">
        <v>0</v>
      </c>
      <c r="P60" s="53">
        <v>0</v>
      </c>
      <c r="Q60" s="53">
        <v>0</v>
      </c>
      <c r="R60" s="53">
        <v>0</v>
      </c>
      <c r="S60" s="53">
        <v>0</v>
      </c>
      <c r="T60" s="53">
        <v>0</v>
      </c>
      <c r="U60" s="53">
        <v>0</v>
      </c>
      <c r="V60" s="53">
        <v>0</v>
      </c>
      <c r="W60" s="53">
        <v>0</v>
      </c>
      <c r="X60" s="53">
        <v>0</v>
      </c>
      <c r="Y60" s="53">
        <v>0</v>
      </c>
      <c r="Z60" s="53">
        <v>0</v>
      </c>
      <c r="AA60" s="53">
        <v>0</v>
      </c>
      <c r="AB60" s="53">
        <v>0</v>
      </c>
      <c r="AC60" s="53">
        <v>0</v>
      </c>
      <c r="AD60" s="53">
        <v>0</v>
      </c>
      <c r="AE60" s="53">
        <v>0</v>
      </c>
      <c r="AF60" s="53">
        <v>0</v>
      </c>
      <c r="AG60" s="53">
        <v>0</v>
      </c>
      <c r="AH60" s="107">
        <f t="shared" ref="AH60:AH70" si="10">SUM(C60:AG60)</f>
        <v>0</v>
      </c>
    </row>
    <row r="61" spans="1:34" ht="15" customHeight="1">
      <c r="A61" s="375" t="s">
        <v>147</v>
      </c>
      <c r="B61" s="319">
        <f t="shared" si="9"/>
        <v>251.77500000000001</v>
      </c>
      <c r="C61" s="103">
        <v>0</v>
      </c>
      <c r="D61" s="53">
        <v>0</v>
      </c>
      <c r="E61" s="53">
        <v>0</v>
      </c>
      <c r="F61" s="53">
        <v>0</v>
      </c>
      <c r="G61" s="53">
        <v>0</v>
      </c>
      <c r="H61" s="53">
        <v>0</v>
      </c>
      <c r="I61" s="53">
        <v>0</v>
      </c>
      <c r="J61" s="53">
        <v>0</v>
      </c>
      <c r="K61" s="53">
        <v>0</v>
      </c>
      <c r="L61" s="53">
        <v>0</v>
      </c>
      <c r="M61" s="53">
        <v>0</v>
      </c>
      <c r="N61" s="53">
        <v>0</v>
      </c>
      <c r="O61" s="53">
        <v>9.6199999999999992</v>
      </c>
      <c r="P61" s="53">
        <v>94.93</v>
      </c>
      <c r="Q61" s="53">
        <v>0</v>
      </c>
      <c r="R61" s="53">
        <v>112.185</v>
      </c>
      <c r="S61" s="53">
        <v>0</v>
      </c>
      <c r="T61" s="53">
        <v>0</v>
      </c>
      <c r="U61" s="53">
        <v>15.04</v>
      </c>
      <c r="V61" s="53">
        <v>20</v>
      </c>
      <c r="W61" s="53">
        <v>0</v>
      </c>
      <c r="X61" s="53">
        <v>0</v>
      </c>
      <c r="Y61" s="53">
        <v>0</v>
      </c>
      <c r="Z61" s="53">
        <v>0</v>
      </c>
      <c r="AA61" s="53">
        <v>0</v>
      </c>
      <c r="AB61" s="53">
        <v>0</v>
      </c>
      <c r="AC61" s="53">
        <v>0</v>
      </c>
      <c r="AD61" s="53">
        <v>0</v>
      </c>
      <c r="AE61" s="53">
        <v>0</v>
      </c>
      <c r="AF61" s="53">
        <v>0</v>
      </c>
      <c r="AG61" s="53">
        <v>0</v>
      </c>
      <c r="AH61" s="107">
        <f t="shared" si="10"/>
        <v>251.77500000000001</v>
      </c>
    </row>
    <row r="62" spans="1:34" ht="15" customHeight="1">
      <c r="A62" s="375" t="s">
        <v>148</v>
      </c>
      <c r="B62" s="319">
        <f t="shared" si="9"/>
        <v>52.839999999999996</v>
      </c>
      <c r="C62" s="103">
        <v>0</v>
      </c>
      <c r="D62" s="53">
        <v>0</v>
      </c>
      <c r="E62" s="53">
        <v>0</v>
      </c>
      <c r="F62" s="53">
        <v>0</v>
      </c>
      <c r="G62" s="53">
        <v>0</v>
      </c>
      <c r="H62" s="53">
        <v>0</v>
      </c>
      <c r="I62" s="53">
        <v>0</v>
      </c>
      <c r="J62" s="53">
        <v>0</v>
      </c>
      <c r="K62" s="53">
        <v>0</v>
      </c>
      <c r="L62" s="923">
        <v>20</v>
      </c>
      <c r="M62" s="923">
        <v>32.799999999999997</v>
      </c>
      <c r="N62" s="829">
        <v>0</v>
      </c>
      <c r="O62" s="829">
        <v>0</v>
      </c>
      <c r="P62" s="829">
        <v>0</v>
      </c>
      <c r="Q62" s="829">
        <v>0</v>
      </c>
      <c r="R62" s="829">
        <v>0</v>
      </c>
      <c r="S62" s="829">
        <v>0</v>
      </c>
      <c r="T62" s="829">
        <v>0</v>
      </c>
      <c r="U62" s="829">
        <v>0</v>
      </c>
      <c r="V62" s="829">
        <v>0</v>
      </c>
      <c r="W62" s="829">
        <v>0</v>
      </c>
      <c r="X62" s="829">
        <v>0</v>
      </c>
      <c r="Y62" s="829">
        <v>0</v>
      </c>
      <c r="Z62" s="829">
        <v>0.04</v>
      </c>
      <c r="AA62" s="829">
        <v>0</v>
      </c>
      <c r="AB62" s="829">
        <v>0</v>
      </c>
      <c r="AC62" s="829">
        <v>0</v>
      </c>
      <c r="AD62" s="829">
        <v>0</v>
      </c>
      <c r="AE62" s="829">
        <v>0</v>
      </c>
      <c r="AF62" s="829">
        <v>0</v>
      </c>
      <c r="AG62" s="829">
        <v>0</v>
      </c>
      <c r="AH62" s="107">
        <f t="shared" si="10"/>
        <v>52.839999999999996</v>
      </c>
    </row>
    <row r="63" spans="1:34" ht="15" customHeight="1">
      <c r="A63" s="375" t="s">
        <v>149</v>
      </c>
      <c r="B63" s="319">
        <f t="shared" si="9"/>
        <v>29</v>
      </c>
      <c r="C63" s="103">
        <v>0</v>
      </c>
      <c r="D63" s="53">
        <v>0</v>
      </c>
      <c r="E63" s="53">
        <v>0</v>
      </c>
      <c r="F63" s="53">
        <v>0</v>
      </c>
      <c r="G63" s="53">
        <v>0</v>
      </c>
      <c r="H63" s="53">
        <v>0</v>
      </c>
      <c r="I63" s="53">
        <v>0</v>
      </c>
      <c r="J63" s="53">
        <v>0</v>
      </c>
      <c r="K63" s="53">
        <v>0</v>
      </c>
      <c r="L63" s="53">
        <v>0</v>
      </c>
      <c r="M63" s="53">
        <v>0</v>
      </c>
      <c r="N63" s="829">
        <v>0</v>
      </c>
      <c r="O63" s="829">
        <v>0</v>
      </c>
      <c r="P63" s="829">
        <v>0</v>
      </c>
      <c r="Q63" s="829">
        <v>0</v>
      </c>
      <c r="R63" s="829">
        <v>0</v>
      </c>
      <c r="S63" s="829">
        <v>0</v>
      </c>
      <c r="T63" s="829">
        <v>0</v>
      </c>
      <c r="U63" s="829">
        <v>0</v>
      </c>
      <c r="V63" s="829">
        <v>0</v>
      </c>
      <c r="W63" s="829">
        <v>19</v>
      </c>
      <c r="X63" s="829">
        <v>10</v>
      </c>
      <c r="Y63" s="829">
        <v>0</v>
      </c>
      <c r="Z63" s="829">
        <v>0</v>
      </c>
      <c r="AA63" s="829">
        <v>0</v>
      </c>
      <c r="AB63" s="829">
        <v>0</v>
      </c>
      <c r="AC63" s="829">
        <v>0</v>
      </c>
      <c r="AD63" s="829">
        <v>0</v>
      </c>
      <c r="AE63" s="829">
        <v>0</v>
      </c>
      <c r="AF63" s="829">
        <v>0</v>
      </c>
      <c r="AG63" s="829">
        <v>0</v>
      </c>
      <c r="AH63" s="107">
        <f t="shared" si="10"/>
        <v>29</v>
      </c>
    </row>
    <row r="64" spans="1:34" ht="15" customHeight="1">
      <c r="A64" s="375" t="s">
        <v>150</v>
      </c>
      <c r="B64" s="319">
        <f t="shared" si="9"/>
        <v>0</v>
      </c>
      <c r="C64" s="103">
        <v>0</v>
      </c>
      <c r="D64" s="53">
        <v>0</v>
      </c>
      <c r="E64" s="53">
        <v>0</v>
      </c>
      <c r="F64" s="53">
        <v>0</v>
      </c>
      <c r="G64" s="53">
        <v>0</v>
      </c>
      <c r="H64" s="53">
        <v>0</v>
      </c>
      <c r="I64" s="53">
        <v>0</v>
      </c>
      <c r="J64" s="53">
        <v>0</v>
      </c>
      <c r="K64" s="53">
        <v>0</v>
      </c>
      <c r="L64" s="53">
        <v>0</v>
      </c>
      <c r="M64" s="53">
        <v>0</v>
      </c>
      <c r="N64" s="53">
        <v>0</v>
      </c>
      <c r="O64" s="53">
        <v>0</v>
      </c>
      <c r="P64" s="53">
        <v>0</v>
      </c>
      <c r="Q64" s="53">
        <v>0</v>
      </c>
      <c r="R64" s="53">
        <v>0</v>
      </c>
      <c r="S64" s="53">
        <v>0</v>
      </c>
      <c r="T64" s="53">
        <v>0</v>
      </c>
      <c r="U64" s="53">
        <v>0</v>
      </c>
      <c r="V64" s="53">
        <v>0</v>
      </c>
      <c r="W64" s="53">
        <v>0</v>
      </c>
      <c r="X64" s="53">
        <v>0</v>
      </c>
      <c r="Y64" s="53">
        <v>0</v>
      </c>
      <c r="Z64" s="53">
        <v>0</v>
      </c>
      <c r="AA64" s="53">
        <v>0</v>
      </c>
      <c r="AB64" s="53">
        <v>0</v>
      </c>
      <c r="AC64" s="53">
        <v>0</v>
      </c>
      <c r="AD64" s="53">
        <v>0</v>
      </c>
      <c r="AE64" s="53">
        <v>0</v>
      </c>
      <c r="AF64" s="53">
        <v>0</v>
      </c>
      <c r="AG64" s="53">
        <v>0</v>
      </c>
      <c r="AH64" s="107">
        <f t="shared" si="10"/>
        <v>0</v>
      </c>
    </row>
    <row r="65" spans="1:34" ht="15" customHeight="1">
      <c r="A65" s="375" t="s">
        <v>151</v>
      </c>
      <c r="B65" s="319">
        <f t="shared" si="9"/>
        <v>0</v>
      </c>
      <c r="C65" s="103">
        <v>0</v>
      </c>
      <c r="D65" s="53">
        <v>0</v>
      </c>
      <c r="E65" s="53">
        <v>0</v>
      </c>
      <c r="F65" s="53">
        <v>0</v>
      </c>
      <c r="G65" s="53">
        <v>0</v>
      </c>
      <c r="H65" s="53">
        <v>0</v>
      </c>
      <c r="I65" s="53">
        <v>0</v>
      </c>
      <c r="J65" s="103">
        <v>0</v>
      </c>
      <c r="K65" s="103">
        <v>0</v>
      </c>
      <c r="L65" s="53">
        <v>0</v>
      </c>
      <c r="M65" s="53">
        <v>0</v>
      </c>
      <c r="N65" s="53">
        <v>0</v>
      </c>
      <c r="O65" s="53">
        <v>0</v>
      </c>
      <c r="P65" s="53">
        <v>0</v>
      </c>
      <c r="Q65" s="53">
        <v>0</v>
      </c>
      <c r="R65" s="53">
        <v>0</v>
      </c>
      <c r="S65" s="53">
        <v>0</v>
      </c>
      <c r="T65" s="53">
        <v>0</v>
      </c>
      <c r="U65" s="53">
        <v>0</v>
      </c>
      <c r="V65" s="53">
        <v>0</v>
      </c>
      <c r="W65" s="53">
        <v>0</v>
      </c>
      <c r="X65" s="53">
        <v>0</v>
      </c>
      <c r="Y65" s="53">
        <v>0</v>
      </c>
      <c r="Z65" s="53">
        <v>0</v>
      </c>
      <c r="AA65" s="53">
        <v>0</v>
      </c>
      <c r="AB65" s="53">
        <v>0</v>
      </c>
      <c r="AC65" s="53">
        <v>0</v>
      </c>
      <c r="AD65" s="53">
        <v>0</v>
      </c>
      <c r="AE65" s="53">
        <v>0</v>
      </c>
      <c r="AF65" s="53">
        <v>0</v>
      </c>
      <c r="AG65" s="53">
        <v>0</v>
      </c>
      <c r="AH65" s="107">
        <f t="shared" si="10"/>
        <v>0</v>
      </c>
    </row>
    <row r="66" spans="1:34" ht="15" customHeight="1">
      <c r="A66" s="375" t="s">
        <v>152</v>
      </c>
      <c r="B66" s="319">
        <f t="shared" si="9"/>
        <v>0</v>
      </c>
      <c r="C66" s="103">
        <v>0</v>
      </c>
      <c r="D66" s="53">
        <v>0</v>
      </c>
      <c r="E66" s="53">
        <v>0</v>
      </c>
      <c r="F66" s="53">
        <v>0</v>
      </c>
      <c r="G66" s="53">
        <v>0</v>
      </c>
      <c r="H66" s="53">
        <v>0</v>
      </c>
      <c r="I66" s="53">
        <v>0</v>
      </c>
      <c r="J66" s="103">
        <v>0</v>
      </c>
      <c r="K66" s="103">
        <v>0</v>
      </c>
      <c r="L66" s="53">
        <v>0</v>
      </c>
      <c r="M66" s="53">
        <v>0</v>
      </c>
      <c r="N66" s="53">
        <v>0</v>
      </c>
      <c r="O66" s="53">
        <v>0</v>
      </c>
      <c r="P66" s="53">
        <v>0</v>
      </c>
      <c r="Q66" s="53">
        <v>0</v>
      </c>
      <c r="R66" s="53">
        <v>0</v>
      </c>
      <c r="S66" s="53">
        <v>0</v>
      </c>
      <c r="T66" s="53">
        <v>0</v>
      </c>
      <c r="U66" s="53">
        <v>0</v>
      </c>
      <c r="V66" s="53">
        <v>0</v>
      </c>
      <c r="W66" s="53">
        <v>0</v>
      </c>
      <c r="X66" s="53">
        <v>0</v>
      </c>
      <c r="Y66" s="53">
        <v>0</v>
      </c>
      <c r="Z66" s="53">
        <v>0</v>
      </c>
      <c r="AA66" s="53">
        <v>0</v>
      </c>
      <c r="AB66" s="53">
        <v>0</v>
      </c>
      <c r="AC66" s="53">
        <v>0</v>
      </c>
      <c r="AD66" s="53">
        <v>0</v>
      </c>
      <c r="AE66" s="53">
        <v>0</v>
      </c>
      <c r="AF66" s="53">
        <v>0</v>
      </c>
      <c r="AG66" s="53">
        <v>0</v>
      </c>
      <c r="AH66" s="107">
        <f t="shared" si="10"/>
        <v>0</v>
      </c>
    </row>
    <row r="67" spans="1:34" ht="15" customHeight="1">
      <c r="A67" s="375" t="s">
        <v>153</v>
      </c>
      <c r="B67" s="319">
        <f t="shared" si="9"/>
        <v>0</v>
      </c>
      <c r="C67" s="103">
        <v>0</v>
      </c>
      <c r="D67" s="53">
        <v>0</v>
      </c>
      <c r="E67" s="53">
        <v>0</v>
      </c>
      <c r="F67" s="53">
        <v>0</v>
      </c>
      <c r="G67" s="53">
        <v>0</v>
      </c>
      <c r="H67" s="53">
        <v>0</v>
      </c>
      <c r="I67" s="53">
        <v>0</v>
      </c>
      <c r="J67" s="53">
        <v>0</v>
      </c>
      <c r="K67" s="53">
        <v>0</v>
      </c>
      <c r="L67" s="53">
        <v>0</v>
      </c>
      <c r="M67" s="53">
        <v>0</v>
      </c>
      <c r="N67" s="53">
        <v>0</v>
      </c>
      <c r="O67" s="53">
        <v>0</v>
      </c>
      <c r="P67" s="53">
        <v>0</v>
      </c>
      <c r="Q67" s="53">
        <v>0</v>
      </c>
      <c r="R67" s="53">
        <v>0</v>
      </c>
      <c r="S67" s="53">
        <v>0</v>
      </c>
      <c r="T67" s="53">
        <v>0</v>
      </c>
      <c r="U67" s="53">
        <v>0</v>
      </c>
      <c r="V67" s="53">
        <v>0</v>
      </c>
      <c r="W67" s="53">
        <v>0</v>
      </c>
      <c r="X67" s="53">
        <v>0</v>
      </c>
      <c r="Y67" s="53">
        <v>0</v>
      </c>
      <c r="Z67" s="53">
        <v>0</v>
      </c>
      <c r="AA67" s="53">
        <v>0</v>
      </c>
      <c r="AB67" s="53">
        <v>0</v>
      </c>
      <c r="AC67" s="53">
        <v>0</v>
      </c>
      <c r="AD67" s="53">
        <v>0</v>
      </c>
      <c r="AE67" s="53">
        <v>0</v>
      </c>
      <c r="AF67" s="53">
        <v>0</v>
      </c>
      <c r="AG67" s="53">
        <v>0</v>
      </c>
      <c r="AH67" s="107">
        <f t="shared" si="10"/>
        <v>0</v>
      </c>
    </row>
    <row r="68" spans="1:34" ht="15" customHeight="1">
      <c r="A68" s="375" t="s">
        <v>154</v>
      </c>
      <c r="B68" s="70">
        <f t="shared" si="9"/>
        <v>0</v>
      </c>
      <c r="C68" s="103">
        <v>0</v>
      </c>
      <c r="D68" s="53">
        <v>0</v>
      </c>
      <c r="E68" s="53">
        <v>0</v>
      </c>
      <c r="F68" s="53">
        <v>0</v>
      </c>
      <c r="G68" s="53">
        <v>0</v>
      </c>
      <c r="H68" s="53">
        <v>0</v>
      </c>
      <c r="I68" s="53">
        <v>0</v>
      </c>
      <c r="J68" s="53">
        <v>0</v>
      </c>
      <c r="K68" s="53">
        <v>0</v>
      </c>
      <c r="L68" s="53">
        <v>0</v>
      </c>
      <c r="M68" s="53">
        <v>0</v>
      </c>
      <c r="N68" s="53">
        <v>0</v>
      </c>
      <c r="O68" s="53">
        <v>0</v>
      </c>
      <c r="P68" s="53">
        <v>0</v>
      </c>
      <c r="Q68" s="53">
        <v>0</v>
      </c>
      <c r="R68" s="53">
        <v>0</v>
      </c>
      <c r="S68" s="53">
        <v>0</v>
      </c>
      <c r="T68" s="53">
        <v>0</v>
      </c>
      <c r="U68" s="53">
        <v>0</v>
      </c>
      <c r="V68" s="53">
        <v>0</v>
      </c>
      <c r="W68" s="53">
        <v>0</v>
      </c>
      <c r="X68" s="53">
        <v>0</v>
      </c>
      <c r="Y68" s="53">
        <v>0</v>
      </c>
      <c r="Z68" s="53">
        <v>0</v>
      </c>
      <c r="AA68" s="53">
        <v>0</v>
      </c>
      <c r="AB68" s="53">
        <v>0</v>
      </c>
      <c r="AC68" s="53">
        <v>0</v>
      </c>
      <c r="AD68" s="53">
        <v>0</v>
      </c>
      <c r="AE68" s="53">
        <v>0</v>
      </c>
      <c r="AF68" s="53">
        <v>0</v>
      </c>
      <c r="AG68" s="53">
        <v>0</v>
      </c>
      <c r="AH68" s="107">
        <f t="shared" si="10"/>
        <v>0</v>
      </c>
    </row>
    <row r="69" spans="1:34" ht="15" customHeight="1">
      <c r="A69" s="375" t="s">
        <v>155</v>
      </c>
      <c r="B69" s="70">
        <f t="shared" si="9"/>
        <v>0</v>
      </c>
      <c r="C69" s="103">
        <v>0</v>
      </c>
      <c r="D69" s="53">
        <v>0</v>
      </c>
      <c r="E69" s="53">
        <v>0</v>
      </c>
      <c r="F69" s="53">
        <v>0</v>
      </c>
      <c r="G69" s="53">
        <v>0</v>
      </c>
      <c r="H69" s="53">
        <v>0</v>
      </c>
      <c r="I69" s="53">
        <v>0</v>
      </c>
      <c r="J69" s="53">
        <v>0</v>
      </c>
      <c r="K69" s="53">
        <v>0</v>
      </c>
      <c r="L69" s="53">
        <v>0</v>
      </c>
      <c r="M69" s="53">
        <v>0</v>
      </c>
      <c r="N69" s="53">
        <v>0</v>
      </c>
      <c r="O69" s="53">
        <v>0</v>
      </c>
      <c r="P69" s="53">
        <v>0</v>
      </c>
      <c r="Q69" s="53">
        <v>0</v>
      </c>
      <c r="R69" s="53"/>
      <c r="S69" s="53"/>
      <c r="T69" s="53"/>
      <c r="U69" s="53"/>
      <c r="V69" s="53"/>
      <c r="W69" s="53"/>
      <c r="X69" s="53"/>
      <c r="Y69" s="53"/>
      <c r="Z69" s="53"/>
      <c r="AA69" s="53"/>
      <c r="AB69" s="53"/>
      <c r="AC69" s="53"/>
      <c r="AD69" s="53"/>
      <c r="AE69" s="107"/>
      <c r="AF69" s="53"/>
      <c r="AG69" s="107"/>
      <c r="AH69" s="107">
        <f t="shared" si="10"/>
        <v>0</v>
      </c>
    </row>
    <row r="70" spans="1:34" ht="15" customHeight="1">
      <c r="A70" s="375" t="s">
        <v>156</v>
      </c>
      <c r="B70" s="70">
        <f t="shared" si="9"/>
        <v>0</v>
      </c>
      <c r="C70" s="103"/>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107"/>
      <c r="AF70" s="53"/>
      <c r="AG70" s="107"/>
      <c r="AH70" s="107">
        <f t="shared" si="10"/>
        <v>0</v>
      </c>
    </row>
    <row r="71" spans="1:34" ht="15" customHeight="1">
      <c r="A71" s="199" t="s">
        <v>144</v>
      </c>
      <c r="B71" s="201">
        <f>SUM(B59:B70)</f>
        <v>333.61500000000001</v>
      </c>
      <c r="C71" s="100">
        <f>SUM(C59:C69)</f>
        <v>0</v>
      </c>
      <c r="D71" s="107">
        <f>SUM(D59:D69)</f>
        <v>0</v>
      </c>
      <c r="E71" s="107">
        <v>0</v>
      </c>
      <c r="F71" s="107">
        <f t="shared" ref="F71:AC71" si="11">SUM(F59:F69)</f>
        <v>0</v>
      </c>
      <c r="G71" s="107">
        <f t="shared" si="11"/>
        <v>0</v>
      </c>
      <c r="H71" s="107">
        <f t="shared" si="11"/>
        <v>0</v>
      </c>
      <c r="I71" s="107">
        <f t="shared" si="11"/>
        <v>0</v>
      </c>
      <c r="J71" s="107">
        <f t="shared" si="11"/>
        <v>0</v>
      </c>
      <c r="K71" s="107">
        <f t="shared" si="11"/>
        <v>0</v>
      </c>
      <c r="L71" s="107">
        <f t="shared" si="11"/>
        <v>20</v>
      </c>
      <c r="M71" s="107">
        <f t="shared" si="11"/>
        <v>32.799999999999997</v>
      </c>
      <c r="N71" s="107">
        <f t="shared" si="11"/>
        <v>0</v>
      </c>
      <c r="O71" s="107">
        <f t="shared" si="11"/>
        <v>9.6199999999999992</v>
      </c>
      <c r="P71" s="107">
        <f t="shared" si="11"/>
        <v>94.93</v>
      </c>
      <c r="Q71" s="107">
        <f t="shared" si="11"/>
        <v>0</v>
      </c>
      <c r="R71" s="107">
        <f t="shared" si="11"/>
        <v>112.185</v>
      </c>
      <c r="S71" s="107">
        <f t="shared" si="11"/>
        <v>0</v>
      </c>
      <c r="T71" s="107">
        <f t="shared" si="11"/>
        <v>0</v>
      </c>
      <c r="U71" s="107">
        <f t="shared" si="11"/>
        <v>15.04</v>
      </c>
      <c r="V71" s="107">
        <f t="shared" si="11"/>
        <v>20</v>
      </c>
      <c r="W71" s="107">
        <f t="shared" si="11"/>
        <v>19</v>
      </c>
      <c r="X71" s="107">
        <f t="shared" si="11"/>
        <v>10</v>
      </c>
      <c r="Y71" s="107">
        <f t="shared" si="11"/>
        <v>0</v>
      </c>
      <c r="Z71" s="107">
        <f t="shared" si="11"/>
        <v>0.04</v>
      </c>
      <c r="AA71" s="107">
        <f t="shared" si="11"/>
        <v>0</v>
      </c>
      <c r="AB71" s="107">
        <f t="shared" si="11"/>
        <v>0</v>
      </c>
      <c r="AC71" s="107">
        <f t="shared" si="11"/>
        <v>0</v>
      </c>
      <c r="AD71" s="107">
        <v>0</v>
      </c>
      <c r="AE71" s="107">
        <f>SUM(AE59:AE69)</f>
        <v>0</v>
      </c>
      <c r="AF71" s="107">
        <f>SUM(AF59:AF69)</f>
        <v>0</v>
      </c>
      <c r="AG71" s="107">
        <f>SUM(AG59:AG69)</f>
        <v>0</v>
      </c>
      <c r="AH71" s="100">
        <f>SUM(AH59:AH70)</f>
        <v>333.61500000000001</v>
      </c>
    </row>
    <row r="72" spans="1:34" ht="5.0999999999999996" customHeight="1">
      <c r="A72" s="105"/>
      <c r="B72" s="176"/>
      <c r="C72" s="1"/>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
    </row>
    <row r="73" spans="1:34" ht="15" customHeight="1">
      <c r="A73" s="3854" t="s">
        <v>119</v>
      </c>
      <c r="B73" s="3855"/>
      <c r="C73" s="3855"/>
      <c r="D73" s="3855"/>
      <c r="E73" s="3855"/>
      <c r="F73" s="3855"/>
      <c r="G73" s="3855"/>
      <c r="H73" s="3856"/>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row>
    <row r="74" spans="1:34" ht="15" customHeight="1">
      <c r="A74" s="8" t="s">
        <v>161</v>
      </c>
      <c r="B74" s="172" t="s">
        <v>143</v>
      </c>
      <c r="C74" s="2916">
        <v>1</v>
      </c>
      <c r="D74" s="118">
        <v>2</v>
      </c>
      <c r="E74" s="118">
        <v>3</v>
      </c>
      <c r="F74" s="118">
        <v>4</v>
      </c>
      <c r="G74" s="118">
        <v>5</v>
      </c>
      <c r="H74" s="118">
        <v>6</v>
      </c>
      <c r="I74" s="118">
        <v>7</v>
      </c>
      <c r="J74" s="118">
        <v>8</v>
      </c>
      <c r="K74" s="118">
        <v>9</v>
      </c>
      <c r="L74" s="118">
        <v>10</v>
      </c>
      <c r="M74" s="118">
        <v>11</v>
      </c>
      <c r="N74" s="118">
        <v>12</v>
      </c>
      <c r="O74" s="118">
        <v>13</v>
      </c>
      <c r="P74" s="118">
        <v>14</v>
      </c>
      <c r="Q74" s="118">
        <v>15</v>
      </c>
      <c r="R74" s="118">
        <v>16</v>
      </c>
      <c r="S74" s="118">
        <v>17</v>
      </c>
      <c r="T74" s="118">
        <v>18</v>
      </c>
      <c r="U74" s="118">
        <v>19</v>
      </c>
      <c r="V74" s="118">
        <v>20</v>
      </c>
      <c r="W74" s="118">
        <v>21</v>
      </c>
      <c r="X74" s="118">
        <v>22</v>
      </c>
      <c r="Y74" s="118">
        <v>23</v>
      </c>
      <c r="Z74" s="118">
        <v>24</v>
      </c>
      <c r="AA74" s="118">
        <v>25</v>
      </c>
      <c r="AB74" s="118">
        <v>26</v>
      </c>
      <c r="AC74" s="118">
        <v>27</v>
      </c>
      <c r="AD74" s="118">
        <v>28</v>
      </c>
      <c r="AE74" s="118">
        <v>29</v>
      </c>
      <c r="AF74" s="118">
        <v>30</v>
      </c>
      <c r="AG74" s="118">
        <v>31</v>
      </c>
      <c r="AH74" s="1395" t="s">
        <v>144</v>
      </c>
    </row>
    <row r="75" spans="1:34" ht="15" customHeight="1">
      <c r="A75" s="375" t="s">
        <v>145</v>
      </c>
      <c r="B75" s="1394">
        <f t="shared" ref="B75:B86" si="12">+AH75</f>
        <v>12.583000000000002</v>
      </c>
      <c r="C75" s="829">
        <v>0</v>
      </c>
      <c r="D75" s="829">
        <v>0</v>
      </c>
      <c r="E75" s="829">
        <v>0.155</v>
      </c>
      <c r="F75" s="829">
        <v>3.5999999999999997E-2</v>
      </c>
      <c r="G75" s="829">
        <v>1.4E-2</v>
      </c>
      <c r="H75" s="829">
        <v>0.11</v>
      </c>
      <c r="I75" s="829">
        <v>0.153</v>
      </c>
      <c r="J75" s="829">
        <v>4.0000000000000001E-3</v>
      </c>
      <c r="K75" s="829">
        <v>0</v>
      </c>
      <c r="L75" s="829">
        <v>0.03</v>
      </c>
      <c r="M75" s="829">
        <v>0</v>
      </c>
      <c r="N75" s="829">
        <v>1.4999999999999999E-2</v>
      </c>
      <c r="O75" s="829">
        <v>4.0000000000000001E-3</v>
      </c>
      <c r="P75" s="829">
        <v>8.4000000000000005E-2</v>
      </c>
      <c r="Q75" s="829">
        <v>8.5000000000000006E-2</v>
      </c>
      <c r="R75" s="829">
        <v>0.05</v>
      </c>
      <c r="S75" s="829">
        <v>7.3999999999999996E-2</v>
      </c>
      <c r="T75" s="829">
        <v>0.15</v>
      </c>
      <c r="U75" s="829">
        <v>2.5640000000000001</v>
      </c>
      <c r="V75" s="829">
        <v>3.5680000000000001</v>
      </c>
      <c r="W75" s="829">
        <v>0.10199999999999999</v>
      </c>
      <c r="X75" s="829">
        <v>0.11799999999999999</v>
      </c>
      <c r="Y75" s="829">
        <v>2.2690000000000001</v>
      </c>
      <c r="Z75" s="829">
        <v>0.14000000000000001</v>
      </c>
      <c r="AA75" s="829">
        <v>1.0999999999999999E-2</v>
      </c>
      <c r="AB75" s="829">
        <v>3.7999999999999999E-2</v>
      </c>
      <c r="AC75" s="829">
        <v>0.26500000000000001</v>
      </c>
      <c r="AD75" s="829">
        <v>0.05</v>
      </c>
      <c r="AE75" s="829">
        <v>1.7999999999999999E-2</v>
      </c>
      <c r="AF75" s="829">
        <v>2.5999999999999999E-2</v>
      </c>
      <c r="AG75" s="829">
        <v>2.4500000000000002</v>
      </c>
      <c r="AH75" s="107">
        <f>SUM(C75:AG75)</f>
        <v>12.583000000000002</v>
      </c>
    </row>
    <row r="76" spans="1:34" ht="15" customHeight="1">
      <c r="A76" s="375" t="s">
        <v>146</v>
      </c>
      <c r="B76" s="1394">
        <f t="shared" si="12"/>
        <v>1.8380000000000001</v>
      </c>
      <c r="C76" s="829">
        <v>0</v>
      </c>
      <c r="D76" s="829">
        <v>5.7000000000000002E-2</v>
      </c>
      <c r="E76" s="829">
        <v>7.0000000000000007E-2</v>
      </c>
      <c r="F76" s="829">
        <v>0.06</v>
      </c>
      <c r="G76" s="829">
        <v>0.32200000000000001</v>
      </c>
      <c r="H76" s="829">
        <v>6.9000000000000006E-2</v>
      </c>
      <c r="I76" s="829">
        <v>0.13300000000000001</v>
      </c>
      <c r="J76" s="829">
        <v>0</v>
      </c>
      <c r="K76" s="829">
        <v>4.4999999999999998E-2</v>
      </c>
      <c r="L76" s="829">
        <v>0.03</v>
      </c>
      <c r="M76" s="829">
        <v>9.5000000000000001E-2</v>
      </c>
      <c r="N76" s="829">
        <v>0.123</v>
      </c>
      <c r="O76" s="829">
        <v>1.6E-2</v>
      </c>
      <c r="P76" s="829">
        <v>8.3000000000000004E-2</v>
      </c>
      <c r="Q76" s="829">
        <v>0.22900000000000001</v>
      </c>
      <c r="R76" s="829">
        <v>0.01</v>
      </c>
      <c r="S76" s="829">
        <v>0.02</v>
      </c>
      <c r="T76" s="829">
        <v>5.8999999999999997E-2</v>
      </c>
      <c r="U76" s="829">
        <v>0.03</v>
      </c>
      <c r="V76" s="829">
        <v>1.4999999999999999E-2</v>
      </c>
      <c r="W76" s="829">
        <v>0.04</v>
      </c>
      <c r="X76" s="829">
        <v>4.2000000000000003E-2</v>
      </c>
      <c r="Y76" s="829">
        <v>0.02</v>
      </c>
      <c r="Z76" s="829">
        <v>7.9000000000000001E-2</v>
      </c>
      <c r="AA76" s="829">
        <v>9.5000000000000001E-2</v>
      </c>
      <c r="AB76" s="829">
        <v>0</v>
      </c>
      <c r="AC76" s="829">
        <v>2.8000000000000001E-2</v>
      </c>
      <c r="AD76" s="829">
        <v>0</v>
      </c>
      <c r="AE76" s="829">
        <v>6.8000000000000005E-2</v>
      </c>
      <c r="AF76" s="829">
        <v>0</v>
      </c>
      <c r="AG76" s="829">
        <v>0</v>
      </c>
      <c r="AH76" s="107">
        <f t="shared" ref="AH76:AH86" si="13">SUM(C76:AG76)</f>
        <v>1.8380000000000001</v>
      </c>
    </row>
    <row r="77" spans="1:34" ht="15" customHeight="1">
      <c r="A77" s="375" t="s">
        <v>147</v>
      </c>
      <c r="B77" s="1394">
        <f t="shared" si="12"/>
        <v>3.4880000000000004</v>
      </c>
      <c r="C77" s="829">
        <v>1.2999999999999999E-2</v>
      </c>
      <c r="D77" s="829">
        <v>0</v>
      </c>
      <c r="E77" s="829">
        <v>2.4E-2</v>
      </c>
      <c r="F77" s="829">
        <v>0</v>
      </c>
      <c r="G77" s="829">
        <v>0.17599999999999999</v>
      </c>
      <c r="H77" s="829">
        <v>0</v>
      </c>
      <c r="I77" s="829">
        <v>4.4999999999999998E-2</v>
      </c>
      <c r="J77" s="829">
        <v>8.5000000000000006E-2</v>
      </c>
      <c r="K77" s="829">
        <v>0.04</v>
      </c>
      <c r="L77" s="829">
        <v>1.4E-2</v>
      </c>
      <c r="M77" s="829">
        <v>1.9E-2</v>
      </c>
      <c r="N77" s="829">
        <v>0</v>
      </c>
      <c r="O77" s="829">
        <v>0.12</v>
      </c>
      <c r="P77" s="829">
        <v>0.02</v>
      </c>
      <c r="Q77" s="829">
        <v>0.02</v>
      </c>
      <c r="R77" s="829">
        <v>0.122</v>
      </c>
      <c r="S77" s="829">
        <v>6.0000000000000001E-3</v>
      </c>
      <c r="T77" s="829">
        <v>0</v>
      </c>
      <c r="U77" s="829">
        <v>0</v>
      </c>
      <c r="V77" s="829">
        <v>0</v>
      </c>
      <c r="W77" s="829">
        <v>0.08</v>
      </c>
      <c r="X77" s="829">
        <v>0.85499999999999998</v>
      </c>
      <c r="Y77" s="829">
        <v>0.14599999999999999</v>
      </c>
      <c r="Z77" s="829">
        <v>0.16400000000000001</v>
      </c>
      <c r="AA77" s="829">
        <v>8.7999999999999995E-2</v>
      </c>
      <c r="AB77" s="829">
        <v>0</v>
      </c>
      <c r="AC77" s="829">
        <v>0.06</v>
      </c>
      <c r="AD77" s="829">
        <v>0.13500000000000001</v>
      </c>
      <c r="AE77" s="829">
        <v>0.23</v>
      </c>
      <c r="AF77" s="829">
        <v>0.32900000000000001</v>
      </c>
      <c r="AG77" s="829">
        <v>0.69699999999999995</v>
      </c>
      <c r="AH77" s="107">
        <f t="shared" si="13"/>
        <v>3.4880000000000004</v>
      </c>
    </row>
    <row r="78" spans="1:34" ht="15" customHeight="1">
      <c r="A78" s="375" t="s">
        <v>148</v>
      </c>
      <c r="B78" s="70">
        <f t="shared" si="12"/>
        <v>18.841999999999999</v>
      </c>
      <c r="C78" s="879">
        <v>0.35399999999999998</v>
      </c>
      <c r="D78" s="867">
        <v>0.11</v>
      </c>
      <c r="E78" s="867">
        <v>0.17</v>
      </c>
      <c r="F78" s="867">
        <v>3.8420000000000001</v>
      </c>
      <c r="G78" s="867">
        <v>2.7639999999999998</v>
      </c>
      <c r="H78" s="867">
        <v>0.50600000000000001</v>
      </c>
      <c r="I78" s="867">
        <v>0.08</v>
      </c>
      <c r="J78" s="867">
        <v>6.8000000000000005E-2</v>
      </c>
      <c r="K78" s="867">
        <v>0</v>
      </c>
      <c r="L78" s="867">
        <v>1.2</v>
      </c>
      <c r="M78" s="867">
        <v>0.14000000000000001</v>
      </c>
      <c r="N78" s="867">
        <v>0.19</v>
      </c>
      <c r="O78" s="867">
        <v>0.14000000000000001</v>
      </c>
      <c r="P78" s="867">
        <v>0.159</v>
      </c>
      <c r="Q78" s="867">
        <v>4.0000000000000001E-3</v>
      </c>
      <c r="R78" s="867">
        <v>0</v>
      </c>
      <c r="S78" s="867">
        <v>0</v>
      </c>
      <c r="T78" s="867">
        <v>0.16</v>
      </c>
      <c r="U78" s="867">
        <v>0.04</v>
      </c>
      <c r="V78" s="867">
        <v>0.309</v>
      </c>
      <c r="W78" s="867">
        <v>0.74</v>
      </c>
      <c r="X78" s="867">
        <v>0.05</v>
      </c>
      <c r="Y78" s="867">
        <v>7.4999999999999997E-2</v>
      </c>
      <c r="Z78" s="867">
        <v>7.48</v>
      </c>
      <c r="AA78" s="867">
        <v>2.5000000000000001E-2</v>
      </c>
      <c r="AB78" s="867">
        <v>0.111</v>
      </c>
      <c r="AC78" s="867">
        <v>0.04</v>
      </c>
      <c r="AD78" s="867">
        <v>0.05</v>
      </c>
      <c r="AE78" s="867">
        <v>3.5000000000000003E-2</v>
      </c>
      <c r="AF78" s="867">
        <v>0</v>
      </c>
      <c r="AG78" s="867">
        <v>0</v>
      </c>
      <c r="AH78" s="830">
        <f t="shared" si="13"/>
        <v>18.841999999999999</v>
      </c>
    </row>
    <row r="79" spans="1:34" ht="15" customHeight="1">
      <c r="A79" s="375" t="s">
        <v>149</v>
      </c>
      <c r="B79" s="70">
        <f t="shared" si="12"/>
        <v>1.2469999999999999</v>
      </c>
      <c r="C79" s="938">
        <v>0</v>
      </c>
      <c r="D79" s="825">
        <v>0</v>
      </c>
      <c r="E79" s="825">
        <v>0.01</v>
      </c>
      <c r="F79" s="825">
        <v>5.5E-2</v>
      </c>
      <c r="G79" s="825">
        <v>0</v>
      </c>
      <c r="H79" s="825">
        <v>0.18</v>
      </c>
      <c r="I79" s="825">
        <v>1.4999999999999999E-2</v>
      </c>
      <c r="J79" s="825">
        <v>0.122</v>
      </c>
      <c r="K79" s="825">
        <v>6.5000000000000002E-2</v>
      </c>
      <c r="L79" s="825">
        <v>0</v>
      </c>
      <c r="M79" s="825">
        <v>0.185</v>
      </c>
      <c r="N79" s="825">
        <v>1.7999999999999999E-2</v>
      </c>
      <c r="O79" s="825">
        <v>0</v>
      </c>
      <c r="P79" s="825">
        <v>0</v>
      </c>
      <c r="Q79" s="825">
        <v>0</v>
      </c>
      <c r="R79" s="825">
        <v>0.02</v>
      </c>
      <c r="S79" s="825">
        <v>0</v>
      </c>
      <c r="T79" s="825">
        <v>0.03</v>
      </c>
      <c r="U79" s="825">
        <v>0</v>
      </c>
      <c r="V79" s="825">
        <v>0.06</v>
      </c>
      <c r="W79" s="825">
        <v>0</v>
      </c>
      <c r="X79" s="825">
        <v>0</v>
      </c>
      <c r="Y79" s="825">
        <v>0.48</v>
      </c>
      <c r="Z79" s="825">
        <v>7.0000000000000001E-3</v>
      </c>
      <c r="AA79" s="825">
        <v>0</v>
      </c>
      <c r="AB79" s="825">
        <v>0</v>
      </c>
      <c r="AC79" s="825">
        <v>0</v>
      </c>
      <c r="AD79" s="825">
        <v>0</v>
      </c>
      <c r="AE79" s="825">
        <v>0</v>
      </c>
      <c r="AF79" s="825">
        <v>0</v>
      </c>
      <c r="AG79" s="825">
        <v>0</v>
      </c>
      <c r="AH79" s="107">
        <f t="shared" si="13"/>
        <v>1.2469999999999999</v>
      </c>
    </row>
    <row r="80" spans="1:34" ht="15" customHeight="1">
      <c r="A80" s="375" t="s">
        <v>150</v>
      </c>
      <c r="B80" s="70">
        <f t="shared" si="12"/>
        <v>1.0850000000000002</v>
      </c>
      <c r="C80" s="103">
        <v>0</v>
      </c>
      <c r="D80" s="53">
        <v>0</v>
      </c>
      <c r="E80" s="53">
        <v>0</v>
      </c>
      <c r="F80" s="53">
        <v>0</v>
      </c>
      <c r="G80" s="53">
        <v>7.8E-2</v>
      </c>
      <c r="H80" s="53">
        <v>3.0000000000000001E-3</v>
      </c>
      <c r="I80" s="53">
        <v>0</v>
      </c>
      <c r="J80" s="53">
        <v>7.8E-2</v>
      </c>
      <c r="K80" s="53">
        <v>0</v>
      </c>
      <c r="L80" s="53">
        <v>0.09</v>
      </c>
      <c r="M80" s="53">
        <v>0</v>
      </c>
      <c r="N80" s="53">
        <v>0.03</v>
      </c>
      <c r="O80" s="53">
        <v>0.05</v>
      </c>
      <c r="P80" s="53">
        <v>4.2000000000000003E-2</v>
      </c>
      <c r="Q80" s="53">
        <v>0</v>
      </c>
      <c r="R80" s="53">
        <v>0</v>
      </c>
      <c r="S80" s="53">
        <v>7.0000000000000007E-2</v>
      </c>
      <c r="T80" s="53">
        <v>0.17</v>
      </c>
      <c r="U80" s="53">
        <v>0</v>
      </c>
      <c r="V80" s="53">
        <v>0.02</v>
      </c>
      <c r="W80" s="53">
        <v>0.02</v>
      </c>
      <c r="X80" s="53">
        <v>0</v>
      </c>
      <c r="Y80" s="53">
        <v>0</v>
      </c>
      <c r="Z80" s="53">
        <v>5.6000000000000001E-2</v>
      </c>
      <c r="AA80" s="53">
        <v>7.0000000000000007E-2</v>
      </c>
      <c r="AB80" s="53">
        <v>7.9000000000000001E-2</v>
      </c>
      <c r="AC80" s="53">
        <v>6.6000000000000003E-2</v>
      </c>
      <c r="AD80" s="53">
        <v>5.5E-2</v>
      </c>
      <c r="AE80" s="53">
        <v>5.3999999999999999E-2</v>
      </c>
      <c r="AF80" s="53">
        <v>0</v>
      </c>
      <c r="AG80" s="53">
        <v>5.3999999999999999E-2</v>
      </c>
      <c r="AH80" s="107">
        <f t="shared" si="13"/>
        <v>1.0850000000000002</v>
      </c>
    </row>
    <row r="81" spans="1:34" ht="15" customHeight="1">
      <c r="A81" s="375" t="s">
        <v>151</v>
      </c>
      <c r="B81" s="70">
        <f t="shared" si="12"/>
        <v>3.9340000000000002</v>
      </c>
      <c r="C81" s="103">
        <v>0.06</v>
      </c>
      <c r="D81" s="53">
        <v>0</v>
      </c>
      <c r="E81" s="53">
        <v>0</v>
      </c>
      <c r="F81" s="53">
        <v>9.0999999999999998E-2</v>
      </c>
      <c r="G81" s="53">
        <v>2.1000000000000001E-2</v>
      </c>
      <c r="H81" s="53">
        <v>0</v>
      </c>
      <c r="I81" s="53">
        <v>3.9E-2</v>
      </c>
      <c r="J81" s="103">
        <v>6.4000000000000001E-2</v>
      </c>
      <c r="K81" s="103">
        <v>6.7000000000000004E-2</v>
      </c>
      <c r="L81" s="53">
        <v>2.5999999999999999E-2</v>
      </c>
      <c r="M81" s="53">
        <v>4.1000000000000002E-2</v>
      </c>
      <c r="N81" s="53">
        <v>3.4000000000000002E-2</v>
      </c>
      <c r="O81" s="53">
        <v>2.7E-2</v>
      </c>
      <c r="P81" s="53">
        <v>3.7999999999999999E-2</v>
      </c>
      <c r="Q81" s="53">
        <v>0.05</v>
      </c>
      <c r="R81" s="53">
        <v>0</v>
      </c>
      <c r="S81" s="53">
        <v>0</v>
      </c>
      <c r="T81" s="53">
        <v>6.7000000000000004E-2</v>
      </c>
      <c r="U81" s="53">
        <v>2.5000000000000001E-2</v>
      </c>
      <c r="V81" s="53">
        <v>0</v>
      </c>
      <c r="W81" s="53">
        <v>1.2E-2</v>
      </c>
      <c r="X81" s="53">
        <v>0.85</v>
      </c>
      <c r="Y81" s="53">
        <v>2.8000000000000001E-2</v>
      </c>
      <c r="Z81" s="53">
        <v>7.3999999999999996E-2</v>
      </c>
      <c r="AA81" s="53">
        <v>0.161</v>
      </c>
      <c r="AB81" s="53">
        <v>0.109</v>
      </c>
      <c r="AC81" s="53">
        <v>7.0000000000000001E-3</v>
      </c>
      <c r="AD81" s="53">
        <v>1.6739999999999999</v>
      </c>
      <c r="AE81" s="53">
        <v>0.316</v>
      </c>
      <c r="AF81" s="53">
        <v>1.7999999999999999E-2</v>
      </c>
      <c r="AG81" s="53">
        <v>3.5000000000000003E-2</v>
      </c>
      <c r="AH81" s="107">
        <f t="shared" si="13"/>
        <v>3.9340000000000002</v>
      </c>
    </row>
    <row r="82" spans="1:34" ht="15" customHeight="1">
      <c r="A82" s="375" t="s">
        <v>152</v>
      </c>
      <c r="B82" s="70">
        <f t="shared" si="12"/>
        <v>2.6219999999999999</v>
      </c>
      <c r="C82" s="103">
        <v>0</v>
      </c>
      <c r="D82" s="53">
        <v>0</v>
      </c>
      <c r="E82" s="53">
        <v>3.5999999999999997E-2</v>
      </c>
      <c r="F82" s="53">
        <v>8.0000000000000002E-3</v>
      </c>
      <c r="G82" s="53">
        <v>0</v>
      </c>
      <c r="H82" s="53">
        <v>0</v>
      </c>
      <c r="I82" s="53">
        <v>1.4999999999999999E-2</v>
      </c>
      <c r="J82" s="103">
        <v>0</v>
      </c>
      <c r="K82" s="103">
        <v>0</v>
      </c>
      <c r="L82" s="53">
        <v>8.5000000000000006E-2</v>
      </c>
      <c r="M82" s="53">
        <v>0</v>
      </c>
      <c r="N82" s="53">
        <v>4.9000000000000002E-2</v>
      </c>
      <c r="O82" s="53">
        <v>3.1E-2</v>
      </c>
      <c r="P82" s="53">
        <v>4.0000000000000001E-3</v>
      </c>
      <c r="Q82" s="53">
        <v>0</v>
      </c>
      <c r="R82" s="53">
        <v>1.4999999999999999E-2</v>
      </c>
      <c r="S82" s="53">
        <v>0</v>
      </c>
      <c r="T82" s="53">
        <v>0</v>
      </c>
      <c r="U82" s="53">
        <v>0</v>
      </c>
      <c r="V82" s="53">
        <v>0</v>
      </c>
      <c r="W82" s="53">
        <v>0</v>
      </c>
      <c r="X82" s="53">
        <v>0.05</v>
      </c>
      <c r="Y82" s="53">
        <v>0</v>
      </c>
      <c r="Z82" s="53">
        <v>0</v>
      </c>
      <c r="AA82" s="53">
        <v>1.2E-2</v>
      </c>
      <c r="AB82" s="53">
        <v>0</v>
      </c>
      <c r="AC82" s="53">
        <v>2.08</v>
      </c>
      <c r="AD82" s="53">
        <v>0.10199999999999999</v>
      </c>
      <c r="AE82" s="53">
        <v>0.11</v>
      </c>
      <c r="AF82" s="53">
        <v>2.5000000000000001E-2</v>
      </c>
      <c r="AG82" s="53">
        <v>0</v>
      </c>
      <c r="AH82" s="107">
        <f t="shared" si="13"/>
        <v>2.6219999999999999</v>
      </c>
    </row>
    <row r="83" spans="1:34" ht="15" customHeight="1">
      <c r="A83" s="375" t="s">
        <v>153</v>
      </c>
      <c r="B83" s="70">
        <f t="shared" si="12"/>
        <v>4.637999999999999</v>
      </c>
      <c r="C83" s="103">
        <v>0.128</v>
      </c>
      <c r="D83" s="53">
        <v>5.5E-2</v>
      </c>
      <c r="E83" s="53">
        <v>1.7999999999999999E-2</v>
      </c>
      <c r="F83" s="53">
        <v>0.04</v>
      </c>
      <c r="G83" s="53">
        <v>1.9E-2</v>
      </c>
      <c r="H83" s="53">
        <v>0</v>
      </c>
      <c r="I83" s="53">
        <v>0</v>
      </c>
      <c r="J83" s="53">
        <v>0.10100000000000001</v>
      </c>
      <c r="K83" s="53">
        <v>1.2E-2</v>
      </c>
      <c r="L83" s="53">
        <v>0.02</v>
      </c>
      <c r="M83" s="53">
        <v>2.5000000000000001E-2</v>
      </c>
      <c r="N83" s="53">
        <v>2.8000000000000001E-2</v>
      </c>
      <c r="O83" s="53">
        <v>7.4999999999999997E-2</v>
      </c>
      <c r="P83" s="53">
        <v>1.4999999999999999E-2</v>
      </c>
      <c r="Q83" s="53">
        <v>0.77400000000000002</v>
      </c>
      <c r="R83" s="53">
        <v>1.4999999999999999E-2</v>
      </c>
      <c r="S83" s="53">
        <v>0</v>
      </c>
      <c r="T83" s="53">
        <v>0</v>
      </c>
      <c r="U83" s="53">
        <v>3.1459999999999999</v>
      </c>
      <c r="V83" s="53">
        <v>6.0999999999999999E-2</v>
      </c>
      <c r="W83" s="53">
        <v>1.4999999999999999E-2</v>
      </c>
      <c r="X83" s="53">
        <v>0</v>
      </c>
      <c r="Y83" s="53">
        <v>6.0000000000000001E-3</v>
      </c>
      <c r="Z83" s="53">
        <v>1.2E-2</v>
      </c>
      <c r="AA83" s="53">
        <v>3.2000000000000001E-2</v>
      </c>
      <c r="AB83" s="53">
        <v>8.0000000000000002E-3</v>
      </c>
      <c r="AC83" s="53">
        <v>0</v>
      </c>
      <c r="AD83" s="53">
        <v>0</v>
      </c>
      <c r="AE83" s="53">
        <v>0</v>
      </c>
      <c r="AF83" s="53">
        <v>2.1000000000000001E-2</v>
      </c>
      <c r="AG83" s="53">
        <v>1.2E-2</v>
      </c>
      <c r="AH83" s="107">
        <f t="shared" si="13"/>
        <v>4.637999999999999</v>
      </c>
    </row>
    <row r="84" spans="1:34" ht="15" customHeight="1">
      <c r="A84" s="375" t="s">
        <v>154</v>
      </c>
      <c r="B84" s="70">
        <f t="shared" si="12"/>
        <v>11.209999999999999</v>
      </c>
      <c r="C84" s="103">
        <v>7.0000000000000007E-2</v>
      </c>
      <c r="D84" s="53">
        <v>0.03</v>
      </c>
      <c r="E84" s="53">
        <v>0.05</v>
      </c>
      <c r="F84" s="53">
        <v>0</v>
      </c>
      <c r="G84" s="53">
        <v>0.05</v>
      </c>
      <c r="H84" s="53">
        <v>0.3</v>
      </c>
      <c r="I84" s="53">
        <v>0.1</v>
      </c>
      <c r="J84" s="53">
        <v>6.7000000000000004E-2</v>
      </c>
      <c r="K84" s="53">
        <v>1.4999999999999999E-2</v>
      </c>
      <c r="L84" s="53">
        <v>4.2000000000000003E-2</v>
      </c>
      <c r="M84" s="53">
        <v>0</v>
      </c>
      <c r="N84" s="53">
        <v>0</v>
      </c>
      <c r="O84" s="53">
        <v>0</v>
      </c>
      <c r="P84" s="53">
        <v>7.0000000000000001E-3</v>
      </c>
      <c r="Q84" s="53">
        <v>2.0099999999999998</v>
      </c>
      <c r="R84" s="53">
        <v>0</v>
      </c>
      <c r="S84" s="53">
        <v>0.03</v>
      </c>
      <c r="T84" s="53">
        <v>0</v>
      </c>
      <c r="U84" s="53">
        <v>7.0000000000000001E-3</v>
      </c>
      <c r="V84" s="53">
        <v>4.4859999999999998</v>
      </c>
      <c r="W84" s="53">
        <v>1.2999999999999999E-2</v>
      </c>
      <c r="X84" s="53">
        <v>0</v>
      </c>
      <c r="Y84" s="53">
        <v>1.4999999999999999E-2</v>
      </c>
      <c r="Z84" s="53">
        <v>0</v>
      </c>
      <c r="AA84" s="53">
        <v>1</v>
      </c>
      <c r="AB84" s="53">
        <v>0</v>
      </c>
      <c r="AC84" s="53">
        <v>2.8</v>
      </c>
      <c r="AD84" s="53">
        <v>0.04</v>
      </c>
      <c r="AE84" s="53">
        <v>1.4999999999999999E-2</v>
      </c>
      <c r="AF84" s="53">
        <v>6.3E-2</v>
      </c>
      <c r="AG84" s="53">
        <v>0</v>
      </c>
      <c r="AH84" s="107">
        <f t="shared" si="13"/>
        <v>11.209999999999999</v>
      </c>
    </row>
    <row r="85" spans="1:34" ht="15" customHeight="1">
      <c r="A85" s="375" t="s">
        <v>155</v>
      </c>
      <c r="B85" s="70">
        <f t="shared" si="12"/>
        <v>0.47800000000000004</v>
      </c>
      <c r="C85" s="103">
        <v>0</v>
      </c>
      <c r="D85" s="53">
        <v>0</v>
      </c>
      <c r="E85" s="53">
        <v>0.03</v>
      </c>
      <c r="F85" s="53">
        <v>0</v>
      </c>
      <c r="G85" s="53">
        <v>5.0000000000000001E-3</v>
      </c>
      <c r="H85" s="53">
        <v>0.09</v>
      </c>
      <c r="I85" s="53">
        <v>0.03</v>
      </c>
      <c r="J85" s="53">
        <v>0.04</v>
      </c>
      <c r="K85" s="53">
        <v>0</v>
      </c>
      <c r="L85" s="53">
        <v>0</v>
      </c>
      <c r="M85" s="53">
        <v>0</v>
      </c>
      <c r="N85" s="53">
        <v>0.01</v>
      </c>
      <c r="O85" s="53">
        <v>0</v>
      </c>
      <c r="P85" s="53">
        <v>2.8000000000000001E-2</v>
      </c>
      <c r="Q85" s="53">
        <v>0</v>
      </c>
      <c r="R85" s="53">
        <v>0</v>
      </c>
      <c r="S85" s="53">
        <v>0.08</v>
      </c>
      <c r="T85" s="53">
        <v>1.4999999999999999E-2</v>
      </c>
      <c r="U85" s="53">
        <v>0.08</v>
      </c>
      <c r="V85" s="53">
        <v>0</v>
      </c>
      <c r="W85" s="53">
        <v>0</v>
      </c>
      <c r="X85" s="53">
        <v>0</v>
      </c>
      <c r="Y85" s="53">
        <v>0</v>
      </c>
      <c r="Z85" s="53">
        <v>0</v>
      </c>
      <c r="AA85" s="53">
        <v>0</v>
      </c>
      <c r="AB85" s="53">
        <v>0</v>
      </c>
      <c r="AC85" s="53">
        <v>0.02</v>
      </c>
      <c r="AD85" s="53">
        <v>0</v>
      </c>
      <c r="AE85" s="107">
        <v>0</v>
      </c>
      <c r="AF85" s="53">
        <v>0</v>
      </c>
      <c r="AG85" s="107">
        <v>0.05</v>
      </c>
      <c r="AH85" s="107">
        <f t="shared" si="13"/>
        <v>0.47800000000000004</v>
      </c>
    </row>
    <row r="86" spans="1:34" ht="15" customHeight="1">
      <c r="A86" s="375" t="s">
        <v>156</v>
      </c>
      <c r="B86" s="70">
        <f t="shared" si="12"/>
        <v>0.40500000000000003</v>
      </c>
      <c r="C86" s="103">
        <v>0</v>
      </c>
      <c r="D86" s="53">
        <v>0</v>
      </c>
      <c r="E86" s="53">
        <v>0.03</v>
      </c>
      <c r="F86" s="53">
        <v>0</v>
      </c>
      <c r="G86" s="53">
        <v>5.0000000000000001E-3</v>
      </c>
      <c r="H86" s="53">
        <v>0.09</v>
      </c>
      <c r="I86" s="53">
        <v>0.02</v>
      </c>
      <c r="J86" s="53">
        <v>0.04</v>
      </c>
      <c r="K86" s="53">
        <v>0</v>
      </c>
      <c r="L86" s="53">
        <v>0</v>
      </c>
      <c r="M86" s="53">
        <v>0</v>
      </c>
      <c r="N86" s="53">
        <v>0.01</v>
      </c>
      <c r="O86" s="53">
        <v>0</v>
      </c>
      <c r="P86" s="53">
        <v>0</v>
      </c>
      <c r="Q86" s="53">
        <v>0</v>
      </c>
      <c r="R86" s="53">
        <v>0</v>
      </c>
      <c r="S86" s="53">
        <v>0.08</v>
      </c>
      <c r="T86" s="53">
        <v>0</v>
      </c>
      <c r="U86" s="53">
        <v>0.08</v>
      </c>
      <c r="V86" s="53">
        <v>0</v>
      </c>
      <c r="W86" s="53">
        <v>0</v>
      </c>
      <c r="X86" s="53">
        <v>0</v>
      </c>
      <c r="Y86" s="53">
        <v>0</v>
      </c>
      <c r="Z86" s="53">
        <v>0</v>
      </c>
      <c r="AA86" s="53">
        <v>0</v>
      </c>
      <c r="AB86" s="53">
        <v>0</v>
      </c>
      <c r="AC86" s="53">
        <v>0</v>
      </c>
      <c r="AD86" s="53">
        <v>0</v>
      </c>
      <c r="AE86" s="107">
        <v>0</v>
      </c>
      <c r="AF86" s="53">
        <v>0</v>
      </c>
      <c r="AG86" s="107">
        <v>0.05</v>
      </c>
      <c r="AH86" s="107">
        <f t="shared" si="13"/>
        <v>0.40500000000000003</v>
      </c>
    </row>
    <row r="87" spans="1:34" ht="15" customHeight="1">
      <c r="A87" s="199" t="s">
        <v>144</v>
      </c>
      <c r="B87" s="201">
        <f>SUM(B75:B86)</f>
        <v>62.370000000000005</v>
      </c>
      <c r="C87" s="100">
        <f>SUM(C75:C85)</f>
        <v>0.625</v>
      </c>
      <c r="D87" s="107">
        <f>SUM(D75:D85)</f>
        <v>0.252</v>
      </c>
      <c r="E87" s="107">
        <v>0</v>
      </c>
      <c r="F87" s="107">
        <f t="shared" ref="F87:AC87" si="14">SUM(F75:F85)</f>
        <v>4.1320000000000006</v>
      </c>
      <c r="G87" s="107">
        <f t="shared" si="14"/>
        <v>3.4489999999999994</v>
      </c>
      <c r="H87" s="107">
        <f t="shared" si="14"/>
        <v>1.258</v>
      </c>
      <c r="I87" s="107">
        <f t="shared" si="14"/>
        <v>0.6100000000000001</v>
      </c>
      <c r="J87" s="107">
        <f t="shared" si="14"/>
        <v>0.629</v>
      </c>
      <c r="K87" s="107">
        <f t="shared" si="14"/>
        <v>0.24399999999999999</v>
      </c>
      <c r="L87" s="107">
        <f t="shared" si="14"/>
        <v>1.5370000000000001</v>
      </c>
      <c r="M87" s="107">
        <f t="shared" si="14"/>
        <v>0.505</v>
      </c>
      <c r="N87" s="107">
        <f t="shared" si="14"/>
        <v>0.49700000000000005</v>
      </c>
      <c r="O87" s="107">
        <f t="shared" si="14"/>
        <v>0.46300000000000002</v>
      </c>
      <c r="P87" s="107">
        <f t="shared" si="14"/>
        <v>0.48</v>
      </c>
      <c r="Q87" s="107">
        <f t="shared" si="14"/>
        <v>3.1719999999999997</v>
      </c>
      <c r="R87" s="107">
        <f t="shared" si="14"/>
        <v>0.23199999999999998</v>
      </c>
      <c r="S87" s="107">
        <f t="shared" si="14"/>
        <v>0.28000000000000003</v>
      </c>
      <c r="T87" s="107">
        <f t="shared" si="14"/>
        <v>0.65100000000000013</v>
      </c>
      <c r="U87" s="107">
        <f t="shared" si="14"/>
        <v>5.8919999999999995</v>
      </c>
      <c r="V87" s="107">
        <f t="shared" si="14"/>
        <v>8.5190000000000001</v>
      </c>
      <c r="W87" s="107">
        <f t="shared" si="14"/>
        <v>1.0219999999999998</v>
      </c>
      <c r="X87" s="107">
        <f t="shared" si="14"/>
        <v>1.9650000000000001</v>
      </c>
      <c r="Y87" s="107">
        <f t="shared" si="14"/>
        <v>3.0390000000000001</v>
      </c>
      <c r="Z87" s="107">
        <f t="shared" si="14"/>
        <v>8.0120000000000005</v>
      </c>
      <c r="AA87" s="107">
        <f t="shared" si="14"/>
        <v>1.4940000000000002</v>
      </c>
      <c r="AB87" s="107">
        <f t="shared" si="14"/>
        <v>0.34499999999999997</v>
      </c>
      <c r="AC87" s="107">
        <f t="shared" si="14"/>
        <v>5.3659999999999997</v>
      </c>
      <c r="AD87" s="107">
        <v>0</v>
      </c>
      <c r="AE87" s="107">
        <f>SUM(AE75:AE85)</f>
        <v>0.84599999999999997</v>
      </c>
      <c r="AF87" s="107">
        <f>SUM(AF75:AF85)</f>
        <v>0.4820000000000001</v>
      </c>
      <c r="AG87" s="107">
        <f>SUM(AG75:AG85)</f>
        <v>3.298</v>
      </c>
      <c r="AH87" s="100">
        <f>SUM(AH75:AH86)</f>
        <v>62.370000000000005</v>
      </c>
    </row>
    <row r="88" spans="1:34" ht="15" customHeight="1">
      <c r="A88" s="180"/>
      <c r="B88" s="180"/>
      <c r="C88" s="180"/>
      <c r="D88" s="181"/>
      <c r="E88" s="181"/>
      <c r="F88" s="181"/>
      <c r="G88" s="181"/>
      <c r="H88" s="181"/>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
    </row>
    <row r="89" spans="1:34" ht="15" customHeight="1">
      <c r="A89" s="3873" t="s">
        <v>114</v>
      </c>
      <c r="B89" s="3874"/>
      <c r="C89" s="3874"/>
      <c r="D89" s="3874"/>
      <c r="E89" s="3874"/>
      <c r="F89" s="3874"/>
      <c r="G89" s="3874"/>
      <c r="H89" s="3874"/>
      <c r="I89" s="3874"/>
      <c r="J89" s="3874"/>
      <c r="K89" s="3874"/>
      <c r="L89" s="3874"/>
      <c r="M89" s="3874"/>
      <c r="N89" s="3874"/>
      <c r="O89" s="3874"/>
      <c r="P89" s="3874"/>
      <c r="Q89" s="3874"/>
      <c r="R89" s="3875"/>
      <c r="S89" s="106"/>
      <c r="T89" s="106"/>
      <c r="U89" s="106"/>
      <c r="V89" s="106"/>
      <c r="W89" s="106"/>
      <c r="X89" s="106"/>
      <c r="Y89" s="106"/>
      <c r="Z89" s="106"/>
      <c r="AA89" s="106"/>
      <c r="AB89" s="106"/>
      <c r="AC89" s="106"/>
      <c r="AD89" s="106"/>
      <c r="AE89" s="106"/>
      <c r="AF89" s="106"/>
      <c r="AG89" s="106"/>
      <c r="AH89" s="16"/>
    </row>
    <row r="90" spans="1:34" ht="5.0999999999999996" customHeight="1">
      <c r="A90" s="104"/>
      <c r="B90" s="105"/>
      <c r="C90" s="1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c r="AD90" s="106"/>
      <c r="AE90" s="106"/>
      <c r="AF90" s="106"/>
      <c r="AG90" s="106"/>
      <c r="AH90" s="16"/>
    </row>
    <row r="91" spans="1:34">
      <c r="A91" s="3854" t="s">
        <v>115</v>
      </c>
      <c r="B91" s="3855"/>
      <c r="C91" s="3855"/>
      <c r="D91" s="3855"/>
      <c r="E91" s="3855"/>
      <c r="F91" s="3855"/>
      <c r="G91" s="3855"/>
      <c r="H91" s="3856"/>
      <c r="I91" s="96"/>
      <c r="J91" s="96"/>
      <c r="K91" s="96"/>
      <c r="L91" s="96"/>
      <c r="M91" s="96"/>
      <c r="N91" s="96"/>
      <c r="O91" s="96"/>
      <c r="P91" s="96"/>
      <c r="Q91" s="96"/>
      <c r="R91" s="96"/>
      <c r="S91" s="14"/>
      <c r="T91" s="14"/>
      <c r="U91" s="14"/>
      <c r="V91" s="14"/>
      <c r="W91" s="14"/>
      <c r="X91" s="14"/>
      <c r="Y91" s="14"/>
      <c r="Z91" s="14"/>
      <c r="AA91" s="14"/>
      <c r="AB91" s="14"/>
      <c r="AC91" s="14"/>
      <c r="AD91" s="14"/>
      <c r="AE91" s="14"/>
      <c r="AF91" s="14"/>
      <c r="AG91" s="14"/>
      <c r="AH91" s="14"/>
    </row>
    <row r="92" spans="1:34">
      <c r="A92" s="8" t="s">
        <v>142</v>
      </c>
      <c r="B92" s="8" t="s">
        <v>143</v>
      </c>
      <c r="C92" s="2943">
        <v>1</v>
      </c>
      <c r="D92" s="73">
        <v>2</v>
      </c>
      <c r="E92" s="73">
        <v>3</v>
      </c>
      <c r="F92" s="73">
        <v>4</v>
      </c>
      <c r="G92" s="73">
        <v>5</v>
      </c>
      <c r="H92" s="73">
        <v>6</v>
      </c>
      <c r="I92" s="73">
        <v>7</v>
      </c>
      <c r="J92" s="73">
        <v>8</v>
      </c>
      <c r="K92" s="73">
        <v>9</v>
      </c>
      <c r="L92" s="73">
        <v>10</v>
      </c>
      <c r="M92" s="73">
        <v>11</v>
      </c>
      <c r="N92" s="73">
        <v>12</v>
      </c>
      <c r="O92" s="73">
        <v>13</v>
      </c>
      <c r="P92" s="73">
        <v>14</v>
      </c>
      <c r="Q92" s="73">
        <v>15</v>
      </c>
      <c r="R92" s="73">
        <v>16</v>
      </c>
      <c r="S92" s="73">
        <v>17</v>
      </c>
      <c r="T92" s="73">
        <v>18</v>
      </c>
      <c r="U92" s="73">
        <v>19</v>
      </c>
      <c r="V92" s="73">
        <v>20</v>
      </c>
      <c r="W92" s="73">
        <v>21</v>
      </c>
      <c r="X92" s="73">
        <v>22</v>
      </c>
      <c r="Y92" s="73">
        <v>23</v>
      </c>
      <c r="Z92" s="73">
        <v>24</v>
      </c>
      <c r="AA92" s="73">
        <v>25</v>
      </c>
      <c r="AB92" s="73">
        <v>26</v>
      </c>
      <c r="AC92" s="73">
        <v>27</v>
      </c>
      <c r="AD92" s="73">
        <v>28</v>
      </c>
      <c r="AE92" s="73">
        <v>29</v>
      </c>
      <c r="AF92" s="73">
        <v>30</v>
      </c>
      <c r="AG92" s="73">
        <v>31</v>
      </c>
      <c r="AH92" s="88" t="s">
        <v>144</v>
      </c>
    </row>
    <row r="93" spans="1:34">
      <c r="A93" s="375" t="s">
        <v>145</v>
      </c>
      <c r="B93" s="53">
        <f t="shared" ref="B93:B104" si="15">+AH93</f>
        <v>0</v>
      </c>
      <c r="C93" s="103"/>
      <c r="D93" s="107"/>
      <c r="E93" s="107"/>
      <c r="F93" s="107"/>
      <c r="G93" s="53"/>
      <c r="H93" s="53"/>
      <c r="I93" s="53"/>
      <c r="J93" s="53"/>
      <c r="K93" s="53"/>
      <c r="L93" s="53"/>
      <c r="M93" s="53"/>
      <c r="N93" s="53"/>
      <c r="O93" s="53"/>
      <c r="P93" s="53"/>
      <c r="Q93" s="107"/>
      <c r="R93" s="53"/>
      <c r="S93" s="53"/>
      <c r="T93" s="53"/>
      <c r="U93" s="53"/>
      <c r="V93" s="107"/>
      <c r="W93" s="107"/>
      <c r="X93" s="53"/>
      <c r="Y93" s="53"/>
      <c r="Z93" s="53"/>
      <c r="AA93" s="53"/>
      <c r="AB93" s="53"/>
      <c r="AC93" s="53"/>
      <c r="AD93" s="107"/>
      <c r="AE93" s="53"/>
      <c r="AF93" s="53"/>
      <c r="AG93" s="53"/>
      <c r="AH93" s="107">
        <f>SUM(C93:AG93)</f>
        <v>0</v>
      </c>
    </row>
    <row r="94" spans="1:34">
      <c r="A94" s="375" t="s">
        <v>146</v>
      </c>
      <c r="B94" s="53">
        <f t="shared" si="15"/>
        <v>0</v>
      </c>
      <c r="C94" s="103"/>
      <c r="D94" s="53"/>
      <c r="E94" s="53"/>
      <c r="F94" s="53"/>
      <c r="G94" s="53"/>
      <c r="H94" s="53"/>
      <c r="I94" s="53"/>
      <c r="J94" s="53"/>
      <c r="K94" s="53"/>
      <c r="L94" s="53"/>
      <c r="M94" s="53"/>
      <c r="N94" s="53"/>
      <c r="O94" s="53"/>
      <c r="P94" s="53"/>
      <c r="Q94" s="53"/>
      <c r="R94" s="53"/>
      <c r="S94" s="53"/>
      <c r="T94" s="53"/>
      <c r="U94" s="53"/>
      <c r="V94" s="53"/>
      <c r="W94" s="53"/>
      <c r="X94" s="53"/>
      <c r="Y94" s="53"/>
      <c r="Z94" s="53"/>
      <c r="AA94" s="53"/>
      <c r="AB94" s="53"/>
      <c r="AC94" s="53"/>
      <c r="AD94" s="53"/>
      <c r="AE94" s="53"/>
      <c r="AF94" s="53"/>
      <c r="AG94" s="53"/>
      <c r="AH94" s="107">
        <f t="shared" ref="AH94:AH104" si="16">SUM(C94:AG94)</f>
        <v>0</v>
      </c>
    </row>
    <row r="95" spans="1:34">
      <c r="A95" s="375" t="s">
        <v>147</v>
      </c>
      <c r="B95" s="53">
        <f t="shared" si="15"/>
        <v>0</v>
      </c>
      <c r="C95" s="100"/>
      <c r="D95" s="107"/>
      <c r="E95" s="107"/>
      <c r="F95" s="107"/>
      <c r="G95" s="107"/>
      <c r="H95" s="107"/>
      <c r="I95" s="107"/>
      <c r="J95" s="107"/>
      <c r="K95" s="107"/>
      <c r="L95" s="107"/>
      <c r="M95" s="107"/>
      <c r="N95" s="107"/>
      <c r="O95" s="107"/>
      <c r="P95" s="107"/>
      <c r="Q95" s="107"/>
      <c r="R95" s="107"/>
      <c r="S95" s="107"/>
      <c r="T95" s="107"/>
      <c r="U95" s="107"/>
      <c r="V95" s="107"/>
      <c r="W95" s="107"/>
      <c r="X95" s="107"/>
      <c r="Y95" s="107"/>
      <c r="Z95" s="107"/>
      <c r="AA95" s="107"/>
      <c r="AB95" s="107"/>
      <c r="AC95" s="107"/>
      <c r="AD95" s="107"/>
      <c r="AE95" s="107"/>
      <c r="AF95" s="107"/>
      <c r="AG95" s="107"/>
      <c r="AH95" s="107">
        <f>SUM(C95:AG95)</f>
        <v>0</v>
      </c>
    </row>
    <row r="96" spans="1:34">
      <c r="A96" s="375" t="s">
        <v>148</v>
      </c>
      <c r="B96" s="53">
        <f t="shared" si="15"/>
        <v>0</v>
      </c>
      <c r="C96" s="103"/>
      <c r="D96" s="107"/>
      <c r="E96" s="107"/>
      <c r="F96" s="107"/>
      <c r="G96" s="53"/>
      <c r="H96" s="53"/>
      <c r="I96" s="53"/>
      <c r="J96" s="107"/>
      <c r="K96" s="107"/>
      <c r="L96" s="107"/>
      <c r="M96" s="107"/>
      <c r="N96" s="107"/>
      <c r="O96" s="107"/>
      <c r="P96" s="107"/>
      <c r="Q96" s="107"/>
      <c r="R96" s="107"/>
      <c r="S96" s="107"/>
      <c r="T96" s="107"/>
      <c r="U96" s="107"/>
      <c r="V96" s="107"/>
      <c r="W96" s="107"/>
      <c r="X96" s="107"/>
      <c r="Y96" s="107"/>
      <c r="Z96" s="107"/>
      <c r="AA96" s="107"/>
      <c r="AB96" s="107"/>
      <c r="AC96" s="107"/>
      <c r="AD96" s="107"/>
      <c r="AE96" s="107"/>
      <c r="AF96" s="107"/>
      <c r="AG96" s="107"/>
      <c r="AH96" s="107">
        <f t="shared" si="16"/>
        <v>0</v>
      </c>
    </row>
    <row r="97" spans="1:34">
      <c r="A97" s="375" t="s">
        <v>149</v>
      </c>
      <c r="B97" s="53">
        <f t="shared" si="15"/>
        <v>0</v>
      </c>
      <c r="C97" s="103"/>
      <c r="D97" s="53"/>
      <c r="E97" s="53"/>
      <c r="F97" s="53"/>
      <c r="G97" s="53"/>
      <c r="H97" s="53"/>
      <c r="I97" s="53"/>
      <c r="J97" s="107"/>
      <c r="K97" s="107"/>
      <c r="L97" s="107"/>
      <c r="M97" s="107"/>
      <c r="N97" s="107"/>
      <c r="O97" s="107"/>
      <c r="P97" s="107"/>
      <c r="Q97" s="107"/>
      <c r="R97" s="107"/>
      <c r="S97" s="107"/>
      <c r="T97" s="107"/>
      <c r="U97" s="107"/>
      <c r="V97" s="107"/>
      <c r="W97" s="107"/>
      <c r="X97" s="107"/>
      <c r="Y97" s="107"/>
      <c r="Z97" s="107"/>
      <c r="AA97" s="107"/>
      <c r="AB97" s="107"/>
      <c r="AC97" s="107"/>
      <c r="AD97" s="107"/>
      <c r="AE97" s="107"/>
      <c r="AF97" s="107"/>
      <c r="AG97" s="107"/>
      <c r="AH97" s="107">
        <f t="shared" si="16"/>
        <v>0</v>
      </c>
    </row>
    <row r="98" spans="1:34">
      <c r="A98" s="375" t="s">
        <v>150</v>
      </c>
      <c r="B98" s="53">
        <f t="shared" si="15"/>
        <v>0</v>
      </c>
      <c r="C98" s="100"/>
      <c r="D98" s="107"/>
      <c r="E98" s="107"/>
      <c r="F98" s="107"/>
      <c r="G98" s="107"/>
      <c r="H98" s="107"/>
      <c r="I98" s="107"/>
      <c r="J98" s="107"/>
      <c r="K98" s="107"/>
      <c r="L98" s="107"/>
      <c r="M98" s="107"/>
      <c r="N98" s="107"/>
      <c r="O98" s="107"/>
      <c r="P98" s="107"/>
      <c r="Q98" s="107"/>
      <c r="R98" s="107"/>
      <c r="S98" s="107"/>
      <c r="T98" s="107"/>
      <c r="U98" s="107"/>
      <c r="V98" s="107"/>
      <c r="W98" s="107"/>
      <c r="X98" s="107"/>
      <c r="Y98" s="107"/>
      <c r="Z98" s="107"/>
      <c r="AA98" s="107"/>
      <c r="AB98" s="107"/>
      <c r="AC98" s="107"/>
      <c r="AD98" s="107"/>
      <c r="AE98" s="107"/>
      <c r="AF98" s="107"/>
      <c r="AG98" s="107"/>
      <c r="AH98" s="107">
        <f t="shared" si="16"/>
        <v>0</v>
      </c>
    </row>
    <row r="99" spans="1:34">
      <c r="A99" s="375" t="s">
        <v>151</v>
      </c>
      <c r="B99" s="53">
        <f t="shared" si="15"/>
        <v>0</v>
      </c>
      <c r="C99" s="103"/>
      <c r="D99" s="107"/>
      <c r="E99" s="107"/>
      <c r="F99" s="107"/>
      <c r="G99" s="53"/>
      <c r="H99" s="53"/>
      <c r="I99" s="53"/>
      <c r="J99" s="111"/>
      <c r="K99" s="111"/>
      <c r="L99" s="107"/>
      <c r="M99" s="107"/>
      <c r="N99" s="107"/>
      <c r="O99" s="107"/>
      <c r="P99" s="107"/>
      <c r="Q99" s="107"/>
      <c r="R99" s="107"/>
      <c r="S99" s="107"/>
      <c r="T99" s="107"/>
      <c r="U99" s="107"/>
      <c r="V99" s="107"/>
      <c r="W99" s="107"/>
      <c r="X99" s="107"/>
      <c r="Y99" s="107"/>
      <c r="Z99" s="107"/>
      <c r="AA99" s="107"/>
      <c r="AB99" s="107"/>
      <c r="AC99" s="107"/>
      <c r="AD99" s="107"/>
      <c r="AE99" s="107"/>
      <c r="AF99" s="107"/>
      <c r="AG99" s="107"/>
      <c r="AH99" s="107">
        <f t="shared" si="16"/>
        <v>0</v>
      </c>
    </row>
    <row r="100" spans="1:34">
      <c r="A100" s="375" t="s">
        <v>152</v>
      </c>
      <c r="B100" s="53">
        <f t="shared" si="15"/>
        <v>0</v>
      </c>
      <c r="C100" s="103"/>
      <c r="D100" s="53"/>
      <c r="E100" s="53"/>
      <c r="F100" s="53"/>
      <c r="G100" s="53"/>
      <c r="H100" s="53"/>
      <c r="I100" s="53"/>
      <c r="J100" s="111"/>
      <c r="K100" s="111"/>
      <c r="L100" s="107"/>
      <c r="M100" s="107"/>
      <c r="N100" s="107"/>
      <c r="O100" s="107"/>
      <c r="P100" s="107"/>
      <c r="Q100" s="107"/>
      <c r="R100" s="107"/>
      <c r="S100" s="107"/>
      <c r="T100" s="107"/>
      <c r="U100" s="107"/>
      <c r="V100" s="107"/>
      <c r="W100" s="107"/>
      <c r="X100" s="107"/>
      <c r="Y100" s="107"/>
      <c r="Z100" s="107"/>
      <c r="AA100" s="107"/>
      <c r="AB100" s="107"/>
      <c r="AC100" s="107"/>
      <c r="AD100" s="107"/>
      <c r="AE100" s="107"/>
      <c r="AF100" s="107"/>
      <c r="AG100" s="107"/>
      <c r="AH100" s="107">
        <f t="shared" si="16"/>
        <v>0</v>
      </c>
    </row>
    <row r="101" spans="1:34">
      <c r="A101" s="375" t="s">
        <v>153</v>
      </c>
      <c r="B101" s="53">
        <f t="shared" si="15"/>
        <v>0</v>
      </c>
      <c r="C101" s="100"/>
      <c r="D101" s="107"/>
      <c r="E101" s="107"/>
      <c r="F101" s="107"/>
      <c r="G101" s="107"/>
      <c r="H101" s="107"/>
      <c r="I101" s="107"/>
      <c r="J101" s="111"/>
      <c r="K101" s="111"/>
      <c r="L101" s="53"/>
      <c r="M101" s="53"/>
      <c r="N101" s="53"/>
      <c r="O101" s="53"/>
      <c r="P101" s="53"/>
      <c r="Q101" s="53"/>
      <c r="R101" s="53"/>
      <c r="S101" s="53"/>
      <c r="T101" s="53"/>
      <c r="U101" s="53"/>
      <c r="V101" s="53"/>
      <c r="W101" s="53"/>
      <c r="X101" s="53"/>
      <c r="Y101" s="53"/>
      <c r="Z101" s="53"/>
      <c r="AA101" s="53"/>
      <c r="AB101" s="53"/>
      <c r="AC101" s="53"/>
      <c r="AD101" s="53"/>
      <c r="AE101" s="53"/>
      <c r="AF101" s="53"/>
      <c r="AG101" s="53"/>
      <c r="AH101" s="107">
        <f t="shared" si="16"/>
        <v>0</v>
      </c>
    </row>
    <row r="102" spans="1:34">
      <c r="A102" s="363" t="s">
        <v>154</v>
      </c>
      <c r="B102" s="53">
        <f t="shared" si="15"/>
        <v>0</v>
      </c>
      <c r="C102" s="103"/>
      <c r="D102" s="107"/>
      <c r="E102" s="107"/>
      <c r="F102" s="107"/>
      <c r="G102" s="53"/>
      <c r="H102" s="53"/>
      <c r="I102" s="53"/>
      <c r="J102" s="53"/>
      <c r="K102" s="53"/>
      <c r="L102" s="53"/>
      <c r="M102" s="53"/>
      <c r="N102" s="53"/>
      <c r="O102" s="107"/>
      <c r="P102" s="53"/>
      <c r="Q102" s="53"/>
      <c r="R102" s="53"/>
      <c r="S102" s="53"/>
      <c r="T102" s="53"/>
      <c r="U102" s="53"/>
      <c r="V102" s="53"/>
      <c r="W102" s="53"/>
      <c r="X102" s="53"/>
      <c r="Y102" s="53"/>
      <c r="Z102" s="53"/>
      <c r="AA102" s="53"/>
      <c r="AB102" s="53"/>
      <c r="AC102" s="53"/>
      <c r="AD102" s="53"/>
      <c r="AE102" s="107"/>
      <c r="AF102" s="53"/>
      <c r="AG102" s="107"/>
      <c r="AH102" s="107">
        <f t="shared" si="16"/>
        <v>0</v>
      </c>
    </row>
    <row r="103" spans="1:34">
      <c r="A103" s="363" t="s">
        <v>155</v>
      </c>
      <c r="B103" s="53">
        <f t="shared" si="15"/>
        <v>0</v>
      </c>
      <c r="C103" s="103"/>
      <c r="D103" s="53"/>
      <c r="E103" s="53"/>
      <c r="F103" s="53"/>
      <c r="G103" s="53"/>
      <c r="H103" s="53"/>
      <c r="I103" s="53"/>
      <c r="J103" s="53"/>
      <c r="K103" s="53"/>
      <c r="L103" s="53"/>
      <c r="M103" s="53"/>
      <c r="N103" s="53"/>
      <c r="O103" s="53"/>
      <c r="P103" s="53"/>
      <c r="Q103" s="53"/>
      <c r="R103" s="53"/>
      <c r="S103" s="53"/>
      <c r="T103" s="53"/>
      <c r="U103" s="53"/>
      <c r="V103" s="53"/>
      <c r="W103" s="53"/>
      <c r="X103" s="53"/>
      <c r="Y103" s="53"/>
      <c r="Z103" s="53"/>
      <c r="AA103" s="53"/>
      <c r="AB103" s="53"/>
      <c r="AC103" s="53"/>
      <c r="AD103" s="53"/>
      <c r="AE103" s="107"/>
      <c r="AF103" s="53"/>
      <c r="AG103" s="107"/>
      <c r="AH103" s="107">
        <f t="shared" si="16"/>
        <v>0</v>
      </c>
    </row>
    <row r="104" spans="1:34">
      <c r="A104" s="363" t="s">
        <v>156</v>
      </c>
      <c r="B104" s="53">
        <f t="shared" si="15"/>
        <v>0</v>
      </c>
      <c r="C104" s="103"/>
      <c r="D104" s="53"/>
      <c r="E104" s="53"/>
      <c r="F104" s="53"/>
      <c r="G104" s="53"/>
      <c r="H104" s="53"/>
      <c r="I104" s="53"/>
      <c r="J104" s="53"/>
      <c r="K104" s="53"/>
      <c r="L104" s="53"/>
      <c r="M104" s="53"/>
      <c r="N104" s="53"/>
      <c r="O104" s="53"/>
      <c r="P104" s="53"/>
      <c r="Q104" s="53"/>
      <c r="R104" s="53"/>
      <c r="S104" s="53"/>
      <c r="T104" s="53"/>
      <c r="U104" s="53"/>
      <c r="V104" s="53"/>
      <c r="W104" s="53"/>
      <c r="X104" s="53"/>
      <c r="Y104" s="53"/>
      <c r="Z104" s="53"/>
      <c r="AA104" s="53"/>
      <c r="AB104" s="53"/>
      <c r="AC104" s="53"/>
      <c r="AD104" s="53"/>
      <c r="AE104" s="107"/>
      <c r="AF104" s="53"/>
      <c r="AG104" s="107"/>
      <c r="AH104" s="107">
        <f t="shared" si="16"/>
        <v>0</v>
      </c>
    </row>
    <row r="105" spans="1:34">
      <c r="A105" s="199" t="s">
        <v>144</v>
      </c>
      <c r="B105" s="200">
        <f>SUM(B93:B104)</f>
        <v>0</v>
      </c>
      <c r="C105" s="100">
        <f>SUM(C93:C103)</f>
        <v>0</v>
      </c>
      <c r="D105" s="107">
        <f>SUM(D93:D103)</f>
        <v>0</v>
      </c>
      <c r="E105" s="107">
        <v>0</v>
      </c>
      <c r="F105" s="107">
        <f t="shared" ref="F105:AC105" si="17">SUM(F93:F103)</f>
        <v>0</v>
      </c>
      <c r="G105" s="107">
        <f t="shared" si="17"/>
        <v>0</v>
      </c>
      <c r="H105" s="107">
        <f t="shared" si="17"/>
        <v>0</v>
      </c>
      <c r="I105" s="107">
        <f t="shared" si="17"/>
        <v>0</v>
      </c>
      <c r="J105" s="107">
        <f t="shared" si="17"/>
        <v>0</v>
      </c>
      <c r="K105" s="107">
        <f t="shared" si="17"/>
        <v>0</v>
      </c>
      <c r="L105" s="107">
        <f t="shared" si="17"/>
        <v>0</v>
      </c>
      <c r="M105" s="107">
        <f t="shared" si="17"/>
        <v>0</v>
      </c>
      <c r="N105" s="107">
        <f t="shared" si="17"/>
        <v>0</v>
      </c>
      <c r="O105" s="107">
        <f t="shared" si="17"/>
        <v>0</v>
      </c>
      <c r="P105" s="107">
        <f t="shared" si="17"/>
        <v>0</v>
      </c>
      <c r="Q105" s="107">
        <f t="shared" si="17"/>
        <v>0</v>
      </c>
      <c r="R105" s="107">
        <f t="shared" si="17"/>
        <v>0</v>
      </c>
      <c r="S105" s="107">
        <f t="shared" si="17"/>
        <v>0</v>
      </c>
      <c r="T105" s="107">
        <f t="shared" si="17"/>
        <v>0</v>
      </c>
      <c r="U105" s="107">
        <f t="shared" si="17"/>
        <v>0</v>
      </c>
      <c r="V105" s="107">
        <f t="shared" si="17"/>
        <v>0</v>
      </c>
      <c r="W105" s="107">
        <f t="shared" si="17"/>
        <v>0</v>
      </c>
      <c r="X105" s="107">
        <f t="shared" si="17"/>
        <v>0</v>
      </c>
      <c r="Y105" s="107">
        <f t="shared" si="17"/>
        <v>0</v>
      </c>
      <c r="Z105" s="107">
        <f t="shared" si="17"/>
        <v>0</v>
      </c>
      <c r="AA105" s="107">
        <f t="shared" si="17"/>
        <v>0</v>
      </c>
      <c r="AB105" s="107">
        <f t="shared" si="17"/>
        <v>0</v>
      </c>
      <c r="AC105" s="107">
        <f t="shared" si="17"/>
        <v>0</v>
      </c>
      <c r="AD105" s="107">
        <v>0</v>
      </c>
      <c r="AE105" s="107">
        <f>SUM(AE93:AE103)</f>
        <v>0</v>
      </c>
      <c r="AF105" s="107">
        <f>SUM(AF93:AF103)</f>
        <v>0</v>
      </c>
      <c r="AG105" s="107">
        <f>SUM(AG93:AG103)</f>
        <v>0</v>
      </c>
      <c r="AH105" s="100">
        <f>SUM(AH93:AH103)</f>
        <v>0</v>
      </c>
    </row>
    <row r="106" spans="1:34" ht="5.0999999999999996" customHeight="1">
      <c r="A106" s="104"/>
      <c r="B106" s="105"/>
      <c r="C106" s="1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c r="AD106" s="106"/>
      <c r="AE106" s="106"/>
      <c r="AF106" s="106"/>
      <c r="AG106" s="106"/>
      <c r="AH106" s="16"/>
    </row>
    <row r="107" spans="1:34">
      <c r="A107" s="3854" t="s">
        <v>116</v>
      </c>
      <c r="B107" s="3855"/>
      <c r="C107" s="3855"/>
      <c r="D107" s="3855"/>
      <c r="E107" s="3855"/>
      <c r="F107" s="3855"/>
      <c r="G107" s="3855"/>
      <c r="H107" s="3856"/>
      <c r="I107" s="96"/>
      <c r="J107" s="96"/>
      <c r="K107" s="96"/>
      <c r="L107" s="96"/>
      <c r="M107" s="96"/>
      <c r="N107" s="96"/>
      <c r="O107" s="96"/>
      <c r="P107" s="96"/>
      <c r="Q107" s="96"/>
      <c r="R107" s="96"/>
      <c r="S107" s="14"/>
      <c r="T107" s="14"/>
      <c r="U107" s="14"/>
      <c r="V107" s="14"/>
      <c r="W107" s="14"/>
      <c r="X107" s="14"/>
      <c r="Y107" s="14"/>
      <c r="Z107" s="14"/>
      <c r="AA107" s="14"/>
      <c r="AB107" s="14"/>
      <c r="AC107" s="14"/>
      <c r="AD107" s="14"/>
      <c r="AE107" s="14"/>
      <c r="AF107" s="14"/>
      <c r="AG107" s="14"/>
      <c r="AH107" s="14"/>
    </row>
    <row r="108" spans="1:34">
      <c r="A108" s="8" t="s">
        <v>142</v>
      </c>
      <c r="B108" s="8" t="s">
        <v>143</v>
      </c>
      <c r="C108" s="314">
        <v>1</v>
      </c>
      <c r="D108" s="73">
        <v>2</v>
      </c>
      <c r="E108" s="73">
        <v>3</v>
      </c>
      <c r="F108" s="73">
        <v>4</v>
      </c>
      <c r="G108" s="73">
        <v>5</v>
      </c>
      <c r="H108" s="73">
        <v>6</v>
      </c>
      <c r="I108" s="73">
        <v>7</v>
      </c>
      <c r="J108" s="73">
        <v>8</v>
      </c>
      <c r="K108" s="73">
        <v>9</v>
      </c>
      <c r="L108" s="73">
        <v>10</v>
      </c>
      <c r="M108" s="73">
        <v>11</v>
      </c>
      <c r="N108" s="73">
        <v>12</v>
      </c>
      <c r="O108" s="73">
        <v>13</v>
      </c>
      <c r="P108" s="73">
        <v>14</v>
      </c>
      <c r="Q108" s="73">
        <v>15</v>
      </c>
      <c r="R108" s="73">
        <v>16</v>
      </c>
      <c r="S108" s="73">
        <v>17</v>
      </c>
      <c r="T108" s="73">
        <v>18</v>
      </c>
      <c r="U108" s="73">
        <v>19</v>
      </c>
      <c r="V108" s="73">
        <v>20</v>
      </c>
      <c r="W108" s="73">
        <v>21</v>
      </c>
      <c r="X108" s="73">
        <v>22</v>
      </c>
      <c r="Y108" s="73">
        <v>23</v>
      </c>
      <c r="Z108" s="73">
        <v>24</v>
      </c>
      <c r="AA108" s="73">
        <v>25</v>
      </c>
      <c r="AB108" s="73">
        <v>26</v>
      </c>
      <c r="AC108" s="73">
        <v>27</v>
      </c>
      <c r="AD108" s="73">
        <v>28</v>
      </c>
      <c r="AE108" s="73">
        <v>29</v>
      </c>
      <c r="AF108" s="73">
        <v>30</v>
      </c>
      <c r="AG108" s="73">
        <v>31</v>
      </c>
      <c r="AH108" s="88" t="s">
        <v>144</v>
      </c>
    </row>
    <row r="109" spans="1:34">
      <c r="A109" s="375" t="s">
        <v>145</v>
      </c>
      <c r="B109" s="53">
        <f t="shared" ref="B109:B120" si="18">+AH109</f>
        <v>0</v>
      </c>
      <c r="C109" s="103"/>
      <c r="D109" s="107"/>
      <c r="E109" s="107"/>
      <c r="F109" s="107"/>
      <c r="G109" s="53"/>
      <c r="H109" s="53"/>
      <c r="I109" s="53"/>
      <c r="J109" s="53"/>
      <c r="K109" s="53"/>
      <c r="L109" s="53"/>
      <c r="M109" s="53"/>
      <c r="N109" s="53"/>
      <c r="O109" s="53"/>
      <c r="P109" s="53"/>
      <c r="Q109" s="107"/>
      <c r="R109" s="53"/>
      <c r="S109" s="53"/>
      <c r="T109" s="53"/>
      <c r="U109" s="53"/>
      <c r="V109" s="107"/>
      <c r="W109" s="107"/>
      <c r="X109" s="53"/>
      <c r="Y109" s="53"/>
      <c r="Z109" s="53"/>
      <c r="AA109" s="53"/>
      <c r="AB109" s="53"/>
      <c r="AC109" s="53"/>
      <c r="AD109" s="107"/>
      <c r="AE109" s="53"/>
      <c r="AF109" s="53"/>
      <c r="AG109" s="53"/>
      <c r="AH109" s="107">
        <f>SUM(C109:AG109)</f>
        <v>0</v>
      </c>
    </row>
    <row r="110" spans="1:34">
      <c r="A110" s="375" t="s">
        <v>146</v>
      </c>
      <c r="B110" s="53">
        <f t="shared" si="18"/>
        <v>0</v>
      </c>
      <c r="C110" s="103"/>
      <c r="D110" s="53"/>
      <c r="E110" s="53"/>
      <c r="F110" s="53"/>
      <c r="G110" s="53"/>
      <c r="H110" s="53"/>
      <c r="I110" s="53"/>
      <c r="J110" s="53"/>
      <c r="K110" s="53"/>
      <c r="L110" s="53"/>
      <c r="M110" s="53"/>
      <c r="N110" s="53"/>
      <c r="O110" s="53"/>
      <c r="P110" s="53"/>
      <c r="Q110" s="53"/>
      <c r="R110" s="53"/>
      <c r="S110" s="53"/>
      <c r="T110" s="53"/>
      <c r="U110" s="53"/>
      <c r="V110" s="53"/>
      <c r="W110" s="53"/>
      <c r="X110" s="53"/>
      <c r="Y110" s="53"/>
      <c r="Z110" s="53"/>
      <c r="AA110" s="53"/>
      <c r="AB110" s="53"/>
      <c r="AC110" s="53"/>
      <c r="AD110" s="53"/>
      <c r="AE110" s="53"/>
      <c r="AF110" s="53"/>
      <c r="AG110" s="53"/>
      <c r="AH110" s="107">
        <f>SUM(C110:AG110)</f>
        <v>0</v>
      </c>
    </row>
    <row r="111" spans="1:34">
      <c r="A111" s="375" t="s">
        <v>147</v>
      </c>
      <c r="B111" s="53">
        <f t="shared" si="18"/>
        <v>0</v>
      </c>
      <c r="C111" s="100"/>
      <c r="D111" s="107"/>
      <c r="E111" s="107"/>
      <c r="F111" s="107"/>
      <c r="G111" s="107"/>
      <c r="H111" s="107"/>
      <c r="I111" s="107"/>
      <c r="J111" s="107"/>
      <c r="K111" s="107"/>
      <c r="L111" s="107"/>
      <c r="M111" s="107"/>
      <c r="N111" s="107"/>
      <c r="O111" s="107"/>
      <c r="P111" s="107"/>
      <c r="Q111" s="107"/>
      <c r="R111" s="107"/>
      <c r="S111" s="107"/>
      <c r="T111" s="107"/>
      <c r="U111" s="107"/>
      <c r="V111" s="107"/>
      <c r="W111" s="107"/>
      <c r="X111" s="107"/>
      <c r="Y111" s="107"/>
      <c r="Z111" s="107"/>
      <c r="AA111" s="107"/>
      <c r="AB111" s="107"/>
      <c r="AC111" s="107"/>
      <c r="AD111" s="107"/>
      <c r="AE111" s="107"/>
      <c r="AF111" s="107"/>
      <c r="AG111" s="107"/>
      <c r="AH111" s="107">
        <f>SUM(C111:AG111)</f>
        <v>0</v>
      </c>
    </row>
    <row r="112" spans="1:34">
      <c r="A112" s="375" t="s">
        <v>148</v>
      </c>
      <c r="B112" s="53">
        <f t="shared" si="18"/>
        <v>0</v>
      </c>
      <c r="C112" s="103"/>
      <c r="D112" s="107"/>
      <c r="E112" s="107"/>
      <c r="F112" s="107"/>
      <c r="G112" s="53"/>
      <c r="H112" s="53"/>
      <c r="I112" s="53"/>
      <c r="J112" s="107"/>
      <c r="K112" s="107"/>
      <c r="L112" s="107"/>
      <c r="M112" s="107"/>
      <c r="N112" s="107"/>
      <c r="O112" s="107"/>
      <c r="P112" s="107"/>
      <c r="Q112" s="107"/>
      <c r="R112" s="107"/>
      <c r="S112" s="107"/>
      <c r="T112" s="107"/>
      <c r="U112" s="107"/>
      <c r="V112" s="107"/>
      <c r="W112" s="107"/>
      <c r="X112" s="107"/>
      <c r="Y112" s="107"/>
      <c r="Z112" s="107"/>
      <c r="AA112" s="107"/>
      <c r="AB112" s="107"/>
      <c r="AC112" s="107"/>
      <c r="AD112" s="107"/>
      <c r="AE112" s="107"/>
      <c r="AF112" s="107"/>
      <c r="AG112" s="107"/>
      <c r="AH112" s="107">
        <f t="shared" ref="AH112:AH120" si="19">SUM(C112:AG112)</f>
        <v>0</v>
      </c>
    </row>
    <row r="113" spans="1:34">
      <c r="A113" s="375" t="s">
        <v>149</v>
      </c>
      <c r="B113" s="53">
        <f t="shared" si="18"/>
        <v>0</v>
      </c>
      <c r="C113" s="103"/>
      <c r="D113" s="53"/>
      <c r="E113" s="53"/>
      <c r="F113" s="53"/>
      <c r="G113" s="53"/>
      <c r="H113" s="53"/>
      <c r="I113" s="53"/>
      <c r="J113" s="107"/>
      <c r="K113" s="107"/>
      <c r="L113" s="107"/>
      <c r="M113" s="107"/>
      <c r="N113" s="107"/>
      <c r="O113" s="107"/>
      <c r="P113" s="107"/>
      <c r="Q113" s="107"/>
      <c r="R113" s="107"/>
      <c r="S113" s="107"/>
      <c r="T113" s="107"/>
      <c r="U113" s="107"/>
      <c r="V113" s="107"/>
      <c r="W113" s="107"/>
      <c r="X113" s="107"/>
      <c r="Y113" s="107"/>
      <c r="Z113" s="107"/>
      <c r="AA113" s="107"/>
      <c r="AB113" s="107"/>
      <c r="AC113" s="107"/>
      <c r="AD113" s="107"/>
      <c r="AE113" s="107"/>
      <c r="AF113" s="107"/>
      <c r="AG113" s="107"/>
      <c r="AH113" s="107">
        <f t="shared" si="19"/>
        <v>0</v>
      </c>
    </row>
    <row r="114" spans="1:34">
      <c r="A114" s="375" t="s">
        <v>150</v>
      </c>
      <c r="B114" s="53">
        <f t="shared" si="18"/>
        <v>0</v>
      </c>
      <c r="C114" s="100"/>
      <c r="D114" s="107"/>
      <c r="E114" s="107"/>
      <c r="F114" s="107"/>
      <c r="G114" s="107"/>
      <c r="H114" s="107"/>
      <c r="I114" s="107"/>
      <c r="J114" s="107"/>
      <c r="K114" s="107"/>
      <c r="L114" s="107"/>
      <c r="M114" s="107"/>
      <c r="N114" s="107"/>
      <c r="O114" s="107"/>
      <c r="P114" s="107"/>
      <c r="Q114" s="107"/>
      <c r="R114" s="107"/>
      <c r="S114" s="107"/>
      <c r="T114" s="107"/>
      <c r="U114" s="107"/>
      <c r="V114" s="107"/>
      <c r="W114" s="107"/>
      <c r="X114" s="107"/>
      <c r="Y114" s="107"/>
      <c r="Z114" s="107"/>
      <c r="AA114" s="107"/>
      <c r="AB114" s="107"/>
      <c r="AC114" s="107"/>
      <c r="AD114" s="107"/>
      <c r="AE114" s="107"/>
      <c r="AF114" s="107"/>
      <c r="AG114" s="107"/>
      <c r="AH114" s="107">
        <f t="shared" si="19"/>
        <v>0</v>
      </c>
    </row>
    <row r="115" spans="1:34">
      <c r="A115" s="375" t="s">
        <v>151</v>
      </c>
      <c r="B115" s="53">
        <f t="shared" si="18"/>
        <v>0</v>
      </c>
      <c r="C115" s="103"/>
      <c r="D115" s="107"/>
      <c r="E115" s="107"/>
      <c r="F115" s="107"/>
      <c r="G115" s="53"/>
      <c r="H115" s="53"/>
      <c r="I115" s="53"/>
      <c r="J115" s="111"/>
      <c r="K115" s="111"/>
      <c r="L115" s="107"/>
      <c r="M115" s="107"/>
      <c r="N115" s="107"/>
      <c r="O115" s="107"/>
      <c r="P115" s="107"/>
      <c r="Q115" s="107"/>
      <c r="R115" s="107"/>
      <c r="S115" s="107"/>
      <c r="T115" s="107"/>
      <c r="U115" s="107"/>
      <c r="V115" s="107"/>
      <c r="W115" s="107"/>
      <c r="X115" s="107"/>
      <c r="Y115" s="107"/>
      <c r="Z115" s="107"/>
      <c r="AA115" s="107"/>
      <c r="AB115" s="107"/>
      <c r="AC115" s="107"/>
      <c r="AD115" s="107"/>
      <c r="AE115" s="107"/>
      <c r="AF115" s="107"/>
      <c r="AG115" s="107"/>
      <c r="AH115" s="107">
        <f t="shared" si="19"/>
        <v>0</v>
      </c>
    </row>
    <row r="116" spans="1:34">
      <c r="A116" s="375" t="s">
        <v>152</v>
      </c>
      <c r="B116" s="53">
        <f t="shared" si="18"/>
        <v>0</v>
      </c>
      <c r="C116" s="103"/>
      <c r="D116" s="53"/>
      <c r="E116" s="53"/>
      <c r="F116" s="53"/>
      <c r="G116" s="53"/>
      <c r="H116" s="53"/>
      <c r="I116" s="53"/>
      <c r="J116" s="111"/>
      <c r="K116" s="111"/>
      <c r="L116" s="107"/>
      <c r="M116" s="107"/>
      <c r="N116" s="107"/>
      <c r="O116" s="107"/>
      <c r="P116" s="107"/>
      <c r="Q116" s="107"/>
      <c r="R116" s="107"/>
      <c r="S116" s="107"/>
      <c r="T116" s="107"/>
      <c r="U116" s="107"/>
      <c r="V116" s="107"/>
      <c r="W116" s="107"/>
      <c r="X116" s="107"/>
      <c r="Y116" s="107"/>
      <c r="Z116" s="107"/>
      <c r="AA116" s="107"/>
      <c r="AB116" s="107"/>
      <c r="AC116" s="107"/>
      <c r="AD116" s="107"/>
      <c r="AE116" s="107"/>
      <c r="AF116" s="107"/>
      <c r="AG116" s="107"/>
      <c r="AH116" s="107">
        <f t="shared" si="19"/>
        <v>0</v>
      </c>
    </row>
    <row r="117" spans="1:34">
      <c r="A117" s="375" t="s">
        <v>153</v>
      </c>
      <c r="B117" s="53">
        <f t="shared" si="18"/>
        <v>0</v>
      </c>
      <c r="C117" s="100"/>
      <c r="D117" s="107"/>
      <c r="E117" s="107"/>
      <c r="F117" s="107"/>
      <c r="G117" s="107"/>
      <c r="H117" s="107"/>
      <c r="I117" s="107"/>
      <c r="J117" s="111"/>
      <c r="K117" s="111"/>
      <c r="L117" s="53"/>
      <c r="M117" s="53"/>
      <c r="N117" s="53"/>
      <c r="O117" s="53"/>
      <c r="P117" s="53"/>
      <c r="Q117" s="53"/>
      <c r="R117" s="53"/>
      <c r="S117" s="53"/>
      <c r="T117" s="53"/>
      <c r="U117" s="53"/>
      <c r="V117" s="53"/>
      <c r="W117" s="53"/>
      <c r="X117" s="53"/>
      <c r="Y117" s="53"/>
      <c r="Z117" s="53"/>
      <c r="AA117" s="53"/>
      <c r="AB117" s="53"/>
      <c r="AC117" s="53"/>
      <c r="AD117" s="53"/>
      <c r="AE117" s="53"/>
      <c r="AF117" s="53"/>
      <c r="AG117" s="53"/>
      <c r="AH117" s="107">
        <f t="shared" si="19"/>
        <v>0</v>
      </c>
    </row>
    <row r="118" spans="1:34">
      <c r="A118" s="363" t="s">
        <v>154</v>
      </c>
      <c r="B118" s="53">
        <f t="shared" si="18"/>
        <v>0</v>
      </c>
      <c r="C118" s="103"/>
      <c r="D118" s="107"/>
      <c r="E118" s="107"/>
      <c r="F118" s="107"/>
      <c r="G118" s="53"/>
      <c r="H118" s="53"/>
      <c r="I118" s="53"/>
      <c r="J118" s="53"/>
      <c r="K118" s="53"/>
      <c r="L118" s="53"/>
      <c r="M118" s="53"/>
      <c r="N118" s="53"/>
      <c r="O118" s="107"/>
      <c r="P118" s="53"/>
      <c r="Q118" s="53"/>
      <c r="R118" s="53"/>
      <c r="S118" s="53"/>
      <c r="T118" s="53"/>
      <c r="U118" s="53"/>
      <c r="V118" s="53"/>
      <c r="W118" s="53"/>
      <c r="X118" s="53"/>
      <c r="Y118" s="53"/>
      <c r="Z118" s="53"/>
      <c r="AA118" s="53"/>
      <c r="AB118" s="53"/>
      <c r="AC118" s="53"/>
      <c r="AD118" s="53"/>
      <c r="AE118" s="107"/>
      <c r="AF118" s="53"/>
      <c r="AG118" s="107"/>
      <c r="AH118" s="107">
        <f t="shared" si="19"/>
        <v>0</v>
      </c>
    </row>
    <row r="119" spans="1:34">
      <c r="A119" s="363" t="s">
        <v>155</v>
      </c>
      <c r="B119" s="53">
        <f t="shared" si="18"/>
        <v>0</v>
      </c>
      <c r="C119" s="10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107"/>
      <c r="AF119" s="53"/>
      <c r="AG119" s="107"/>
      <c r="AH119" s="107">
        <f t="shared" si="19"/>
        <v>0</v>
      </c>
    </row>
    <row r="120" spans="1:34">
      <c r="A120" s="363" t="s">
        <v>156</v>
      </c>
      <c r="B120" s="53">
        <f t="shared" si="18"/>
        <v>0</v>
      </c>
      <c r="C120" s="10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107"/>
      <c r="AF120" s="53"/>
      <c r="AG120" s="107"/>
      <c r="AH120" s="107">
        <f t="shared" si="19"/>
        <v>0</v>
      </c>
    </row>
    <row r="121" spans="1:34">
      <c r="A121" s="199" t="s">
        <v>144</v>
      </c>
      <c r="B121" s="200">
        <f>SUM(B109:B120)</f>
        <v>0</v>
      </c>
      <c r="C121" s="100">
        <f>SUM(C109:C119)</f>
        <v>0</v>
      </c>
      <c r="D121" s="107">
        <f>SUM(D109:D119)</f>
        <v>0</v>
      </c>
      <c r="E121" s="107">
        <v>0</v>
      </c>
      <c r="F121" s="107">
        <f t="shared" ref="F121:AC121" si="20">SUM(F109:F119)</f>
        <v>0</v>
      </c>
      <c r="G121" s="107">
        <f t="shared" si="20"/>
        <v>0</v>
      </c>
      <c r="H121" s="107">
        <f t="shared" si="20"/>
        <v>0</v>
      </c>
      <c r="I121" s="107">
        <f t="shared" si="20"/>
        <v>0</v>
      </c>
      <c r="J121" s="107">
        <f t="shared" si="20"/>
        <v>0</v>
      </c>
      <c r="K121" s="107">
        <f t="shared" si="20"/>
        <v>0</v>
      </c>
      <c r="L121" s="107">
        <f t="shared" si="20"/>
        <v>0</v>
      </c>
      <c r="M121" s="107">
        <f t="shared" si="20"/>
        <v>0</v>
      </c>
      <c r="N121" s="107">
        <f t="shared" si="20"/>
        <v>0</v>
      </c>
      <c r="O121" s="107">
        <f t="shared" si="20"/>
        <v>0</v>
      </c>
      <c r="P121" s="107">
        <f t="shared" si="20"/>
        <v>0</v>
      </c>
      <c r="Q121" s="107">
        <f t="shared" si="20"/>
        <v>0</v>
      </c>
      <c r="R121" s="107">
        <f t="shared" si="20"/>
        <v>0</v>
      </c>
      <c r="S121" s="107">
        <f t="shared" si="20"/>
        <v>0</v>
      </c>
      <c r="T121" s="107">
        <f t="shared" si="20"/>
        <v>0</v>
      </c>
      <c r="U121" s="107">
        <f t="shared" si="20"/>
        <v>0</v>
      </c>
      <c r="V121" s="107">
        <f t="shared" si="20"/>
        <v>0</v>
      </c>
      <c r="W121" s="107">
        <f t="shared" si="20"/>
        <v>0</v>
      </c>
      <c r="X121" s="107">
        <f t="shared" si="20"/>
        <v>0</v>
      </c>
      <c r="Y121" s="107">
        <f t="shared" si="20"/>
        <v>0</v>
      </c>
      <c r="Z121" s="107">
        <f t="shared" si="20"/>
        <v>0</v>
      </c>
      <c r="AA121" s="107">
        <f t="shared" si="20"/>
        <v>0</v>
      </c>
      <c r="AB121" s="107">
        <f t="shared" si="20"/>
        <v>0</v>
      </c>
      <c r="AC121" s="107">
        <f t="shared" si="20"/>
        <v>0</v>
      </c>
      <c r="AD121" s="107">
        <v>0</v>
      </c>
      <c r="AE121" s="107">
        <f>SUM(AE109:AE119)</f>
        <v>0</v>
      </c>
      <c r="AF121" s="107">
        <f>SUM(AF109:AF119)</f>
        <v>0</v>
      </c>
      <c r="AG121" s="107">
        <f>SUM(AG109:AG119)</f>
        <v>0</v>
      </c>
      <c r="AH121" s="100">
        <f>SUM(AH109:AH119)</f>
        <v>0</v>
      </c>
    </row>
    <row r="122" spans="1:34" ht="5.0999999999999996" customHeight="1">
      <c r="A122" s="104"/>
      <c r="B122" s="105"/>
      <c r="C122" s="1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6"/>
    </row>
    <row r="123" spans="1:34">
      <c r="A123" s="3854" t="s">
        <v>117</v>
      </c>
      <c r="B123" s="3855"/>
      <c r="C123" s="3855"/>
      <c r="D123" s="3855"/>
      <c r="E123" s="3855"/>
      <c r="F123" s="3855"/>
      <c r="G123" s="3855"/>
      <c r="H123" s="3856"/>
      <c r="I123" s="96"/>
      <c r="J123" s="96"/>
      <c r="K123" s="96"/>
      <c r="L123" s="96"/>
      <c r="M123" s="96"/>
      <c r="N123" s="96"/>
      <c r="O123" s="96"/>
      <c r="P123" s="96"/>
      <c r="Q123" s="96"/>
      <c r="R123" s="96"/>
      <c r="S123" s="14"/>
      <c r="T123" s="14"/>
      <c r="U123" s="14"/>
      <c r="V123" s="14"/>
      <c r="W123" s="14"/>
      <c r="X123" s="14"/>
      <c r="Y123" s="14"/>
      <c r="Z123" s="14"/>
      <c r="AA123" s="14"/>
      <c r="AB123" s="14"/>
      <c r="AC123" s="14"/>
      <c r="AD123" s="14"/>
      <c r="AE123" s="14"/>
      <c r="AF123" s="14"/>
      <c r="AG123" s="14"/>
      <c r="AH123" s="14"/>
    </row>
    <row r="124" spans="1:34">
      <c r="A124" s="8" t="s">
        <v>142</v>
      </c>
      <c r="B124" s="8" t="s">
        <v>143</v>
      </c>
      <c r="C124" s="314">
        <v>1</v>
      </c>
      <c r="D124" s="73">
        <v>2</v>
      </c>
      <c r="E124" s="73">
        <v>3</v>
      </c>
      <c r="F124" s="73">
        <v>4</v>
      </c>
      <c r="G124" s="73">
        <v>5</v>
      </c>
      <c r="H124" s="73">
        <v>6</v>
      </c>
      <c r="I124" s="73">
        <v>7</v>
      </c>
      <c r="J124" s="73">
        <v>8</v>
      </c>
      <c r="K124" s="73">
        <v>9</v>
      </c>
      <c r="L124" s="73">
        <v>10</v>
      </c>
      <c r="M124" s="73">
        <v>11</v>
      </c>
      <c r="N124" s="73">
        <v>12</v>
      </c>
      <c r="O124" s="73">
        <v>13</v>
      </c>
      <c r="P124" s="73">
        <v>14</v>
      </c>
      <c r="Q124" s="73">
        <v>15</v>
      </c>
      <c r="R124" s="73">
        <v>16</v>
      </c>
      <c r="S124" s="73">
        <v>17</v>
      </c>
      <c r="T124" s="73">
        <v>18</v>
      </c>
      <c r="U124" s="73">
        <v>19</v>
      </c>
      <c r="V124" s="73">
        <v>20</v>
      </c>
      <c r="W124" s="73">
        <v>21</v>
      </c>
      <c r="X124" s="73">
        <v>22</v>
      </c>
      <c r="Y124" s="73">
        <v>23</v>
      </c>
      <c r="Z124" s="73">
        <v>24</v>
      </c>
      <c r="AA124" s="73">
        <v>25</v>
      </c>
      <c r="AB124" s="73">
        <v>26</v>
      </c>
      <c r="AC124" s="73">
        <v>27</v>
      </c>
      <c r="AD124" s="73">
        <v>28</v>
      </c>
      <c r="AE124" s="73">
        <v>29</v>
      </c>
      <c r="AF124" s="73">
        <v>30</v>
      </c>
      <c r="AG124" s="73">
        <v>31</v>
      </c>
      <c r="AH124" s="88" t="s">
        <v>144</v>
      </c>
    </row>
    <row r="125" spans="1:34">
      <c r="A125" s="375" t="s">
        <v>145</v>
      </c>
      <c r="B125" s="53">
        <f t="shared" ref="B125:B136" si="21">+AH125</f>
        <v>0</v>
      </c>
      <c r="C125" s="103"/>
      <c r="D125" s="107"/>
      <c r="E125" s="107"/>
      <c r="F125" s="107"/>
      <c r="G125" s="53"/>
      <c r="H125" s="53"/>
      <c r="I125" s="53"/>
      <c r="J125" s="53"/>
      <c r="K125" s="53"/>
      <c r="L125" s="53"/>
      <c r="M125" s="53"/>
      <c r="N125" s="53"/>
      <c r="O125" s="53"/>
      <c r="P125" s="53"/>
      <c r="Q125" s="107"/>
      <c r="R125" s="53"/>
      <c r="S125" s="53"/>
      <c r="T125" s="53"/>
      <c r="U125" s="53"/>
      <c r="V125" s="107"/>
      <c r="W125" s="107"/>
      <c r="X125" s="53"/>
      <c r="Y125" s="53"/>
      <c r="Z125" s="53"/>
      <c r="AA125" s="53"/>
      <c r="AB125" s="53"/>
      <c r="AC125" s="53"/>
      <c r="AD125" s="107"/>
      <c r="AE125" s="53"/>
      <c r="AF125" s="53"/>
      <c r="AG125" s="53"/>
      <c r="AH125" s="107">
        <f>SUM(C125:AG125)</f>
        <v>0</v>
      </c>
    </row>
    <row r="126" spans="1:34">
      <c r="A126" s="375" t="s">
        <v>146</v>
      </c>
      <c r="B126" s="53">
        <f t="shared" si="21"/>
        <v>0</v>
      </c>
      <c r="C126" s="10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107">
        <f>SUM(C126:AG126)</f>
        <v>0</v>
      </c>
    </row>
    <row r="127" spans="1:34">
      <c r="A127" s="375" t="s">
        <v>147</v>
      </c>
      <c r="B127" s="53">
        <f t="shared" si="21"/>
        <v>0</v>
      </c>
      <c r="C127" s="100"/>
      <c r="D127" s="107"/>
      <c r="E127" s="107"/>
      <c r="F127" s="107"/>
      <c r="G127" s="107"/>
      <c r="H127" s="107"/>
      <c r="I127" s="107"/>
      <c r="J127" s="107"/>
      <c r="K127" s="107"/>
      <c r="L127" s="107"/>
      <c r="M127" s="107"/>
      <c r="N127" s="107"/>
      <c r="O127" s="107"/>
      <c r="P127" s="107"/>
      <c r="Q127" s="107"/>
      <c r="R127" s="107"/>
      <c r="S127" s="107"/>
      <c r="T127" s="107"/>
      <c r="U127" s="107"/>
      <c r="V127" s="107"/>
      <c r="W127" s="107"/>
      <c r="X127" s="107"/>
      <c r="Y127" s="107"/>
      <c r="Z127" s="107"/>
      <c r="AA127" s="107"/>
      <c r="AB127" s="107"/>
      <c r="AC127" s="107"/>
      <c r="AD127" s="107"/>
      <c r="AE127" s="107"/>
      <c r="AF127" s="107"/>
      <c r="AG127" s="107"/>
      <c r="AH127" s="107">
        <f>SUM(C127:AG127)</f>
        <v>0</v>
      </c>
    </row>
    <row r="128" spans="1:34">
      <c r="A128" s="375" t="s">
        <v>148</v>
      </c>
      <c r="B128" s="53">
        <f t="shared" si="21"/>
        <v>0</v>
      </c>
      <c r="C128" s="103"/>
      <c r="D128" s="107"/>
      <c r="E128" s="107"/>
      <c r="F128" s="107"/>
      <c r="G128" s="53"/>
      <c r="H128" s="53"/>
      <c r="I128" s="53"/>
      <c r="J128" s="107"/>
      <c r="K128" s="107"/>
      <c r="L128" s="107"/>
      <c r="M128" s="107"/>
      <c r="N128" s="107"/>
      <c r="O128" s="107"/>
      <c r="P128" s="107"/>
      <c r="Q128" s="107"/>
      <c r="R128" s="107"/>
      <c r="S128" s="107"/>
      <c r="T128" s="107"/>
      <c r="U128" s="107"/>
      <c r="V128" s="107"/>
      <c r="W128" s="107"/>
      <c r="X128" s="107"/>
      <c r="Y128" s="107"/>
      <c r="Z128" s="107"/>
      <c r="AA128" s="107"/>
      <c r="AB128" s="107"/>
      <c r="AC128" s="107"/>
      <c r="AD128" s="107"/>
      <c r="AE128" s="107"/>
      <c r="AF128" s="107"/>
      <c r="AG128" s="107"/>
      <c r="AH128" s="107">
        <f t="shared" ref="AH128:AH136" si="22">SUM(C128:AG128)</f>
        <v>0</v>
      </c>
    </row>
    <row r="129" spans="1:34">
      <c r="A129" s="375" t="s">
        <v>149</v>
      </c>
      <c r="B129" s="53">
        <f t="shared" si="21"/>
        <v>0</v>
      </c>
      <c r="C129" s="103"/>
      <c r="D129" s="53"/>
      <c r="E129" s="53"/>
      <c r="F129" s="53"/>
      <c r="G129" s="53"/>
      <c r="H129" s="53"/>
      <c r="I129" s="53"/>
      <c r="J129" s="107"/>
      <c r="K129" s="107"/>
      <c r="L129" s="107"/>
      <c r="M129" s="107"/>
      <c r="N129" s="107"/>
      <c r="O129" s="107"/>
      <c r="P129" s="107"/>
      <c r="Q129" s="107"/>
      <c r="R129" s="107"/>
      <c r="S129" s="107"/>
      <c r="T129" s="107"/>
      <c r="U129" s="107"/>
      <c r="V129" s="107"/>
      <c r="W129" s="107"/>
      <c r="X129" s="107"/>
      <c r="Y129" s="107"/>
      <c r="Z129" s="107"/>
      <c r="AA129" s="107"/>
      <c r="AB129" s="107"/>
      <c r="AC129" s="107"/>
      <c r="AD129" s="107"/>
      <c r="AE129" s="107"/>
      <c r="AF129" s="107"/>
      <c r="AG129" s="107"/>
      <c r="AH129" s="107">
        <f t="shared" si="22"/>
        <v>0</v>
      </c>
    </row>
    <row r="130" spans="1:34">
      <c r="A130" s="375" t="s">
        <v>150</v>
      </c>
      <c r="B130" s="53">
        <f t="shared" si="21"/>
        <v>0</v>
      </c>
      <c r="C130" s="100"/>
      <c r="D130" s="107"/>
      <c r="E130" s="107"/>
      <c r="F130" s="107"/>
      <c r="G130" s="107"/>
      <c r="H130" s="107"/>
      <c r="I130" s="107"/>
      <c r="J130" s="107"/>
      <c r="K130" s="107"/>
      <c r="L130" s="107"/>
      <c r="M130" s="107"/>
      <c r="N130" s="107"/>
      <c r="O130" s="107"/>
      <c r="P130" s="107"/>
      <c r="Q130" s="107"/>
      <c r="R130" s="107"/>
      <c r="S130" s="107"/>
      <c r="T130" s="107"/>
      <c r="U130" s="107"/>
      <c r="V130" s="107"/>
      <c r="W130" s="107"/>
      <c r="X130" s="107"/>
      <c r="Y130" s="107"/>
      <c r="Z130" s="107"/>
      <c r="AA130" s="107"/>
      <c r="AB130" s="107"/>
      <c r="AC130" s="107"/>
      <c r="AD130" s="107"/>
      <c r="AE130" s="107"/>
      <c r="AF130" s="107"/>
      <c r="AG130" s="107"/>
      <c r="AH130" s="107">
        <f t="shared" si="22"/>
        <v>0</v>
      </c>
    </row>
    <row r="131" spans="1:34">
      <c r="A131" s="375" t="s">
        <v>151</v>
      </c>
      <c r="B131" s="53">
        <f t="shared" si="21"/>
        <v>0</v>
      </c>
      <c r="C131" s="103"/>
      <c r="D131" s="107"/>
      <c r="E131" s="107"/>
      <c r="F131" s="107"/>
      <c r="G131" s="53"/>
      <c r="H131" s="53"/>
      <c r="I131" s="53"/>
      <c r="J131" s="111"/>
      <c r="K131" s="111"/>
      <c r="L131" s="107"/>
      <c r="M131" s="107"/>
      <c r="N131" s="107"/>
      <c r="O131" s="107"/>
      <c r="P131" s="107"/>
      <c r="Q131" s="107"/>
      <c r="R131" s="107"/>
      <c r="S131" s="107"/>
      <c r="T131" s="107"/>
      <c r="U131" s="107"/>
      <c r="V131" s="107"/>
      <c r="W131" s="107"/>
      <c r="X131" s="107"/>
      <c r="Y131" s="107"/>
      <c r="Z131" s="107"/>
      <c r="AA131" s="107"/>
      <c r="AB131" s="107"/>
      <c r="AC131" s="107"/>
      <c r="AD131" s="107"/>
      <c r="AE131" s="107"/>
      <c r="AF131" s="107"/>
      <c r="AG131" s="107"/>
      <c r="AH131" s="107">
        <f t="shared" si="22"/>
        <v>0</v>
      </c>
    </row>
    <row r="132" spans="1:34">
      <c r="A132" s="375" t="s">
        <v>152</v>
      </c>
      <c r="B132" s="53">
        <f t="shared" si="21"/>
        <v>0</v>
      </c>
      <c r="C132" s="103"/>
      <c r="D132" s="53"/>
      <c r="E132" s="53"/>
      <c r="F132" s="53"/>
      <c r="G132" s="53"/>
      <c r="H132" s="53"/>
      <c r="I132" s="53"/>
      <c r="J132" s="111"/>
      <c r="K132" s="111"/>
      <c r="L132" s="107"/>
      <c r="M132" s="107"/>
      <c r="N132" s="107"/>
      <c r="O132" s="107"/>
      <c r="P132" s="107"/>
      <c r="Q132" s="107"/>
      <c r="R132" s="107"/>
      <c r="S132" s="107"/>
      <c r="T132" s="107"/>
      <c r="U132" s="107"/>
      <c r="V132" s="107"/>
      <c r="W132" s="107"/>
      <c r="X132" s="107"/>
      <c r="Y132" s="107"/>
      <c r="Z132" s="107"/>
      <c r="AA132" s="107"/>
      <c r="AB132" s="107"/>
      <c r="AC132" s="107"/>
      <c r="AD132" s="107"/>
      <c r="AE132" s="107"/>
      <c r="AF132" s="107"/>
      <c r="AG132" s="107"/>
      <c r="AH132" s="107">
        <f t="shared" si="22"/>
        <v>0</v>
      </c>
    </row>
    <row r="133" spans="1:34">
      <c r="A133" s="375" t="s">
        <v>153</v>
      </c>
      <c r="B133" s="53">
        <f t="shared" si="21"/>
        <v>0</v>
      </c>
      <c r="C133" s="100"/>
      <c r="D133" s="107"/>
      <c r="E133" s="107"/>
      <c r="F133" s="107"/>
      <c r="G133" s="107"/>
      <c r="H133" s="107"/>
      <c r="I133" s="107"/>
      <c r="J133" s="111"/>
      <c r="K133" s="111"/>
      <c r="L133" s="53"/>
      <c r="M133" s="53"/>
      <c r="N133" s="53"/>
      <c r="O133" s="53"/>
      <c r="P133" s="53"/>
      <c r="Q133" s="53"/>
      <c r="R133" s="53"/>
      <c r="S133" s="53"/>
      <c r="T133" s="53"/>
      <c r="U133" s="53"/>
      <c r="V133" s="53"/>
      <c r="W133" s="53"/>
      <c r="X133" s="53"/>
      <c r="Y133" s="53"/>
      <c r="Z133" s="53"/>
      <c r="AA133" s="53"/>
      <c r="AB133" s="53"/>
      <c r="AC133" s="53"/>
      <c r="AD133" s="53"/>
      <c r="AE133" s="53"/>
      <c r="AF133" s="53"/>
      <c r="AG133" s="53"/>
      <c r="AH133" s="107">
        <f t="shared" si="22"/>
        <v>0</v>
      </c>
    </row>
    <row r="134" spans="1:34">
      <c r="A134" s="363" t="s">
        <v>154</v>
      </c>
      <c r="B134" s="53">
        <f t="shared" si="21"/>
        <v>0</v>
      </c>
      <c r="C134" s="103"/>
      <c r="D134" s="107"/>
      <c r="E134" s="107"/>
      <c r="F134" s="107"/>
      <c r="G134" s="53"/>
      <c r="H134" s="53"/>
      <c r="I134" s="53"/>
      <c r="J134" s="53"/>
      <c r="K134" s="53"/>
      <c r="L134" s="53"/>
      <c r="M134" s="53"/>
      <c r="N134" s="53"/>
      <c r="O134" s="107"/>
      <c r="P134" s="53"/>
      <c r="Q134" s="53"/>
      <c r="R134" s="53"/>
      <c r="S134" s="53"/>
      <c r="T134" s="53"/>
      <c r="U134" s="53"/>
      <c r="V134" s="53"/>
      <c r="W134" s="53"/>
      <c r="X134" s="53"/>
      <c r="Y134" s="53"/>
      <c r="Z134" s="53"/>
      <c r="AA134" s="53"/>
      <c r="AB134" s="53"/>
      <c r="AC134" s="53"/>
      <c r="AD134" s="53"/>
      <c r="AE134" s="107"/>
      <c r="AF134" s="53"/>
      <c r="AG134" s="107"/>
      <c r="AH134" s="107">
        <f t="shared" si="22"/>
        <v>0</v>
      </c>
    </row>
    <row r="135" spans="1:34">
      <c r="A135" s="363" t="s">
        <v>155</v>
      </c>
      <c r="B135" s="53">
        <f t="shared" si="21"/>
        <v>0</v>
      </c>
      <c r="C135" s="103"/>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107"/>
      <c r="AF135" s="53"/>
      <c r="AG135" s="107"/>
      <c r="AH135" s="107">
        <f t="shared" si="22"/>
        <v>0</v>
      </c>
    </row>
    <row r="136" spans="1:34">
      <c r="A136" s="363" t="s">
        <v>156</v>
      </c>
      <c r="B136" s="53">
        <f t="shared" si="21"/>
        <v>0</v>
      </c>
      <c r="C136" s="103"/>
      <c r="D136" s="53"/>
      <c r="E136" s="53"/>
      <c r="F136" s="53"/>
      <c r="G136" s="53"/>
      <c r="H136" s="53"/>
      <c r="I136" s="53"/>
      <c r="J136" s="53"/>
      <c r="K136" s="53"/>
      <c r="L136" s="53"/>
      <c r="M136" s="53"/>
      <c r="N136" s="53"/>
      <c r="O136" s="53"/>
      <c r="P136" s="53"/>
      <c r="Q136" s="53"/>
      <c r="R136" s="53"/>
      <c r="S136" s="53"/>
      <c r="T136" s="53"/>
      <c r="U136" s="53"/>
      <c r="V136" s="53"/>
      <c r="W136" s="53"/>
      <c r="X136" s="53"/>
      <c r="Y136" s="53"/>
      <c r="Z136" s="53"/>
      <c r="AA136" s="53"/>
      <c r="AB136" s="53"/>
      <c r="AC136" s="53"/>
      <c r="AD136" s="53"/>
      <c r="AE136" s="107"/>
      <c r="AF136" s="53"/>
      <c r="AG136" s="107"/>
      <c r="AH136" s="107">
        <f t="shared" si="22"/>
        <v>0</v>
      </c>
    </row>
    <row r="137" spans="1:34">
      <c r="A137" s="199" t="s">
        <v>144</v>
      </c>
      <c r="B137" s="200">
        <f>SUM(B125:B136)</f>
        <v>0</v>
      </c>
      <c r="C137" s="100">
        <f>SUM(C125:C135)</f>
        <v>0</v>
      </c>
      <c r="D137" s="107">
        <f>SUM(D125:D135)</f>
        <v>0</v>
      </c>
      <c r="E137" s="107">
        <v>0</v>
      </c>
      <c r="F137" s="107">
        <f t="shared" ref="F137:AC137" si="23">SUM(F125:F135)</f>
        <v>0</v>
      </c>
      <c r="G137" s="107">
        <f t="shared" si="23"/>
        <v>0</v>
      </c>
      <c r="H137" s="107">
        <f t="shared" si="23"/>
        <v>0</v>
      </c>
      <c r="I137" s="107">
        <f t="shared" si="23"/>
        <v>0</v>
      </c>
      <c r="J137" s="107">
        <f t="shared" si="23"/>
        <v>0</v>
      </c>
      <c r="K137" s="107">
        <f t="shared" si="23"/>
        <v>0</v>
      </c>
      <c r="L137" s="107">
        <f t="shared" si="23"/>
        <v>0</v>
      </c>
      <c r="M137" s="107">
        <f t="shared" si="23"/>
        <v>0</v>
      </c>
      <c r="N137" s="107">
        <f t="shared" si="23"/>
        <v>0</v>
      </c>
      <c r="O137" s="107">
        <f t="shared" si="23"/>
        <v>0</v>
      </c>
      <c r="P137" s="107">
        <f t="shared" si="23"/>
        <v>0</v>
      </c>
      <c r="Q137" s="107">
        <f t="shared" si="23"/>
        <v>0</v>
      </c>
      <c r="R137" s="107">
        <f t="shared" si="23"/>
        <v>0</v>
      </c>
      <c r="S137" s="107">
        <f t="shared" si="23"/>
        <v>0</v>
      </c>
      <c r="T137" s="107">
        <f t="shared" si="23"/>
        <v>0</v>
      </c>
      <c r="U137" s="107">
        <f t="shared" si="23"/>
        <v>0</v>
      </c>
      <c r="V137" s="107">
        <f t="shared" si="23"/>
        <v>0</v>
      </c>
      <c r="W137" s="107">
        <f t="shared" si="23"/>
        <v>0</v>
      </c>
      <c r="X137" s="107">
        <f t="shared" si="23"/>
        <v>0</v>
      </c>
      <c r="Y137" s="107">
        <f t="shared" si="23"/>
        <v>0</v>
      </c>
      <c r="Z137" s="107">
        <f t="shared" si="23"/>
        <v>0</v>
      </c>
      <c r="AA137" s="107">
        <f t="shared" si="23"/>
        <v>0</v>
      </c>
      <c r="AB137" s="107">
        <f t="shared" si="23"/>
        <v>0</v>
      </c>
      <c r="AC137" s="107">
        <f t="shared" si="23"/>
        <v>0</v>
      </c>
      <c r="AD137" s="107">
        <v>0</v>
      </c>
      <c r="AE137" s="107">
        <f>SUM(AE125:AE135)</f>
        <v>0</v>
      </c>
      <c r="AF137" s="107">
        <f>SUM(AF125:AF135)</f>
        <v>0</v>
      </c>
      <c r="AG137" s="107">
        <f>SUM(AG125:AG135)</f>
        <v>0</v>
      </c>
      <c r="AH137" s="100">
        <f>SUM(AH125:AH135)</f>
        <v>0</v>
      </c>
    </row>
    <row r="138" spans="1:34" ht="5.0999999999999996" customHeight="1">
      <c r="A138" s="104"/>
      <c r="B138" s="105"/>
      <c r="C138" s="1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c r="AA138" s="106"/>
      <c r="AB138" s="106"/>
      <c r="AC138" s="106"/>
      <c r="AD138" s="106"/>
      <c r="AE138" s="106"/>
      <c r="AF138" s="106"/>
      <c r="AG138" s="106"/>
      <c r="AH138" s="16"/>
    </row>
    <row r="139" spans="1:34">
      <c r="A139" s="3854" t="s">
        <v>288</v>
      </c>
      <c r="B139" s="3855"/>
      <c r="C139" s="3855"/>
      <c r="D139" s="3855"/>
      <c r="E139" s="3855"/>
      <c r="F139" s="3855"/>
      <c r="G139" s="3855"/>
      <c r="H139" s="3856"/>
      <c r="I139" s="96"/>
      <c r="J139" s="96"/>
      <c r="K139" s="96"/>
      <c r="L139" s="96"/>
      <c r="M139" s="96"/>
      <c r="N139" s="96"/>
      <c r="O139" s="96"/>
      <c r="P139" s="96"/>
      <c r="Q139" s="96"/>
      <c r="R139" s="96"/>
      <c r="S139" s="14"/>
      <c r="T139" s="14"/>
      <c r="U139" s="14"/>
      <c r="V139" s="14"/>
      <c r="W139" s="14"/>
      <c r="X139" s="14"/>
      <c r="Y139" s="14"/>
      <c r="Z139" s="14"/>
      <c r="AA139" s="14"/>
      <c r="AB139" s="14"/>
      <c r="AC139" s="14"/>
      <c r="AD139" s="14"/>
      <c r="AE139" s="14"/>
      <c r="AF139" s="14"/>
      <c r="AG139" s="14"/>
      <c r="AH139" s="14"/>
    </row>
    <row r="140" spans="1:34">
      <c r="A140" s="8" t="s">
        <v>142</v>
      </c>
      <c r="B140" s="8" t="s">
        <v>143</v>
      </c>
      <c r="C140" s="314">
        <v>1</v>
      </c>
      <c r="D140" s="73">
        <v>2</v>
      </c>
      <c r="E140" s="73">
        <v>3</v>
      </c>
      <c r="F140" s="73">
        <v>4</v>
      </c>
      <c r="G140" s="73">
        <v>5</v>
      </c>
      <c r="H140" s="73">
        <v>6</v>
      </c>
      <c r="I140" s="73">
        <v>7</v>
      </c>
      <c r="J140" s="73">
        <v>8</v>
      </c>
      <c r="K140" s="73">
        <v>9</v>
      </c>
      <c r="L140" s="73">
        <v>10</v>
      </c>
      <c r="M140" s="73">
        <v>11</v>
      </c>
      <c r="N140" s="73">
        <v>12</v>
      </c>
      <c r="O140" s="73">
        <v>13</v>
      </c>
      <c r="P140" s="73">
        <v>14</v>
      </c>
      <c r="Q140" s="73">
        <v>15</v>
      </c>
      <c r="R140" s="73">
        <v>16</v>
      </c>
      <c r="S140" s="73">
        <v>17</v>
      </c>
      <c r="T140" s="73">
        <v>18</v>
      </c>
      <c r="U140" s="73">
        <v>19</v>
      </c>
      <c r="V140" s="73">
        <v>20</v>
      </c>
      <c r="W140" s="73">
        <v>21</v>
      </c>
      <c r="X140" s="73">
        <v>22</v>
      </c>
      <c r="Y140" s="73">
        <v>23</v>
      </c>
      <c r="Z140" s="73">
        <v>24</v>
      </c>
      <c r="AA140" s="73">
        <v>25</v>
      </c>
      <c r="AB140" s="73">
        <v>26</v>
      </c>
      <c r="AC140" s="73">
        <v>27</v>
      </c>
      <c r="AD140" s="73">
        <v>28</v>
      </c>
      <c r="AE140" s="73">
        <v>29</v>
      </c>
      <c r="AF140" s="73">
        <v>30</v>
      </c>
      <c r="AG140" s="73">
        <v>31</v>
      </c>
      <c r="AH140" s="88" t="s">
        <v>144</v>
      </c>
    </row>
    <row r="141" spans="1:34">
      <c r="A141" s="375" t="s">
        <v>145</v>
      </c>
      <c r="B141" s="53">
        <f t="shared" ref="B141:B152" si="24">+AH141</f>
        <v>0</v>
      </c>
      <c r="C141" s="103"/>
      <c r="D141" s="107"/>
      <c r="E141" s="107"/>
      <c r="F141" s="107"/>
      <c r="G141" s="53"/>
      <c r="H141" s="53"/>
      <c r="I141" s="53"/>
      <c r="J141" s="53"/>
      <c r="K141" s="53"/>
      <c r="L141" s="53"/>
      <c r="M141" s="53"/>
      <c r="N141" s="53"/>
      <c r="O141" s="53"/>
      <c r="P141" s="53"/>
      <c r="Q141" s="107"/>
      <c r="R141" s="53"/>
      <c r="S141" s="53"/>
      <c r="T141" s="53"/>
      <c r="U141" s="53"/>
      <c r="V141" s="107"/>
      <c r="W141" s="107"/>
      <c r="X141" s="53"/>
      <c r="Y141" s="53"/>
      <c r="Z141" s="53"/>
      <c r="AA141" s="53"/>
      <c r="AB141" s="53"/>
      <c r="AC141" s="53"/>
      <c r="AD141" s="107"/>
      <c r="AE141" s="53"/>
      <c r="AF141" s="53"/>
      <c r="AG141" s="53"/>
      <c r="AH141" s="107">
        <f>SUM(C141:AG141)</f>
        <v>0</v>
      </c>
    </row>
    <row r="142" spans="1:34">
      <c r="A142" s="375" t="s">
        <v>146</v>
      </c>
      <c r="B142" s="53">
        <f t="shared" si="24"/>
        <v>0</v>
      </c>
      <c r="C142" s="103"/>
      <c r="D142" s="53"/>
      <c r="E142" s="53"/>
      <c r="F142" s="53"/>
      <c r="G142" s="53"/>
      <c r="H142" s="53"/>
      <c r="I142" s="53"/>
      <c r="J142" s="53"/>
      <c r="K142" s="53"/>
      <c r="L142" s="53"/>
      <c r="M142" s="53"/>
      <c r="N142" s="53"/>
      <c r="O142" s="53"/>
      <c r="P142" s="53"/>
      <c r="Q142" s="53"/>
      <c r="R142" s="53"/>
      <c r="S142" s="53"/>
      <c r="T142" s="53"/>
      <c r="U142" s="53"/>
      <c r="V142" s="53"/>
      <c r="W142" s="53"/>
      <c r="X142" s="53"/>
      <c r="Y142" s="53"/>
      <c r="Z142" s="53"/>
      <c r="AA142" s="53"/>
      <c r="AB142" s="53"/>
      <c r="AC142" s="53"/>
      <c r="AD142" s="53"/>
      <c r="AE142" s="53"/>
      <c r="AF142" s="53"/>
      <c r="AG142" s="53"/>
      <c r="AH142" s="107">
        <f>SUM(C142:AG142)</f>
        <v>0</v>
      </c>
    </row>
    <row r="143" spans="1:34">
      <c r="A143" s="375" t="s">
        <v>147</v>
      </c>
      <c r="B143" s="53">
        <f t="shared" si="24"/>
        <v>0</v>
      </c>
      <c r="C143" s="100"/>
      <c r="D143" s="107"/>
      <c r="E143" s="107"/>
      <c r="F143" s="107"/>
      <c r="G143" s="107"/>
      <c r="H143" s="107"/>
      <c r="I143" s="107"/>
      <c r="J143" s="107"/>
      <c r="K143" s="107"/>
      <c r="L143" s="107"/>
      <c r="M143" s="107"/>
      <c r="N143" s="107"/>
      <c r="O143" s="107"/>
      <c r="P143" s="107"/>
      <c r="Q143" s="107"/>
      <c r="R143" s="107"/>
      <c r="S143" s="107"/>
      <c r="T143" s="107"/>
      <c r="U143" s="107"/>
      <c r="V143" s="107"/>
      <c r="W143" s="107"/>
      <c r="X143" s="107"/>
      <c r="Y143" s="107"/>
      <c r="Z143" s="107"/>
      <c r="AA143" s="107"/>
      <c r="AB143" s="107"/>
      <c r="AC143" s="107"/>
      <c r="AD143" s="107"/>
      <c r="AE143" s="107"/>
      <c r="AF143" s="107"/>
      <c r="AG143" s="107"/>
      <c r="AH143" s="107">
        <f>SUM(C143:AG143)</f>
        <v>0</v>
      </c>
    </row>
    <row r="144" spans="1:34">
      <c r="A144" s="375" t="s">
        <v>148</v>
      </c>
      <c r="B144" s="53">
        <f t="shared" si="24"/>
        <v>0</v>
      </c>
      <c r="C144" s="103"/>
      <c r="D144" s="107"/>
      <c r="E144" s="107"/>
      <c r="F144" s="107"/>
      <c r="G144" s="53"/>
      <c r="H144" s="53"/>
      <c r="I144" s="53"/>
      <c r="J144" s="107"/>
      <c r="K144" s="107"/>
      <c r="L144" s="107"/>
      <c r="M144" s="107"/>
      <c r="N144" s="107"/>
      <c r="O144" s="107"/>
      <c r="P144" s="107"/>
      <c r="Q144" s="107"/>
      <c r="R144" s="107"/>
      <c r="S144" s="107"/>
      <c r="T144" s="107"/>
      <c r="U144" s="107"/>
      <c r="V144" s="107"/>
      <c r="W144" s="107"/>
      <c r="X144" s="107"/>
      <c r="Y144" s="107"/>
      <c r="Z144" s="107"/>
      <c r="AA144" s="107"/>
      <c r="AB144" s="107"/>
      <c r="AC144" s="107"/>
      <c r="AD144" s="107"/>
      <c r="AE144" s="107"/>
      <c r="AF144" s="107"/>
      <c r="AG144" s="107"/>
      <c r="AH144" s="107">
        <f t="shared" ref="AH144:AH152" si="25">SUM(C144:AG144)</f>
        <v>0</v>
      </c>
    </row>
    <row r="145" spans="1:34">
      <c r="A145" s="375" t="s">
        <v>149</v>
      </c>
      <c r="B145" s="53">
        <f t="shared" si="24"/>
        <v>0</v>
      </c>
      <c r="C145" s="103"/>
      <c r="D145" s="53"/>
      <c r="E145" s="53"/>
      <c r="F145" s="53"/>
      <c r="G145" s="53"/>
      <c r="H145" s="53"/>
      <c r="I145" s="53"/>
      <c r="J145" s="107"/>
      <c r="K145" s="107"/>
      <c r="L145" s="107"/>
      <c r="M145" s="107"/>
      <c r="N145" s="107"/>
      <c r="O145" s="107"/>
      <c r="P145" s="107"/>
      <c r="Q145" s="107"/>
      <c r="R145" s="107"/>
      <c r="S145" s="107"/>
      <c r="T145" s="107"/>
      <c r="U145" s="107"/>
      <c r="V145" s="107"/>
      <c r="W145" s="107"/>
      <c r="X145" s="107"/>
      <c r="Y145" s="107"/>
      <c r="Z145" s="107"/>
      <c r="AA145" s="107"/>
      <c r="AB145" s="107"/>
      <c r="AC145" s="107"/>
      <c r="AD145" s="107"/>
      <c r="AE145" s="107"/>
      <c r="AF145" s="107"/>
      <c r="AG145" s="107"/>
      <c r="AH145" s="107">
        <f t="shared" si="25"/>
        <v>0</v>
      </c>
    </row>
    <row r="146" spans="1:34">
      <c r="A146" s="375" t="s">
        <v>150</v>
      </c>
      <c r="B146" s="53">
        <f t="shared" si="24"/>
        <v>0</v>
      </c>
      <c r="C146" s="100"/>
      <c r="D146" s="107"/>
      <c r="E146" s="107"/>
      <c r="F146" s="107"/>
      <c r="G146" s="107"/>
      <c r="H146" s="107"/>
      <c r="I146" s="107"/>
      <c r="J146" s="107"/>
      <c r="K146" s="107"/>
      <c r="L146" s="107"/>
      <c r="M146" s="107"/>
      <c r="N146" s="107"/>
      <c r="O146" s="107"/>
      <c r="P146" s="107"/>
      <c r="Q146" s="107"/>
      <c r="R146" s="107"/>
      <c r="S146" s="107"/>
      <c r="T146" s="107"/>
      <c r="U146" s="107"/>
      <c r="V146" s="107"/>
      <c r="W146" s="107"/>
      <c r="X146" s="107"/>
      <c r="Y146" s="107"/>
      <c r="Z146" s="107"/>
      <c r="AA146" s="107"/>
      <c r="AB146" s="107"/>
      <c r="AC146" s="107"/>
      <c r="AD146" s="107"/>
      <c r="AE146" s="107"/>
      <c r="AF146" s="107"/>
      <c r="AG146" s="107"/>
      <c r="AH146" s="107">
        <f t="shared" si="25"/>
        <v>0</v>
      </c>
    </row>
    <row r="147" spans="1:34">
      <c r="A147" s="375" t="s">
        <v>151</v>
      </c>
      <c r="B147" s="53">
        <f t="shared" si="24"/>
        <v>0</v>
      </c>
      <c r="C147" s="103"/>
      <c r="D147" s="107"/>
      <c r="E147" s="107"/>
      <c r="F147" s="107"/>
      <c r="G147" s="53"/>
      <c r="H147" s="53"/>
      <c r="I147" s="53"/>
      <c r="J147" s="111"/>
      <c r="K147" s="111"/>
      <c r="L147" s="107"/>
      <c r="M147" s="107"/>
      <c r="N147" s="107"/>
      <c r="O147" s="107"/>
      <c r="P147" s="107"/>
      <c r="Q147" s="107"/>
      <c r="R147" s="107"/>
      <c r="S147" s="107"/>
      <c r="T147" s="107"/>
      <c r="U147" s="107"/>
      <c r="V147" s="107"/>
      <c r="W147" s="107"/>
      <c r="X147" s="107"/>
      <c r="Y147" s="107"/>
      <c r="Z147" s="107"/>
      <c r="AA147" s="107"/>
      <c r="AB147" s="107"/>
      <c r="AC147" s="107"/>
      <c r="AD147" s="107"/>
      <c r="AE147" s="107"/>
      <c r="AF147" s="107"/>
      <c r="AG147" s="107"/>
      <c r="AH147" s="107">
        <f t="shared" si="25"/>
        <v>0</v>
      </c>
    </row>
    <row r="148" spans="1:34">
      <c r="A148" s="375" t="s">
        <v>152</v>
      </c>
      <c r="B148" s="53">
        <f t="shared" si="24"/>
        <v>0</v>
      </c>
      <c r="C148" s="103"/>
      <c r="D148" s="53"/>
      <c r="E148" s="53"/>
      <c r="F148" s="53"/>
      <c r="G148" s="53"/>
      <c r="H148" s="53"/>
      <c r="I148" s="53"/>
      <c r="J148" s="111"/>
      <c r="K148" s="111"/>
      <c r="L148" s="107"/>
      <c r="M148" s="107"/>
      <c r="N148" s="107"/>
      <c r="O148" s="107"/>
      <c r="P148" s="107"/>
      <c r="Q148" s="107"/>
      <c r="R148" s="107"/>
      <c r="S148" s="107"/>
      <c r="T148" s="107"/>
      <c r="U148" s="107"/>
      <c r="V148" s="107"/>
      <c r="W148" s="107"/>
      <c r="X148" s="107"/>
      <c r="Y148" s="107"/>
      <c r="Z148" s="107"/>
      <c r="AA148" s="107"/>
      <c r="AB148" s="107"/>
      <c r="AC148" s="107"/>
      <c r="AD148" s="107"/>
      <c r="AE148" s="107"/>
      <c r="AF148" s="107"/>
      <c r="AG148" s="107"/>
      <c r="AH148" s="107">
        <f t="shared" si="25"/>
        <v>0</v>
      </c>
    </row>
    <row r="149" spans="1:34">
      <c r="A149" s="375" t="s">
        <v>153</v>
      </c>
      <c r="B149" s="53">
        <f t="shared" si="24"/>
        <v>0</v>
      </c>
      <c r="C149" s="100"/>
      <c r="D149" s="107"/>
      <c r="E149" s="107"/>
      <c r="F149" s="107"/>
      <c r="G149" s="107"/>
      <c r="H149" s="107"/>
      <c r="I149" s="107"/>
      <c r="J149" s="111"/>
      <c r="K149" s="111"/>
      <c r="L149" s="53"/>
      <c r="M149" s="53"/>
      <c r="N149" s="53"/>
      <c r="O149" s="53"/>
      <c r="P149" s="53"/>
      <c r="Q149" s="53"/>
      <c r="R149" s="53"/>
      <c r="S149" s="53"/>
      <c r="T149" s="53"/>
      <c r="U149" s="53"/>
      <c r="V149" s="53"/>
      <c r="W149" s="53"/>
      <c r="X149" s="53"/>
      <c r="Y149" s="53"/>
      <c r="Z149" s="53"/>
      <c r="AA149" s="53"/>
      <c r="AB149" s="53"/>
      <c r="AC149" s="53"/>
      <c r="AD149" s="53"/>
      <c r="AE149" s="53"/>
      <c r="AF149" s="53"/>
      <c r="AG149" s="53"/>
      <c r="AH149" s="107">
        <f t="shared" si="25"/>
        <v>0</v>
      </c>
    </row>
    <row r="150" spans="1:34">
      <c r="A150" s="363" t="s">
        <v>154</v>
      </c>
      <c r="B150" s="53">
        <f t="shared" si="24"/>
        <v>0</v>
      </c>
      <c r="C150" s="103"/>
      <c r="D150" s="107"/>
      <c r="E150" s="107"/>
      <c r="F150" s="107"/>
      <c r="G150" s="53"/>
      <c r="H150" s="53"/>
      <c r="I150" s="53"/>
      <c r="J150" s="53"/>
      <c r="K150" s="53"/>
      <c r="L150" s="53"/>
      <c r="M150" s="53"/>
      <c r="N150" s="53"/>
      <c r="O150" s="107"/>
      <c r="P150" s="53"/>
      <c r="Q150" s="53"/>
      <c r="R150" s="53"/>
      <c r="S150" s="53"/>
      <c r="T150" s="53"/>
      <c r="U150" s="53"/>
      <c r="V150" s="53"/>
      <c r="W150" s="53"/>
      <c r="X150" s="53"/>
      <c r="Y150" s="53"/>
      <c r="Z150" s="53"/>
      <c r="AA150" s="53"/>
      <c r="AB150" s="53"/>
      <c r="AC150" s="53"/>
      <c r="AD150" s="53"/>
      <c r="AE150" s="107"/>
      <c r="AF150" s="53"/>
      <c r="AG150" s="107"/>
      <c r="AH150" s="107">
        <f t="shared" si="25"/>
        <v>0</v>
      </c>
    </row>
    <row r="151" spans="1:34">
      <c r="A151" s="363" t="s">
        <v>155</v>
      </c>
      <c r="B151" s="53">
        <f t="shared" si="24"/>
        <v>0</v>
      </c>
      <c r="C151" s="103"/>
      <c r="D151" s="53"/>
      <c r="E151" s="53"/>
      <c r="F151" s="53"/>
      <c r="G151" s="53"/>
      <c r="H151" s="53"/>
      <c r="I151" s="53"/>
      <c r="J151" s="53"/>
      <c r="K151" s="53"/>
      <c r="L151" s="53"/>
      <c r="M151" s="53"/>
      <c r="N151" s="53"/>
      <c r="O151" s="53"/>
      <c r="P151" s="53"/>
      <c r="Q151" s="53"/>
      <c r="R151" s="53"/>
      <c r="S151" s="53"/>
      <c r="T151" s="53"/>
      <c r="U151" s="53"/>
      <c r="V151" s="53"/>
      <c r="W151" s="53"/>
      <c r="X151" s="53"/>
      <c r="Y151" s="53"/>
      <c r="Z151" s="53"/>
      <c r="AA151" s="53"/>
      <c r="AB151" s="53"/>
      <c r="AC151" s="53"/>
      <c r="AD151" s="53"/>
      <c r="AE151" s="107"/>
      <c r="AF151" s="53"/>
      <c r="AG151" s="107"/>
      <c r="AH151" s="107">
        <f t="shared" si="25"/>
        <v>0</v>
      </c>
    </row>
    <row r="152" spans="1:34">
      <c r="A152" s="363" t="s">
        <v>156</v>
      </c>
      <c r="B152" s="53">
        <f t="shared" si="24"/>
        <v>0</v>
      </c>
      <c r="C152" s="103"/>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c r="AB152" s="53"/>
      <c r="AC152" s="53"/>
      <c r="AD152" s="53"/>
      <c r="AE152" s="107"/>
      <c r="AF152" s="53"/>
      <c r="AG152" s="107"/>
      <c r="AH152" s="107">
        <f t="shared" si="25"/>
        <v>0</v>
      </c>
    </row>
    <row r="153" spans="1:34">
      <c r="A153" s="199" t="s">
        <v>144</v>
      </c>
      <c r="B153" s="200">
        <f>SUM(B141:B152)</f>
        <v>0</v>
      </c>
      <c r="C153" s="100">
        <f>SUM(C141:C151)</f>
        <v>0</v>
      </c>
      <c r="D153" s="107">
        <f>SUM(D141:D151)</f>
        <v>0</v>
      </c>
      <c r="E153" s="107">
        <v>0</v>
      </c>
      <c r="F153" s="107">
        <f t="shared" ref="F153:AC153" si="26">SUM(F141:F151)</f>
        <v>0</v>
      </c>
      <c r="G153" s="107">
        <f t="shared" si="26"/>
        <v>0</v>
      </c>
      <c r="H153" s="107">
        <f t="shared" si="26"/>
        <v>0</v>
      </c>
      <c r="I153" s="107">
        <f t="shared" si="26"/>
        <v>0</v>
      </c>
      <c r="J153" s="107">
        <f t="shared" si="26"/>
        <v>0</v>
      </c>
      <c r="K153" s="107">
        <f t="shared" si="26"/>
        <v>0</v>
      </c>
      <c r="L153" s="107">
        <f t="shared" si="26"/>
        <v>0</v>
      </c>
      <c r="M153" s="107">
        <f t="shared" si="26"/>
        <v>0</v>
      </c>
      <c r="N153" s="107">
        <f t="shared" si="26"/>
        <v>0</v>
      </c>
      <c r="O153" s="107">
        <f t="shared" si="26"/>
        <v>0</v>
      </c>
      <c r="P153" s="107">
        <f t="shared" si="26"/>
        <v>0</v>
      </c>
      <c r="Q153" s="107">
        <f t="shared" si="26"/>
        <v>0</v>
      </c>
      <c r="R153" s="107">
        <f t="shared" si="26"/>
        <v>0</v>
      </c>
      <c r="S153" s="107">
        <f t="shared" si="26"/>
        <v>0</v>
      </c>
      <c r="T153" s="107">
        <f t="shared" si="26"/>
        <v>0</v>
      </c>
      <c r="U153" s="107">
        <f t="shared" si="26"/>
        <v>0</v>
      </c>
      <c r="V153" s="107">
        <f t="shared" si="26"/>
        <v>0</v>
      </c>
      <c r="W153" s="107">
        <f t="shared" si="26"/>
        <v>0</v>
      </c>
      <c r="X153" s="107">
        <f t="shared" si="26"/>
        <v>0</v>
      </c>
      <c r="Y153" s="107">
        <f t="shared" si="26"/>
        <v>0</v>
      </c>
      <c r="Z153" s="107">
        <f t="shared" si="26"/>
        <v>0</v>
      </c>
      <c r="AA153" s="107">
        <f t="shared" si="26"/>
        <v>0</v>
      </c>
      <c r="AB153" s="107">
        <f t="shared" si="26"/>
        <v>0</v>
      </c>
      <c r="AC153" s="107">
        <f t="shared" si="26"/>
        <v>0</v>
      </c>
      <c r="AD153" s="107">
        <v>0</v>
      </c>
      <c r="AE153" s="107">
        <f>SUM(AE141:AE151)</f>
        <v>0</v>
      </c>
      <c r="AF153" s="107">
        <f>SUM(AF141:AF151)</f>
        <v>0</v>
      </c>
      <c r="AG153" s="107">
        <f>SUM(AG141:AG151)</f>
        <v>0</v>
      </c>
      <c r="AH153" s="100">
        <f>SUM(AH141:AH151)</f>
        <v>0</v>
      </c>
    </row>
    <row r="154" spans="1:34" ht="5.0999999999999996" customHeight="1">
      <c r="A154" s="104"/>
      <c r="B154" s="105"/>
      <c r="C154" s="1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c r="AB154" s="106"/>
      <c r="AC154" s="106"/>
      <c r="AD154" s="106"/>
      <c r="AE154" s="106"/>
      <c r="AF154" s="106"/>
      <c r="AG154" s="106"/>
      <c r="AH154" s="16"/>
    </row>
    <row r="155" spans="1:34">
      <c r="A155" s="3854" t="s">
        <v>118</v>
      </c>
      <c r="B155" s="3855"/>
      <c r="C155" s="3855"/>
      <c r="D155" s="3855"/>
      <c r="E155" s="3855"/>
      <c r="F155" s="3855"/>
      <c r="G155" s="3855"/>
      <c r="H155" s="3856"/>
      <c r="I155" s="96"/>
      <c r="J155" s="96"/>
      <c r="K155" s="96"/>
      <c r="L155" s="96"/>
      <c r="M155" s="96"/>
      <c r="N155" s="96"/>
      <c r="O155" s="96"/>
      <c r="P155" s="96"/>
      <c r="Q155" s="96"/>
      <c r="R155" s="96"/>
      <c r="S155" s="14"/>
      <c r="T155" s="14"/>
      <c r="U155" s="14"/>
      <c r="V155" s="14"/>
      <c r="W155" s="14"/>
      <c r="X155" s="14"/>
      <c r="Y155" s="14"/>
      <c r="Z155" s="14"/>
      <c r="AA155" s="14"/>
      <c r="AB155" s="14"/>
      <c r="AC155" s="14"/>
      <c r="AD155" s="14"/>
      <c r="AE155" s="14"/>
      <c r="AF155" s="14"/>
      <c r="AG155" s="14"/>
      <c r="AH155" s="14"/>
    </row>
    <row r="156" spans="1:34">
      <c r="A156" s="8" t="s">
        <v>142</v>
      </c>
      <c r="B156" s="8" t="s">
        <v>143</v>
      </c>
      <c r="C156" s="314">
        <v>1</v>
      </c>
      <c r="D156" s="73">
        <v>2</v>
      </c>
      <c r="E156" s="73">
        <v>3</v>
      </c>
      <c r="F156" s="73">
        <v>4</v>
      </c>
      <c r="G156" s="73">
        <v>5</v>
      </c>
      <c r="H156" s="73">
        <v>6</v>
      </c>
      <c r="I156" s="73">
        <v>7</v>
      </c>
      <c r="J156" s="73">
        <v>8</v>
      </c>
      <c r="K156" s="73">
        <v>9</v>
      </c>
      <c r="L156" s="73">
        <v>10</v>
      </c>
      <c r="M156" s="73">
        <v>11</v>
      </c>
      <c r="N156" s="73">
        <v>12</v>
      </c>
      <c r="O156" s="73">
        <v>13</v>
      </c>
      <c r="P156" s="73">
        <v>14</v>
      </c>
      <c r="Q156" s="73">
        <v>15</v>
      </c>
      <c r="R156" s="73">
        <v>16</v>
      </c>
      <c r="S156" s="73">
        <v>17</v>
      </c>
      <c r="T156" s="73">
        <v>18</v>
      </c>
      <c r="U156" s="73">
        <v>19</v>
      </c>
      <c r="V156" s="73">
        <v>20</v>
      </c>
      <c r="W156" s="73">
        <v>21</v>
      </c>
      <c r="X156" s="73">
        <v>22</v>
      </c>
      <c r="Y156" s="73">
        <v>23</v>
      </c>
      <c r="Z156" s="73">
        <v>24</v>
      </c>
      <c r="AA156" s="73">
        <v>25</v>
      </c>
      <c r="AB156" s="73">
        <v>26</v>
      </c>
      <c r="AC156" s="73">
        <v>27</v>
      </c>
      <c r="AD156" s="73">
        <v>28</v>
      </c>
      <c r="AE156" s="73">
        <v>29</v>
      </c>
      <c r="AF156" s="73">
        <v>30</v>
      </c>
      <c r="AG156" s="73">
        <v>31</v>
      </c>
      <c r="AH156" s="88" t="s">
        <v>144</v>
      </c>
    </row>
    <row r="157" spans="1:34">
      <c r="A157" s="375" t="s">
        <v>145</v>
      </c>
      <c r="B157" s="53">
        <f t="shared" ref="B157:B168" si="27">+AH157</f>
        <v>0</v>
      </c>
      <c r="C157" s="103"/>
      <c r="D157" s="107"/>
      <c r="E157" s="107"/>
      <c r="F157" s="107"/>
      <c r="G157" s="53"/>
      <c r="H157" s="53"/>
      <c r="I157" s="53"/>
      <c r="J157" s="53"/>
      <c r="K157" s="53"/>
      <c r="L157" s="53"/>
      <c r="M157" s="53"/>
      <c r="N157" s="53"/>
      <c r="O157" s="53"/>
      <c r="P157" s="53"/>
      <c r="Q157" s="107"/>
      <c r="R157" s="53"/>
      <c r="S157" s="53"/>
      <c r="T157" s="53"/>
      <c r="U157" s="53"/>
      <c r="V157" s="107"/>
      <c r="W157" s="107"/>
      <c r="X157" s="53"/>
      <c r="Y157" s="53"/>
      <c r="Z157" s="53"/>
      <c r="AA157" s="53"/>
      <c r="AB157" s="53"/>
      <c r="AC157" s="53"/>
      <c r="AD157" s="107"/>
      <c r="AE157" s="53"/>
      <c r="AF157" s="53"/>
      <c r="AG157" s="53"/>
      <c r="AH157" s="107">
        <f>SUM(C157:AG157)</f>
        <v>0</v>
      </c>
    </row>
    <row r="158" spans="1:34">
      <c r="A158" s="375" t="s">
        <v>146</v>
      </c>
      <c r="B158" s="53">
        <f t="shared" si="27"/>
        <v>0</v>
      </c>
      <c r="C158" s="103"/>
      <c r="D158" s="53"/>
      <c r="E158" s="53"/>
      <c r="F158" s="53"/>
      <c r="G158" s="53"/>
      <c r="H158" s="53"/>
      <c r="I158" s="53"/>
      <c r="J158" s="53"/>
      <c r="K158" s="53"/>
      <c r="L158" s="53"/>
      <c r="M158" s="53"/>
      <c r="N158" s="53"/>
      <c r="O158" s="53"/>
      <c r="P158" s="53"/>
      <c r="Q158" s="53"/>
      <c r="R158" s="53"/>
      <c r="S158" s="53"/>
      <c r="T158" s="53"/>
      <c r="U158" s="53"/>
      <c r="V158" s="53"/>
      <c r="W158" s="53"/>
      <c r="X158" s="53"/>
      <c r="Y158" s="53"/>
      <c r="Z158" s="53"/>
      <c r="AA158" s="53"/>
      <c r="AB158" s="53"/>
      <c r="AC158" s="53"/>
      <c r="AD158" s="53"/>
      <c r="AE158" s="53"/>
      <c r="AF158" s="53"/>
      <c r="AG158" s="53"/>
      <c r="AH158" s="107">
        <f>SUM(C158:AG158)</f>
        <v>0</v>
      </c>
    </row>
    <row r="159" spans="1:34">
      <c r="A159" s="375" t="s">
        <v>147</v>
      </c>
      <c r="B159" s="53">
        <f t="shared" si="27"/>
        <v>0</v>
      </c>
      <c r="C159" s="100"/>
      <c r="D159" s="107"/>
      <c r="E159" s="107"/>
      <c r="F159" s="107"/>
      <c r="G159" s="107"/>
      <c r="H159" s="107"/>
      <c r="I159" s="107"/>
      <c r="J159" s="107"/>
      <c r="K159" s="107"/>
      <c r="L159" s="107"/>
      <c r="M159" s="107"/>
      <c r="N159" s="107"/>
      <c r="O159" s="107"/>
      <c r="P159" s="107"/>
      <c r="Q159" s="107"/>
      <c r="R159" s="107"/>
      <c r="S159" s="107"/>
      <c r="T159" s="107"/>
      <c r="U159" s="107"/>
      <c r="V159" s="107"/>
      <c r="W159" s="107"/>
      <c r="X159" s="107"/>
      <c r="Y159" s="107"/>
      <c r="Z159" s="107"/>
      <c r="AA159" s="107"/>
      <c r="AB159" s="107"/>
      <c r="AC159" s="107"/>
      <c r="AD159" s="107"/>
      <c r="AE159" s="107"/>
      <c r="AF159" s="107"/>
      <c r="AG159" s="107"/>
      <c r="AH159" s="107">
        <f>SUM(C159:AG159)</f>
        <v>0</v>
      </c>
    </row>
    <row r="160" spans="1:34">
      <c r="A160" s="375" t="s">
        <v>148</v>
      </c>
      <c r="B160" s="53">
        <f t="shared" si="27"/>
        <v>0</v>
      </c>
      <c r="C160" s="103"/>
      <c r="D160" s="107"/>
      <c r="E160" s="107"/>
      <c r="F160" s="107"/>
      <c r="G160" s="53"/>
      <c r="H160" s="53"/>
      <c r="I160" s="53"/>
      <c r="J160" s="107"/>
      <c r="K160" s="107"/>
      <c r="L160" s="107"/>
      <c r="M160" s="107"/>
      <c r="N160" s="107"/>
      <c r="O160" s="107"/>
      <c r="P160" s="107"/>
      <c r="Q160" s="107"/>
      <c r="R160" s="107"/>
      <c r="S160" s="107"/>
      <c r="T160" s="107"/>
      <c r="U160" s="107"/>
      <c r="V160" s="107"/>
      <c r="W160" s="107"/>
      <c r="X160" s="107"/>
      <c r="Y160" s="107"/>
      <c r="Z160" s="107"/>
      <c r="AA160" s="107"/>
      <c r="AB160" s="107"/>
      <c r="AC160" s="107"/>
      <c r="AD160" s="107"/>
      <c r="AE160" s="107"/>
      <c r="AF160" s="107"/>
      <c r="AG160" s="107"/>
      <c r="AH160" s="107">
        <f t="shared" ref="AH160:AH168" si="28">SUM(C160:AG160)</f>
        <v>0</v>
      </c>
    </row>
    <row r="161" spans="1:34">
      <c r="A161" s="375" t="s">
        <v>149</v>
      </c>
      <c r="B161" s="53">
        <f t="shared" si="27"/>
        <v>0</v>
      </c>
      <c r="C161" s="103"/>
      <c r="D161" s="53"/>
      <c r="E161" s="53"/>
      <c r="F161" s="53"/>
      <c r="G161" s="53"/>
      <c r="H161" s="53"/>
      <c r="I161" s="53"/>
      <c r="J161" s="107"/>
      <c r="K161" s="107"/>
      <c r="L161" s="107"/>
      <c r="M161" s="107"/>
      <c r="N161" s="107"/>
      <c r="O161" s="107"/>
      <c r="P161" s="107"/>
      <c r="Q161" s="107"/>
      <c r="R161" s="107"/>
      <c r="S161" s="107"/>
      <c r="T161" s="107"/>
      <c r="U161" s="107"/>
      <c r="V161" s="107"/>
      <c r="W161" s="107"/>
      <c r="X161" s="107"/>
      <c r="Y161" s="107"/>
      <c r="Z161" s="107"/>
      <c r="AA161" s="107"/>
      <c r="AB161" s="107"/>
      <c r="AC161" s="107"/>
      <c r="AD161" s="107"/>
      <c r="AE161" s="107"/>
      <c r="AF161" s="107"/>
      <c r="AG161" s="107"/>
      <c r="AH161" s="107">
        <f t="shared" si="28"/>
        <v>0</v>
      </c>
    </row>
    <row r="162" spans="1:34">
      <c r="A162" s="375" t="s">
        <v>150</v>
      </c>
      <c r="B162" s="53">
        <f t="shared" si="27"/>
        <v>0</v>
      </c>
      <c r="C162" s="100"/>
      <c r="D162" s="107"/>
      <c r="E162" s="107"/>
      <c r="F162" s="107"/>
      <c r="G162" s="107"/>
      <c r="H162" s="107"/>
      <c r="I162" s="107"/>
      <c r="J162" s="107"/>
      <c r="K162" s="107"/>
      <c r="L162" s="107"/>
      <c r="M162" s="107"/>
      <c r="N162" s="107"/>
      <c r="O162" s="107"/>
      <c r="P162" s="107"/>
      <c r="Q162" s="107"/>
      <c r="R162" s="107"/>
      <c r="S162" s="107"/>
      <c r="T162" s="107"/>
      <c r="U162" s="107"/>
      <c r="V162" s="107"/>
      <c r="W162" s="107"/>
      <c r="X162" s="107"/>
      <c r="Y162" s="107"/>
      <c r="Z162" s="107"/>
      <c r="AA162" s="107"/>
      <c r="AB162" s="107"/>
      <c r="AC162" s="107"/>
      <c r="AD162" s="107"/>
      <c r="AE162" s="107"/>
      <c r="AF162" s="107"/>
      <c r="AG162" s="107"/>
      <c r="AH162" s="107">
        <f t="shared" si="28"/>
        <v>0</v>
      </c>
    </row>
    <row r="163" spans="1:34">
      <c r="A163" s="375" t="s">
        <v>151</v>
      </c>
      <c r="B163" s="53">
        <f t="shared" si="27"/>
        <v>0</v>
      </c>
      <c r="C163" s="103"/>
      <c r="D163" s="107"/>
      <c r="E163" s="107"/>
      <c r="F163" s="107"/>
      <c r="G163" s="53"/>
      <c r="H163" s="53"/>
      <c r="I163" s="53"/>
      <c r="J163" s="111"/>
      <c r="K163" s="111"/>
      <c r="L163" s="107"/>
      <c r="M163" s="107"/>
      <c r="N163" s="107"/>
      <c r="O163" s="107"/>
      <c r="P163" s="107"/>
      <c r="Q163" s="107"/>
      <c r="R163" s="107"/>
      <c r="S163" s="107"/>
      <c r="T163" s="107"/>
      <c r="U163" s="107"/>
      <c r="V163" s="107"/>
      <c r="W163" s="107"/>
      <c r="X163" s="107"/>
      <c r="Y163" s="107"/>
      <c r="Z163" s="107"/>
      <c r="AA163" s="107"/>
      <c r="AB163" s="107"/>
      <c r="AC163" s="107"/>
      <c r="AD163" s="107"/>
      <c r="AE163" s="107"/>
      <c r="AF163" s="107"/>
      <c r="AG163" s="107"/>
      <c r="AH163" s="107">
        <f t="shared" si="28"/>
        <v>0</v>
      </c>
    </row>
    <row r="164" spans="1:34">
      <c r="A164" s="375" t="s">
        <v>152</v>
      </c>
      <c r="B164" s="53">
        <f t="shared" si="27"/>
        <v>0</v>
      </c>
      <c r="C164" s="103"/>
      <c r="D164" s="53"/>
      <c r="E164" s="53"/>
      <c r="F164" s="53"/>
      <c r="G164" s="53"/>
      <c r="H164" s="53"/>
      <c r="I164" s="53"/>
      <c r="J164" s="111"/>
      <c r="K164" s="111"/>
      <c r="L164" s="107"/>
      <c r="M164" s="107"/>
      <c r="N164" s="107"/>
      <c r="O164" s="107"/>
      <c r="P164" s="107"/>
      <c r="Q164" s="107"/>
      <c r="R164" s="107"/>
      <c r="S164" s="107"/>
      <c r="T164" s="107"/>
      <c r="U164" s="107"/>
      <c r="V164" s="107"/>
      <c r="W164" s="107"/>
      <c r="X164" s="107"/>
      <c r="Y164" s="107"/>
      <c r="Z164" s="107"/>
      <c r="AA164" s="107"/>
      <c r="AB164" s="107"/>
      <c r="AC164" s="107"/>
      <c r="AD164" s="107"/>
      <c r="AE164" s="107"/>
      <c r="AF164" s="107"/>
      <c r="AG164" s="107"/>
      <c r="AH164" s="107">
        <f t="shared" si="28"/>
        <v>0</v>
      </c>
    </row>
    <row r="165" spans="1:34">
      <c r="A165" s="375" t="s">
        <v>153</v>
      </c>
      <c r="B165" s="53">
        <f t="shared" si="27"/>
        <v>0</v>
      </c>
      <c r="C165" s="100"/>
      <c r="D165" s="107"/>
      <c r="E165" s="107"/>
      <c r="F165" s="107"/>
      <c r="G165" s="107"/>
      <c r="H165" s="107"/>
      <c r="I165" s="107"/>
      <c r="J165" s="111"/>
      <c r="K165" s="111"/>
      <c r="L165" s="53"/>
      <c r="M165" s="53"/>
      <c r="N165" s="53"/>
      <c r="O165" s="53"/>
      <c r="P165" s="53"/>
      <c r="Q165" s="53"/>
      <c r="R165" s="53"/>
      <c r="S165" s="53"/>
      <c r="T165" s="53"/>
      <c r="U165" s="53"/>
      <c r="V165" s="53"/>
      <c r="W165" s="53"/>
      <c r="X165" s="53"/>
      <c r="Y165" s="53"/>
      <c r="Z165" s="53"/>
      <c r="AA165" s="53"/>
      <c r="AB165" s="53"/>
      <c r="AC165" s="53"/>
      <c r="AD165" s="53"/>
      <c r="AE165" s="53"/>
      <c r="AF165" s="53"/>
      <c r="AG165" s="53"/>
      <c r="AH165" s="107">
        <f t="shared" si="28"/>
        <v>0</v>
      </c>
    </row>
    <row r="166" spans="1:34">
      <c r="A166" s="363" t="s">
        <v>154</v>
      </c>
      <c r="B166" s="53">
        <f t="shared" si="27"/>
        <v>0</v>
      </c>
      <c r="C166" s="103"/>
      <c r="D166" s="107"/>
      <c r="E166" s="107"/>
      <c r="F166" s="107"/>
      <c r="G166" s="53"/>
      <c r="H166" s="53"/>
      <c r="I166" s="53"/>
      <c r="J166" s="53"/>
      <c r="K166" s="53"/>
      <c r="L166" s="53"/>
      <c r="M166" s="53"/>
      <c r="N166" s="53"/>
      <c r="O166" s="107"/>
      <c r="P166" s="53"/>
      <c r="Q166" s="53"/>
      <c r="R166" s="53"/>
      <c r="S166" s="53"/>
      <c r="T166" s="53"/>
      <c r="U166" s="53"/>
      <c r="V166" s="53"/>
      <c r="W166" s="53"/>
      <c r="X166" s="53"/>
      <c r="Y166" s="53"/>
      <c r="Z166" s="53"/>
      <c r="AA166" s="53"/>
      <c r="AB166" s="53"/>
      <c r="AC166" s="53"/>
      <c r="AD166" s="53"/>
      <c r="AE166" s="107"/>
      <c r="AF166" s="53"/>
      <c r="AG166" s="107"/>
      <c r="AH166" s="107">
        <f t="shared" si="28"/>
        <v>0</v>
      </c>
    </row>
    <row r="167" spans="1:34">
      <c r="A167" s="363" t="s">
        <v>155</v>
      </c>
      <c r="B167" s="53">
        <f t="shared" si="27"/>
        <v>0</v>
      </c>
      <c r="C167" s="103"/>
      <c r="D167" s="53"/>
      <c r="E167" s="53"/>
      <c r="F167" s="53"/>
      <c r="G167" s="53"/>
      <c r="H167" s="53"/>
      <c r="I167" s="53"/>
      <c r="J167" s="53"/>
      <c r="K167" s="53"/>
      <c r="L167" s="53"/>
      <c r="M167" s="53"/>
      <c r="N167" s="53"/>
      <c r="O167" s="53"/>
      <c r="P167" s="53"/>
      <c r="Q167" s="53"/>
      <c r="R167" s="53"/>
      <c r="S167" s="53"/>
      <c r="T167" s="53"/>
      <c r="U167" s="53"/>
      <c r="V167" s="53"/>
      <c r="W167" s="53"/>
      <c r="X167" s="53"/>
      <c r="Y167" s="53"/>
      <c r="Z167" s="53"/>
      <c r="AA167" s="53"/>
      <c r="AB167" s="53"/>
      <c r="AC167" s="53"/>
      <c r="AD167" s="53"/>
      <c r="AE167" s="107"/>
      <c r="AF167" s="53"/>
      <c r="AG167" s="107"/>
      <c r="AH167" s="107">
        <f t="shared" si="28"/>
        <v>0</v>
      </c>
    </row>
    <row r="168" spans="1:34">
      <c r="A168" s="363" t="s">
        <v>156</v>
      </c>
      <c r="B168" s="53">
        <f t="shared" si="27"/>
        <v>0</v>
      </c>
      <c r="C168" s="103"/>
      <c r="D168" s="53"/>
      <c r="E168" s="53"/>
      <c r="F168" s="53"/>
      <c r="G168" s="53"/>
      <c r="H168" s="53"/>
      <c r="I168" s="53"/>
      <c r="J168" s="53"/>
      <c r="K168" s="53"/>
      <c r="L168" s="53"/>
      <c r="M168" s="53"/>
      <c r="N168" s="53"/>
      <c r="O168" s="53"/>
      <c r="P168" s="53"/>
      <c r="Q168" s="53"/>
      <c r="R168" s="53"/>
      <c r="S168" s="53"/>
      <c r="T168" s="53"/>
      <c r="U168" s="53"/>
      <c r="V168" s="53"/>
      <c r="W168" s="53"/>
      <c r="X168" s="53"/>
      <c r="Y168" s="53"/>
      <c r="Z168" s="53"/>
      <c r="AA168" s="53"/>
      <c r="AB168" s="53"/>
      <c r="AC168" s="53"/>
      <c r="AD168" s="53"/>
      <c r="AE168" s="107"/>
      <c r="AF168" s="53"/>
      <c r="AG168" s="107"/>
      <c r="AH168" s="107">
        <f t="shared" si="28"/>
        <v>0</v>
      </c>
    </row>
    <row r="169" spans="1:34">
      <c r="A169" s="199" t="s">
        <v>144</v>
      </c>
      <c r="B169" s="200">
        <f>SUM(B157:B168)</f>
        <v>0</v>
      </c>
      <c r="C169" s="100">
        <f>SUM(C157:C167)</f>
        <v>0</v>
      </c>
      <c r="D169" s="107">
        <f>SUM(D157:D167)</f>
        <v>0</v>
      </c>
      <c r="E169" s="107">
        <v>0</v>
      </c>
      <c r="F169" s="107">
        <f t="shared" ref="F169:AC169" si="29">SUM(F157:F167)</f>
        <v>0</v>
      </c>
      <c r="G169" s="107">
        <f t="shared" si="29"/>
        <v>0</v>
      </c>
      <c r="H169" s="107">
        <f t="shared" si="29"/>
        <v>0</v>
      </c>
      <c r="I169" s="107">
        <f t="shared" si="29"/>
        <v>0</v>
      </c>
      <c r="J169" s="107">
        <f t="shared" si="29"/>
        <v>0</v>
      </c>
      <c r="K169" s="107">
        <f t="shared" si="29"/>
        <v>0</v>
      </c>
      <c r="L169" s="107">
        <f t="shared" si="29"/>
        <v>0</v>
      </c>
      <c r="M169" s="107">
        <f t="shared" si="29"/>
        <v>0</v>
      </c>
      <c r="N169" s="107">
        <f t="shared" si="29"/>
        <v>0</v>
      </c>
      <c r="O169" s="107">
        <f t="shared" si="29"/>
        <v>0</v>
      </c>
      <c r="P169" s="107">
        <f t="shared" si="29"/>
        <v>0</v>
      </c>
      <c r="Q169" s="107">
        <f t="shared" si="29"/>
        <v>0</v>
      </c>
      <c r="R169" s="107">
        <f t="shared" si="29"/>
        <v>0</v>
      </c>
      <c r="S169" s="107">
        <f t="shared" si="29"/>
        <v>0</v>
      </c>
      <c r="T169" s="107">
        <f t="shared" si="29"/>
        <v>0</v>
      </c>
      <c r="U169" s="107">
        <f t="shared" si="29"/>
        <v>0</v>
      </c>
      <c r="V169" s="107">
        <f t="shared" si="29"/>
        <v>0</v>
      </c>
      <c r="W169" s="107">
        <f t="shared" si="29"/>
        <v>0</v>
      </c>
      <c r="X169" s="107">
        <f t="shared" si="29"/>
        <v>0</v>
      </c>
      <c r="Y169" s="107">
        <f t="shared" si="29"/>
        <v>0</v>
      </c>
      <c r="Z169" s="107">
        <f t="shared" si="29"/>
        <v>0</v>
      </c>
      <c r="AA169" s="107">
        <f t="shared" si="29"/>
        <v>0</v>
      </c>
      <c r="AB169" s="107">
        <f t="shared" si="29"/>
        <v>0</v>
      </c>
      <c r="AC169" s="107">
        <f t="shared" si="29"/>
        <v>0</v>
      </c>
      <c r="AD169" s="107">
        <v>0</v>
      </c>
      <c r="AE169" s="107">
        <f>SUM(AE157:AE167)</f>
        <v>0</v>
      </c>
      <c r="AF169" s="107">
        <f>SUM(AF157:AF167)</f>
        <v>0</v>
      </c>
      <c r="AG169" s="107">
        <f>SUM(AG157:AG167)</f>
        <v>0</v>
      </c>
      <c r="AH169" s="100">
        <f>SUM(AH157:AH167)</f>
        <v>0</v>
      </c>
    </row>
    <row r="170" spans="1:34" ht="5.0999999999999996" customHeight="1">
      <c r="A170" s="104"/>
      <c r="B170" s="105"/>
      <c r="C170" s="1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c r="AA170" s="106"/>
      <c r="AB170" s="106"/>
      <c r="AC170" s="106"/>
      <c r="AD170" s="106"/>
      <c r="AE170" s="106"/>
      <c r="AF170" s="106"/>
      <c r="AG170" s="106"/>
      <c r="AH170" s="16"/>
    </row>
    <row r="171" spans="1:34">
      <c r="A171" s="3854" t="s">
        <v>289</v>
      </c>
      <c r="B171" s="3855"/>
      <c r="C171" s="3855"/>
      <c r="D171" s="3855"/>
      <c r="E171" s="3855"/>
      <c r="F171" s="3855"/>
      <c r="G171" s="3855"/>
      <c r="H171" s="3856"/>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row>
    <row r="172" spans="1:34">
      <c r="A172" s="8" t="s">
        <v>142</v>
      </c>
      <c r="B172" s="8" t="s">
        <v>143</v>
      </c>
      <c r="C172" s="314">
        <v>1</v>
      </c>
      <c r="D172" s="73">
        <v>2</v>
      </c>
      <c r="E172" s="73">
        <v>3</v>
      </c>
      <c r="F172" s="73">
        <v>4</v>
      </c>
      <c r="G172" s="73">
        <v>5</v>
      </c>
      <c r="H172" s="73">
        <v>6</v>
      </c>
      <c r="I172" s="73">
        <v>7</v>
      </c>
      <c r="J172" s="73">
        <v>8</v>
      </c>
      <c r="K172" s="73">
        <v>9</v>
      </c>
      <c r="L172" s="73">
        <v>10</v>
      </c>
      <c r="M172" s="73">
        <v>11</v>
      </c>
      <c r="N172" s="73">
        <v>12</v>
      </c>
      <c r="O172" s="73">
        <v>13</v>
      </c>
      <c r="P172" s="73">
        <v>14</v>
      </c>
      <c r="Q172" s="73">
        <v>15</v>
      </c>
      <c r="R172" s="73">
        <v>16</v>
      </c>
      <c r="S172" s="73">
        <v>17</v>
      </c>
      <c r="T172" s="73">
        <v>18</v>
      </c>
      <c r="U172" s="73">
        <v>19</v>
      </c>
      <c r="V172" s="73">
        <v>20</v>
      </c>
      <c r="W172" s="73">
        <v>21</v>
      </c>
      <c r="X172" s="73">
        <v>22</v>
      </c>
      <c r="Y172" s="73">
        <v>23</v>
      </c>
      <c r="Z172" s="73">
        <v>24</v>
      </c>
      <c r="AA172" s="73">
        <v>25</v>
      </c>
      <c r="AB172" s="73">
        <v>26</v>
      </c>
      <c r="AC172" s="73">
        <v>27</v>
      </c>
      <c r="AD172" s="73">
        <v>28</v>
      </c>
      <c r="AE172" s="73">
        <v>29</v>
      </c>
      <c r="AF172" s="73">
        <v>30</v>
      </c>
      <c r="AG172" s="73">
        <v>31</v>
      </c>
      <c r="AH172" s="88" t="s">
        <v>144</v>
      </c>
    </row>
    <row r="173" spans="1:34">
      <c r="A173" s="375" t="s">
        <v>145</v>
      </c>
      <c r="B173" s="53">
        <f t="shared" ref="B173:B184" si="30">+AH173</f>
        <v>0</v>
      </c>
      <c r="C173" s="103"/>
      <c r="D173" s="107"/>
      <c r="E173" s="107"/>
      <c r="F173" s="107"/>
      <c r="G173" s="53"/>
      <c r="H173" s="53"/>
      <c r="I173" s="53"/>
      <c r="J173" s="53"/>
      <c r="K173" s="53"/>
      <c r="L173" s="53"/>
      <c r="M173" s="53"/>
      <c r="N173" s="53"/>
      <c r="O173" s="53"/>
      <c r="P173" s="53"/>
      <c r="Q173" s="107"/>
      <c r="R173" s="53"/>
      <c r="S173" s="53"/>
      <c r="T173" s="53"/>
      <c r="U173" s="53"/>
      <c r="V173" s="107"/>
      <c r="W173" s="107"/>
      <c r="X173" s="53"/>
      <c r="Y173" s="53"/>
      <c r="Z173" s="53"/>
      <c r="AA173" s="53"/>
      <c r="AB173" s="53"/>
      <c r="AC173" s="53"/>
      <c r="AD173" s="107"/>
      <c r="AE173" s="53"/>
      <c r="AF173" s="53"/>
      <c r="AG173" s="53"/>
      <c r="AH173" s="107">
        <f>SUM(C173:AG173)</f>
        <v>0</v>
      </c>
    </row>
    <row r="174" spans="1:34">
      <c r="A174" s="375" t="s">
        <v>146</v>
      </c>
      <c r="B174" s="53">
        <f t="shared" si="30"/>
        <v>1.8000000000000002E-2</v>
      </c>
      <c r="C174" s="103"/>
      <c r="D174" s="53"/>
      <c r="E174" s="53"/>
      <c r="F174" s="53"/>
      <c r="G174" s="53"/>
      <c r="H174" s="53"/>
      <c r="I174" s="53"/>
      <c r="J174" s="53"/>
      <c r="K174" s="53"/>
      <c r="L174" s="53"/>
      <c r="M174" s="53"/>
      <c r="N174" s="53"/>
      <c r="O174" s="53"/>
      <c r="P174" s="53"/>
      <c r="Q174" s="53">
        <v>0.01</v>
      </c>
      <c r="R174" s="53"/>
      <c r="S174" s="53"/>
      <c r="T174" s="53"/>
      <c r="U174" s="53"/>
      <c r="V174" s="53"/>
      <c r="W174" s="53"/>
      <c r="X174" s="53"/>
      <c r="Y174" s="53"/>
      <c r="Z174" s="53"/>
      <c r="AA174" s="53"/>
      <c r="AB174" s="53"/>
      <c r="AC174" s="53"/>
      <c r="AD174" s="53"/>
      <c r="AE174" s="53">
        <v>8.0000000000000002E-3</v>
      </c>
      <c r="AF174" s="53"/>
      <c r="AG174" s="53"/>
      <c r="AH174" s="107">
        <f t="shared" ref="AH174:AH184" si="31">SUM(C174:AG174)</f>
        <v>1.8000000000000002E-2</v>
      </c>
    </row>
    <row r="175" spans="1:34">
      <c r="A175" s="375" t="s">
        <v>147</v>
      </c>
      <c r="B175" s="162">
        <f t="shared" si="30"/>
        <v>0</v>
      </c>
      <c r="C175" s="100"/>
      <c r="D175" s="107"/>
      <c r="E175" s="107"/>
      <c r="F175" s="107"/>
      <c r="G175" s="107"/>
      <c r="H175" s="107"/>
      <c r="I175" s="107"/>
      <c r="J175" s="107"/>
      <c r="K175" s="107"/>
      <c r="L175" s="107"/>
      <c r="M175" s="107"/>
      <c r="N175" s="107"/>
      <c r="O175" s="107"/>
      <c r="P175" s="107"/>
      <c r="Q175" s="107"/>
      <c r="R175" s="107"/>
      <c r="S175" s="107"/>
      <c r="T175" s="107"/>
      <c r="U175" s="107"/>
      <c r="V175" s="107"/>
      <c r="W175" s="107"/>
      <c r="X175" s="107"/>
      <c r="Y175" s="107"/>
      <c r="Z175" s="107"/>
      <c r="AA175" s="107"/>
      <c r="AB175" s="107"/>
      <c r="AC175" s="107"/>
      <c r="AD175" s="107"/>
      <c r="AE175" s="107"/>
      <c r="AF175" s="107"/>
      <c r="AG175" s="107"/>
      <c r="AH175" s="107">
        <f t="shared" si="31"/>
        <v>0</v>
      </c>
    </row>
    <row r="176" spans="1:34">
      <c r="A176" s="375" t="s">
        <v>148</v>
      </c>
      <c r="B176" s="162">
        <f t="shared" si="30"/>
        <v>0</v>
      </c>
      <c r="C176" s="103"/>
      <c r="D176" s="107"/>
      <c r="E176" s="107"/>
      <c r="F176" s="107"/>
      <c r="G176" s="53"/>
      <c r="H176" s="53"/>
      <c r="I176" s="53"/>
      <c r="J176" s="107"/>
      <c r="K176" s="107"/>
      <c r="L176" s="107"/>
      <c r="M176" s="107"/>
      <c r="N176" s="107"/>
      <c r="O176" s="107"/>
      <c r="P176" s="107"/>
      <c r="Q176" s="107"/>
      <c r="R176" s="107"/>
      <c r="S176" s="107"/>
      <c r="T176" s="107"/>
      <c r="U176" s="107"/>
      <c r="V176" s="107"/>
      <c r="W176" s="107"/>
      <c r="X176" s="107"/>
      <c r="Y176" s="107"/>
      <c r="Z176" s="107"/>
      <c r="AA176" s="107"/>
      <c r="AB176" s="107"/>
      <c r="AC176" s="107"/>
      <c r="AD176" s="107"/>
      <c r="AE176" s="107"/>
      <c r="AF176" s="107"/>
      <c r="AG176" s="107"/>
      <c r="AH176" s="107">
        <f t="shared" si="31"/>
        <v>0</v>
      </c>
    </row>
    <row r="177" spans="1:34">
      <c r="A177" s="375" t="s">
        <v>149</v>
      </c>
      <c r="B177" s="53">
        <f t="shared" si="30"/>
        <v>0</v>
      </c>
      <c r="C177" s="103"/>
      <c r="D177" s="53"/>
      <c r="E177" s="53"/>
      <c r="F177" s="53"/>
      <c r="G177" s="53"/>
      <c r="H177" s="53"/>
      <c r="I177" s="53"/>
      <c r="J177" s="107"/>
      <c r="K177" s="107"/>
      <c r="L177" s="107"/>
      <c r="M177" s="107"/>
      <c r="N177" s="107"/>
      <c r="O177" s="107"/>
      <c r="P177" s="107"/>
      <c r="Q177" s="107"/>
      <c r="R177" s="107"/>
      <c r="S177" s="107"/>
      <c r="T177" s="107"/>
      <c r="U177" s="107"/>
      <c r="V177" s="107"/>
      <c r="W177" s="107"/>
      <c r="X177" s="107"/>
      <c r="Y177" s="107"/>
      <c r="Z177" s="107"/>
      <c r="AA177" s="107"/>
      <c r="AB177" s="107"/>
      <c r="AC177" s="107"/>
      <c r="AD177" s="107"/>
      <c r="AE177" s="107"/>
      <c r="AF177" s="107"/>
      <c r="AG177" s="107"/>
      <c r="AH177" s="107">
        <f t="shared" si="31"/>
        <v>0</v>
      </c>
    </row>
    <row r="178" spans="1:34">
      <c r="A178" s="375" t="s">
        <v>150</v>
      </c>
      <c r="B178" s="53">
        <f t="shared" si="30"/>
        <v>0</v>
      </c>
      <c r="C178" s="100"/>
      <c r="D178" s="107"/>
      <c r="E178" s="107"/>
      <c r="F178" s="107"/>
      <c r="G178" s="107"/>
      <c r="H178" s="107"/>
      <c r="I178" s="107"/>
      <c r="J178" s="107"/>
      <c r="K178" s="107"/>
      <c r="L178" s="107"/>
      <c r="M178" s="107"/>
      <c r="N178" s="107"/>
      <c r="O178" s="107"/>
      <c r="P178" s="107"/>
      <c r="Q178" s="107"/>
      <c r="R178" s="107"/>
      <c r="S178" s="107"/>
      <c r="T178" s="107"/>
      <c r="U178" s="107"/>
      <c r="V178" s="107"/>
      <c r="W178" s="107"/>
      <c r="X178" s="107"/>
      <c r="Y178" s="107"/>
      <c r="Z178" s="107"/>
      <c r="AA178" s="107"/>
      <c r="AB178" s="107"/>
      <c r="AC178" s="107"/>
      <c r="AD178" s="107"/>
      <c r="AE178" s="107"/>
      <c r="AF178" s="107"/>
      <c r="AG178" s="107"/>
      <c r="AH178" s="107">
        <f t="shared" si="31"/>
        <v>0</v>
      </c>
    </row>
    <row r="179" spans="1:34">
      <c r="A179" s="375" t="s">
        <v>151</v>
      </c>
      <c r="B179" s="53">
        <f t="shared" si="30"/>
        <v>0</v>
      </c>
      <c r="C179" s="103"/>
      <c r="D179" s="107"/>
      <c r="E179" s="107"/>
      <c r="F179" s="107"/>
      <c r="G179" s="53"/>
      <c r="H179" s="53"/>
      <c r="I179" s="53"/>
      <c r="J179" s="111"/>
      <c r="K179" s="111"/>
      <c r="L179" s="107"/>
      <c r="M179" s="107"/>
      <c r="N179" s="107"/>
      <c r="O179" s="107"/>
      <c r="P179" s="107"/>
      <c r="Q179" s="107"/>
      <c r="R179" s="107"/>
      <c r="S179" s="107"/>
      <c r="T179" s="107"/>
      <c r="U179" s="107"/>
      <c r="V179" s="107"/>
      <c r="W179" s="107"/>
      <c r="X179" s="107"/>
      <c r="Y179" s="107"/>
      <c r="Z179" s="107"/>
      <c r="AA179" s="107"/>
      <c r="AB179" s="107"/>
      <c r="AC179" s="107"/>
      <c r="AD179" s="107"/>
      <c r="AE179" s="107"/>
      <c r="AF179" s="107"/>
      <c r="AG179" s="107"/>
      <c r="AH179" s="107">
        <f t="shared" si="31"/>
        <v>0</v>
      </c>
    </row>
    <row r="180" spans="1:34">
      <c r="A180" s="375" t="s">
        <v>152</v>
      </c>
      <c r="B180" s="53">
        <f t="shared" si="30"/>
        <v>0</v>
      </c>
      <c r="C180" s="103"/>
      <c r="D180" s="53"/>
      <c r="E180" s="53"/>
      <c r="F180" s="53"/>
      <c r="G180" s="53"/>
      <c r="H180" s="53"/>
      <c r="I180" s="53"/>
      <c r="J180" s="111"/>
      <c r="K180" s="111"/>
      <c r="L180" s="107"/>
      <c r="M180" s="107"/>
      <c r="N180" s="107"/>
      <c r="O180" s="107"/>
      <c r="P180" s="107"/>
      <c r="Q180" s="107"/>
      <c r="R180" s="107"/>
      <c r="S180" s="107"/>
      <c r="T180" s="107"/>
      <c r="U180" s="107"/>
      <c r="V180" s="107"/>
      <c r="W180" s="107"/>
      <c r="X180" s="107"/>
      <c r="Y180" s="107"/>
      <c r="Z180" s="107"/>
      <c r="AA180" s="107"/>
      <c r="AB180" s="107"/>
      <c r="AC180" s="107"/>
      <c r="AD180" s="107"/>
      <c r="AE180" s="107"/>
      <c r="AF180" s="107"/>
      <c r="AG180" s="107"/>
      <c r="AH180" s="107">
        <f t="shared" si="31"/>
        <v>0</v>
      </c>
    </row>
    <row r="181" spans="1:34">
      <c r="A181" s="375" t="s">
        <v>153</v>
      </c>
      <c r="B181" s="53">
        <f t="shared" si="30"/>
        <v>0</v>
      </c>
      <c r="C181" s="100"/>
      <c r="D181" s="107"/>
      <c r="E181" s="107"/>
      <c r="F181" s="107"/>
      <c r="G181" s="107"/>
      <c r="H181" s="107"/>
      <c r="I181" s="107"/>
      <c r="J181" s="111"/>
      <c r="K181" s="111"/>
      <c r="L181" s="53"/>
      <c r="M181" s="53"/>
      <c r="N181" s="53"/>
      <c r="O181" s="53"/>
      <c r="P181" s="53"/>
      <c r="Q181" s="53"/>
      <c r="R181" s="53"/>
      <c r="S181" s="53"/>
      <c r="T181" s="53"/>
      <c r="U181" s="53"/>
      <c r="V181" s="53"/>
      <c r="W181" s="53"/>
      <c r="X181" s="53"/>
      <c r="Y181" s="53"/>
      <c r="Z181" s="53"/>
      <c r="AA181" s="53"/>
      <c r="AB181" s="53"/>
      <c r="AC181" s="53"/>
      <c r="AD181" s="53"/>
      <c r="AE181" s="53"/>
      <c r="AF181" s="53"/>
      <c r="AG181" s="53"/>
      <c r="AH181" s="107">
        <f t="shared" si="31"/>
        <v>0</v>
      </c>
    </row>
    <row r="182" spans="1:34">
      <c r="A182" s="363" t="s">
        <v>154</v>
      </c>
      <c r="B182" s="53">
        <f t="shared" si="30"/>
        <v>0</v>
      </c>
      <c r="C182" s="103"/>
      <c r="D182" s="107"/>
      <c r="E182" s="107"/>
      <c r="F182" s="107"/>
      <c r="G182" s="53"/>
      <c r="H182" s="53"/>
      <c r="I182" s="53"/>
      <c r="J182" s="53"/>
      <c r="K182" s="53"/>
      <c r="L182" s="53"/>
      <c r="M182" s="53"/>
      <c r="N182" s="53"/>
      <c r="O182" s="107"/>
      <c r="P182" s="53"/>
      <c r="Q182" s="53"/>
      <c r="R182" s="53"/>
      <c r="S182" s="53"/>
      <c r="T182" s="53"/>
      <c r="U182" s="53"/>
      <c r="V182" s="53"/>
      <c r="W182" s="53"/>
      <c r="X182" s="53"/>
      <c r="Y182" s="53"/>
      <c r="Z182" s="53"/>
      <c r="AA182" s="53"/>
      <c r="AB182" s="53"/>
      <c r="AC182" s="53"/>
      <c r="AD182" s="53"/>
      <c r="AE182" s="107"/>
      <c r="AF182" s="53"/>
      <c r="AG182" s="107"/>
      <c r="AH182" s="107">
        <f t="shared" si="31"/>
        <v>0</v>
      </c>
    </row>
    <row r="183" spans="1:34">
      <c r="A183" s="363" t="s">
        <v>155</v>
      </c>
      <c r="B183" s="53">
        <f t="shared" si="30"/>
        <v>0</v>
      </c>
      <c r="C183" s="103"/>
      <c r="D183" s="53"/>
      <c r="E183" s="53"/>
      <c r="F183" s="53"/>
      <c r="G183" s="53"/>
      <c r="H183" s="53"/>
      <c r="I183" s="53"/>
      <c r="J183" s="53"/>
      <c r="K183" s="53"/>
      <c r="L183" s="53"/>
      <c r="M183" s="53"/>
      <c r="N183" s="53"/>
      <c r="O183" s="53"/>
      <c r="P183" s="53"/>
      <c r="Q183" s="53"/>
      <c r="R183" s="53"/>
      <c r="S183" s="53"/>
      <c r="T183" s="53"/>
      <c r="U183" s="53"/>
      <c r="V183" s="53"/>
      <c r="W183" s="53"/>
      <c r="X183" s="53"/>
      <c r="Y183" s="53"/>
      <c r="Z183" s="53"/>
      <c r="AA183" s="53"/>
      <c r="AB183" s="53"/>
      <c r="AC183" s="53"/>
      <c r="AD183" s="53"/>
      <c r="AE183" s="107"/>
      <c r="AF183" s="53"/>
      <c r="AG183" s="107"/>
      <c r="AH183" s="107">
        <f t="shared" si="31"/>
        <v>0</v>
      </c>
    </row>
    <row r="184" spans="1:34">
      <c r="A184" s="363" t="s">
        <v>156</v>
      </c>
      <c r="B184" s="53">
        <f t="shared" si="30"/>
        <v>0</v>
      </c>
      <c r="C184" s="103"/>
      <c r="D184" s="53"/>
      <c r="E184" s="53"/>
      <c r="F184" s="53"/>
      <c r="G184" s="53"/>
      <c r="H184" s="53"/>
      <c r="I184" s="53"/>
      <c r="J184" s="53"/>
      <c r="K184" s="53"/>
      <c r="L184" s="53"/>
      <c r="M184" s="53"/>
      <c r="N184" s="53"/>
      <c r="O184" s="53"/>
      <c r="P184" s="53"/>
      <c r="Q184" s="53"/>
      <c r="R184" s="53"/>
      <c r="S184" s="53"/>
      <c r="T184" s="53"/>
      <c r="U184" s="53"/>
      <c r="V184" s="53"/>
      <c r="W184" s="53"/>
      <c r="X184" s="53"/>
      <c r="Y184" s="53"/>
      <c r="Z184" s="53"/>
      <c r="AA184" s="53"/>
      <c r="AB184" s="53"/>
      <c r="AC184" s="53"/>
      <c r="AD184" s="53"/>
      <c r="AE184" s="107"/>
      <c r="AF184" s="53"/>
      <c r="AG184" s="107"/>
      <c r="AH184" s="107">
        <f t="shared" si="31"/>
        <v>0</v>
      </c>
    </row>
    <row r="185" spans="1:34">
      <c r="A185" s="199" t="s">
        <v>144</v>
      </c>
      <c r="B185" s="232">
        <f>SUM(B173:B184)</f>
        <v>1.8000000000000002E-2</v>
      </c>
      <c r="C185" s="100">
        <f>SUM(C173:C183)</f>
        <v>0</v>
      </c>
      <c r="D185" s="107">
        <f>SUM(D173:D183)</f>
        <v>0</v>
      </c>
      <c r="E185" s="107">
        <v>0</v>
      </c>
      <c r="F185" s="107">
        <f t="shared" ref="F185:AC185" si="32">SUM(F173:F183)</f>
        <v>0</v>
      </c>
      <c r="G185" s="107">
        <f t="shared" si="32"/>
        <v>0</v>
      </c>
      <c r="H185" s="107">
        <f t="shared" si="32"/>
        <v>0</v>
      </c>
      <c r="I185" s="107">
        <f t="shared" si="32"/>
        <v>0</v>
      </c>
      <c r="J185" s="107">
        <f t="shared" si="32"/>
        <v>0</v>
      </c>
      <c r="K185" s="107">
        <f t="shared" si="32"/>
        <v>0</v>
      </c>
      <c r="L185" s="107">
        <f t="shared" si="32"/>
        <v>0</v>
      </c>
      <c r="M185" s="107">
        <f t="shared" si="32"/>
        <v>0</v>
      </c>
      <c r="N185" s="107">
        <f t="shared" si="32"/>
        <v>0</v>
      </c>
      <c r="O185" s="107">
        <f t="shared" si="32"/>
        <v>0</v>
      </c>
      <c r="P185" s="107">
        <f t="shared" si="32"/>
        <v>0</v>
      </c>
      <c r="Q185" s="107">
        <f t="shared" si="32"/>
        <v>0.01</v>
      </c>
      <c r="R185" s="107">
        <f t="shared" si="32"/>
        <v>0</v>
      </c>
      <c r="S185" s="107">
        <f t="shared" si="32"/>
        <v>0</v>
      </c>
      <c r="T185" s="107">
        <f t="shared" si="32"/>
        <v>0</v>
      </c>
      <c r="U185" s="107">
        <f t="shared" si="32"/>
        <v>0</v>
      </c>
      <c r="V185" s="107">
        <f t="shared" si="32"/>
        <v>0</v>
      </c>
      <c r="W185" s="107">
        <f t="shared" si="32"/>
        <v>0</v>
      </c>
      <c r="X185" s="107">
        <f t="shared" si="32"/>
        <v>0</v>
      </c>
      <c r="Y185" s="107">
        <f t="shared" si="32"/>
        <v>0</v>
      </c>
      <c r="Z185" s="107">
        <f t="shared" si="32"/>
        <v>0</v>
      </c>
      <c r="AA185" s="107">
        <f t="shared" si="32"/>
        <v>0</v>
      </c>
      <c r="AB185" s="107">
        <f t="shared" si="32"/>
        <v>0</v>
      </c>
      <c r="AC185" s="107">
        <f t="shared" si="32"/>
        <v>0</v>
      </c>
      <c r="AD185" s="107">
        <v>0</v>
      </c>
      <c r="AE185" s="107">
        <f>SUM(AE173:AE183)</f>
        <v>8.0000000000000002E-3</v>
      </c>
      <c r="AF185" s="107">
        <f>SUM(AF173:AF183)</f>
        <v>0</v>
      </c>
      <c r="AG185" s="107">
        <f>SUM(AG173:AG183)</f>
        <v>0</v>
      </c>
      <c r="AH185" s="100">
        <f>SUM(AH173:AH183)</f>
        <v>1.8000000000000002E-2</v>
      </c>
    </row>
    <row r="186" spans="1:34" ht="5.0999999999999996" customHeight="1">
      <c r="A186" s="104"/>
      <c r="B186" s="112"/>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c r="AA186" s="106"/>
      <c r="AB186" s="106"/>
      <c r="AC186" s="106"/>
      <c r="AD186" s="106"/>
      <c r="AE186" s="106"/>
      <c r="AF186" s="106"/>
      <c r="AG186" s="106"/>
      <c r="AH186" s="106"/>
    </row>
    <row r="187" spans="1:34">
      <c r="A187" s="3854" t="s">
        <v>290</v>
      </c>
      <c r="B187" s="3855"/>
      <c r="C187" s="3855"/>
      <c r="D187" s="3855"/>
      <c r="E187" s="3855"/>
      <c r="F187" s="3855"/>
      <c r="G187" s="3855"/>
      <c r="H187" s="3856"/>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row>
    <row r="188" spans="1:34">
      <c r="A188" s="8" t="s">
        <v>161</v>
      </c>
      <c r="B188" s="8" t="s">
        <v>143</v>
      </c>
      <c r="C188" s="314">
        <v>1</v>
      </c>
      <c r="D188" s="73">
        <v>2</v>
      </c>
      <c r="E188" s="73">
        <v>3</v>
      </c>
      <c r="F188" s="73">
        <v>4</v>
      </c>
      <c r="G188" s="73">
        <v>5</v>
      </c>
      <c r="H188" s="73">
        <v>6</v>
      </c>
      <c r="I188" s="73">
        <v>7</v>
      </c>
      <c r="J188" s="73">
        <v>8</v>
      </c>
      <c r="K188" s="73">
        <v>9</v>
      </c>
      <c r="L188" s="73">
        <v>10</v>
      </c>
      <c r="M188" s="73">
        <v>11</v>
      </c>
      <c r="N188" s="73">
        <v>12</v>
      </c>
      <c r="O188" s="73">
        <v>13</v>
      </c>
      <c r="P188" s="73">
        <v>14</v>
      </c>
      <c r="Q188" s="73">
        <v>15</v>
      </c>
      <c r="R188" s="73">
        <v>16</v>
      </c>
      <c r="S188" s="73">
        <v>17</v>
      </c>
      <c r="T188" s="73">
        <v>18</v>
      </c>
      <c r="U188" s="73">
        <v>19</v>
      </c>
      <c r="V188" s="73">
        <v>20</v>
      </c>
      <c r="W188" s="73">
        <v>21</v>
      </c>
      <c r="X188" s="73">
        <v>22</v>
      </c>
      <c r="Y188" s="73">
        <v>23</v>
      </c>
      <c r="Z188" s="73">
        <v>24</v>
      </c>
      <c r="AA188" s="73">
        <v>25</v>
      </c>
      <c r="AB188" s="73">
        <v>26</v>
      </c>
      <c r="AC188" s="73">
        <v>27</v>
      </c>
      <c r="AD188" s="73">
        <v>28</v>
      </c>
      <c r="AE188" s="73">
        <v>29</v>
      </c>
      <c r="AF188" s="73">
        <v>30</v>
      </c>
      <c r="AG188" s="73">
        <v>31</v>
      </c>
      <c r="AH188" s="88" t="s">
        <v>144</v>
      </c>
    </row>
    <row r="189" spans="1:34">
      <c r="A189" s="375" t="s">
        <v>145</v>
      </c>
      <c r="B189" s="53">
        <f t="shared" ref="B189:B200" si="33">+AH189</f>
        <v>0</v>
      </c>
      <c r="C189" s="103"/>
      <c r="D189" s="107"/>
      <c r="E189" s="107"/>
      <c r="F189" s="107"/>
      <c r="G189" s="53"/>
      <c r="H189" s="53"/>
      <c r="I189" s="53"/>
      <c r="J189" s="53"/>
      <c r="K189" s="53"/>
      <c r="L189" s="53"/>
      <c r="M189" s="53"/>
      <c r="N189" s="53"/>
      <c r="O189" s="53"/>
      <c r="P189" s="53"/>
      <c r="Q189" s="107"/>
      <c r="R189" s="53"/>
      <c r="S189" s="53"/>
      <c r="T189" s="53"/>
      <c r="U189" s="53"/>
      <c r="V189" s="107"/>
      <c r="W189" s="107"/>
      <c r="X189" s="53"/>
      <c r="Y189" s="53"/>
      <c r="Z189" s="53"/>
      <c r="AA189" s="53"/>
      <c r="AB189" s="53"/>
      <c r="AC189" s="53"/>
      <c r="AD189" s="107"/>
      <c r="AE189" s="53"/>
      <c r="AF189" s="53"/>
      <c r="AG189" s="53"/>
      <c r="AH189" s="107">
        <f>SUM(C189:AG189)</f>
        <v>0</v>
      </c>
    </row>
    <row r="190" spans="1:34">
      <c r="A190" s="375" t="s">
        <v>146</v>
      </c>
      <c r="B190" s="53">
        <f t="shared" si="33"/>
        <v>0</v>
      </c>
      <c r="C190" s="103"/>
      <c r="D190" s="53"/>
      <c r="E190" s="53"/>
      <c r="F190" s="53"/>
      <c r="G190" s="53"/>
      <c r="H190" s="53"/>
      <c r="I190" s="53"/>
      <c r="J190" s="53"/>
      <c r="K190" s="53"/>
      <c r="L190" s="53"/>
      <c r="M190" s="53"/>
      <c r="N190" s="53"/>
      <c r="O190" s="53"/>
      <c r="P190" s="53"/>
      <c r="Q190" s="53"/>
      <c r="R190" s="53"/>
      <c r="S190" s="53"/>
      <c r="T190" s="53"/>
      <c r="U190" s="53"/>
      <c r="V190" s="53"/>
      <c r="W190" s="53"/>
      <c r="X190" s="53"/>
      <c r="Y190" s="53"/>
      <c r="Z190" s="53"/>
      <c r="AA190" s="53"/>
      <c r="AB190" s="53"/>
      <c r="AC190" s="53"/>
      <c r="AD190" s="53"/>
      <c r="AE190" s="53"/>
      <c r="AF190" s="53"/>
      <c r="AG190" s="53"/>
      <c r="AH190" s="107">
        <f t="shared" ref="AH190:AH200" si="34">SUM(C190:AG190)</f>
        <v>0</v>
      </c>
    </row>
    <row r="191" spans="1:34">
      <c r="A191" s="375" t="s">
        <v>147</v>
      </c>
      <c r="B191" s="53">
        <f t="shared" si="33"/>
        <v>0</v>
      </c>
      <c r="C191" s="100"/>
      <c r="D191" s="107"/>
      <c r="E191" s="107"/>
      <c r="F191" s="107"/>
      <c r="G191" s="107"/>
      <c r="H191" s="107"/>
      <c r="I191" s="107"/>
      <c r="J191" s="107"/>
      <c r="K191" s="107"/>
      <c r="L191" s="107"/>
      <c r="M191" s="107"/>
      <c r="N191" s="107"/>
      <c r="O191" s="107"/>
      <c r="P191" s="107"/>
      <c r="Q191" s="107"/>
      <c r="R191" s="107"/>
      <c r="S191" s="107"/>
      <c r="T191" s="107"/>
      <c r="U191" s="107"/>
      <c r="V191" s="107"/>
      <c r="W191" s="107"/>
      <c r="X191" s="107"/>
      <c r="Y191" s="107"/>
      <c r="Z191" s="107"/>
      <c r="AA191" s="107"/>
      <c r="AB191" s="107"/>
      <c r="AC191" s="107"/>
      <c r="AD191" s="107"/>
      <c r="AE191" s="107"/>
      <c r="AF191" s="107"/>
      <c r="AG191" s="107"/>
      <c r="AH191" s="107">
        <f t="shared" si="34"/>
        <v>0</v>
      </c>
    </row>
    <row r="192" spans="1:34">
      <c r="A192" s="375" t="s">
        <v>148</v>
      </c>
      <c r="B192" s="53">
        <f t="shared" si="33"/>
        <v>0</v>
      </c>
      <c r="C192" s="103"/>
      <c r="D192" s="107"/>
      <c r="E192" s="107"/>
      <c r="F192" s="107"/>
      <c r="G192" s="53"/>
      <c r="H192" s="53"/>
      <c r="I192" s="53"/>
      <c r="J192" s="107"/>
      <c r="K192" s="107"/>
      <c r="L192" s="107"/>
      <c r="M192" s="107"/>
      <c r="N192" s="107"/>
      <c r="O192" s="107"/>
      <c r="P192" s="107"/>
      <c r="Q192" s="107"/>
      <c r="R192" s="107"/>
      <c r="S192" s="107"/>
      <c r="T192" s="107"/>
      <c r="U192" s="107"/>
      <c r="V192" s="107"/>
      <c r="W192" s="107"/>
      <c r="X192" s="107"/>
      <c r="Y192" s="107"/>
      <c r="Z192" s="107"/>
      <c r="AA192" s="107"/>
      <c r="AB192" s="107"/>
      <c r="AC192" s="107"/>
      <c r="AD192" s="107"/>
      <c r="AE192" s="107"/>
      <c r="AF192" s="107"/>
      <c r="AG192" s="107"/>
      <c r="AH192" s="107">
        <f t="shared" si="34"/>
        <v>0</v>
      </c>
    </row>
    <row r="193" spans="1:34">
      <c r="A193" s="375" t="s">
        <v>149</v>
      </c>
      <c r="B193" s="53">
        <f t="shared" si="33"/>
        <v>0</v>
      </c>
      <c r="C193" s="103"/>
      <c r="D193" s="53"/>
      <c r="E193" s="53"/>
      <c r="F193" s="53"/>
      <c r="G193" s="53"/>
      <c r="H193" s="53"/>
      <c r="I193" s="53"/>
      <c r="J193" s="107"/>
      <c r="K193" s="107"/>
      <c r="L193" s="107"/>
      <c r="M193" s="107"/>
      <c r="N193" s="107"/>
      <c r="O193" s="107"/>
      <c r="P193" s="107"/>
      <c r="Q193" s="107"/>
      <c r="R193" s="107"/>
      <c r="S193" s="107"/>
      <c r="T193" s="107"/>
      <c r="U193" s="107"/>
      <c r="V193" s="107"/>
      <c r="W193" s="107"/>
      <c r="X193" s="107"/>
      <c r="Y193" s="107"/>
      <c r="Z193" s="107"/>
      <c r="AA193" s="107"/>
      <c r="AB193" s="107"/>
      <c r="AC193" s="107"/>
      <c r="AD193" s="107"/>
      <c r="AE193" s="107"/>
      <c r="AF193" s="107"/>
      <c r="AG193" s="107"/>
      <c r="AH193" s="107">
        <f t="shared" si="34"/>
        <v>0</v>
      </c>
    </row>
    <row r="194" spans="1:34">
      <c r="A194" s="375" t="s">
        <v>150</v>
      </c>
      <c r="B194" s="53">
        <f t="shared" si="33"/>
        <v>0</v>
      </c>
      <c r="C194" s="100"/>
      <c r="D194" s="107"/>
      <c r="E194" s="107"/>
      <c r="F194" s="107"/>
      <c r="G194" s="107"/>
      <c r="H194" s="107"/>
      <c r="I194" s="107"/>
      <c r="J194" s="107"/>
      <c r="K194" s="107"/>
      <c r="L194" s="107"/>
      <c r="M194" s="107"/>
      <c r="N194" s="107"/>
      <c r="O194" s="107"/>
      <c r="P194" s="107"/>
      <c r="Q194" s="107"/>
      <c r="R194" s="107"/>
      <c r="S194" s="107"/>
      <c r="T194" s="107"/>
      <c r="U194" s="107"/>
      <c r="V194" s="107"/>
      <c r="W194" s="107"/>
      <c r="X194" s="107"/>
      <c r="Y194" s="107"/>
      <c r="Z194" s="107"/>
      <c r="AA194" s="107"/>
      <c r="AB194" s="107"/>
      <c r="AC194" s="107"/>
      <c r="AD194" s="107"/>
      <c r="AE194" s="107"/>
      <c r="AF194" s="107"/>
      <c r="AG194" s="107"/>
      <c r="AH194" s="107">
        <f t="shared" si="34"/>
        <v>0</v>
      </c>
    </row>
    <row r="195" spans="1:34">
      <c r="A195" s="375" t="s">
        <v>151</v>
      </c>
      <c r="B195" s="53">
        <f t="shared" si="33"/>
        <v>0</v>
      </c>
      <c r="C195" s="103"/>
      <c r="D195" s="107"/>
      <c r="E195" s="107"/>
      <c r="F195" s="107"/>
      <c r="G195" s="53"/>
      <c r="H195" s="53"/>
      <c r="I195" s="53"/>
      <c r="J195" s="111"/>
      <c r="K195" s="111"/>
      <c r="L195" s="107"/>
      <c r="M195" s="107"/>
      <c r="N195" s="107"/>
      <c r="O195" s="107"/>
      <c r="P195" s="107"/>
      <c r="Q195" s="107"/>
      <c r="R195" s="107"/>
      <c r="S195" s="107"/>
      <c r="T195" s="107"/>
      <c r="U195" s="107"/>
      <c r="V195" s="107"/>
      <c r="W195" s="107"/>
      <c r="X195" s="107"/>
      <c r="Y195" s="107"/>
      <c r="Z195" s="107"/>
      <c r="AA195" s="107"/>
      <c r="AB195" s="107"/>
      <c r="AC195" s="107"/>
      <c r="AD195" s="107"/>
      <c r="AE195" s="107"/>
      <c r="AF195" s="107"/>
      <c r="AG195" s="107"/>
      <c r="AH195" s="107">
        <f t="shared" si="34"/>
        <v>0</v>
      </c>
    </row>
    <row r="196" spans="1:34">
      <c r="A196" s="375" t="s">
        <v>152</v>
      </c>
      <c r="B196" s="53">
        <f t="shared" si="33"/>
        <v>0</v>
      </c>
      <c r="C196" s="103"/>
      <c r="D196" s="53"/>
      <c r="E196" s="53"/>
      <c r="F196" s="53"/>
      <c r="G196" s="53"/>
      <c r="H196" s="53"/>
      <c r="I196" s="53"/>
      <c r="J196" s="111"/>
      <c r="K196" s="111"/>
      <c r="L196" s="107"/>
      <c r="M196" s="107"/>
      <c r="N196" s="107"/>
      <c r="O196" s="107"/>
      <c r="P196" s="107"/>
      <c r="Q196" s="107"/>
      <c r="R196" s="107"/>
      <c r="S196" s="107"/>
      <c r="T196" s="107"/>
      <c r="U196" s="107"/>
      <c r="V196" s="107"/>
      <c r="W196" s="107"/>
      <c r="X196" s="107"/>
      <c r="Y196" s="107"/>
      <c r="Z196" s="107"/>
      <c r="AA196" s="107"/>
      <c r="AB196" s="107"/>
      <c r="AC196" s="107"/>
      <c r="AD196" s="107"/>
      <c r="AE196" s="107"/>
      <c r="AF196" s="107"/>
      <c r="AG196" s="107"/>
      <c r="AH196" s="107">
        <f t="shared" si="34"/>
        <v>0</v>
      </c>
    </row>
    <row r="197" spans="1:34">
      <c r="A197" s="375" t="s">
        <v>153</v>
      </c>
      <c r="B197" s="53">
        <f t="shared" si="33"/>
        <v>0</v>
      </c>
      <c r="C197" s="100"/>
      <c r="D197" s="107"/>
      <c r="E197" s="107"/>
      <c r="F197" s="107"/>
      <c r="G197" s="107"/>
      <c r="H197" s="107"/>
      <c r="I197" s="107"/>
      <c r="J197" s="111"/>
      <c r="K197" s="111"/>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107">
        <f t="shared" si="34"/>
        <v>0</v>
      </c>
    </row>
    <row r="198" spans="1:34">
      <c r="A198" s="363" t="s">
        <v>154</v>
      </c>
      <c r="B198" s="53">
        <f t="shared" si="33"/>
        <v>0</v>
      </c>
      <c r="C198" s="103"/>
      <c r="D198" s="107"/>
      <c r="E198" s="107"/>
      <c r="F198" s="107"/>
      <c r="G198" s="53"/>
      <c r="H198" s="53"/>
      <c r="I198" s="53"/>
      <c r="J198" s="53"/>
      <c r="K198" s="53"/>
      <c r="L198" s="53"/>
      <c r="M198" s="53"/>
      <c r="N198" s="53"/>
      <c r="O198" s="107"/>
      <c r="P198" s="53"/>
      <c r="Q198" s="53"/>
      <c r="R198" s="53"/>
      <c r="S198" s="53"/>
      <c r="T198" s="53"/>
      <c r="U198" s="53"/>
      <c r="V198" s="53"/>
      <c r="W198" s="53"/>
      <c r="X198" s="53"/>
      <c r="Y198" s="53"/>
      <c r="Z198" s="53"/>
      <c r="AA198" s="53"/>
      <c r="AB198" s="53"/>
      <c r="AC198" s="53"/>
      <c r="AD198" s="53"/>
      <c r="AE198" s="107"/>
      <c r="AF198" s="53"/>
      <c r="AG198" s="107"/>
      <c r="AH198" s="107">
        <f t="shared" si="34"/>
        <v>0</v>
      </c>
    </row>
    <row r="199" spans="1:34">
      <c r="A199" s="363" t="s">
        <v>155</v>
      </c>
      <c r="B199" s="53">
        <f t="shared" si="33"/>
        <v>0</v>
      </c>
      <c r="C199" s="10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c r="AB199" s="53"/>
      <c r="AC199" s="53"/>
      <c r="AD199" s="53"/>
      <c r="AE199" s="107"/>
      <c r="AF199" s="53"/>
      <c r="AG199" s="107"/>
      <c r="AH199" s="107">
        <f t="shared" si="34"/>
        <v>0</v>
      </c>
    </row>
    <row r="200" spans="1:34">
      <c r="A200" s="363" t="s">
        <v>156</v>
      </c>
      <c r="B200" s="53">
        <f t="shared" si="33"/>
        <v>0</v>
      </c>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c r="AB200" s="53"/>
      <c r="AC200" s="53"/>
      <c r="AD200" s="53"/>
      <c r="AE200" s="107"/>
      <c r="AF200" s="53"/>
      <c r="AG200" s="107"/>
      <c r="AH200" s="107">
        <f t="shared" si="34"/>
        <v>0</v>
      </c>
    </row>
    <row r="201" spans="1:34">
      <c r="A201" s="199" t="s">
        <v>144</v>
      </c>
      <c r="B201" s="200">
        <f>SUM(B189:B200)</f>
        <v>0</v>
      </c>
      <c r="C201" s="100">
        <f>SUM(C189:C199)</f>
        <v>0</v>
      </c>
      <c r="D201" s="107">
        <f>SUM(D189:D199)</f>
        <v>0</v>
      </c>
      <c r="E201" s="107">
        <v>0</v>
      </c>
      <c r="F201" s="107">
        <f t="shared" ref="F201:AC201" si="35">SUM(F189:F199)</f>
        <v>0</v>
      </c>
      <c r="G201" s="107">
        <f t="shared" si="35"/>
        <v>0</v>
      </c>
      <c r="H201" s="107">
        <f t="shared" si="35"/>
        <v>0</v>
      </c>
      <c r="I201" s="107">
        <f t="shared" si="35"/>
        <v>0</v>
      </c>
      <c r="J201" s="107">
        <f t="shared" si="35"/>
        <v>0</v>
      </c>
      <c r="K201" s="107">
        <f t="shared" si="35"/>
        <v>0</v>
      </c>
      <c r="L201" s="107">
        <f t="shared" si="35"/>
        <v>0</v>
      </c>
      <c r="M201" s="107">
        <f t="shared" si="35"/>
        <v>0</v>
      </c>
      <c r="N201" s="107">
        <f t="shared" si="35"/>
        <v>0</v>
      </c>
      <c r="O201" s="107">
        <f t="shared" si="35"/>
        <v>0</v>
      </c>
      <c r="P201" s="107">
        <f t="shared" si="35"/>
        <v>0</v>
      </c>
      <c r="Q201" s="107">
        <f t="shared" si="35"/>
        <v>0</v>
      </c>
      <c r="R201" s="107">
        <f t="shared" si="35"/>
        <v>0</v>
      </c>
      <c r="S201" s="107">
        <f t="shared" si="35"/>
        <v>0</v>
      </c>
      <c r="T201" s="107">
        <f t="shared" si="35"/>
        <v>0</v>
      </c>
      <c r="U201" s="107">
        <f t="shared" si="35"/>
        <v>0</v>
      </c>
      <c r="V201" s="107">
        <f t="shared" si="35"/>
        <v>0</v>
      </c>
      <c r="W201" s="107">
        <f t="shared" si="35"/>
        <v>0</v>
      </c>
      <c r="X201" s="107">
        <f t="shared" si="35"/>
        <v>0</v>
      </c>
      <c r="Y201" s="107">
        <f t="shared" si="35"/>
        <v>0</v>
      </c>
      <c r="Z201" s="107">
        <f t="shared" si="35"/>
        <v>0</v>
      </c>
      <c r="AA201" s="107">
        <f t="shared" si="35"/>
        <v>0</v>
      </c>
      <c r="AB201" s="107">
        <f t="shared" si="35"/>
        <v>0</v>
      </c>
      <c r="AC201" s="107">
        <f t="shared" si="35"/>
        <v>0</v>
      </c>
      <c r="AD201" s="107">
        <v>0</v>
      </c>
      <c r="AE201" s="107">
        <f>SUM(AE189:AE199)</f>
        <v>0</v>
      </c>
      <c r="AF201" s="107">
        <f>SUM(AF189:AF199)</f>
        <v>0</v>
      </c>
      <c r="AG201" s="107">
        <f>SUM(AG189:AG199)</f>
        <v>0</v>
      </c>
      <c r="AH201" s="100">
        <f>SUM(AH189:AH199)</f>
        <v>0</v>
      </c>
    </row>
    <row r="202" spans="1:34" ht="5.0999999999999996" customHeight="1">
      <c r="A202" s="49"/>
      <c r="B202" s="49"/>
      <c r="C202" s="1"/>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
    </row>
    <row r="203" spans="1:34">
      <c r="A203" s="3854" t="s">
        <v>291</v>
      </c>
      <c r="B203" s="3855"/>
      <c r="C203" s="3855"/>
      <c r="D203" s="3855"/>
      <c r="E203" s="3855"/>
      <c r="F203" s="3855"/>
      <c r="G203" s="3855"/>
      <c r="H203" s="3856"/>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row>
    <row r="204" spans="1:34">
      <c r="A204" s="8" t="s">
        <v>142</v>
      </c>
      <c r="B204" s="8" t="s">
        <v>143</v>
      </c>
      <c r="C204" s="314">
        <v>1</v>
      </c>
      <c r="D204" s="73">
        <v>2</v>
      </c>
      <c r="E204" s="73">
        <v>3</v>
      </c>
      <c r="F204" s="73">
        <v>4</v>
      </c>
      <c r="G204" s="73">
        <v>5</v>
      </c>
      <c r="H204" s="73">
        <v>6</v>
      </c>
      <c r="I204" s="73">
        <v>7</v>
      </c>
      <c r="J204" s="73">
        <v>8</v>
      </c>
      <c r="K204" s="73">
        <v>9</v>
      </c>
      <c r="L204" s="73">
        <v>10</v>
      </c>
      <c r="M204" s="73">
        <v>11</v>
      </c>
      <c r="N204" s="73">
        <v>12</v>
      </c>
      <c r="O204" s="73">
        <v>13</v>
      </c>
      <c r="P204" s="73">
        <v>14</v>
      </c>
      <c r="Q204" s="73">
        <v>15</v>
      </c>
      <c r="R204" s="73">
        <v>16</v>
      </c>
      <c r="S204" s="73">
        <v>17</v>
      </c>
      <c r="T204" s="73">
        <v>18</v>
      </c>
      <c r="U204" s="73">
        <v>19</v>
      </c>
      <c r="V204" s="73">
        <v>20</v>
      </c>
      <c r="W204" s="73">
        <v>21</v>
      </c>
      <c r="X204" s="73">
        <v>22</v>
      </c>
      <c r="Y204" s="73">
        <v>23</v>
      </c>
      <c r="Z204" s="73">
        <v>24</v>
      </c>
      <c r="AA204" s="73">
        <v>25</v>
      </c>
      <c r="AB204" s="73">
        <v>26</v>
      </c>
      <c r="AC204" s="73">
        <v>27</v>
      </c>
      <c r="AD204" s="73">
        <v>28</v>
      </c>
      <c r="AE204" s="73">
        <v>29</v>
      </c>
      <c r="AF204" s="73">
        <v>30</v>
      </c>
      <c r="AG204" s="73">
        <v>31</v>
      </c>
      <c r="AH204" s="88" t="s">
        <v>144</v>
      </c>
    </row>
    <row r="205" spans="1:34">
      <c r="A205" s="375" t="s">
        <v>145</v>
      </c>
      <c r="B205" s="53">
        <f t="shared" ref="B205:B216" si="36">+AH205</f>
        <v>0</v>
      </c>
      <c r="C205" s="103"/>
      <c r="D205" s="107"/>
      <c r="E205" s="107"/>
      <c r="F205" s="107"/>
      <c r="G205" s="53"/>
      <c r="H205" s="53"/>
      <c r="I205" s="53"/>
      <c r="J205" s="53"/>
      <c r="K205" s="53"/>
      <c r="L205" s="53"/>
      <c r="M205" s="53"/>
      <c r="N205" s="53"/>
      <c r="O205" s="53"/>
      <c r="P205" s="53"/>
      <c r="Q205" s="107"/>
      <c r="R205" s="53"/>
      <c r="S205" s="53"/>
      <c r="T205" s="53"/>
      <c r="U205" s="53"/>
      <c r="V205" s="107"/>
      <c r="W205" s="107"/>
      <c r="X205" s="53"/>
      <c r="Y205" s="53"/>
      <c r="Z205" s="53"/>
      <c r="AA205" s="53"/>
      <c r="AB205" s="53"/>
      <c r="AC205" s="53"/>
      <c r="AD205" s="107"/>
      <c r="AE205" s="53"/>
      <c r="AF205" s="53"/>
      <c r="AG205" s="53"/>
      <c r="AH205" s="107">
        <f>SUM(C205:AG205)</f>
        <v>0</v>
      </c>
    </row>
    <row r="206" spans="1:34" s="190" customFormat="1">
      <c r="A206" s="375" t="s">
        <v>146</v>
      </c>
      <c r="B206" s="53">
        <f t="shared" si="36"/>
        <v>0</v>
      </c>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c r="AB206" s="53"/>
      <c r="AC206" s="53"/>
      <c r="AD206" s="53"/>
      <c r="AE206" s="53"/>
      <c r="AF206" s="53"/>
      <c r="AG206" s="53"/>
      <c r="AH206" s="107">
        <f t="shared" ref="AH206:AH216" si="37">SUM(C206:AG206)</f>
        <v>0</v>
      </c>
    </row>
    <row r="207" spans="1:34">
      <c r="A207" s="375" t="s">
        <v>147</v>
      </c>
      <c r="B207" s="53">
        <f t="shared" si="36"/>
        <v>0</v>
      </c>
      <c r="C207" s="100"/>
      <c r="D207" s="107"/>
      <c r="E207" s="107"/>
      <c r="F207" s="107"/>
      <c r="G207" s="107"/>
      <c r="H207" s="107"/>
      <c r="I207" s="107"/>
      <c r="J207" s="107"/>
      <c r="K207" s="107"/>
      <c r="L207" s="107"/>
      <c r="M207" s="107"/>
      <c r="N207" s="107"/>
      <c r="O207" s="107"/>
      <c r="P207" s="107"/>
      <c r="Q207" s="107"/>
      <c r="R207" s="107"/>
      <c r="S207" s="107"/>
      <c r="T207" s="107"/>
      <c r="U207" s="107"/>
      <c r="V207" s="107"/>
      <c r="W207" s="107"/>
      <c r="X207" s="107"/>
      <c r="Y207" s="107"/>
      <c r="Z207" s="107"/>
      <c r="AA207" s="107"/>
      <c r="AB207" s="107"/>
      <c r="AC207" s="107"/>
      <c r="AD207" s="107"/>
      <c r="AE207" s="107"/>
      <c r="AF207" s="107"/>
      <c r="AG207" s="107"/>
      <c r="AH207" s="107">
        <f t="shared" si="37"/>
        <v>0</v>
      </c>
    </row>
    <row r="208" spans="1:34">
      <c r="A208" s="375" t="s">
        <v>148</v>
      </c>
      <c r="B208" s="53">
        <f t="shared" si="36"/>
        <v>0</v>
      </c>
      <c r="C208" s="103"/>
      <c r="D208" s="107"/>
      <c r="E208" s="107"/>
      <c r="F208" s="107"/>
      <c r="G208" s="53"/>
      <c r="H208" s="53"/>
      <c r="I208" s="53"/>
      <c r="J208" s="107"/>
      <c r="K208" s="107"/>
      <c r="L208" s="107"/>
      <c r="M208" s="107"/>
      <c r="N208" s="107"/>
      <c r="O208" s="107"/>
      <c r="P208" s="107"/>
      <c r="Q208" s="107"/>
      <c r="R208" s="107"/>
      <c r="S208" s="107"/>
      <c r="T208" s="107"/>
      <c r="U208" s="107"/>
      <c r="V208" s="107"/>
      <c r="W208" s="107"/>
      <c r="X208" s="107"/>
      <c r="Y208" s="107"/>
      <c r="Z208" s="107"/>
      <c r="AA208" s="107"/>
      <c r="AB208" s="107"/>
      <c r="AC208" s="107"/>
      <c r="AD208" s="107"/>
      <c r="AE208" s="107"/>
      <c r="AF208" s="107"/>
      <c r="AG208" s="107"/>
      <c r="AH208" s="107">
        <f t="shared" si="37"/>
        <v>0</v>
      </c>
    </row>
    <row r="209" spans="1:34" s="190" customFormat="1">
      <c r="A209" s="375" t="s">
        <v>149</v>
      </c>
      <c r="B209" s="53">
        <f t="shared" si="36"/>
        <v>0</v>
      </c>
      <c r="C209" s="53"/>
      <c r="D209" s="53"/>
      <c r="E209" s="53"/>
      <c r="F209" s="53"/>
      <c r="G209" s="53"/>
      <c r="H209" s="53"/>
      <c r="I209" s="53"/>
      <c r="J209" s="107"/>
      <c r="K209" s="107"/>
      <c r="L209" s="107"/>
      <c r="M209" s="107"/>
      <c r="N209" s="107"/>
      <c r="O209" s="107"/>
      <c r="P209" s="107"/>
      <c r="Q209" s="107"/>
      <c r="R209" s="107"/>
      <c r="S209" s="107"/>
      <c r="T209" s="107"/>
      <c r="U209" s="107"/>
      <c r="V209" s="107"/>
      <c r="W209" s="107"/>
      <c r="X209" s="107"/>
      <c r="Y209" s="107"/>
      <c r="Z209" s="107"/>
      <c r="AA209" s="107"/>
      <c r="AB209" s="107"/>
      <c r="AC209" s="107"/>
      <c r="AD209" s="107"/>
      <c r="AE209" s="107"/>
      <c r="AF209" s="107"/>
      <c r="AG209" s="107"/>
      <c r="AH209" s="107">
        <f t="shared" si="37"/>
        <v>0</v>
      </c>
    </row>
    <row r="210" spans="1:34">
      <c r="A210" s="375" t="s">
        <v>150</v>
      </c>
      <c r="B210" s="53">
        <f t="shared" si="36"/>
        <v>0</v>
      </c>
      <c r="C210" s="100"/>
      <c r="D210" s="107"/>
      <c r="E210" s="107"/>
      <c r="F210" s="107"/>
      <c r="G210" s="107"/>
      <c r="H210" s="107"/>
      <c r="I210" s="107"/>
      <c r="J210" s="107"/>
      <c r="K210" s="107"/>
      <c r="L210" s="107"/>
      <c r="M210" s="107"/>
      <c r="N210" s="107"/>
      <c r="O210" s="107"/>
      <c r="P210" s="107"/>
      <c r="Q210" s="107"/>
      <c r="R210" s="107"/>
      <c r="S210" s="107"/>
      <c r="T210" s="107"/>
      <c r="U210" s="107"/>
      <c r="V210" s="107"/>
      <c r="W210" s="107"/>
      <c r="X210" s="107"/>
      <c r="Y210" s="107"/>
      <c r="Z210" s="107"/>
      <c r="AA210" s="107"/>
      <c r="AB210" s="107"/>
      <c r="AC210" s="107"/>
      <c r="AD210" s="107"/>
      <c r="AE210" s="107"/>
      <c r="AF210" s="107"/>
      <c r="AG210" s="107"/>
      <c r="AH210" s="107">
        <f t="shared" si="37"/>
        <v>0</v>
      </c>
    </row>
    <row r="211" spans="1:34">
      <c r="A211" s="375" t="s">
        <v>151</v>
      </c>
      <c r="B211" s="53">
        <f t="shared" si="36"/>
        <v>0</v>
      </c>
      <c r="C211" s="103"/>
      <c r="D211" s="107"/>
      <c r="E211" s="107"/>
      <c r="F211" s="107"/>
      <c r="G211" s="53"/>
      <c r="H211" s="53"/>
      <c r="I211" s="53"/>
      <c r="J211" s="111"/>
      <c r="K211" s="111"/>
      <c r="L211" s="107"/>
      <c r="M211" s="107"/>
      <c r="N211" s="53"/>
      <c r="O211" s="53"/>
      <c r="P211" s="53"/>
      <c r="Q211" s="107"/>
      <c r="R211" s="107"/>
      <c r="S211" s="107"/>
      <c r="T211" s="107"/>
      <c r="U211" s="107"/>
      <c r="V211" s="107"/>
      <c r="W211" s="107"/>
      <c r="X211" s="107"/>
      <c r="Y211" s="107"/>
      <c r="Z211" s="107"/>
      <c r="AA211" s="107"/>
      <c r="AB211" s="107"/>
      <c r="AC211" s="107"/>
      <c r="AD211" s="107"/>
      <c r="AE211" s="107"/>
      <c r="AF211" s="107"/>
      <c r="AG211" s="107"/>
      <c r="AH211" s="107">
        <f t="shared" si="37"/>
        <v>0</v>
      </c>
    </row>
    <row r="212" spans="1:34" s="190" customFormat="1">
      <c r="A212" s="375" t="s">
        <v>152</v>
      </c>
      <c r="B212" s="53">
        <f t="shared" si="36"/>
        <v>0</v>
      </c>
      <c r="C212" s="53"/>
      <c r="D212" s="53"/>
      <c r="E212" s="53"/>
      <c r="F212" s="53"/>
      <c r="G212" s="53"/>
      <c r="H212" s="53"/>
      <c r="I212" s="53"/>
      <c r="J212" s="187"/>
      <c r="K212" s="187"/>
      <c r="L212" s="107"/>
      <c r="M212" s="107"/>
      <c r="N212" s="107"/>
      <c r="O212" s="107"/>
      <c r="P212" s="107"/>
      <c r="Q212" s="107"/>
      <c r="R212" s="107"/>
      <c r="S212" s="107"/>
      <c r="T212" s="107"/>
      <c r="U212" s="107"/>
      <c r="V212" s="107"/>
      <c r="W212" s="107"/>
      <c r="X212" s="107"/>
      <c r="Y212" s="107"/>
      <c r="Z212" s="107"/>
      <c r="AA212" s="107"/>
      <c r="AB212" s="107"/>
      <c r="AC212" s="107"/>
      <c r="AD212" s="107"/>
      <c r="AE212" s="107"/>
      <c r="AF212" s="107"/>
      <c r="AG212" s="107"/>
      <c r="AH212" s="107">
        <f t="shared" si="37"/>
        <v>0</v>
      </c>
    </row>
    <row r="213" spans="1:34">
      <c r="A213" s="375" t="s">
        <v>153</v>
      </c>
      <c r="B213" s="53">
        <f t="shared" si="36"/>
        <v>0</v>
      </c>
      <c r="C213" s="100"/>
      <c r="D213" s="107"/>
      <c r="E213" s="107"/>
      <c r="F213" s="107"/>
      <c r="G213" s="107"/>
      <c r="H213" s="107"/>
      <c r="I213" s="107"/>
      <c r="J213" s="111"/>
      <c r="K213" s="111"/>
      <c r="L213" s="53"/>
      <c r="M213" s="53"/>
      <c r="N213" s="53"/>
      <c r="O213" s="53"/>
      <c r="P213" s="53"/>
      <c r="Q213" s="53"/>
      <c r="R213" s="53"/>
      <c r="S213" s="53"/>
      <c r="T213" s="53"/>
      <c r="U213" s="53"/>
      <c r="V213" s="53"/>
      <c r="W213" s="53"/>
      <c r="X213" s="53"/>
      <c r="Y213" s="53"/>
      <c r="Z213" s="53"/>
      <c r="AA213" s="53"/>
      <c r="AB213" s="53"/>
      <c r="AC213" s="53"/>
      <c r="AD213" s="53"/>
      <c r="AE213" s="53"/>
      <c r="AF213" s="53"/>
      <c r="AG213" s="53"/>
      <c r="AH213" s="107">
        <f t="shared" si="37"/>
        <v>0</v>
      </c>
    </row>
    <row r="214" spans="1:34">
      <c r="A214" s="363" t="s">
        <v>154</v>
      </c>
      <c r="B214" s="53">
        <f t="shared" si="36"/>
        <v>0</v>
      </c>
      <c r="C214" s="103"/>
      <c r="D214" s="107"/>
      <c r="E214" s="107"/>
      <c r="F214" s="107"/>
      <c r="G214" s="53"/>
      <c r="H214" s="53"/>
      <c r="I214" s="53"/>
      <c r="J214" s="53"/>
      <c r="K214" s="53"/>
      <c r="L214" s="53"/>
      <c r="M214" s="53"/>
      <c r="N214" s="53"/>
      <c r="O214" s="107"/>
      <c r="P214" s="53"/>
      <c r="Q214" s="53"/>
      <c r="R214" s="53"/>
      <c r="S214" s="53"/>
      <c r="T214" s="53"/>
      <c r="U214" s="53"/>
      <c r="V214" s="53"/>
      <c r="W214" s="53"/>
      <c r="X214" s="53"/>
      <c r="Y214" s="53"/>
      <c r="Z214" s="53"/>
      <c r="AA214" s="53"/>
      <c r="AB214" s="53"/>
      <c r="AC214" s="53"/>
      <c r="AD214" s="53"/>
      <c r="AE214" s="107"/>
      <c r="AF214" s="53"/>
      <c r="AG214" s="107"/>
      <c r="AH214" s="107">
        <f t="shared" si="37"/>
        <v>0</v>
      </c>
    </row>
    <row r="215" spans="1:34">
      <c r="A215" s="363" t="s">
        <v>155</v>
      </c>
      <c r="B215" s="53">
        <f t="shared" si="36"/>
        <v>0</v>
      </c>
      <c r="C215" s="10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c r="AB215" s="53"/>
      <c r="AC215" s="53"/>
      <c r="AD215" s="53"/>
      <c r="AE215" s="107"/>
      <c r="AF215" s="53"/>
      <c r="AG215" s="107"/>
      <c r="AH215" s="107">
        <f t="shared" si="37"/>
        <v>0</v>
      </c>
    </row>
    <row r="216" spans="1:34">
      <c r="A216" s="363" t="s">
        <v>156</v>
      </c>
      <c r="B216" s="53">
        <f t="shared" si="36"/>
        <v>0</v>
      </c>
      <c r="C216" s="10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c r="AB216" s="53"/>
      <c r="AC216" s="53"/>
      <c r="AD216" s="53"/>
      <c r="AE216" s="107"/>
      <c r="AF216" s="53"/>
      <c r="AG216" s="107"/>
      <c r="AH216" s="107">
        <f t="shared" si="37"/>
        <v>0</v>
      </c>
    </row>
    <row r="217" spans="1:34">
      <c r="A217" s="199" t="s">
        <v>144</v>
      </c>
      <c r="B217" s="200">
        <f>SUM(B205:B216)</f>
        <v>0</v>
      </c>
      <c r="C217" s="100">
        <f>SUM(C205:C215)</f>
        <v>0</v>
      </c>
      <c r="D217" s="107">
        <f>SUM(D205:D215)</f>
        <v>0</v>
      </c>
      <c r="E217" s="107">
        <v>0</v>
      </c>
      <c r="F217" s="107">
        <f t="shared" ref="F217:AC217" si="38">SUM(F205:F215)</f>
        <v>0</v>
      </c>
      <c r="G217" s="107">
        <f t="shared" si="38"/>
        <v>0</v>
      </c>
      <c r="H217" s="107">
        <f t="shared" si="38"/>
        <v>0</v>
      </c>
      <c r="I217" s="107">
        <f t="shared" si="38"/>
        <v>0</v>
      </c>
      <c r="J217" s="107">
        <f t="shared" si="38"/>
        <v>0</v>
      </c>
      <c r="K217" s="107">
        <f t="shared" si="38"/>
        <v>0</v>
      </c>
      <c r="L217" s="107">
        <f t="shared" si="38"/>
        <v>0</v>
      </c>
      <c r="M217" s="107">
        <f t="shared" si="38"/>
        <v>0</v>
      </c>
      <c r="N217" s="107">
        <f t="shared" si="38"/>
        <v>0</v>
      </c>
      <c r="O217" s="107">
        <f t="shared" si="38"/>
        <v>0</v>
      </c>
      <c r="P217" s="107">
        <f t="shared" si="38"/>
        <v>0</v>
      </c>
      <c r="Q217" s="107">
        <f t="shared" si="38"/>
        <v>0</v>
      </c>
      <c r="R217" s="107">
        <f t="shared" si="38"/>
        <v>0</v>
      </c>
      <c r="S217" s="107">
        <f t="shared" si="38"/>
        <v>0</v>
      </c>
      <c r="T217" s="107">
        <f t="shared" si="38"/>
        <v>0</v>
      </c>
      <c r="U217" s="107">
        <f t="shared" si="38"/>
        <v>0</v>
      </c>
      <c r="V217" s="107">
        <f t="shared" si="38"/>
        <v>0</v>
      </c>
      <c r="W217" s="107">
        <f t="shared" si="38"/>
        <v>0</v>
      </c>
      <c r="X217" s="107">
        <f t="shared" si="38"/>
        <v>0</v>
      </c>
      <c r="Y217" s="107">
        <f t="shared" si="38"/>
        <v>0</v>
      </c>
      <c r="Z217" s="107">
        <f t="shared" si="38"/>
        <v>0</v>
      </c>
      <c r="AA217" s="107">
        <f t="shared" si="38"/>
        <v>0</v>
      </c>
      <c r="AB217" s="107">
        <f t="shared" si="38"/>
        <v>0</v>
      </c>
      <c r="AC217" s="107">
        <f t="shared" si="38"/>
        <v>0</v>
      </c>
      <c r="AD217" s="107">
        <v>0</v>
      </c>
      <c r="AE217" s="107">
        <f>SUM(AE205:AE215)</f>
        <v>0</v>
      </c>
      <c r="AF217" s="107">
        <f>SUM(AF205:AF215)</f>
        <v>0</v>
      </c>
      <c r="AG217" s="107">
        <f>SUM(AG205:AG215)</f>
        <v>0</v>
      </c>
      <c r="AH217" s="100">
        <f>SUM(AH205:AH215)</f>
        <v>0</v>
      </c>
    </row>
    <row r="218" spans="1:34" ht="5.0999999999999996" customHeight="1">
      <c r="A218" s="49"/>
      <c r="B218" s="49"/>
      <c r="C218" s="1"/>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
    </row>
    <row r="219" spans="1:34">
      <c r="A219" s="3854" t="s">
        <v>292</v>
      </c>
      <c r="B219" s="3855"/>
      <c r="C219" s="3855"/>
      <c r="D219" s="3855"/>
      <c r="E219" s="3855"/>
      <c r="F219" s="3855"/>
      <c r="G219" s="3855"/>
      <c r="H219" s="3856"/>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row>
    <row r="220" spans="1:34">
      <c r="A220" s="8" t="s">
        <v>142</v>
      </c>
      <c r="B220" s="8" t="s">
        <v>143</v>
      </c>
      <c r="C220" s="314">
        <v>1</v>
      </c>
      <c r="D220" s="73">
        <v>2</v>
      </c>
      <c r="E220" s="73">
        <v>3</v>
      </c>
      <c r="F220" s="73">
        <v>4</v>
      </c>
      <c r="G220" s="73">
        <v>5</v>
      </c>
      <c r="H220" s="73">
        <v>6</v>
      </c>
      <c r="I220" s="73">
        <v>7</v>
      </c>
      <c r="J220" s="73">
        <v>8</v>
      </c>
      <c r="K220" s="73">
        <v>9</v>
      </c>
      <c r="L220" s="73">
        <v>10</v>
      </c>
      <c r="M220" s="73">
        <v>11</v>
      </c>
      <c r="N220" s="73">
        <v>12</v>
      </c>
      <c r="O220" s="73">
        <v>13</v>
      </c>
      <c r="P220" s="73">
        <v>14</v>
      </c>
      <c r="Q220" s="73">
        <v>15</v>
      </c>
      <c r="R220" s="73">
        <v>16</v>
      </c>
      <c r="S220" s="73">
        <v>17</v>
      </c>
      <c r="T220" s="73">
        <v>18</v>
      </c>
      <c r="U220" s="73">
        <v>19</v>
      </c>
      <c r="V220" s="73">
        <v>20</v>
      </c>
      <c r="W220" s="73">
        <v>21</v>
      </c>
      <c r="X220" s="73">
        <v>22</v>
      </c>
      <c r="Y220" s="73">
        <v>23</v>
      </c>
      <c r="Z220" s="73">
        <v>24</v>
      </c>
      <c r="AA220" s="73">
        <v>25</v>
      </c>
      <c r="AB220" s="73">
        <v>26</v>
      </c>
      <c r="AC220" s="73">
        <v>27</v>
      </c>
      <c r="AD220" s="73">
        <v>28</v>
      </c>
      <c r="AE220" s="73">
        <v>29</v>
      </c>
      <c r="AF220" s="73">
        <v>30</v>
      </c>
      <c r="AG220" s="73">
        <v>31</v>
      </c>
      <c r="AH220" s="88" t="s">
        <v>144</v>
      </c>
    </row>
    <row r="221" spans="1:34">
      <c r="A221" s="375" t="s">
        <v>145</v>
      </c>
      <c r="B221" s="53">
        <f t="shared" ref="B221:B232" si="39">+AH221</f>
        <v>0</v>
      </c>
      <c r="C221" s="103"/>
      <c r="D221" s="107"/>
      <c r="E221" s="107"/>
      <c r="F221" s="107"/>
      <c r="G221" s="53"/>
      <c r="H221" s="53"/>
      <c r="I221" s="53"/>
      <c r="J221" s="53"/>
      <c r="K221" s="53"/>
      <c r="L221" s="53"/>
      <c r="M221" s="53"/>
      <c r="N221" s="53"/>
      <c r="O221" s="53"/>
      <c r="P221" s="53"/>
      <c r="Q221" s="107"/>
      <c r="R221" s="53"/>
      <c r="S221" s="53"/>
      <c r="T221" s="53"/>
      <c r="U221" s="53"/>
      <c r="V221" s="107"/>
      <c r="W221" s="107"/>
      <c r="X221" s="53"/>
      <c r="Y221" s="53"/>
      <c r="Z221" s="53"/>
      <c r="AA221" s="53"/>
      <c r="AB221" s="53"/>
      <c r="AC221" s="53"/>
      <c r="AD221" s="107"/>
      <c r="AE221" s="53"/>
      <c r="AF221" s="53"/>
      <c r="AG221" s="53"/>
      <c r="AH221" s="107">
        <f>SUM(C221:AG221)</f>
        <v>0</v>
      </c>
    </row>
    <row r="222" spans="1:34" s="190" customFormat="1">
      <c r="A222" s="375" t="s">
        <v>146</v>
      </c>
      <c r="B222" s="53">
        <f t="shared" si="39"/>
        <v>0</v>
      </c>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c r="AA222" s="53"/>
      <c r="AB222" s="53"/>
      <c r="AC222" s="53"/>
      <c r="AD222" s="53"/>
      <c r="AE222" s="53"/>
      <c r="AF222" s="53"/>
      <c r="AG222" s="53"/>
      <c r="AH222" s="107">
        <f t="shared" ref="AH222:AH232" si="40">SUM(C222:AG222)</f>
        <v>0</v>
      </c>
    </row>
    <row r="223" spans="1:34">
      <c r="A223" s="375" t="s">
        <v>147</v>
      </c>
      <c r="B223" s="53">
        <f t="shared" si="39"/>
        <v>0</v>
      </c>
      <c r="C223" s="100"/>
      <c r="D223" s="107"/>
      <c r="E223" s="107"/>
      <c r="F223" s="107"/>
      <c r="G223" s="107"/>
      <c r="H223" s="107"/>
      <c r="I223" s="107"/>
      <c r="J223" s="107"/>
      <c r="K223" s="107"/>
      <c r="L223" s="107"/>
      <c r="M223" s="107"/>
      <c r="N223" s="107"/>
      <c r="O223" s="107"/>
      <c r="P223" s="107"/>
      <c r="Q223" s="107"/>
      <c r="R223" s="107"/>
      <c r="S223" s="107"/>
      <c r="T223" s="107"/>
      <c r="U223" s="107"/>
      <c r="V223" s="107"/>
      <c r="W223" s="107"/>
      <c r="X223" s="107"/>
      <c r="Y223" s="107"/>
      <c r="Z223" s="107"/>
      <c r="AA223" s="107"/>
      <c r="AB223" s="107"/>
      <c r="AC223" s="107"/>
      <c r="AD223" s="107"/>
      <c r="AE223" s="107"/>
      <c r="AF223" s="107"/>
      <c r="AG223" s="107"/>
      <c r="AH223" s="107">
        <f t="shared" si="40"/>
        <v>0</v>
      </c>
    </row>
    <row r="224" spans="1:34">
      <c r="A224" s="375" t="s">
        <v>148</v>
      </c>
      <c r="B224" s="53">
        <f t="shared" si="39"/>
        <v>0</v>
      </c>
      <c r="C224" s="103"/>
      <c r="D224" s="107"/>
      <c r="E224" s="107"/>
      <c r="F224" s="107"/>
      <c r="G224" s="53"/>
      <c r="H224" s="53"/>
      <c r="I224" s="53"/>
      <c r="J224" s="107"/>
      <c r="K224" s="107"/>
      <c r="L224" s="107"/>
      <c r="M224" s="107"/>
      <c r="N224" s="107"/>
      <c r="O224" s="107"/>
      <c r="P224" s="107"/>
      <c r="Q224" s="107"/>
      <c r="R224" s="107"/>
      <c r="S224" s="107"/>
      <c r="T224" s="107"/>
      <c r="U224" s="107"/>
      <c r="V224" s="107"/>
      <c r="W224" s="107"/>
      <c r="X224" s="107"/>
      <c r="Y224" s="107"/>
      <c r="Z224" s="107"/>
      <c r="AA224" s="107"/>
      <c r="AB224" s="107"/>
      <c r="AC224" s="107"/>
      <c r="AD224" s="107"/>
      <c r="AE224" s="107"/>
      <c r="AF224" s="107"/>
      <c r="AG224" s="107"/>
      <c r="AH224" s="107">
        <f t="shared" si="40"/>
        <v>0</v>
      </c>
    </row>
    <row r="225" spans="1:34" s="190" customFormat="1">
      <c r="A225" s="375" t="s">
        <v>149</v>
      </c>
      <c r="B225" s="53">
        <f t="shared" si="39"/>
        <v>0</v>
      </c>
      <c r="C225" s="53"/>
      <c r="D225" s="53"/>
      <c r="E225" s="53"/>
      <c r="F225" s="53"/>
      <c r="G225" s="53"/>
      <c r="H225" s="53"/>
      <c r="I225" s="53"/>
      <c r="J225" s="107"/>
      <c r="K225" s="107"/>
      <c r="L225" s="107"/>
      <c r="M225" s="107"/>
      <c r="N225" s="107"/>
      <c r="O225" s="107"/>
      <c r="P225" s="107"/>
      <c r="Q225" s="107"/>
      <c r="R225" s="107"/>
      <c r="S225" s="107"/>
      <c r="T225" s="107"/>
      <c r="U225" s="107"/>
      <c r="V225" s="107"/>
      <c r="W225" s="107"/>
      <c r="X225" s="107"/>
      <c r="Y225" s="107"/>
      <c r="Z225" s="107"/>
      <c r="AA225" s="107"/>
      <c r="AB225" s="107"/>
      <c r="AC225" s="107"/>
      <c r="AD225" s="107"/>
      <c r="AE225" s="107"/>
      <c r="AF225" s="107"/>
      <c r="AG225" s="107"/>
      <c r="AH225" s="107">
        <f t="shared" si="40"/>
        <v>0</v>
      </c>
    </row>
    <row r="226" spans="1:34">
      <c r="A226" s="375" t="s">
        <v>150</v>
      </c>
      <c r="B226" s="53">
        <f t="shared" si="39"/>
        <v>0</v>
      </c>
      <c r="C226" s="100"/>
      <c r="D226" s="107"/>
      <c r="E226" s="107"/>
      <c r="F226" s="107"/>
      <c r="G226" s="107"/>
      <c r="H226" s="107"/>
      <c r="I226" s="107"/>
      <c r="J226" s="107"/>
      <c r="K226" s="107"/>
      <c r="L226" s="107"/>
      <c r="M226" s="107"/>
      <c r="N226" s="107"/>
      <c r="O226" s="107"/>
      <c r="P226" s="107"/>
      <c r="Q226" s="107"/>
      <c r="R226" s="107"/>
      <c r="S226" s="107"/>
      <c r="T226" s="107"/>
      <c r="U226" s="107"/>
      <c r="V226" s="107"/>
      <c r="W226" s="107"/>
      <c r="X226" s="107"/>
      <c r="Y226" s="107"/>
      <c r="Z226" s="107"/>
      <c r="AA226" s="107"/>
      <c r="AB226" s="107"/>
      <c r="AC226" s="107"/>
      <c r="AD226" s="107"/>
      <c r="AE226" s="107"/>
      <c r="AF226" s="107"/>
      <c r="AG226" s="107"/>
      <c r="AH226" s="107">
        <f t="shared" si="40"/>
        <v>0</v>
      </c>
    </row>
    <row r="227" spans="1:34">
      <c r="A227" s="375" t="s">
        <v>151</v>
      </c>
      <c r="B227" s="53">
        <f t="shared" si="39"/>
        <v>0</v>
      </c>
      <c r="C227" s="103"/>
      <c r="D227" s="107"/>
      <c r="E227" s="107"/>
      <c r="F227" s="107"/>
      <c r="G227" s="53"/>
      <c r="H227" s="53"/>
      <c r="I227" s="53"/>
      <c r="J227" s="111"/>
      <c r="K227" s="111"/>
      <c r="L227" s="107"/>
      <c r="M227" s="107"/>
      <c r="N227" s="53"/>
      <c r="O227" s="53"/>
      <c r="P227" s="53"/>
      <c r="Q227" s="107"/>
      <c r="R227" s="107"/>
      <c r="S227" s="107"/>
      <c r="T227" s="107"/>
      <c r="U227" s="107"/>
      <c r="V227" s="107"/>
      <c r="W227" s="107"/>
      <c r="X227" s="107"/>
      <c r="Y227" s="107"/>
      <c r="Z227" s="107"/>
      <c r="AA227" s="107"/>
      <c r="AB227" s="107"/>
      <c r="AC227" s="107"/>
      <c r="AD227" s="107"/>
      <c r="AE227" s="107"/>
      <c r="AF227" s="107"/>
      <c r="AG227" s="107"/>
      <c r="AH227" s="107">
        <f t="shared" si="40"/>
        <v>0</v>
      </c>
    </row>
    <row r="228" spans="1:34" s="190" customFormat="1">
      <c r="A228" s="375" t="s">
        <v>152</v>
      </c>
      <c r="B228" s="53">
        <f t="shared" si="39"/>
        <v>0</v>
      </c>
      <c r="C228" s="53"/>
      <c r="D228" s="53"/>
      <c r="E228" s="53"/>
      <c r="F228" s="53"/>
      <c r="G228" s="53"/>
      <c r="H228" s="53"/>
      <c r="I228" s="53"/>
      <c r="J228" s="187"/>
      <c r="K228" s="187"/>
      <c r="L228" s="107"/>
      <c r="M228" s="107"/>
      <c r="N228" s="107"/>
      <c r="O228" s="107"/>
      <c r="P228" s="107"/>
      <c r="Q228" s="107"/>
      <c r="R228" s="107"/>
      <c r="S228" s="107"/>
      <c r="T228" s="107"/>
      <c r="U228" s="107"/>
      <c r="V228" s="107"/>
      <c r="W228" s="107"/>
      <c r="X228" s="107"/>
      <c r="Y228" s="107"/>
      <c r="Z228" s="107"/>
      <c r="AA228" s="107"/>
      <c r="AB228" s="107"/>
      <c r="AC228" s="107"/>
      <c r="AD228" s="107"/>
      <c r="AE228" s="107"/>
      <c r="AF228" s="107"/>
      <c r="AG228" s="107"/>
      <c r="AH228" s="107">
        <f t="shared" si="40"/>
        <v>0</v>
      </c>
    </row>
    <row r="229" spans="1:34">
      <c r="A229" s="375" t="s">
        <v>153</v>
      </c>
      <c r="B229" s="53">
        <f t="shared" si="39"/>
        <v>0</v>
      </c>
      <c r="C229" s="100"/>
      <c r="D229" s="107"/>
      <c r="E229" s="107"/>
      <c r="F229" s="107"/>
      <c r="G229" s="107"/>
      <c r="H229" s="107"/>
      <c r="I229" s="107"/>
      <c r="J229" s="111"/>
      <c r="K229" s="111"/>
      <c r="L229" s="53"/>
      <c r="M229" s="53"/>
      <c r="N229" s="53"/>
      <c r="O229" s="53"/>
      <c r="P229" s="53"/>
      <c r="Q229" s="53"/>
      <c r="R229" s="53"/>
      <c r="S229" s="53"/>
      <c r="T229" s="53"/>
      <c r="U229" s="53"/>
      <c r="V229" s="53"/>
      <c r="W229" s="53"/>
      <c r="X229" s="53"/>
      <c r="Y229" s="53"/>
      <c r="Z229" s="53"/>
      <c r="AA229" s="53"/>
      <c r="AB229" s="53"/>
      <c r="AC229" s="53"/>
      <c r="AD229" s="53"/>
      <c r="AE229" s="53"/>
      <c r="AF229" s="53"/>
      <c r="AG229" s="53"/>
      <c r="AH229" s="107">
        <f t="shared" si="40"/>
        <v>0</v>
      </c>
    </row>
    <row r="230" spans="1:34">
      <c r="A230" s="363" t="s">
        <v>154</v>
      </c>
      <c r="B230" s="53">
        <f t="shared" si="39"/>
        <v>0</v>
      </c>
      <c r="C230" s="103"/>
      <c r="D230" s="107"/>
      <c r="E230" s="107"/>
      <c r="F230" s="107"/>
      <c r="G230" s="53"/>
      <c r="H230" s="53"/>
      <c r="I230" s="53"/>
      <c r="J230" s="53"/>
      <c r="K230" s="53"/>
      <c r="L230" s="53"/>
      <c r="M230" s="53"/>
      <c r="N230" s="53"/>
      <c r="O230" s="107"/>
      <c r="P230" s="53"/>
      <c r="Q230" s="53"/>
      <c r="R230" s="53"/>
      <c r="S230" s="53"/>
      <c r="T230" s="53"/>
      <c r="U230" s="53"/>
      <c r="V230" s="53"/>
      <c r="W230" s="53"/>
      <c r="X230" s="53"/>
      <c r="Y230" s="53"/>
      <c r="Z230" s="53"/>
      <c r="AA230" s="53"/>
      <c r="AB230" s="53"/>
      <c r="AC230" s="53"/>
      <c r="AD230" s="53"/>
      <c r="AE230" s="107"/>
      <c r="AF230" s="53"/>
      <c r="AG230" s="107"/>
      <c r="AH230" s="107">
        <f t="shared" si="40"/>
        <v>0</v>
      </c>
    </row>
    <row r="231" spans="1:34">
      <c r="A231" s="363" t="s">
        <v>155</v>
      </c>
      <c r="B231" s="53">
        <f t="shared" si="39"/>
        <v>0</v>
      </c>
      <c r="C231" s="103"/>
      <c r="D231" s="53"/>
      <c r="E231" s="53"/>
      <c r="F231" s="53"/>
      <c r="G231" s="53"/>
      <c r="H231" s="53"/>
      <c r="I231" s="53"/>
      <c r="J231" s="53"/>
      <c r="K231" s="53"/>
      <c r="L231" s="53"/>
      <c r="M231" s="53"/>
      <c r="N231" s="53"/>
      <c r="O231" s="53"/>
      <c r="P231" s="53"/>
      <c r="Q231" s="53"/>
      <c r="R231" s="53"/>
      <c r="S231" s="53"/>
      <c r="T231" s="53"/>
      <c r="U231" s="53"/>
      <c r="V231" s="53"/>
      <c r="W231" s="53"/>
      <c r="X231" s="53"/>
      <c r="Y231" s="53"/>
      <c r="Z231" s="53"/>
      <c r="AA231" s="53"/>
      <c r="AB231" s="53"/>
      <c r="AC231" s="53"/>
      <c r="AD231" s="53"/>
      <c r="AE231" s="107"/>
      <c r="AF231" s="53"/>
      <c r="AG231" s="107"/>
      <c r="AH231" s="107">
        <f t="shared" si="40"/>
        <v>0</v>
      </c>
    </row>
    <row r="232" spans="1:34">
      <c r="A232" s="363" t="s">
        <v>156</v>
      </c>
      <c r="B232" s="53">
        <f t="shared" si="39"/>
        <v>0</v>
      </c>
      <c r="C232" s="103"/>
      <c r="D232" s="53"/>
      <c r="E232" s="53"/>
      <c r="F232" s="53"/>
      <c r="G232" s="53"/>
      <c r="H232" s="53"/>
      <c r="I232" s="53"/>
      <c r="J232" s="53"/>
      <c r="K232" s="53"/>
      <c r="L232" s="53"/>
      <c r="M232" s="53"/>
      <c r="N232" s="53"/>
      <c r="O232" s="53"/>
      <c r="P232" s="53"/>
      <c r="Q232" s="53"/>
      <c r="R232" s="53"/>
      <c r="S232" s="53"/>
      <c r="T232" s="53"/>
      <c r="U232" s="53"/>
      <c r="V232" s="53"/>
      <c r="W232" s="53"/>
      <c r="X232" s="53"/>
      <c r="Y232" s="53"/>
      <c r="Z232" s="53"/>
      <c r="AA232" s="53"/>
      <c r="AB232" s="53"/>
      <c r="AC232" s="53"/>
      <c r="AD232" s="53"/>
      <c r="AE232" s="107"/>
      <c r="AF232" s="53"/>
      <c r="AG232" s="107"/>
      <c r="AH232" s="107">
        <f t="shared" si="40"/>
        <v>0</v>
      </c>
    </row>
    <row r="233" spans="1:34">
      <c r="A233" s="199" t="s">
        <v>144</v>
      </c>
      <c r="B233" s="200">
        <f>SUM(B221:B232)</f>
        <v>0</v>
      </c>
      <c r="C233" s="100">
        <f>SUM(C221:C231)</f>
        <v>0</v>
      </c>
      <c r="D233" s="107">
        <f>SUM(D221:D231)</f>
        <v>0</v>
      </c>
      <c r="E233" s="107">
        <v>0</v>
      </c>
      <c r="F233" s="107">
        <f t="shared" ref="F233:AC233" si="41">SUM(F221:F231)</f>
        <v>0</v>
      </c>
      <c r="G233" s="107">
        <f t="shared" si="41"/>
        <v>0</v>
      </c>
      <c r="H233" s="107">
        <f t="shared" si="41"/>
        <v>0</v>
      </c>
      <c r="I233" s="107">
        <f t="shared" si="41"/>
        <v>0</v>
      </c>
      <c r="J233" s="107">
        <f t="shared" si="41"/>
        <v>0</v>
      </c>
      <c r="K233" s="107">
        <f t="shared" si="41"/>
        <v>0</v>
      </c>
      <c r="L233" s="107">
        <f t="shared" si="41"/>
        <v>0</v>
      </c>
      <c r="M233" s="107">
        <f t="shared" si="41"/>
        <v>0</v>
      </c>
      <c r="N233" s="107">
        <f t="shared" si="41"/>
        <v>0</v>
      </c>
      <c r="O233" s="107">
        <f t="shared" si="41"/>
        <v>0</v>
      </c>
      <c r="P233" s="107">
        <f t="shared" si="41"/>
        <v>0</v>
      </c>
      <c r="Q233" s="107">
        <f t="shared" si="41"/>
        <v>0</v>
      </c>
      <c r="R233" s="107">
        <f t="shared" si="41"/>
        <v>0</v>
      </c>
      <c r="S233" s="107">
        <f t="shared" si="41"/>
        <v>0</v>
      </c>
      <c r="T233" s="107">
        <f t="shared" si="41"/>
        <v>0</v>
      </c>
      <c r="U233" s="107">
        <f t="shared" si="41"/>
        <v>0</v>
      </c>
      <c r="V233" s="107">
        <f t="shared" si="41"/>
        <v>0</v>
      </c>
      <c r="W233" s="107">
        <f t="shared" si="41"/>
        <v>0</v>
      </c>
      <c r="X233" s="107">
        <f t="shared" si="41"/>
        <v>0</v>
      </c>
      <c r="Y233" s="107">
        <f t="shared" si="41"/>
        <v>0</v>
      </c>
      <c r="Z233" s="107">
        <f t="shared" si="41"/>
        <v>0</v>
      </c>
      <c r="AA233" s="107">
        <f t="shared" si="41"/>
        <v>0</v>
      </c>
      <c r="AB233" s="107">
        <f t="shared" si="41"/>
        <v>0</v>
      </c>
      <c r="AC233" s="107">
        <f t="shared" si="41"/>
        <v>0</v>
      </c>
      <c r="AD233" s="107">
        <v>0</v>
      </c>
      <c r="AE233" s="107">
        <f>SUM(AE221:AE231)</f>
        <v>0</v>
      </c>
      <c r="AF233" s="107">
        <f>SUM(AF221:AF231)</f>
        <v>0</v>
      </c>
      <c r="AG233" s="107">
        <f>SUM(AG221:AG231)</f>
        <v>0</v>
      </c>
      <c r="AH233" s="100">
        <f>SUM(AH221:AH231)</f>
        <v>0</v>
      </c>
    </row>
    <row r="234" spans="1:34" ht="5.0999999999999996" customHeight="1">
      <c r="A234" s="49"/>
      <c r="B234" s="49"/>
      <c r="C234" s="1"/>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
    </row>
    <row r="235" spans="1:34">
      <c r="A235" s="3854" t="s">
        <v>293</v>
      </c>
      <c r="B235" s="3855"/>
      <c r="C235" s="3855"/>
      <c r="D235" s="3855"/>
      <c r="E235" s="3855"/>
      <c r="F235" s="3855"/>
      <c r="G235" s="3855"/>
      <c r="H235" s="3856"/>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row>
    <row r="236" spans="1:34">
      <c r="A236" s="8" t="s">
        <v>142</v>
      </c>
      <c r="B236" s="8" t="s">
        <v>143</v>
      </c>
      <c r="C236" s="314">
        <v>1</v>
      </c>
      <c r="D236" s="73">
        <v>2</v>
      </c>
      <c r="E236" s="73">
        <v>3</v>
      </c>
      <c r="F236" s="73">
        <v>4</v>
      </c>
      <c r="G236" s="73">
        <v>5</v>
      </c>
      <c r="H236" s="73">
        <v>6</v>
      </c>
      <c r="I236" s="73">
        <v>7</v>
      </c>
      <c r="J236" s="73">
        <v>8</v>
      </c>
      <c r="K236" s="73">
        <v>9</v>
      </c>
      <c r="L236" s="73">
        <v>10</v>
      </c>
      <c r="M236" s="73">
        <v>11</v>
      </c>
      <c r="N236" s="73">
        <v>12</v>
      </c>
      <c r="O236" s="73">
        <v>13</v>
      </c>
      <c r="P236" s="73">
        <v>14</v>
      </c>
      <c r="Q236" s="73">
        <v>15</v>
      </c>
      <c r="R236" s="73">
        <v>16</v>
      </c>
      <c r="S236" s="73">
        <v>17</v>
      </c>
      <c r="T236" s="73">
        <v>18</v>
      </c>
      <c r="U236" s="73">
        <v>19</v>
      </c>
      <c r="V236" s="73">
        <v>20</v>
      </c>
      <c r="W236" s="73">
        <v>21</v>
      </c>
      <c r="X236" s="73">
        <v>22</v>
      </c>
      <c r="Y236" s="73">
        <v>23</v>
      </c>
      <c r="Z236" s="73">
        <v>24</v>
      </c>
      <c r="AA236" s="73">
        <v>25</v>
      </c>
      <c r="AB236" s="73">
        <v>26</v>
      </c>
      <c r="AC236" s="73">
        <v>27</v>
      </c>
      <c r="AD236" s="73">
        <v>28</v>
      </c>
      <c r="AE236" s="73">
        <v>29</v>
      </c>
      <c r="AF236" s="73">
        <v>30</v>
      </c>
      <c r="AG236" s="73">
        <v>31</v>
      </c>
      <c r="AH236" s="88" t="s">
        <v>144</v>
      </c>
    </row>
    <row r="237" spans="1:34">
      <c r="A237" s="375" t="s">
        <v>145</v>
      </c>
      <c r="B237" s="53">
        <f t="shared" ref="B237:B248" si="42">+AH237</f>
        <v>0</v>
      </c>
      <c r="C237" s="103"/>
      <c r="D237" s="107"/>
      <c r="E237" s="107"/>
      <c r="F237" s="107"/>
      <c r="G237" s="53"/>
      <c r="H237" s="53"/>
      <c r="I237" s="53"/>
      <c r="J237" s="53"/>
      <c r="K237" s="53"/>
      <c r="L237" s="53"/>
      <c r="M237" s="53"/>
      <c r="N237" s="53"/>
      <c r="O237" s="53"/>
      <c r="P237" s="53"/>
      <c r="Q237" s="107"/>
      <c r="R237" s="53"/>
      <c r="S237" s="53"/>
      <c r="T237" s="53"/>
      <c r="U237" s="53"/>
      <c r="V237" s="107"/>
      <c r="W237" s="107"/>
      <c r="X237" s="53"/>
      <c r="Y237" s="53"/>
      <c r="Z237" s="53"/>
      <c r="AA237" s="53"/>
      <c r="AB237" s="53"/>
      <c r="AC237" s="53"/>
      <c r="AD237" s="107"/>
      <c r="AE237" s="53"/>
      <c r="AF237" s="53"/>
      <c r="AG237" s="53"/>
      <c r="AH237" s="107">
        <f>SUM(C237:AG237)</f>
        <v>0</v>
      </c>
    </row>
    <row r="238" spans="1:34" s="190" customFormat="1">
      <c r="A238" s="375" t="s">
        <v>146</v>
      </c>
      <c r="B238" s="53">
        <f t="shared" si="42"/>
        <v>0</v>
      </c>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c r="AA238" s="53"/>
      <c r="AB238" s="53"/>
      <c r="AC238" s="53"/>
      <c r="AD238" s="53"/>
      <c r="AE238" s="53"/>
      <c r="AF238" s="53"/>
      <c r="AG238" s="53"/>
      <c r="AH238" s="107">
        <f t="shared" ref="AH238:AH248" si="43">SUM(C238:AG238)</f>
        <v>0</v>
      </c>
    </row>
    <row r="239" spans="1:34">
      <c r="A239" s="375" t="s">
        <v>147</v>
      </c>
      <c r="B239" s="53">
        <f t="shared" si="42"/>
        <v>0</v>
      </c>
      <c r="C239" s="100"/>
      <c r="D239" s="107"/>
      <c r="E239" s="107"/>
      <c r="F239" s="107"/>
      <c r="G239" s="107"/>
      <c r="H239" s="107"/>
      <c r="I239" s="107"/>
      <c r="J239" s="107"/>
      <c r="K239" s="107"/>
      <c r="L239" s="107"/>
      <c r="M239" s="107"/>
      <c r="N239" s="107"/>
      <c r="O239" s="107"/>
      <c r="P239" s="107"/>
      <c r="Q239" s="107"/>
      <c r="R239" s="107"/>
      <c r="S239" s="107"/>
      <c r="T239" s="107"/>
      <c r="U239" s="107"/>
      <c r="V239" s="107"/>
      <c r="W239" s="107"/>
      <c r="X239" s="107"/>
      <c r="Y239" s="107"/>
      <c r="Z239" s="107"/>
      <c r="AA239" s="107"/>
      <c r="AB239" s="107"/>
      <c r="AC239" s="107"/>
      <c r="AD239" s="107"/>
      <c r="AE239" s="107"/>
      <c r="AF239" s="107"/>
      <c r="AG239" s="107"/>
      <c r="AH239" s="107">
        <f t="shared" si="43"/>
        <v>0</v>
      </c>
    </row>
    <row r="240" spans="1:34">
      <c r="A240" s="375" t="s">
        <v>148</v>
      </c>
      <c r="B240" s="53">
        <f t="shared" si="42"/>
        <v>0</v>
      </c>
      <c r="C240" s="103"/>
      <c r="D240" s="107"/>
      <c r="E240" s="107"/>
      <c r="F240" s="107"/>
      <c r="G240" s="53"/>
      <c r="H240" s="53"/>
      <c r="I240" s="53"/>
      <c r="J240" s="107"/>
      <c r="K240" s="107"/>
      <c r="L240" s="107"/>
      <c r="M240" s="107"/>
      <c r="N240" s="107"/>
      <c r="O240" s="107"/>
      <c r="P240" s="107"/>
      <c r="Q240" s="107"/>
      <c r="R240" s="107"/>
      <c r="S240" s="107"/>
      <c r="T240" s="107"/>
      <c r="U240" s="107"/>
      <c r="V240" s="107"/>
      <c r="W240" s="107"/>
      <c r="X240" s="107"/>
      <c r="Y240" s="107"/>
      <c r="Z240" s="107"/>
      <c r="AA240" s="107"/>
      <c r="AB240" s="107"/>
      <c r="AC240" s="107"/>
      <c r="AD240" s="107"/>
      <c r="AE240" s="107"/>
      <c r="AF240" s="107"/>
      <c r="AG240" s="107"/>
      <c r="AH240" s="107">
        <f t="shared" si="43"/>
        <v>0</v>
      </c>
    </row>
    <row r="241" spans="1:34" s="190" customFormat="1">
      <c r="A241" s="375" t="s">
        <v>149</v>
      </c>
      <c r="B241" s="53">
        <f t="shared" si="42"/>
        <v>0</v>
      </c>
      <c r="C241" s="53"/>
      <c r="D241" s="53"/>
      <c r="E241" s="53"/>
      <c r="F241" s="53"/>
      <c r="G241" s="53"/>
      <c r="H241" s="53"/>
      <c r="I241" s="53"/>
      <c r="J241" s="107"/>
      <c r="K241" s="107"/>
      <c r="L241" s="107"/>
      <c r="M241" s="107"/>
      <c r="N241" s="107"/>
      <c r="O241" s="107"/>
      <c r="P241" s="107"/>
      <c r="Q241" s="107"/>
      <c r="R241" s="107"/>
      <c r="S241" s="107"/>
      <c r="T241" s="107"/>
      <c r="U241" s="107"/>
      <c r="V241" s="107"/>
      <c r="W241" s="107"/>
      <c r="X241" s="107"/>
      <c r="Y241" s="107"/>
      <c r="Z241" s="107"/>
      <c r="AA241" s="107"/>
      <c r="AB241" s="107"/>
      <c r="AC241" s="107"/>
      <c r="AD241" s="107"/>
      <c r="AE241" s="107"/>
      <c r="AF241" s="107"/>
      <c r="AG241" s="107"/>
      <c r="AH241" s="107">
        <f t="shared" si="43"/>
        <v>0</v>
      </c>
    </row>
    <row r="242" spans="1:34">
      <c r="A242" s="375" t="s">
        <v>150</v>
      </c>
      <c r="B242" s="53">
        <f t="shared" si="42"/>
        <v>0</v>
      </c>
      <c r="C242" s="100"/>
      <c r="D242" s="107"/>
      <c r="E242" s="107"/>
      <c r="F242" s="107"/>
      <c r="G242" s="107"/>
      <c r="H242" s="107"/>
      <c r="I242" s="107"/>
      <c r="J242" s="107"/>
      <c r="K242" s="107"/>
      <c r="L242" s="107"/>
      <c r="M242" s="107"/>
      <c r="N242" s="107"/>
      <c r="O242" s="107"/>
      <c r="P242" s="107"/>
      <c r="Q242" s="107"/>
      <c r="R242" s="107"/>
      <c r="S242" s="107"/>
      <c r="T242" s="107"/>
      <c r="U242" s="107"/>
      <c r="V242" s="107"/>
      <c r="W242" s="107"/>
      <c r="X242" s="107"/>
      <c r="Y242" s="107"/>
      <c r="Z242" s="107"/>
      <c r="AA242" s="107"/>
      <c r="AB242" s="107"/>
      <c r="AC242" s="107"/>
      <c r="AD242" s="107"/>
      <c r="AE242" s="107"/>
      <c r="AF242" s="107"/>
      <c r="AG242" s="107"/>
      <c r="AH242" s="107">
        <f t="shared" si="43"/>
        <v>0</v>
      </c>
    </row>
    <row r="243" spans="1:34">
      <c r="A243" s="375" t="s">
        <v>151</v>
      </c>
      <c r="B243" s="53">
        <f t="shared" si="42"/>
        <v>0</v>
      </c>
      <c r="C243" s="103"/>
      <c r="D243" s="107"/>
      <c r="E243" s="107"/>
      <c r="F243" s="107"/>
      <c r="G243" s="53"/>
      <c r="H243" s="53"/>
      <c r="I243" s="53"/>
      <c r="J243" s="111"/>
      <c r="K243" s="111"/>
      <c r="L243" s="107"/>
      <c r="M243" s="107"/>
      <c r="N243" s="53"/>
      <c r="O243" s="53"/>
      <c r="P243" s="53"/>
      <c r="Q243" s="107"/>
      <c r="R243" s="107"/>
      <c r="S243" s="107"/>
      <c r="T243" s="107"/>
      <c r="U243" s="107"/>
      <c r="V243" s="107"/>
      <c r="W243" s="107"/>
      <c r="X243" s="107"/>
      <c r="Y243" s="107"/>
      <c r="Z243" s="107"/>
      <c r="AA243" s="107"/>
      <c r="AB243" s="107"/>
      <c r="AC243" s="107"/>
      <c r="AD243" s="107"/>
      <c r="AE243" s="107"/>
      <c r="AF243" s="107"/>
      <c r="AG243" s="107"/>
      <c r="AH243" s="107">
        <f t="shared" si="43"/>
        <v>0</v>
      </c>
    </row>
    <row r="244" spans="1:34" s="190" customFormat="1">
      <c r="A244" s="375" t="s">
        <v>152</v>
      </c>
      <c r="B244" s="53">
        <f t="shared" si="42"/>
        <v>0</v>
      </c>
      <c r="C244" s="53"/>
      <c r="D244" s="53"/>
      <c r="E244" s="53"/>
      <c r="F244" s="53"/>
      <c r="G244" s="53"/>
      <c r="H244" s="53"/>
      <c r="I244" s="53"/>
      <c r="J244" s="187"/>
      <c r="K244" s="187"/>
      <c r="L244" s="107"/>
      <c r="M244" s="107"/>
      <c r="N244" s="107"/>
      <c r="O244" s="107"/>
      <c r="P244" s="107"/>
      <c r="Q244" s="107"/>
      <c r="R244" s="107"/>
      <c r="S244" s="107"/>
      <c r="T244" s="107"/>
      <c r="U244" s="107"/>
      <c r="V244" s="107"/>
      <c r="W244" s="107"/>
      <c r="X244" s="107"/>
      <c r="Y244" s="107"/>
      <c r="Z244" s="107"/>
      <c r="AA244" s="107"/>
      <c r="AB244" s="107"/>
      <c r="AC244" s="107"/>
      <c r="AD244" s="107"/>
      <c r="AE244" s="107"/>
      <c r="AF244" s="107"/>
      <c r="AG244" s="107"/>
      <c r="AH244" s="107">
        <f t="shared" si="43"/>
        <v>0</v>
      </c>
    </row>
    <row r="245" spans="1:34">
      <c r="A245" s="375" t="s">
        <v>153</v>
      </c>
      <c r="B245" s="53">
        <f t="shared" si="42"/>
        <v>0</v>
      </c>
      <c r="C245" s="100"/>
      <c r="D245" s="107"/>
      <c r="E245" s="107"/>
      <c r="F245" s="107"/>
      <c r="G245" s="107"/>
      <c r="H245" s="107"/>
      <c r="I245" s="107"/>
      <c r="J245" s="111"/>
      <c r="K245" s="111"/>
      <c r="L245" s="53"/>
      <c r="M245" s="53"/>
      <c r="N245" s="53"/>
      <c r="O245" s="53"/>
      <c r="P245" s="53"/>
      <c r="Q245" s="53"/>
      <c r="R245" s="53"/>
      <c r="S245" s="53"/>
      <c r="T245" s="53"/>
      <c r="U245" s="53"/>
      <c r="V245" s="53"/>
      <c r="W245" s="53"/>
      <c r="X245" s="53"/>
      <c r="Y245" s="53"/>
      <c r="Z245" s="53"/>
      <c r="AA245" s="53"/>
      <c r="AB245" s="53"/>
      <c r="AC245" s="53"/>
      <c r="AD245" s="53"/>
      <c r="AE245" s="53"/>
      <c r="AF245" s="53"/>
      <c r="AG245" s="53"/>
      <c r="AH245" s="107">
        <f t="shared" si="43"/>
        <v>0</v>
      </c>
    </row>
    <row r="246" spans="1:34">
      <c r="A246" s="363" t="s">
        <v>154</v>
      </c>
      <c r="B246" s="53">
        <f t="shared" si="42"/>
        <v>0</v>
      </c>
      <c r="C246" s="103"/>
      <c r="D246" s="107"/>
      <c r="E246" s="107"/>
      <c r="F246" s="107"/>
      <c r="G246" s="53"/>
      <c r="H246" s="53"/>
      <c r="I246" s="53"/>
      <c r="J246" s="53"/>
      <c r="K246" s="53"/>
      <c r="L246" s="53"/>
      <c r="M246" s="53"/>
      <c r="N246" s="53"/>
      <c r="O246" s="107"/>
      <c r="P246" s="53"/>
      <c r="Q246" s="53"/>
      <c r="R246" s="53"/>
      <c r="S246" s="53"/>
      <c r="T246" s="53"/>
      <c r="U246" s="53"/>
      <c r="V246" s="53"/>
      <c r="W246" s="53"/>
      <c r="X246" s="53"/>
      <c r="Y246" s="53"/>
      <c r="Z246" s="53"/>
      <c r="AA246" s="53"/>
      <c r="AB246" s="53"/>
      <c r="AC246" s="53"/>
      <c r="AD246" s="53"/>
      <c r="AE246" s="107"/>
      <c r="AF246" s="53"/>
      <c r="AG246" s="107"/>
      <c r="AH246" s="107">
        <f t="shared" si="43"/>
        <v>0</v>
      </c>
    </row>
    <row r="247" spans="1:34">
      <c r="A247" s="363" t="s">
        <v>155</v>
      </c>
      <c r="B247" s="53">
        <f t="shared" si="42"/>
        <v>0</v>
      </c>
      <c r="C247" s="103"/>
      <c r="D247" s="53"/>
      <c r="E247" s="53"/>
      <c r="F247" s="53"/>
      <c r="G247" s="53"/>
      <c r="H247" s="53"/>
      <c r="I247" s="53"/>
      <c r="J247" s="53"/>
      <c r="K247" s="53"/>
      <c r="L247" s="53"/>
      <c r="M247" s="53"/>
      <c r="N247" s="53"/>
      <c r="O247" s="53"/>
      <c r="P247" s="53"/>
      <c r="Q247" s="53"/>
      <c r="R247" s="53"/>
      <c r="S247" s="53"/>
      <c r="T247" s="53"/>
      <c r="U247" s="53"/>
      <c r="V247" s="53"/>
      <c r="W247" s="53"/>
      <c r="X247" s="53"/>
      <c r="Y247" s="53"/>
      <c r="Z247" s="53"/>
      <c r="AA247" s="53"/>
      <c r="AB247" s="53"/>
      <c r="AC247" s="53"/>
      <c r="AD247" s="53"/>
      <c r="AE247" s="107"/>
      <c r="AF247" s="53"/>
      <c r="AG247" s="107"/>
      <c r="AH247" s="107">
        <f t="shared" si="43"/>
        <v>0</v>
      </c>
    </row>
    <row r="248" spans="1:34">
      <c r="A248" s="363" t="s">
        <v>156</v>
      </c>
      <c r="B248" s="53">
        <f t="shared" si="42"/>
        <v>0</v>
      </c>
      <c r="C248" s="103"/>
      <c r="D248" s="53"/>
      <c r="E248" s="53"/>
      <c r="F248" s="53"/>
      <c r="G248" s="53"/>
      <c r="H248" s="53"/>
      <c r="I248" s="53"/>
      <c r="J248" s="53"/>
      <c r="K248" s="53"/>
      <c r="L248" s="53"/>
      <c r="M248" s="53"/>
      <c r="N248" s="53"/>
      <c r="O248" s="53"/>
      <c r="P248" s="53"/>
      <c r="Q248" s="53"/>
      <c r="R248" s="53"/>
      <c r="S248" s="53"/>
      <c r="T248" s="53"/>
      <c r="U248" s="53"/>
      <c r="V248" s="53"/>
      <c r="W248" s="53"/>
      <c r="X248" s="53"/>
      <c r="Y248" s="53"/>
      <c r="Z248" s="53"/>
      <c r="AA248" s="53"/>
      <c r="AB248" s="53"/>
      <c r="AC248" s="53"/>
      <c r="AD248" s="53"/>
      <c r="AE248" s="107"/>
      <c r="AF248" s="53"/>
      <c r="AG248" s="107"/>
      <c r="AH248" s="107">
        <f t="shared" si="43"/>
        <v>0</v>
      </c>
    </row>
    <row r="249" spans="1:34">
      <c r="A249" s="199" t="s">
        <v>144</v>
      </c>
      <c r="B249" s="200">
        <f>SUM(B237:B248)</f>
        <v>0</v>
      </c>
      <c r="C249" s="100">
        <f>SUM(C237:C247)</f>
        <v>0</v>
      </c>
      <c r="D249" s="107">
        <f>SUM(D237:D247)</f>
        <v>0</v>
      </c>
      <c r="E249" s="107">
        <v>0</v>
      </c>
      <c r="F249" s="107">
        <f t="shared" ref="F249:AC249" si="44">SUM(F237:F247)</f>
        <v>0</v>
      </c>
      <c r="G249" s="107">
        <f t="shared" si="44"/>
        <v>0</v>
      </c>
      <c r="H249" s="107">
        <f t="shared" si="44"/>
        <v>0</v>
      </c>
      <c r="I249" s="107">
        <f t="shared" si="44"/>
        <v>0</v>
      </c>
      <c r="J249" s="107">
        <f t="shared" si="44"/>
        <v>0</v>
      </c>
      <c r="K249" s="107">
        <f t="shared" si="44"/>
        <v>0</v>
      </c>
      <c r="L249" s="107">
        <f t="shared" si="44"/>
        <v>0</v>
      </c>
      <c r="M249" s="107">
        <f t="shared" si="44"/>
        <v>0</v>
      </c>
      <c r="N249" s="107">
        <f t="shared" si="44"/>
        <v>0</v>
      </c>
      <c r="O249" s="107">
        <f t="shared" si="44"/>
        <v>0</v>
      </c>
      <c r="P249" s="107">
        <f t="shared" si="44"/>
        <v>0</v>
      </c>
      <c r="Q249" s="107">
        <f t="shared" si="44"/>
        <v>0</v>
      </c>
      <c r="R249" s="107">
        <f t="shared" si="44"/>
        <v>0</v>
      </c>
      <c r="S249" s="107">
        <f t="shared" si="44"/>
        <v>0</v>
      </c>
      <c r="T249" s="107">
        <f t="shared" si="44"/>
        <v>0</v>
      </c>
      <c r="U249" s="107">
        <f t="shared" si="44"/>
        <v>0</v>
      </c>
      <c r="V249" s="107">
        <f t="shared" si="44"/>
        <v>0</v>
      </c>
      <c r="W249" s="107">
        <f t="shared" si="44"/>
        <v>0</v>
      </c>
      <c r="X249" s="107">
        <f t="shared" si="44"/>
        <v>0</v>
      </c>
      <c r="Y249" s="107">
        <f t="shared" si="44"/>
        <v>0</v>
      </c>
      <c r="Z249" s="107">
        <f t="shared" si="44"/>
        <v>0</v>
      </c>
      <c r="AA249" s="107">
        <f t="shared" si="44"/>
        <v>0</v>
      </c>
      <c r="AB249" s="107">
        <f t="shared" si="44"/>
        <v>0</v>
      </c>
      <c r="AC249" s="107">
        <f t="shared" si="44"/>
        <v>0</v>
      </c>
      <c r="AD249" s="107">
        <v>0</v>
      </c>
      <c r="AE249" s="107">
        <f>SUM(AE237:AE247)</f>
        <v>0</v>
      </c>
      <c r="AF249" s="107">
        <f>SUM(AF237:AF247)</f>
        <v>0</v>
      </c>
      <c r="AG249" s="107">
        <f>SUM(AG237:AG247)</f>
        <v>0</v>
      </c>
      <c r="AH249" s="100">
        <f>SUM(AH237:AH247)</f>
        <v>0</v>
      </c>
    </row>
    <row r="250" spans="1:34" ht="5.0999999999999996" customHeight="1">
      <c r="A250" s="49"/>
      <c r="B250" s="49"/>
      <c r="C250" s="1"/>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
    </row>
    <row r="251" spans="1:34">
      <c r="A251" s="3854" t="s">
        <v>294</v>
      </c>
      <c r="B251" s="3855"/>
      <c r="C251" s="3855"/>
      <c r="D251" s="3855"/>
      <c r="E251" s="3855"/>
      <c r="F251" s="3855"/>
      <c r="G251" s="3855"/>
      <c r="H251" s="3856"/>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row>
    <row r="252" spans="1:34">
      <c r="A252" s="8" t="s">
        <v>142</v>
      </c>
      <c r="B252" s="8" t="s">
        <v>143</v>
      </c>
      <c r="C252" s="314">
        <v>1</v>
      </c>
      <c r="D252" s="73">
        <v>2</v>
      </c>
      <c r="E252" s="73">
        <v>3</v>
      </c>
      <c r="F252" s="73">
        <v>4</v>
      </c>
      <c r="G252" s="73">
        <v>5</v>
      </c>
      <c r="H252" s="73">
        <v>6</v>
      </c>
      <c r="I252" s="73">
        <v>7</v>
      </c>
      <c r="J252" s="73">
        <v>8</v>
      </c>
      <c r="K252" s="73">
        <v>9</v>
      </c>
      <c r="L252" s="73">
        <v>10</v>
      </c>
      <c r="M252" s="73">
        <v>11</v>
      </c>
      <c r="N252" s="73">
        <v>12</v>
      </c>
      <c r="O252" s="73">
        <v>13</v>
      </c>
      <c r="P252" s="73">
        <v>14</v>
      </c>
      <c r="Q252" s="73">
        <v>15</v>
      </c>
      <c r="R252" s="73">
        <v>16</v>
      </c>
      <c r="S252" s="73">
        <v>17</v>
      </c>
      <c r="T252" s="73">
        <v>18</v>
      </c>
      <c r="U252" s="73">
        <v>19</v>
      </c>
      <c r="V252" s="73">
        <v>20</v>
      </c>
      <c r="W252" s="73">
        <v>21</v>
      </c>
      <c r="X252" s="73">
        <v>22</v>
      </c>
      <c r="Y252" s="73">
        <v>23</v>
      </c>
      <c r="Z252" s="73">
        <v>24</v>
      </c>
      <c r="AA252" s="73">
        <v>25</v>
      </c>
      <c r="AB252" s="73">
        <v>26</v>
      </c>
      <c r="AC252" s="73">
        <v>27</v>
      </c>
      <c r="AD252" s="73">
        <v>28</v>
      </c>
      <c r="AE252" s="73">
        <v>29</v>
      </c>
      <c r="AF252" s="73">
        <v>30</v>
      </c>
      <c r="AG252" s="73">
        <v>31</v>
      </c>
      <c r="AH252" s="88" t="s">
        <v>144</v>
      </c>
    </row>
    <row r="253" spans="1:34">
      <c r="A253" s="375" t="s">
        <v>145</v>
      </c>
      <c r="B253" s="53">
        <f t="shared" ref="B253:B264" si="45">+AH253</f>
        <v>0</v>
      </c>
      <c r="C253" s="103"/>
      <c r="D253" s="107"/>
      <c r="E253" s="107"/>
      <c r="F253" s="107"/>
      <c r="G253" s="53"/>
      <c r="H253" s="53"/>
      <c r="I253" s="53"/>
      <c r="J253" s="53"/>
      <c r="K253" s="53"/>
      <c r="L253" s="53"/>
      <c r="M253" s="53"/>
      <c r="N253" s="53"/>
      <c r="O253" s="53"/>
      <c r="P253" s="53"/>
      <c r="Q253" s="107"/>
      <c r="R253" s="53"/>
      <c r="S253" s="53"/>
      <c r="T253" s="53"/>
      <c r="U253" s="53"/>
      <c r="V253" s="107"/>
      <c r="W253" s="107"/>
      <c r="X253" s="53"/>
      <c r="Y253" s="53"/>
      <c r="Z253" s="53"/>
      <c r="AA253" s="53"/>
      <c r="AB253" s="53"/>
      <c r="AC253" s="53"/>
      <c r="AD253" s="107"/>
      <c r="AE253" s="53"/>
      <c r="AF253" s="53"/>
      <c r="AG253" s="53"/>
      <c r="AH253" s="107">
        <f>SUM(C253:AG253)</f>
        <v>0</v>
      </c>
    </row>
    <row r="254" spans="1:34" s="190" customFormat="1">
      <c r="A254" s="375" t="s">
        <v>146</v>
      </c>
      <c r="B254" s="53">
        <f t="shared" si="45"/>
        <v>0</v>
      </c>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c r="AA254" s="53"/>
      <c r="AB254" s="53"/>
      <c r="AC254" s="53"/>
      <c r="AD254" s="53"/>
      <c r="AE254" s="53"/>
      <c r="AF254" s="53"/>
      <c r="AG254" s="53"/>
      <c r="AH254" s="107">
        <f t="shared" ref="AH254:AH264" si="46">SUM(C254:AG254)</f>
        <v>0</v>
      </c>
    </row>
    <row r="255" spans="1:34">
      <c r="A255" s="375" t="s">
        <v>147</v>
      </c>
      <c r="B255" s="53">
        <f t="shared" si="45"/>
        <v>0</v>
      </c>
      <c r="C255" s="100"/>
      <c r="D255" s="107"/>
      <c r="E255" s="107"/>
      <c r="F255" s="107"/>
      <c r="G255" s="107"/>
      <c r="H255" s="107"/>
      <c r="I255" s="107"/>
      <c r="J255" s="107"/>
      <c r="K255" s="107"/>
      <c r="L255" s="107"/>
      <c r="M255" s="107"/>
      <c r="N255" s="107"/>
      <c r="O255" s="107"/>
      <c r="P255" s="107"/>
      <c r="Q255" s="107"/>
      <c r="R255" s="107"/>
      <c r="S255" s="107"/>
      <c r="T255" s="107"/>
      <c r="U255" s="107"/>
      <c r="V255" s="107"/>
      <c r="W255" s="107"/>
      <c r="X255" s="107"/>
      <c r="Y255" s="107"/>
      <c r="Z255" s="107"/>
      <c r="AA255" s="107"/>
      <c r="AB255" s="107"/>
      <c r="AC255" s="107"/>
      <c r="AD255" s="107"/>
      <c r="AE255" s="107"/>
      <c r="AF255" s="107"/>
      <c r="AG255" s="107"/>
      <c r="AH255" s="107">
        <f t="shared" si="46"/>
        <v>0</v>
      </c>
    </row>
    <row r="256" spans="1:34">
      <c r="A256" s="375" t="s">
        <v>148</v>
      </c>
      <c r="B256" s="53">
        <f t="shared" si="45"/>
        <v>0</v>
      </c>
      <c r="C256" s="103"/>
      <c r="D256" s="107"/>
      <c r="E256" s="107"/>
      <c r="F256" s="107"/>
      <c r="G256" s="53"/>
      <c r="H256" s="53"/>
      <c r="I256" s="53"/>
      <c r="J256" s="107"/>
      <c r="K256" s="107"/>
      <c r="L256" s="107"/>
      <c r="M256" s="107"/>
      <c r="N256" s="107"/>
      <c r="O256" s="107"/>
      <c r="P256" s="107"/>
      <c r="Q256" s="107"/>
      <c r="R256" s="107"/>
      <c r="S256" s="107"/>
      <c r="T256" s="107"/>
      <c r="U256" s="107"/>
      <c r="V256" s="107"/>
      <c r="W256" s="107"/>
      <c r="X256" s="107"/>
      <c r="Y256" s="107"/>
      <c r="Z256" s="107"/>
      <c r="AA256" s="107"/>
      <c r="AB256" s="107"/>
      <c r="AC256" s="107"/>
      <c r="AD256" s="107"/>
      <c r="AE256" s="107"/>
      <c r="AF256" s="107"/>
      <c r="AG256" s="107"/>
      <c r="AH256" s="107">
        <f t="shared" si="46"/>
        <v>0</v>
      </c>
    </row>
    <row r="257" spans="1:34" s="190" customFormat="1">
      <c r="A257" s="375" t="s">
        <v>149</v>
      </c>
      <c r="B257" s="53">
        <f t="shared" si="45"/>
        <v>0</v>
      </c>
      <c r="C257" s="53"/>
      <c r="D257" s="53"/>
      <c r="E257" s="53"/>
      <c r="F257" s="53"/>
      <c r="G257" s="53"/>
      <c r="H257" s="53"/>
      <c r="I257" s="53"/>
      <c r="J257" s="107"/>
      <c r="K257" s="107"/>
      <c r="L257" s="107"/>
      <c r="M257" s="107"/>
      <c r="N257" s="107"/>
      <c r="O257" s="107"/>
      <c r="P257" s="107"/>
      <c r="Q257" s="107"/>
      <c r="R257" s="107"/>
      <c r="S257" s="107"/>
      <c r="T257" s="107"/>
      <c r="U257" s="107"/>
      <c r="V257" s="107"/>
      <c r="W257" s="107"/>
      <c r="X257" s="107"/>
      <c r="Y257" s="107"/>
      <c r="Z257" s="107"/>
      <c r="AA257" s="107"/>
      <c r="AB257" s="107"/>
      <c r="AC257" s="107"/>
      <c r="AD257" s="107"/>
      <c r="AE257" s="107"/>
      <c r="AF257" s="107"/>
      <c r="AG257" s="107"/>
      <c r="AH257" s="107">
        <f t="shared" si="46"/>
        <v>0</v>
      </c>
    </row>
    <row r="258" spans="1:34">
      <c r="A258" s="375" t="s">
        <v>150</v>
      </c>
      <c r="B258" s="53">
        <f t="shared" si="45"/>
        <v>0</v>
      </c>
      <c r="C258" s="100"/>
      <c r="D258" s="107"/>
      <c r="E258" s="107"/>
      <c r="F258" s="107"/>
      <c r="G258" s="107"/>
      <c r="H258" s="107"/>
      <c r="I258" s="107"/>
      <c r="J258" s="107"/>
      <c r="K258" s="107"/>
      <c r="L258" s="107"/>
      <c r="M258" s="107"/>
      <c r="N258" s="107"/>
      <c r="O258" s="107"/>
      <c r="P258" s="107"/>
      <c r="Q258" s="107"/>
      <c r="R258" s="107"/>
      <c r="S258" s="107"/>
      <c r="T258" s="107"/>
      <c r="U258" s="107"/>
      <c r="V258" s="107"/>
      <c r="W258" s="107"/>
      <c r="X258" s="107"/>
      <c r="Y258" s="107"/>
      <c r="Z258" s="107"/>
      <c r="AA258" s="107"/>
      <c r="AB258" s="107"/>
      <c r="AC258" s="107"/>
      <c r="AD258" s="107"/>
      <c r="AE258" s="107"/>
      <c r="AF258" s="107"/>
      <c r="AG258" s="107"/>
      <c r="AH258" s="107">
        <f t="shared" si="46"/>
        <v>0</v>
      </c>
    </row>
    <row r="259" spans="1:34">
      <c r="A259" s="375" t="s">
        <v>151</v>
      </c>
      <c r="B259" s="53">
        <f t="shared" si="45"/>
        <v>0</v>
      </c>
      <c r="C259" s="103"/>
      <c r="D259" s="107"/>
      <c r="E259" s="107"/>
      <c r="F259" s="107"/>
      <c r="G259" s="53"/>
      <c r="H259" s="53"/>
      <c r="I259" s="53"/>
      <c r="J259" s="111"/>
      <c r="K259" s="111"/>
      <c r="L259" s="107"/>
      <c r="M259" s="107"/>
      <c r="N259" s="53"/>
      <c r="O259" s="53"/>
      <c r="P259" s="53"/>
      <c r="Q259" s="107"/>
      <c r="R259" s="107"/>
      <c r="S259" s="107"/>
      <c r="T259" s="107"/>
      <c r="U259" s="107"/>
      <c r="V259" s="107"/>
      <c r="W259" s="107"/>
      <c r="X259" s="107"/>
      <c r="Y259" s="107"/>
      <c r="Z259" s="107"/>
      <c r="AA259" s="107"/>
      <c r="AB259" s="107"/>
      <c r="AC259" s="107"/>
      <c r="AD259" s="107"/>
      <c r="AE259" s="107"/>
      <c r="AF259" s="107"/>
      <c r="AG259" s="107"/>
      <c r="AH259" s="107">
        <f t="shared" si="46"/>
        <v>0</v>
      </c>
    </row>
    <row r="260" spans="1:34" s="190" customFormat="1">
      <c r="A260" s="375" t="s">
        <v>152</v>
      </c>
      <c r="B260" s="53">
        <f t="shared" si="45"/>
        <v>0</v>
      </c>
      <c r="C260" s="53"/>
      <c r="D260" s="53"/>
      <c r="E260" s="53"/>
      <c r="F260" s="53"/>
      <c r="G260" s="53"/>
      <c r="H260" s="53"/>
      <c r="I260" s="53"/>
      <c r="J260" s="187"/>
      <c r="K260" s="187"/>
      <c r="L260" s="107"/>
      <c r="M260" s="107"/>
      <c r="N260" s="107"/>
      <c r="O260" s="107"/>
      <c r="P260" s="107"/>
      <c r="Q260" s="107"/>
      <c r="R260" s="107"/>
      <c r="S260" s="107"/>
      <c r="T260" s="107"/>
      <c r="U260" s="107"/>
      <c r="V260" s="107"/>
      <c r="W260" s="107"/>
      <c r="X260" s="107"/>
      <c r="Y260" s="107"/>
      <c r="Z260" s="107"/>
      <c r="AA260" s="107"/>
      <c r="AB260" s="107"/>
      <c r="AC260" s="107"/>
      <c r="AD260" s="107"/>
      <c r="AE260" s="107"/>
      <c r="AF260" s="107"/>
      <c r="AG260" s="107"/>
      <c r="AH260" s="107">
        <f t="shared" si="46"/>
        <v>0</v>
      </c>
    </row>
    <row r="261" spans="1:34">
      <c r="A261" s="375" t="s">
        <v>153</v>
      </c>
      <c r="B261" s="53">
        <f t="shared" si="45"/>
        <v>0</v>
      </c>
      <c r="C261" s="100"/>
      <c r="D261" s="107"/>
      <c r="E261" s="107"/>
      <c r="F261" s="107"/>
      <c r="G261" s="107"/>
      <c r="H261" s="107"/>
      <c r="I261" s="107"/>
      <c r="J261" s="111"/>
      <c r="K261" s="111"/>
      <c r="L261" s="53"/>
      <c r="M261" s="53"/>
      <c r="N261" s="53"/>
      <c r="O261" s="53"/>
      <c r="P261" s="53"/>
      <c r="Q261" s="53"/>
      <c r="R261" s="53"/>
      <c r="S261" s="53"/>
      <c r="T261" s="53"/>
      <c r="U261" s="53"/>
      <c r="V261" s="53"/>
      <c r="W261" s="53"/>
      <c r="X261" s="53"/>
      <c r="Y261" s="53"/>
      <c r="Z261" s="53"/>
      <c r="AA261" s="53"/>
      <c r="AB261" s="53"/>
      <c r="AC261" s="53"/>
      <c r="AD261" s="53"/>
      <c r="AE261" s="53"/>
      <c r="AF261" s="53"/>
      <c r="AG261" s="53"/>
      <c r="AH261" s="107">
        <f t="shared" si="46"/>
        <v>0</v>
      </c>
    </row>
    <row r="262" spans="1:34">
      <c r="A262" s="363" t="s">
        <v>154</v>
      </c>
      <c r="B262" s="53">
        <f t="shared" si="45"/>
        <v>0</v>
      </c>
      <c r="C262" s="103"/>
      <c r="D262" s="107"/>
      <c r="E262" s="107"/>
      <c r="F262" s="107"/>
      <c r="G262" s="53"/>
      <c r="H262" s="53"/>
      <c r="I262" s="53"/>
      <c r="J262" s="53"/>
      <c r="K262" s="53"/>
      <c r="L262" s="53"/>
      <c r="M262" s="53"/>
      <c r="N262" s="53"/>
      <c r="O262" s="107"/>
      <c r="P262" s="53"/>
      <c r="Q262" s="53"/>
      <c r="R262" s="53"/>
      <c r="S262" s="53"/>
      <c r="T262" s="53"/>
      <c r="U262" s="53"/>
      <c r="V262" s="53"/>
      <c r="W262" s="53"/>
      <c r="X262" s="53"/>
      <c r="Y262" s="53"/>
      <c r="Z262" s="53"/>
      <c r="AA262" s="53"/>
      <c r="AB262" s="53"/>
      <c r="AC262" s="53"/>
      <c r="AD262" s="53"/>
      <c r="AE262" s="107"/>
      <c r="AF262" s="53"/>
      <c r="AG262" s="107"/>
      <c r="AH262" s="107">
        <f t="shared" si="46"/>
        <v>0</v>
      </c>
    </row>
    <row r="263" spans="1:34">
      <c r="A263" s="363" t="s">
        <v>155</v>
      </c>
      <c r="B263" s="53">
        <f t="shared" si="45"/>
        <v>0</v>
      </c>
      <c r="C263" s="103"/>
      <c r="D263" s="53"/>
      <c r="E263" s="53"/>
      <c r="F263" s="53"/>
      <c r="G263" s="53"/>
      <c r="H263" s="53"/>
      <c r="I263" s="53"/>
      <c r="J263" s="53"/>
      <c r="K263" s="53"/>
      <c r="L263" s="53"/>
      <c r="M263" s="53"/>
      <c r="N263" s="53"/>
      <c r="O263" s="53"/>
      <c r="P263" s="53"/>
      <c r="Q263" s="53"/>
      <c r="R263" s="53"/>
      <c r="S263" s="53"/>
      <c r="T263" s="53"/>
      <c r="U263" s="53"/>
      <c r="V263" s="53"/>
      <c r="W263" s="53"/>
      <c r="X263" s="53"/>
      <c r="Y263" s="53"/>
      <c r="Z263" s="53"/>
      <c r="AA263" s="53"/>
      <c r="AB263" s="53"/>
      <c r="AC263" s="53"/>
      <c r="AD263" s="53"/>
      <c r="AE263" s="107"/>
      <c r="AF263" s="53"/>
      <c r="AG263" s="107"/>
      <c r="AH263" s="107">
        <f t="shared" si="46"/>
        <v>0</v>
      </c>
    </row>
    <row r="264" spans="1:34">
      <c r="A264" s="363" t="s">
        <v>156</v>
      </c>
      <c r="B264" s="53">
        <f t="shared" si="45"/>
        <v>0</v>
      </c>
      <c r="C264" s="103"/>
      <c r="D264" s="53"/>
      <c r="E264" s="53"/>
      <c r="F264" s="53"/>
      <c r="G264" s="53"/>
      <c r="H264" s="53"/>
      <c r="I264" s="53"/>
      <c r="J264" s="53"/>
      <c r="K264" s="53"/>
      <c r="L264" s="53"/>
      <c r="M264" s="53"/>
      <c r="N264" s="53"/>
      <c r="O264" s="53"/>
      <c r="P264" s="53"/>
      <c r="Q264" s="53"/>
      <c r="R264" s="53"/>
      <c r="S264" s="53"/>
      <c r="T264" s="53"/>
      <c r="U264" s="53"/>
      <c r="V264" s="53"/>
      <c r="W264" s="53"/>
      <c r="X264" s="53"/>
      <c r="Y264" s="53"/>
      <c r="Z264" s="53"/>
      <c r="AA264" s="53"/>
      <c r="AB264" s="53"/>
      <c r="AC264" s="53"/>
      <c r="AD264" s="53"/>
      <c r="AE264" s="107"/>
      <c r="AF264" s="53"/>
      <c r="AG264" s="107"/>
      <c r="AH264" s="107">
        <f t="shared" si="46"/>
        <v>0</v>
      </c>
    </row>
    <row r="265" spans="1:34">
      <c r="A265" s="199" t="s">
        <v>144</v>
      </c>
      <c r="B265" s="200">
        <f>SUM(B253:B264)</f>
        <v>0</v>
      </c>
      <c r="C265" s="100">
        <f>SUM(C253:C263)</f>
        <v>0</v>
      </c>
      <c r="D265" s="107">
        <f>SUM(D253:D263)</f>
        <v>0</v>
      </c>
      <c r="E265" s="107">
        <v>0</v>
      </c>
      <c r="F265" s="107">
        <f t="shared" ref="F265:AC265" si="47">SUM(F253:F263)</f>
        <v>0</v>
      </c>
      <c r="G265" s="107">
        <f t="shared" si="47"/>
        <v>0</v>
      </c>
      <c r="H265" s="107">
        <f t="shared" si="47"/>
        <v>0</v>
      </c>
      <c r="I265" s="107">
        <f t="shared" si="47"/>
        <v>0</v>
      </c>
      <c r="J265" s="107">
        <f t="shared" si="47"/>
        <v>0</v>
      </c>
      <c r="K265" s="107">
        <f t="shared" si="47"/>
        <v>0</v>
      </c>
      <c r="L265" s="107">
        <f t="shared" si="47"/>
        <v>0</v>
      </c>
      <c r="M265" s="107">
        <f t="shared" si="47"/>
        <v>0</v>
      </c>
      <c r="N265" s="107">
        <f t="shared" si="47"/>
        <v>0</v>
      </c>
      <c r="O265" s="107">
        <f t="shared" si="47"/>
        <v>0</v>
      </c>
      <c r="P265" s="107">
        <f t="shared" si="47"/>
        <v>0</v>
      </c>
      <c r="Q265" s="107">
        <f t="shared" si="47"/>
        <v>0</v>
      </c>
      <c r="R265" s="107">
        <f t="shared" si="47"/>
        <v>0</v>
      </c>
      <c r="S265" s="107">
        <f t="shared" si="47"/>
        <v>0</v>
      </c>
      <c r="T265" s="107">
        <f t="shared" si="47"/>
        <v>0</v>
      </c>
      <c r="U265" s="107">
        <f t="shared" si="47"/>
        <v>0</v>
      </c>
      <c r="V265" s="107">
        <f t="shared" si="47"/>
        <v>0</v>
      </c>
      <c r="W265" s="107">
        <f t="shared" si="47"/>
        <v>0</v>
      </c>
      <c r="X265" s="107">
        <f t="shared" si="47"/>
        <v>0</v>
      </c>
      <c r="Y265" s="107">
        <f t="shared" si="47"/>
        <v>0</v>
      </c>
      <c r="Z265" s="107">
        <f t="shared" si="47"/>
        <v>0</v>
      </c>
      <c r="AA265" s="107">
        <f t="shared" si="47"/>
        <v>0</v>
      </c>
      <c r="AB265" s="107">
        <f t="shared" si="47"/>
        <v>0</v>
      </c>
      <c r="AC265" s="107">
        <f t="shared" si="47"/>
        <v>0</v>
      </c>
      <c r="AD265" s="107">
        <v>0</v>
      </c>
      <c r="AE265" s="107">
        <f>SUM(AE253:AE263)</f>
        <v>0</v>
      </c>
      <c r="AF265" s="107">
        <f>SUM(AF253:AF263)</f>
        <v>0</v>
      </c>
      <c r="AG265" s="107">
        <f>SUM(AG253:AG263)</f>
        <v>0</v>
      </c>
      <c r="AH265" s="100">
        <f>SUM(AH253:AH263)</f>
        <v>0</v>
      </c>
    </row>
    <row r="266" spans="1:34" ht="5.0999999999999996" customHeight="1">
      <c r="A266" s="49"/>
      <c r="B266" s="49"/>
      <c r="C266" s="1"/>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
    </row>
    <row r="267" spans="1:34">
      <c r="A267" s="3854" t="s">
        <v>295</v>
      </c>
      <c r="B267" s="3855"/>
      <c r="C267" s="3855"/>
      <c r="D267" s="3855"/>
      <c r="E267" s="3855"/>
      <c r="F267" s="3855"/>
      <c r="G267" s="3855"/>
      <c r="H267" s="3856"/>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row>
    <row r="268" spans="1:34">
      <c r="A268" s="8" t="s">
        <v>142</v>
      </c>
      <c r="B268" s="8" t="s">
        <v>143</v>
      </c>
      <c r="C268" s="314">
        <v>1</v>
      </c>
      <c r="D268" s="73">
        <v>2</v>
      </c>
      <c r="E268" s="73">
        <v>3</v>
      </c>
      <c r="F268" s="73">
        <v>4</v>
      </c>
      <c r="G268" s="73">
        <v>5</v>
      </c>
      <c r="H268" s="73">
        <v>6</v>
      </c>
      <c r="I268" s="73">
        <v>7</v>
      </c>
      <c r="J268" s="73">
        <v>8</v>
      </c>
      <c r="K268" s="73">
        <v>9</v>
      </c>
      <c r="L268" s="73">
        <v>10</v>
      </c>
      <c r="M268" s="73">
        <v>11</v>
      </c>
      <c r="N268" s="73">
        <v>12</v>
      </c>
      <c r="O268" s="73">
        <v>13</v>
      </c>
      <c r="P268" s="73">
        <v>14</v>
      </c>
      <c r="Q268" s="73">
        <v>15</v>
      </c>
      <c r="R268" s="73">
        <v>16</v>
      </c>
      <c r="S268" s="73">
        <v>17</v>
      </c>
      <c r="T268" s="73">
        <v>18</v>
      </c>
      <c r="U268" s="73">
        <v>19</v>
      </c>
      <c r="V268" s="73">
        <v>20</v>
      </c>
      <c r="W268" s="73">
        <v>21</v>
      </c>
      <c r="X268" s="73">
        <v>22</v>
      </c>
      <c r="Y268" s="73">
        <v>23</v>
      </c>
      <c r="Z268" s="73">
        <v>24</v>
      </c>
      <c r="AA268" s="73">
        <v>25</v>
      </c>
      <c r="AB268" s="73">
        <v>26</v>
      </c>
      <c r="AC268" s="73">
        <v>27</v>
      </c>
      <c r="AD268" s="73">
        <v>28</v>
      </c>
      <c r="AE268" s="73">
        <v>29</v>
      </c>
      <c r="AF268" s="73">
        <v>30</v>
      </c>
      <c r="AG268" s="73">
        <v>31</v>
      </c>
      <c r="AH268" s="88" t="s">
        <v>144</v>
      </c>
    </row>
    <row r="269" spans="1:34">
      <c r="A269" s="375" t="s">
        <v>145</v>
      </c>
      <c r="B269" s="53">
        <f t="shared" ref="B269:B280" si="48">+AH269</f>
        <v>0</v>
      </c>
      <c r="C269" s="103"/>
      <c r="D269" s="107"/>
      <c r="E269" s="107"/>
      <c r="F269" s="107"/>
      <c r="G269" s="53"/>
      <c r="H269" s="53"/>
      <c r="I269" s="53"/>
      <c r="J269" s="53"/>
      <c r="K269" s="53"/>
      <c r="L269" s="53"/>
      <c r="M269" s="53"/>
      <c r="N269" s="53"/>
      <c r="O269" s="53"/>
      <c r="P269" s="53"/>
      <c r="Q269" s="107"/>
      <c r="R269" s="53"/>
      <c r="S269" s="53"/>
      <c r="T269" s="53"/>
      <c r="U269" s="53"/>
      <c r="V269" s="107"/>
      <c r="W269" s="107"/>
      <c r="X269" s="53"/>
      <c r="Y269" s="53"/>
      <c r="Z269" s="53"/>
      <c r="AA269" s="53"/>
      <c r="AB269" s="53"/>
      <c r="AC269" s="53"/>
      <c r="AD269" s="107"/>
      <c r="AE269" s="53"/>
      <c r="AF269" s="53"/>
      <c r="AG269" s="53"/>
      <c r="AH269" s="107">
        <f>SUM(C269:AG269)</f>
        <v>0</v>
      </c>
    </row>
    <row r="270" spans="1:34" s="190" customFormat="1">
      <c r="A270" s="375" t="s">
        <v>146</v>
      </c>
      <c r="B270" s="53">
        <f t="shared" si="48"/>
        <v>0</v>
      </c>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c r="AA270" s="53"/>
      <c r="AB270" s="53"/>
      <c r="AC270" s="53"/>
      <c r="AD270" s="53"/>
      <c r="AE270" s="53"/>
      <c r="AF270" s="53"/>
      <c r="AG270" s="53"/>
      <c r="AH270" s="107">
        <f t="shared" ref="AH270:AH280" si="49">SUM(C270:AG270)</f>
        <v>0</v>
      </c>
    </row>
    <row r="271" spans="1:34">
      <c r="A271" s="375" t="s">
        <v>147</v>
      </c>
      <c r="B271" s="53">
        <f t="shared" si="48"/>
        <v>0</v>
      </c>
      <c r="C271" s="100"/>
      <c r="D271" s="107"/>
      <c r="E271" s="107"/>
      <c r="F271" s="107"/>
      <c r="G271" s="107"/>
      <c r="H271" s="107"/>
      <c r="I271" s="107"/>
      <c r="J271" s="107"/>
      <c r="K271" s="107"/>
      <c r="L271" s="107"/>
      <c r="M271" s="107"/>
      <c r="N271" s="107"/>
      <c r="O271" s="107"/>
      <c r="P271" s="107"/>
      <c r="Q271" s="107"/>
      <c r="R271" s="107"/>
      <c r="S271" s="107"/>
      <c r="T271" s="107"/>
      <c r="U271" s="107"/>
      <c r="V271" s="107"/>
      <c r="W271" s="107"/>
      <c r="X271" s="107"/>
      <c r="Y271" s="107"/>
      <c r="Z271" s="107"/>
      <c r="AA271" s="107"/>
      <c r="AB271" s="107"/>
      <c r="AC271" s="107"/>
      <c r="AD271" s="107"/>
      <c r="AE271" s="107"/>
      <c r="AF271" s="107"/>
      <c r="AG271" s="107"/>
      <c r="AH271" s="107">
        <f t="shared" si="49"/>
        <v>0</v>
      </c>
    </row>
    <row r="272" spans="1:34">
      <c r="A272" s="375" t="s">
        <v>148</v>
      </c>
      <c r="B272" s="53">
        <f t="shared" si="48"/>
        <v>0</v>
      </c>
      <c r="C272" s="103"/>
      <c r="D272" s="107"/>
      <c r="E272" s="107"/>
      <c r="F272" s="107"/>
      <c r="G272" s="53"/>
      <c r="H272" s="53"/>
      <c r="I272" s="53"/>
      <c r="J272" s="107"/>
      <c r="K272" s="107"/>
      <c r="L272" s="107"/>
      <c r="M272" s="107"/>
      <c r="N272" s="107"/>
      <c r="O272" s="107"/>
      <c r="P272" s="107"/>
      <c r="Q272" s="107"/>
      <c r="R272" s="107"/>
      <c r="S272" s="107"/>
      <c r="T272" s="107"/>
      <c r="U272" s="107"/>
      <c r="V272" s="107"/>
      <c r="W272" s="107"/>
      <c r="X272" s="107"/>
      <c r="Y272" s="107"/>
      <c r="Z272" s="107"/>
      <c r="AA272" s="107"/>
      <c r="AB272" s="107"/>
      <c r="AC272" s="107"/>
      <c r="AD272" s="107"/>
      <c r="AE272" s="107"/>
      <c r="AF272" s="107"/>
      <c r="AG272" s="107"/>
      <c r="AH272" s="107">
        <f t="shared" si="49"/>
        <v>0</v>
      </c>
    </row>
    <row r="273" spans="1:34" s="190" customFormat="1">
      <c r="A273" s="375" t="s">
        <v>149</v>
      </c>
      <c r="B273" s="53">
        <f t="shared" si="48"/>
        <v>0</v>
      </c>
      <c r="C273" s="53"/>
      <c r="D273" s="53"/>
      <c r="E273" s="53"/>
      <c r="F273" s="53"/>
      <c r="G273" s="53"/>
      <c r="H273" s="53"/>
      <c r="I273" s="53"/>
      <c r="J273" s="107"/>
      <c r="K273" s="107"/>
      <c r="L273" s="107"/>
      <c r="M273" s="107"/>
      <c r="N273" s="107"/>
      <c r="O273" s="107"/>
      <c r="P273" s="107"/>
      <c r="Q273" s="107"/>
      <c r="R273" s="107"/>
      <c r="S273" s="107"/>
      <c r="T273" s="107"/>
      <c r="U273" s="107"/>
      <c r="V273" s="107"/>
      <c r="W273" s="107"/>
      <c r="X273" s="107"/>
      <c r="Y273" s="107"/>
      <c r="Z273" s="107"/>
      <c r="AA273" s="107"/>
      <c r="AB273" s="107"/>
      <c r="AC273" s="107"/>
      <c r="AD273" s="107"/>
      <c r="AE273" s="107"/>
      <c r="AF273" s="107"/>
      <c r="AG273" s="107"/>
      <c r="AH273" s="107">
        <f t="shared" si="49"/>
        <v>0</v>
      </c>
    </row>
    <row r="274" spans="1:34">
      <c r="A274" s="375" t="s">
        <v>150</v>
      </c>
      <c r="B274" s="53">
        <f t="shared" si="48"/>
        <v>0</v>
      </c>
      <c r="C274" s="100"/>
      <c r="D274" s="107"/>
      <c r="E274" s="107"/>
      <c r="F274" s="107"/>
      <c r="G274" s="107"/>
      <c r="H274" s="107"/>
      <c r="I274" s="107"/>
      <c r="J274" s="107"/>
      <c r="K274" s="107"/>
      <c r="L274" s="107"/>
      <c r="M274" s="107"/>
      <c r="N274" s="107"/>
      <c r="O274" s="107"/>
      <c r="P274" s="107"/>
      <c r="Q274" s="107"/>
      <c r="R274" s="107"/>
      <c r="S274" s="107"/>
      <c r="T274" s="107"/>
      <c r="U274" s="107"/>
      <c r="V274" s="107"/>
      <c r="W274" s="107"/>
      <c r="X274" s="107"/>
      <c r="Y274" s="107"/>
      <c r="Z274" s="107"/>
      <c r="AA274" s="107"/>
      <c r="AB274" s="107"/>
      <c r="AC274" s="107"/>
      <c r="AD274" s="107"/>
      <c r="AE274" s="107"/>
      <c r="AF274" s="107"/>
      <c r="AG274" s="107"/>
      <c r="AH274" s="107">
        <f t="shared" si="49"/>
        <v>0</v>
      </c>
    </row>
    <row r="275" spans="1:34">
      <c r="A275" s="375" t="s">
        <v>151</v>
      </c>
      <c r="B275" s="53">
        <f t="shared" si="48"/>
        <v>0</v>
      </c>
      <c r="C275" s="103"/>
      <c r="D275" s="107"/>
      <c r="E275" s="107"/>
      <c r="F275" s="107"/>
      <c r="G275" s="53"/>
      <c r="H275" s="53"/>
      <c r="I275" s="53"/>
      <c r="J275" s="111"/>
      <c r="K275" s="111"/>
      <c r="L275" s="107"/>
      <c r="M275" s="107"/>
      <c r="N275" s="53"/>
      <c r="O275" s="53"/>
      <c r="P275" s="53"/>
      <c r="Q275" s="107"/>
      <c r="R275" s="107"/>
      <c r="S275" s="107"/>
      <c r="T275" s="107"/>
      <c r="U275" s="107"/>
      <c r="V275" s="107"/>
      <c r="W275" s="107"/>
      <c r="X275" s="107"/>
      <c r="Y275" s="107"/>
      <c r="Z275" s="107"/>
      <c r="AA275" s="107"/>
      <c r="AB275" s="107"/>
      <c r="AC275" s="107"/>
      <c r="AD275" s="107"/>
      <c r="AE275" s="107"/>
      <c r="AF275" s="107"/>
      <c r="AG275" s="107"/>
      <c r="AH275" s="107">
        <f t="shared" si="49"/>
        <v>0</v>
      </c>
    </row>
    <row r="276" spans="1:34" s="190" customFormat="1">
      <c r="A276" s="375" t="s">
        <v>152</v>
      </c>
      <c r="B276" s="53">
        <f t="shared" si="48"/>
        <v>0</v>
      </c>
      <c r="C276" s="53"/>
      <c r="D276" s="53"/>
      <c r="E276" s="53"/>
      <c r="F276" s="53"/>
      <c r="G276" s="53"/>
      <c r="H276" s="53"/>
      <c r="I276" s="53"/>
      <c r="J276" s="187"/>
      <c r="K276" s="187"/>
      <c r="L276" s="107"/>
      <c r="M276" s="107"/>
      <c r="N276" s="107"/>
      <c r="O276" s="107"/>
      <c r="P276" s="107"/>
      <c r="Q276" s="107"/>
      <c r="R276" s="107"/>
      <c r="S276" s="107"/>
      <c r="T276" s="107"/>
      <c r="U276" s="107"/>
      <c r="V276" s="107"/>
      <c r="W276" s="107"/>
      <c r="X276" s="107"/>
      <c r="Y276" s="107"/>
      <c r="Z276" s="107"/>
      <c r="AA276" s="107"/>
      <c r="AB276" s="107"/>
      <c r="AC276" s="107"/>
      <c r="AD276" s="107"/>
      <c r="AE276" s="107"/>
      <c r="AF276" s="107"/>
      <c r="AG276" s="107"/>
      <c r="AH276" s="107">
        <f t="shared" si="49"/>
        <v>0</v>
      </c>
    </row>
    <row r="277" spans="1:34">
      <c r="A277" s="375" t="s">
        <v>153</v>
      </c>
      <c r="B277" s="53">
        <f t="shared" si="48"/>
        <v>0</v>
      </c>
      <c r="C277" s="100"/>
      <c r="D277" s="107"/>
      <c r="E277" s="107"/>
      <c r="F277" s="107"/>
      <c r="G277" s="107"/>
      <c r="H277" s="107"/>
      <c r="I277" s="107"/>
      <c r="J277" s="111"/>
      <c r="K277" s="111"/>
      <c r="L277" s="53"/>
      <c r="M277" s="53"/>
      <c r="N277" s="53"/>
      <c r="O277" s="53"/>
      <c r="P277" s="53"/>
      <c r="Q277" s="53"/>
      <c r="R277" s="53"/>
      <c r="S277" s="53"/>
      <c r="T277" s="53"/>
      <c r="U277" s="53"/>
      <c r="V277" s="53"/>
      <c r="W277" s="53"/>
      <c r="X277" s="53"/>
      <c r="Y277" s="53"/>
      <c r="Z277" s="53"/>
      <c r="AA277" s="53"/>
      <c r="AB277" s="53"/>
      <c r="AC277" s="53"/>
      <c r="AD277" s="53"/>
      <c r="AE277" s="53"/>
      <c r="AF277" s="53"/>
      <c r="AG277" s="53"/>
      <c r="AH277" s="107">
        <f t="shared" si="49"/>
        <v>0</v>
      </c>
    </row>
    <row r="278" spans="1:34">
      <c r="A278" s="363" t="s">
        <v>154</v>
      </c>
      <c r="B278" s="53">
        <f t="shared" si="48"/>
        <v>0</v>
      </c>
      <c r="C278" s="103"/>
      <c r="D278" s="107"/>
      <c r="E278" s="107"/>
      <c r="F278" s="107"/>
      <c r="G278" s="53"/>
      <c r="H278" s="53"/>
      <c r="I278" s="53"/>
      <c r="J278" s="53"/>
      <c r="K278" s="53"/>
      <c r="L278" s="53"/>
      <c r="M278" s="53"/>
      <c r="N278" s="53"/>
      <c r="O278" s="107"/>
      <c r="P278" s="53"/>
      <c r="Q278" s="53"/>
      <c r="R278" s="53"/>
      <c r="S278" s="53"/>
      <c r="T278" s="53"/>
      <c r="U278" s="53"/>
      <c r="V278" s="53"/>
      <c r="W278" s="53"/>
      <c r="X278" s="53"/>
      <c r="Y278" s="53"/>
      <c r="Z278" s="53"/>
      <c r="AA278" s="53"/>
      <c r="AB278" s="53"/>
      <c r="AC278" s="53"/>
      <c r="AD278" s="53"/>
      <c r="AE278" s="107"/>
      <c r="AF278" s="53"/>
      <c r="AG278" s="107"/>
      <c r="AH278" s="107">
        <f t="shared" si="49"/>
        <v>0</v>
      </c>
    </row>
    <row r="279" spans="1:34">
      <c r="A279" s="363" t="s">
        <v>155</v>
      </c>
      <c r="B279" s="53">
        <f t="shared" si="48"/>
        <v>0</v>
      </c>
      <c r="C279" s="103"/>
      <c r="D279" s="53"/>
      <c r="E279" s="53"/>
      <c r="F279" s="53"/>
      <c r="G279" s="53"/>
      <c r="H279" s="53"/>
      <c r="I279" s="53"/>
      <c r="J279" s="53"/>
      <c r="K279" s="53"/>
      <c r="L279" s="53"/>
      <c r="M279" s="53"/>
      <c r="N279" s="53"/>
      <c r="O279" s="53"/>
      <c r="P279" s="53"/>
      <c r="Q279" s="53"/>
      <c r="R279" s="53"/>
      <c r="S279" s="53"/>
      <c r="T279" s="53"/>
      <c r="U279" s="53"/>
      <c r="V279" s="53"/>
      <c r="W279" s="53"/>
      <c r="X279" s="53"/>
      <c r="Y279" s="53"/>
      <c r="Z279" s="53"/>
      <c r="AA279" s="53"/>
      <c r="AB279" s="53"/>
      <c r="AC279" s="53"/>
      <c r="AD279" s="53"/>
      <c r="AE279" s="107"/>
      <c r="AF279" s="53"/>
      <c r="AG279" s="107"/>
      <c r="AH279" s="107">
        <f t="shared" si="49"/>
        <v>0</v>
      </c>
    </row>
    <row r="280" spans="1:34">
      <c r="A280" s="363" t="s">
        <v>156</v>
      </c>
      <c r="B280" s="53">
        <f t="shared" si="48"/>
        <v>0</v>
      </c>
      <c r="C280" s="103"/>
      <c r="D280" s="53"/>
      <c r="E280" s="53"/>
      <c r="F280" s="53"/>
      <c r="G280" s="53"/>
      <c r="H280" s="53"/>
      <c r="I280" s="53"/>
      <c r="J280" s="53"/>
      <c r="K280" s="53"/>
      <c r="L280" s="53"/>
      <c r="M280" s="53"/>
      <c r="N280" s="53"/>
      <c r="O280" s="53"/>
      <c r="P280" s="53"/>
      <c r="Q280" s="53"/>
      <c r="R280" s="53"/>
      <c r="S280" s="53"/>
      <c r="T280" s="53"/>
      <c r="U280" s="53"/>
      <c r="V280" s="53"/>
      <c r="W280" s="53"/>
      <c r="X280" s="53"/>
      <c r="Y280" s="53"/>
      <c r="Z280" s="53"/>
      <c r="AA280" s="53"/>
      <c r="AB280" s="53"/>
      <c r="AC280" s="53"/>
      <c r="AD280" s="53"/>
      <c r="AE280" s="107"/>
      <c r="AF280" s="53"/>
      <c r="AG280" s="107"/>
      <c r="AH280" s="107">
        <f t="shared" si="49"/>
        <v>0</v>
      </c>
    </row>
    <row r="281" spans="1:34">
      <c r="A281" s="199" t="s">
        <v>144</v>
      </c>
      <c r="B281" s="200">
        <f>SUM(B269:B280)</f>
        <v>0</v>
      </c>
      <c r="C281" s="100">
        <f>SUM(C269:C279)</f>
        <v>0</v>
      </c>
      <c r="D281" s="107">
        <f>SUM(D269:D279)</f>
        <v>0</v>
      </c>
      <c r="E281" s="107">
        <v>0</v>
      </c>
      <c r="F281" s="107">
        <f t="shared" ref="F281:AC281" si="50">SUM(F269:F279)</f>
        <v>0</v>
      </c>
      <c r="G281" s="107">
        <f t="shared" si="50"/>
        <v>0</v>
      </c>
      <c r="H281" s="107">
        <f t="shared" si="50"/>
        <v>0</v>
      </c>
      <c r="I281" s="107">
        <f t="shared" si="50"/>
        <v>0</v>
      </c>
      <c r="J281" s="107">
        <f t="shared" si="50"/>
        <v>0</v>
      </c>
      <c r="K281" s="107">
        <f t="shared" si="50"/>
        <v>0</v>
      </c>
      <c r="L281" s="107">
        <f t="shared" si="50"/>
        <v>0</v>
      </c>
      <c r="M281" s="107">
        <f t="shared" si="50"/>
        <v>0</v>
      </c>
      <c r="N281" s="107">
        <f t="shared" si="50"/>
        <v>0</v>
      </c>
      <c r="O281" s="107">
        <f t="shared" si="50"/>
        <v>0</v>
      </c>
      <c r="P281" s="107">
        <f t="shared" si="50"/>
        <v>0</v>
      </c>
      <c r="Q281" s="107">
        <f t="shared" si="50"/>
        <v>0</v>
      </c>
      <c r="R281" s="107">
        <f t="shared" si="50"/>
        <v>0</v>
      </c>
      <c r="S281" s="107">
        <f t="shared" si="50"/>
        <v>0</v>
      </c>
      <c r="T281" s="107">
        <f t="shared" si="50"/>
        <v>0</v>
      </c>
      <c r="U281" s="107">
        <f t="shared" si="50"/>
        <v>0</v>
      </c>
      <c r="V281" s="107">
        <f t="shared" si="50"/>
        <v>0</v>
      </c>
      <c r="W281" s="107">
        <f t="shared" si="50"/>
        <v>0</v>
      </c>
      <c r="X281" s="107">
        <f t="shared" si="50"/>
        <v>0</v>
      </c>
      <c r="Y281" s="107">
        <f t="shared" si="50"/>
        <v>0</v>
      </c>
      <c r="Z281" s="107">
        <f t="shared" si="50"/>
        <v>0</v>
      </c>
      <c r="AA281" s="107">
        <f t="shared" si="50"/>
        <v>0</v>
      </c>
      <c r="AB281" s="107">
        <f t="shared" si="50"/>
        <v>0</v>
      </c>
      <c r="AC281" s="107">
        <f t="shared" si="50"/>
        <v>0</v>
      </c>
      <c r="AD281" s="107">
        <v>0</v>
      </c>
      <c r="AE281" s="107">
        <f>SUM(AE269:AE279)</f>
        <v>0</v>
      </c>
      <c r="AF281" s="107">
        <f>SUM(AF269:AF279)</f>
        <v>0</v>
      </c>
      <c r="AG281" s="107">
        <f>SUM(AG269:AG279)</f>
        <v>0</v>
      </c>
      <c r="AH281" s="100">
        <f>SUM(AH269:AH279)</f>
        <v>0</v>
      </c>
    </row>
    <row r="282" spans="1:34" ht="17.25" customHeight="1">
      <c r="A282" s="49"/>
      <c r="B282" s="49"/>
      <c r="C282" s="1"/>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c r="AH282" s="1"/>
    </row>
    <row r="283" spans="1:34">
      <c r="A283" s="3854" t="s">
        <v>409</v>
      </c>
      <c r="B283" s="3855"/>
      <c r="C283" s="3855"/>
      <c r="D283" s="3855"/>
      <c r="E283" s="3855"/>
      <c r="F283" s="3855"/>
      <c r="G283" s="3855"/>
      <c r="H283" s="3856"/>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row>
    <row r="284" spans="1:34">
      <c r="A284" s="8" t="s">
        <v>142</v>
      </c>
      <c r="B284" s="8" t="s">
        <v>143</v>
      </c>
      <c r="C284" s="314">
        <v>1</v>
      </c>
      <c r="D284" s="73">
        <v>2</v>
      </c>
      <c r="E284" s="73">
        <v>3</v>
      </c>
      <c r="F284" s="73">
        <v>4</v>
      </c>
      <c r="G284" s="73">
        <v>5</v>
      </c>
      <c r="H284" s="73">
        <v>6</v>
      </c>
      <c r="I284" s="73">
        <v>7</v>
      </c>
      <c r="J284" s="73">
        <v>8</v>
      </c>
      <c r="K284" s="73">
        <v>9</v>
      </c>
      <c r="L284" s="73">
        <v>10</v>
      </c>
      <c r="M284" s="73">
        <v>11</v>
      </c>
      <c r="N284" s="73">
        <v>12</v>
      </c>
      <c r="O284" s="73">
        <v>13</v>
      </c>
      <c r="P284" s="73">
        <v>14</v>
      </c>
      <c r="Q284" s="73">
        <v>15</v>
      </c>
      <c r="R284" s="73">
        <v>16</v>
      </c>
      <c r="S284" s="73">
        <v>17</v>
      </c>
      <c r="T284" s="73">
        <v>18</v>
      </c>
      <c r="U284" s="73">
        <v>19</v>
      </c>
      <c r="V284" s="73">
        <v>20</v>
      </c>
      <c r="W284" s="73">
        <v>21</v>
      </c>
      <c r="X284" s="73">
        <v>22</v>
      </c>
      <c r="Y284" s="73">
        <v>23</v>
      </c>
      <c r="Z284" s="73">
        <v>24</v>
      </c>
      <c r="AA284" s="73">
        <v>25</v>
      </c>
      <c r="AB284" s="73">
        <v>26</v>
      </c>
      <c r="AC284" s="73">
        <v>27</v>
      </c>
      <c r="AD284" s="73">
        <v>28</v>
      </c>
      <c r="AE284" s="73">
        <v>29</v>
      </c>
      <c r="AF284" s="73">
        <v>30</v>
      </c>
      <c r="AG284" s="73">
        <v>31</v>
      </c>
      <c r="AH284" s="88" t="s">
        <v>144</v>
      </c>
    </row>
    <row r="285" spans="1:34">
      <c r="A285" s="375" t="s">
        <v>145</v>
      </c>
      <c r="B285" s="53">
        <f t="shared" ref="B285:B296" si="51">+AH285</f>
        <v>0</v>
      </c>
      <c r="C285" s="103"/>
      <c r="D285" s="107"/>
      <c r="E285" s="107"/>
      <c r="F285" s="107"/>
      <c r="G285" s="53"/>
      <c r="H285" s="53"/>
      <c r="I285" s="53"/>
      <c r="J285" s="53"/>
      <c r="K285" s="53"/>
      <c r="L285" s="53"/>
      <c r="M285" s="53"/>
      <c r="N285" s="53"/>
      <c r="O285" s="53"/>
      <c r="P285" s="53"/>
      <c r="Q285" s="107"/>
      <c r="R285" s="53"/>
      <c r="S285" s="53"/>
      <c r="T285" s="53"/>
      <c r="U285" s="53"/>
      <c r="V285" s="107"/>
      <c r="W285" s="107"/>
      <c r="X285" s="53"/>
      <c r="Y285" s="53"/>
      <c r="Z285" s="53"/>
      <c r="AA285" s="53"/>
      <c r="AB285" s="53"/>
      <c r="AC285" s="53"/>
      <c r="AD285" s="107"/>
      <c r="AE285" s="53"/>
      <c r="AF285" s="53"/>
      <c r="AG285" s="53"/>
      <c r="AH285" s="107">
        <f>SUM(C285:AG285)</f>
        <v>0</v>
      </c>
    </row>
    <row r="286" spans="1:34">
      <c r="A286" s="375" t="s">
        <v>146</v>
      </c>
      <c r="B286" s="53">
        <f t="shared" si="51"/>
        <v>0</v>
      </c>
      <c r="C286" s="103"/>
      <c r="D286" s="53"/>
      <c r="E286" s="53"/>
      <c r="F286" s="53"/>
      <c r="G286" s="53"/>
      <c r="H286" s="53"/>
      <c r="I286" s="53"/>
      <c r="J286" s="53"/>
      <c r="K286" s="53"/>
      <c r="L286" s="53"/>
      <c r="M286" s="53"/>
      <c r="N286" s="53"/>
      <c r="O286" s="53"/>
      <c r="P286" s="53"/>
      <c r="Q286" s="53"/>
      <c r="R286" s="53"/>
      <c r="S286" s="53"/>
      <c r="T286" s="53"/>
      <c r="U286" s="53"/>
      <c r="V286" s="53"/>
      <c r="W286" s="53"/>
      <c r="X286" s="53"/>
      <c r="Y286" s="53"/>
      <c r="Z286" s="53"/>
      <c r="AA286" s="53"/>
      <c r="AB286" s="53"/>
      <c r="AC286" s="53"/>
      <c r="AD286" s="53"/>
      <c r="AE286" s="53"/>
      <c r="AF286" s="53"/>
      <c r="AG286" s="53"/>
      <c r="AH286" s="107">
        <f t="shared" ref="AH286:AH296" si="52">SUM(C286:AG286)</f>
        <v>0</v>
      </c>
    </row>
    <row r="287" spans="1:34">
      <c r="A287" s="375" t="s">
        <v>147</v>
      </c>
      <c r="B287" s="53">
        <f t="shared" si="51"/>
        <v>0</v>
      </c>
      <c r="C287" s="100"/>
      <c r="D287" s="107"/>
      <c r="E287" s="107"/>
      <c r="F287" s="107"/>
      <c r="G287" s="107"/>
      <c r="H287" s="107"/>
      <c r="I287" s="107"/>
      <c r="J287" s="107"/>
      <c r="K287" s="107"/>
      <c r="L287" s="107"/>
      <c r="M287" s="107"/>
      <c r="N287" s="107"/>
      <c r="O287" s="107"/>
      <c r="P287" s="107"/>
      <c r="Q287" s="107"/>
      <c r="R287" s="107"/>
      <c r="S287" s="107"/>
      <c r="T287" s="107"/>
      <c r="U287" s="107"/>
      <c r="V287" s="107"/>
      <c r="W287" s="107"/>
      <c r="X287" s="107"/>
      <c r="Y287" s="107"/>
      <c r="Z287" s="107"/>
      <c r="AA287" s="107"/>
      <c r="AB287" s="107"/>
      <c r="AC287" s="107"/>
      <c r="AD287" s="107"/>
      <c r="AE287" s="107"/>
      <c r="AF287" s="107"/>
      <c r="AG287" s="107"/>
      <c r="AH287" s="107">
        <f t="shared" si="52"/>
        <v>0</v>
      </c>
    </row>
    <row r="288" spans="1:34">
      <c r="A288" s="375" t="s">
        <v>148</v>
      </c>
      <c r="B288" s="53">
        <f t="shared" si="51"/>
        <v>0</v>
      </c>
      <c r="C288" s="103"/>
      <c r="D288" s="107"/>
      <c r="E288" s="107"/>
      <c r="F288" s="107"/>
      <c r="G288" s="53"/>
      <c r="H288" s="53"/>
      <c r="I288" s="53"/>
      <c r="J288" s="107"/>
      <c r="K288" s="107"/>
      <c r="L288" s="107"/>
      <c r="M288" s="107"/>
      <c r="N288" s="107"/>
      <c r="O288" s="107"/>
      <c r="P288" s="107"/>
      <c r="Q288" s="107"/>
      <c r="R288" s="107"/>
      <c r="S288" s="107"/>
      <c r="T288" s="107"/>
      <c r="U288" s="107"/>
      <c r="V288" s="107"/>
      <c r="W288" s="107"/>
      <c r="X288" s="107"/>
      <c r="Y288" s="107"/>
      <c r="Z288" s="107"/>
      <c r="AA288" s="107"/>
      <c r="AB288" s="107"/>
      <c r="AC288" s="107"/>
      <c r="AD288" s="107"/>
      <c r="AE288" s="107"/>
      <c r="AF288" s="107"/>
      <c r="AG288" s="107"/>
      <c r="AH288" s="107">
        <f t="shared" si="52"/>
        <v>0</v>
      </c>
    </row>
    <row r="289" spans="1:34">
      <c r="A289" s="375" t="s">
        <v>149</v>
      </c>
      <c r="B289" s="53">
        <f t="shared" si="51"/>
        <v>0</v>
      </c>
      <c r="C289" s="103"/>
      <c r="D289" s="53"/>
      <c r="E289" s="53"/>
      <c r="F289" s="53"/>
      <c r="G289" s="53"/>
      <c r="H289" s="53"/>
      <c r="I289" s="53"/>
      <c r="J289" s="107"/>
      <c r="K289" s="107"/>
      <c r="L289" s="107"/>
      <c r="M289" s="107"/>
      <c r="N289" s="107"/>
      <c r="O289" s="107"/>
      <c r="P289" s="107"/>
      <c r="Q289" s="107"/>
      <c r="R289" s="107"/>
      <c r="S289" s="107"/>
      <c r="T289" s="107"/>
      <c r="U289" s="107"/>
      <c r="V289" s="107"/>
      <c r="W289" s="107"/>
      <c r="X289" s="107"/>
      <c r="Y289" s="107"/>
      <c r="Z289" s="107"/>
      <c r="AA289" s="107"/>
      <c r="AB289" s="107"/>
      <c r="AC289" s="107"/>
      <c r="AD289" s="107"/>
      <c r="AE289" s="107"/>
      <c r="AF289" s="107"/>
      <c r="AG289" s="107"/>
      <c r="AH289" s="107">
        <f t="shared" si="52"/>
        <v>0</v>
      </c>
    </row>
    <row r="290" spans="1:34">
      <c r="A290" s="375" t="s">
        <v>150</v>
      </c>
      <c r="B290" s="53">
        <f t="shared" si="51"/>
        <v>0</v>
      </c>
      <c r="C290" s="100"/>
      <c r="D290" s="107"/>
      <c r="E290" s="107"/>
      <c r="F290" s="107"/>
      <c r="G290" s="107"/>
      <c r="H290" s="107"/>
      <c r="I290" s="107"/>
      <c r="J290" s="107"/>
      <c r="K290" s="107"/>
      <c r="L290" s="107"/>
      <c r="M290" s="107"/>
      <c r="N290" s="107"/>
      <c r="O290" s="107"/>
      <c r="P290" s="107"/>
      <c r="Q290" s="107"/>
      <c r="R290" s="107"/>
      <c r="S290" s="107"/>
      <c r="T290" s="107"/>
      <c r="U290" s="107"/>
      <c r="V290" s="107"/>
      <c r="W290" s="107"/>
      <c r="X290" s="107"/>
      <c r="Y290" s="107"/>
      <c r="Z290" s="107"/>
      <c r="AA290" s="107"/>
      <c r="AB290" s="107"/>
      <c r="AC290" s="107"/>
      <c r="AD290" s="107"/>
      <c r="AE290" s="107"/>
      <c r="AF290" s="107"/>
      <c r="AG290" s="107"/>
      <c r="AH290" s="107">
        <f t="shared" si="52"/>
        <v>0</v>
      </c>
    </row>
    <row r="291" spans="1:34">
      <c r="A291" s="375" t="s">
        <v>151</v>
      </c>
      <c r="B291" s="53">
        <f t="shared" si="51"/>
        <v>0</v>
      </c>
      <c r="C291" s="103"/>
      <c r="D291" s="107"/>
      <c r="E291" s="107"/>
      <c r="F291" s="107"/>
      <c r="G291" s="53"/>
      <c r="H291" s="53"/>
      <c r="I291" s="53"/>
      <c r="J291" s="111"/>
      <c r="K291" s="111"/>
      <c r="L291" s="107"/>
      <c r="M291" s="107"/>
      <c r="N291" s="107"/>
      <c r="O291" s="107"/>
      <c r="P291" s="107"/>
      <c r="Q291" s="107"/>
      <c r="R291" s="107"/>
      <c r="S291" s="107"/>
      <c r="T291" s="107"/>
      <c r="U291" s="107"/>
      <c r="V291" s="107"/>
      <c r="W291" s="107"/>
      <c r="X291" s="107"/>
      <c r="Y291" s="107"/>
      <c r="Z291" s="107"/>
      <c r="AA291" s="107"/>
      <c r="AB291" s="107"/>
      <c r="AC291" s="107"/>
      <c r="AD291" s="107"/>
      <c r="AE291" s="107"/>
      <c r="AF291" s="107"/>
      <c r="AG291" s="107"/>
      <c r="AH291" s="107">
        <f t="shared" si="52"/>
        <v>0</v>
      </c>
    </row>
    <row r="292" spans="1:34">
      <c r="A292" s="375" t="s">
        <v>152</v>
      </c>
      <c r="B292" s="53">
        <f t="shared" si="51"/>
        <v>0</v>
      </c>
      <c r="C292" s="103"/>
      <c r="D292" s="53"/>
      <c r="E292" s="53"/>
      <c r="F292" s="53"/>
      <c r="G292" s="53"/>
      <c r="H292" s="53"/>
      <c r="I292" s="53"/>
      <c r="J292" s="111"/>
      <c r="K292" s="111"/>
      <c r="L292" s="107"/>
      <c r="M292" s="107"/>
      <c r="N292" s="107"/>
      <c r="O292" s="107"/>
      <c r="P292" s="107"/>
      <c r="Q292" s="107"/>
      <c r="R292" s="107"/>
      <c r="S292" s="107"/>
      <c r="T292" s="107"/>
      <c r="U292" s="107"/>
      <c r="V292" s="107"/>
      <c r="W292" s="107"/>
      <c r="X292" s="107"/>
      <c r="Y292" s="107"/>
      <c r="Z292" s="107"/>
      <c r="AA292" s="107"/>
      <c r="AB292" s="107"/>
      <c r="AC292" s="107"/>
      <c r="AD292" s="107"/>
      <c r="AE292" s="107"/>
      <c r="AF292" s="107"/>
      <c r="AG292" s="107"/>
      <c r="AH292" s="107">
        <f t="shared" si="52"/>
        <v>0</v>
      </c>
    </row>
    <row r="293" spans="1:34">
      <c r="A293" s="375" t="s">
        <v>153</v>
      </c>
      <c r="B293" s="53">
        <f t="shared" si="51"/>
        <v>0</v>
      </c>
      <c r="C293" s="100"/>
      <c r="D293" s="107"/>
      <c r="E293" s="107"/>
      <c r="F293" s="107"/>
      <c r="G293" s="107"/>
      <c r="H293" s="107"/>
      <c r="I293" s="107"/>
      <c r="J293" s="111"/>
      <c r="K293" s="111"/>
      <c r="L293" s="53"/>
      <c r="M293" s="53"/>
      <c r="N293" s="53"/>
      <c r="O293" s="53"/>
      <c r="P293" s="53"/>
      <c r="Q293" s="53"/>
      <c r="R293" s="53"/>
      <c r="S293" s="53"/>
      <c r="T293" s="53"/>
      <c r="U293" s="53"/>
      <c r="V293" s="53"/>
      <c r="W293" s="53"/>
      <c r="X293" s="53"/>
      <c r="Y293" s="53"/>
      <c r="Z293" s="53"/>
      <c r="AA293" s="53"/>
      <c r="AB293" s="53"/>
      <c r="AC293" s="53"/>
      <c r="AD293" s="53"/>
      <c r="AE293" s="53"/>
      <c r="AF293" s="53"/>
      <c r="AG293" s="53"/>
      <c r="AH293" s="107">
        <f t="shared" si="52"/>
        <v>0</v>
      </c>
    </row>
    <row r="294" spans="1:34">
      <c r="A294" s="363" t="s">
        <v>154</v>
      </c>
      <c r="B294" s="53">
        <f t="shared" si="51"/>
        <v>0</v>
      </c>
      <c r="C294" s="103"/>
      <c r="D294" s="107"/>
      <c r="E294" s="107"/>
      <c r="F294" s="107"/>
      <c r="G294" s="53"/>
      <c r="H294" s="53"/>
      <c r="I294" s="53"/>
      <c r="J294" s="53"/>
      <c r="K294" s="53"/>
      <c r="L294" s="53"/>
      <c r="M294" s="53"/>
      <c r="N294" s="53"/>
      <c r="O294" s="107"/>
      <c r="P294" s="53"/>
      <c r="Q294" s="53"/>
      <c r="R294" s="53"/>
      <c r="S294" s="53"/>
      <c r="T294" s="53"/>
      <c r="U294" s="53"/>
      <c r="V294" s="53"/>
      <c r="W294" s="53"/>
      <c r="X294" s="53"/>
      <c r="Y294" s="53"/>
      <c r="Z294" s="53"/>
      <c r="AA294" s="53"/>
      <c r="AB294" s="53"/>
      <c r="AC294" s="53"/>
      <c r="AD294" s="53"/>
      <c r="AE294" s="107"/>
      <c r="AF294" s="53"/>
      <c r="AG294" s="107"/>
      <c r="AH294" s="107">
        <f t="shared" si="52"/>
        <v>0</v>
      </c>
    </row>
    <row r="295" spans="1:34">
      <c r="A295" s="363" t="s">
        <v>155</v>
      </c>
      <c r="B295" s="53">
        <f t="shared" si="51"/>
        <v>0</v>
      </c>
      <c r="C295" s="103"/>
      <c r="D295" s="53"/>
      <c r="E295" s="53"/>
      <c r="F295" s="53"/>
      <c r="G295" s="53"/>
      <c r="H295" s="53"/>
      <c r="I295" s="53"/>
      <c r="J295" s="53"/>
      <c r="K295" s="53"/>
      <c r="L295" s="53"/>
      <c r="M295" s="53"/>
      <c r="N295" s="53"/>
      <c r="O295" s="53"/>
      <c r="P295" s="53"/>
      <c r="Q295" s="53"/>
      <c r="R295" s="53"/>
      <c r="S295" s="53"/>
      <c r="T295" s="53"/>
      <c r="U295" s="53"/>
      <c r="V295" s="53"/>
      <c r="W295" s="53"/>
      <c r="X295" s="53"/>
      <c r="Y295" s="53"/>
      <c r="Z295" s="53"/>
      <c r="AA295" s="53"/>
      <c r="AB295" s="53"/>
      <c r="AC295" s="53"/>
      <c r="AD295" s="53"/>
      <c r="AE295" s="107"/>
      <c r="AF295" s="53"/>
      <c r="AG295" s="107"/>
      <c r="AH295" s="107">
        <f t="shared" si="52"/>
        <v>0</v>
      </c>
    </row>
    <row r="296" spans="1:34">
      <c r="A296" s="363" t="s">
        <v>156</v>
      </c>
      <c r="B296" s="53">
        <f t="shared" si="51"/>
        <v>0</v>
      </c>
      <c r="C296" s="103"/>
      <c r="D296" s="53"/>
      <c r="E296" s="53"/>
      <c r="F296" s="53"/>
      <c r="G296" s="53"/>
      <c r="H296" s="53"/>
      <c r="I296" s="53"/>
      <c r="J296" s="53"/>
      <c r="K296" s="53"/>
      <c r="L296" s="53"/>
      <c r="M296" s="53"/>
      <c r="N296" s="53"/>
      <c r="O296" s="53"/>
      <c r="P296" s="53"/>
      <c r="Q296" s="53"/>
      <c r="R296" s="53"/>
      <c r="S296" s="53"/>
      <c r="T296" s="53"/>
      <c r="U296" s="53"/>
      <c r="V296" s="53"/>
      <c r="W296" s="53"/>
      <c r="X296" s="53"/>
      <c r="Y296" s="53"/>
      <c r="Z296" s="53"/>
      <c r="AA296" s="53"/>
      <c r="AB296" s="53"/>
      <c r="AC296" s="53"/>
      <c r="AD296" s="53"/>
      <c r="AE296" s="107"/>
      <c r="AF296" s="53"/>
      <c r="AG296" s="107"/>
      <c r="AH296" s="107">
        <f t="shared" si="52"/>
        <v>0</v>
      </c>
    </row>
    <row r="297" spans="1:34">
      <c r="A297" s="199" t="s">
        <v>144</v>
      </c>
      <c r="B297" s="200">
        <f>SUM(B285:B296)</f>
        <v>0</v>
      </c>
      <c r="C297" s="100">
        <f>SUM(C285:C295)</f>
        <v>0</v>
      </c>
      <c r="D297" s="107">
        <f>SUM(D285:D295)</f>
        <v>0</v>
      </c>
      <c r="E297" s="107">
        <v>0</v>
      </c>
      <c r="F297" s="107">
        <f t="shared" ref="F297:AC297" si="53">SUM(F285:F295)</f>
        <v>0</v>
      </c>
      <c r="G297" s="107">
        <f t="shared" si="53"/>
        <v>0</v>
      </c>
      <c r="H297" s="107">
        <f t="shared" si="53"/>
        <v>0</v>
      </c>
      <c r="I297" s="107">
        <f t="shared" si="53"/>
        <v>0</v>
      </c>
      <c r="J297" s="107">
        <f t="shared" si="53"/>
        <v>0</v>
      </c>
      <c r="K297" s="107">
        <f t="shared" si="53"/>
        <v>0</v>
      </c>
      <c r="L297" s="107">
        <f t="shared" si="53"/>
        <v>0</v>
      </c>
      <c r="M297" s="107">
        <f t="shared" si="53"/>
        <v>0</v>
      </c>
      <c r="N297" s="107">
        <f t="shared" si="53"/>
        <v>0</v>
      </c>
      <c r="O297" s="107">
        <f t="shared" si="53"/>
        <v>0</v>
      </c>
      <c r="P297" s="107">
        <f t="shared" si="53"/>
        <v>0</v>
      </c>
      <c r="Q297" s="107">
        <f t="shared" si="53"/>
        <v>0</v>
      </c>
      <c r="R297" s="107">
        <f t="shared" si="53"/>
        <v>0</v>
      </c>
      <c r="S297" s="107">
        <f t="shared" si="53"/>
        <v>0</v>
      </c>
      <c r="T297" s="107">
        <f t="shared" si="53"/>
        <v>0</v>
      </c>
      <c r="U297" s="107">
        <f t="shared" si="53"/>
        <v>0</v>
      </c>
      <c r="V297" s="107">
        <f t="shared" si="53"/>
        <v>0</v>
      </c>
      <c r="W297" s="107">
        <f t="shared" si="53"/>
        <v>0</v>
      </c>
      <c r="X297" s="107">
        <f t="shared" si="53"/>
        <v>0</v>
      </c>
      <c r="Y297" s="107">
        <f t="shared" si="53"/>
        <v>0</v>
      </c>
      <c r="Z297" s="107">
        <f t="shared" si="53"/>
        <v>0</v>
      </c>
      <c r="AA297" s="107">
        <f t="shared" si="53"/>
        <v>0</v>
      </c>
      <c r="AB297" s="107">
        <f t="shared" si="53"/>
        <v>0</v>
      </c>
      <c r="AC297" s="107">
        <f t="shared" si="53"/>
        <v>0</v>
      </c>
      <c r="AD297" s="107">
        <v>0</v>
      </c>
      <c r="AE297" s="107">
        <f>SUM(AE285:AE295)</f>
        <v>0</v>
      </c>
      <c r="AF297" s="107">
        <f>SUM(AF285:AF295)</f>
        <v>0</v>
      </c>
      <c r="AG297" s="107">
        <f>SUM(AG285:AG295)</f>
        <v>0</v>
      </c>
      <c r="AH297" s="100">
        <f>SUM(AH285:AH295)</f>
        <v>0</v>
      </c>
    </row>
    <row r="298" spans="1:34" ht="17.25" customHeight="1">
      <c r="A298" s="49"/>
      <c r="B298" s="49"/>
      <c r="C298" s="1"/>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c r="AG298" s="14"/>
      <c r="AH298" s="1"/>
    </row>
    <row r="299" spans="1:34">
      <c r="A299" s="3854" t="s">
        <v>410</v>
      </c>
      <c r="B299" s="3855"/>
      <c r="C299" s="3855"/>
      <c r="D299" s="3855"/>
      <c r="E299" s="3855"/>
      <c r="F299" s="3855"/>
      <c r="G299" s="3855"/>
      <c r="H299" s="3856"/>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row>
    <row r="300" spans="1:34">
      <c r="A300" s="8" t="s">
        <v>142</v>
      </c>
      <c r="B300" s="8" t="s">
        <v>143</v>
      </c>
      <c r="C300" s="314">
        <v>1</v>
      </c>
      <c r="D300" s="73">
        <v>2</v>
      </c>
      <c r="E300" s="73">
        <v>3</v>
      </c>
      <c r="F300" s="73">
        <v>4</v>
      </c>
      <c r="G300" s="73">
        <v>5</v>
      </c>
      <c r="H300" s="73">
        <v>6</v>
      </c>
      <c r="I300" s="73">
        <v>7</v>
      </c>
      <c r="J300" s="73">
        <v>8</v>
      </c>
      <c r="K300" s="73">
        <v>9</v>
      </c>
      <c r="L300" s="73">
        <v>10</v>
      </c>
      <c r="M300" s="73">
        <v>11</v>
      </c>
      <c r="N300" s="73">
        <v>12</v>
      </c>
      <c r="O300" s="73">
        <v>13</v>
      </c>
      <c r="P300" s="73">
        <v>14</v>
      </c>
      <c r="Q300" s="73">
        <v>15</v>
      </c>
      <c r="R300" s="73">
        <v>16</v>
      </c>
      <c r="S300" s="73">
        <v>17</v>
      </c>
      <c r="T300" s="73">
        <v>18</v>
      </c>
      <c r="U300" s="73">
        <v>19</v>
      </c>
      <c r="V300" s="73">
        <v>20</v>
      </c>
      <c r="W300" s="73">
        <v>21</v>
      </c>
      <c r="X300" s="73">
        <v>22</v>
      </c>
      <c r="Y300" s="73">
        <v>23</v>
      </c>
      <c r="Z300" s="73">
        <v>24</v>
      </c>
      <c r="AA300" s="73">
        <v>25</v>
      </c>
      <c r="AB300" s="73">
        <v>26</v>
      </c>
      <c r="AC300" s="73">
        <v>27</v>
      </c>
      <c r="AD300" s="73">
        <v>28</v>
      </c>
      <c r="AE300" s="73">
        <v>29</v>
      </c>
      <c r="AF300" s="73">
        <v>30</v>
      </c>
      <c r="AG300" s="73">
        <v>31</v>
      </c>
      <c r="AH300" s="88" t="s">
        <v>144</v>
      </c>
    </row>
    <row r="301" spans="1:34">
      <c r="A301" s="375" t="s">
        <v>145</v>
      </c>
      <c r="B301" s="53">
        <f t="shared" ref="B301:B312" si="54">+AH301</f>
        <v>0</v>
      </c>
      <c r="C301" s="103"/>
      <c r="D301" s="107"/>
      <c r="E301" s="107"/>
      <c r="F301" s="107"/>
      <c r="G301" s="53"/>
      <c r="H301" s="53"/>
      <c r="I301" s="53"/>
      <c r="J301" s="53"/>
      <c r="K301" s="53"/>
      <c r="L301" s="53"/>
      <c r="M301" s="53"/>
      <c r="N301" s="53"/>
      <c r="O301" s="53"/>
      <c r="P301" s="53"/>
      <c r="Q301" s="107"/>
      <c r="R301" s="53"/>
      <c r="S301" s="53"/>
      <c r="T301" s="53"/>
      <c r="U301" s="53"/>
      <c r="V301" s="107"/>
      <c r="W301" s="107"/>
      <c r="X301" s="53"/>
      <c r="Y301" s="53"/>
      <c r="Z301" s="53"/>
      <c r="AA301" s="53"/>
      <c r="AB301" s="53"/>
      <c r="AC301" s="53"/>
      <c r="AD301" s="107"/>
      <c r="AE301" s="53"/>
      <c r="AF301" s="53"/>
      <c r="AG301" s="53"/>
      <c r="AH301" s="107">
        <f>SUM(C301:AG301)</f>
        <v>0</v>
      </c>
    </row>
    <row r="302" spans="1:34">
      <c r="A302" s="375" t="s">
        <v>146</v>
      </c>
      <c r="B302" s="53">
        <f t="shared" si="54"/>
        <v>0</v>
      </c>
      <c r="C302" s="103"/>
      <c r="D302" s="53"/>
      <c r="E302" s="53"/>
      <c r="F302" s="53"/>
      <c r="G302" s="53"/>
      <c r="H302" s="53"/>
      <c r="I302" s="53"/>
      <c r="J302" s="53"/>
      <c r="K302" s="53"/>
      <c r="L302" s="53"/>
      <c r="M302" s="53"/>
      <c r="N302" s="53"/>
      <c r="O302" s="53"/>
      <c r="P302" s="53"/>
      <c r="Q302" s="53"/>
      <c r="R302" s="53"/>
      <c r="S302" s="53"/>
      <c r="T302" s="53"/>
      <c r="U302" s="53"/>
      <c r="V302" s="53"/>
      <c r="W302" s="53"/>
      <c r="X302" s="53"/>
      <c r="Y302" s="53"/>
      <c r="Z302" s="53"/>
      <c r="AA302" s="53"/>
      <c r="AB302" s="53"/>
      <c r="AC302" s="53"/>
      <c r="AD302" s="53"/>
      <c r="AE302" s="53"/>
      <c r="AF302" s="53"/>
      <c r="AG302" s="53"/>
      <c r="AH302" s="107">
        <f t="shared" ref="AH302:AH312" si="55">SUM(C302:AG302)</f>
        <v>0</v>
      </c>
    </row>
    <row r="303" spans="1:34">
      <c r="A303" s="375" t="s">
        <v>147</v>
      </c>
      <c r="B303" s="53">
        <f t="shared" si="54"/>
        <v>0</v>
      </c>
      <c r="C303" s="100"/>
      <c r="D303" s="107"/>
      <c r="E303" s="107"/>
      <c r="F303" s="107"/>
      <c r="G303" s="107"/>
      <c r="H303" s="107"/>
      <c r="I303" s="107"/>
      <c r="J303" s="107"/>
      <c r="K303" s="107"/>
      <c r="L303" s="107"/>
      <c r="M303" s="107"/>
      <c r="N303" s="107"/>
      <c r="O303" s="107"/>
      <c r="P303" s="107"/>
      <c r="Q303" s="107"/>
      <c r="R303" s="107"/>
      <c r="S303" s="107"/>
      <c r="T303" s="107"/>
      <c r="U303" s="107"/>
      <c r="V303" s="107"/>
      <c r="W303" s="107"/>
      <c r="X303" s="107"/>
      <c r="Y303" s="107"/>
      <c r="Z303" s="107"/>
      <c r="AA303" s="107"/>
      <c r="AB303" s="107"/>
      <c r="AC303" s="107"/>
      <c r="AD303" s="107"/>
      <c r="AE303" s="107"/>
      <c r="AF303" s="107"/>
      <c r="AG303" s="107"/>
      <c r="AH303" s="107">
        <f t="shared" si="55"/>
        <v>0</v>
      </c>
    </row>
    <row r="304" spans="1:34">
      <c r="A304" s="375" t="s">
        <v>148</v>
      </c>
      <c r="B304" s="53">
        <f t="shared" si="54"/>
        <v>0</v>
      </c>
      <c r="C304" s="103"/>
      <c r="D304" s="107"/>
      <c r="E304" s="107"/>
      <c r="F304" s="107"/>
      <c r="G304" s="53"/>
      <c r="H304" s="53"/>
      <c r="I304" s="53"/>
      <c r="J304" s="107"/>
      <c r="K304" s="107"/>
      <c r="L304" s="107"/>
      <c r="M304" s="107"/>
      <c r="N304" s="107"/>
      <c r="O304" s="107"/>
      <c r="P304" s="107"/>
      <c r="Q304" s="107"/>
      <c r="R304" s="107"/>
      <c r="S304" s="107"/>
      <c r="T304" s="107"/>
      <c r="U304" s="107"/>
      <c r="V304" s="107"/>
      <c r="W304" s="107"/>
      <c r="X304" s="107"/>
      <c r="Y304" s="107"/>
      <c r="Z304" s="107"/>
      <c r="AA304" s="107"/>
      <c r="AB304" s="107"/>
      <c r="AC304" s="107"/>
      <c r="AD304" s="107"/>
      <c r="AE304" s="107"/>
      <c r="AF304" s="107"/>
      <c r="AG304" s="107"/>
      <c r="AH304" s="107">
        <f t="shared" si="55"/>
        <v>0</v>
      </c>
    </row>
    <row r="305" spans="1:34">
      <c r="A305" s="375" t="s">
        <v>149</v>
      </c>
      <c r="B305" s="53">
        <f t="shared" si="54"/>
        <v>0</v>
      </c>
      <c r="C305" s="103"/>
      <c r="D305" s="53"/>
      <c r="E305" s="53"/>
      <c r="F305" s="53"/>
      <c r="G305" s="53"/>
      <c r="H305" s="53"/>
      <c r="I305" s="53"/>
      <c r="J305" s="107"/>
      <c r="K305" s="107"/>
      <c r="L305" s="107"/>
      <c r="M305" s="107"/>
      <c r="N305" s="107"/>
      <c r="O305" s="107"/>
      <c r="P305" s="107"/>
      <c r="Q305" s="107"/>
      <c r="R305" s="107"/>
      <c r="S305" s="107"/>
      <c r="T305" s="107"/>
      <c r="U305" s="107"/>
      <c r="V305" s="107"/>
      <c r="W305" s="107"/>
      <c r="X305" s="107"/>
      <c r="Y305" s="107"/>
      <c r="Z305" s="107"/>
      <c r="AA305" s="107"/>
      <c r="AB305" s="107"/>
      <c r="AC305" s="107"/>
      <c r="AD305" s="107"/>
      <c r="AE305" s="107"/>
      <c r="AF305" s="107"/>
      <c r="AG305" s="107"/>
      <c r="AH305" s="107">
        <f t="shared" si="55"/>
        <v>0</v>
      </c>
    </row>
    <row r="306" spans="1:34">
      <c r="A306" s="375" t="s">
        <v>150</v>
      </c>
      <c r="B306" s="53">
        <f t="shared" si="54"/>
        <v>0</v>
      </c>
      <c r="C306" s="100"/>
      <c r="D306" s="107"/>
      <c r="E306" s="107"/>
      <c r="F306" s="107"/>
      <c r="G306" s="107"/>
      <c r="H306" s="107"/>
      <c r="I306" s="107"/>
      <c r="J306" s="107"/>
      <c r="K306" s="107"/>
      <c r="L306" s="107"/>
      <c r="M306" s="107"/>
      <c r="N306" s="107"/>
      <c r="O306" s="107"/>
      <c r="P306" s="107"/>
      <c r="Q306" s="107"/>
      <c r="R306" s="107"/>
      <c r="S306" s="107"/>
      <c r="T306" s="107"/>
      <c r="U306" s="107"/>
      <c r="V306" s="107"/>
      <c r="W306" s="107"/>
      <c r="X306" s="107"/>
      <c r="Y306" s="107"/>
      <c r="Z306" s="107"/>
      <c r="AA306" s="107"/>
      <c r="AB306" s="107"/>
      <c r="AC306" s="107"/>
      <c r="AD306" s="107"/>
      <c r="AE306" s="107"/>
      <c r="AF306" s="107"/>
      <c r="AG306" s="107"/>
      <c r="AH306" s="107">
        <f t="shared" si="55"/>
        <v>0</v>
      </c>
    </row>
    <row r="307" spans="1:34">
      <c r="A307" s="375" t="s">
        <v>151</v>
      </c>
      <c r="B307" s="53">
        <f t="shared" si="54"/>
        <v>0</v>
      </c>
      <c r="C307" s="103"/>
      <c r="D307" s="107"/>
      <c r="E307" s="107"/>
      <c r="F307" s="107"/>
      <c r="G307" s="53"/>
      <c r="H307" s="53"/>
      <c r="I307" s="53"/>
      <c r="J307" s="111"/>
      <c r="K307" s="111"/>
      <c r="L307" s="107"/>
      <c r="M307" s="107"/>
      <c r="N307" s="107"/>
      <c r="O307" s="107"/>
      <c r="P307" s="107"/>
      <c r="Q307" s="107"/>
      <c r="R307" s="107"/>
      <c r="S307" s="107"/>
      <c r="T307" s="107"/>
      <c r="U307" s="107"/>
      <c r="V307" s="107"/>
      <c r="W307" s="107"/>
      <c r="X307" s="107"/>
      <c r="Y307" s="107"/>
      <c r="Z307" s="107"/>
      <c r="AA307" s="107"/>
      <c r="AB307" s="107"/>
      <c r="AC307" s="107"/>
      <c r="AD307" s="107"/>
      <c r="AE307" s="107"/>
      <c r="AF307" s="107"/>
      <c r="AG307" s="107"/>
      <c r="AH307" s="107">
        <f t="shared" si="55"/>
        <v>0</v>
      </c>
    </row>
    <row r="308" spans="1:34">
      <c r="A308" s="375" t="s">
        <v>152</v>
      </c>
      <c r="B308" s="53">
        <f t="shared" si="54"/>
        <v>0</v>
      </c>
      <c r="C308" s="103"/>
      <c r="D308" s="53"/>
      <c r="E308" s="53"/>
      <c r="F308" s="53"/>
      <c r="G308" s="53"/>
      <c r="H308" s="53"/>
      <c r="I308" s="53"/>
      <c r="J308" s="111"/>
      <c r="K308" s="111"/>
      <c r="L308" s="107"/>
      <c r="M308" s="107"/>
      <c r="N308" s="107"/>
      <c r="O308" s="107"/>
      <c r="P308" s="107"/>
      <c r="Q308" s="107"/>
      <c r="R308" s="107"/>
      <c r="S308" s="107"/>
      <c r="T308" s="107"/>
      <c r="U308" s="107"/>
      <c r="V308" s="107"/>
      <c r="W308" s="107"/>
      <c r="X308" s="107"/>
      <c r="Y308" s="107"/>
      <c r="Z308" s="107"/>
      <c r="AA308" s="107"/>
      <c r="AB308" s="107"/>
      <c r="AC308" s="107"/>
      <c r="AD308" s="107"/>
      <c r="AE308" s="107"/>
      <c r="AF308" s="107"/>
      <c r="AG308" s="107"/>
      <c r="AH308" s="107">
        <f t="shared" si="55"/>
        <v>0</v>
      </c>
    </row>
    <row r="309" spans="1:34">
      <c r="A309" s="375" t="s">
        <v>153</v>
      </c>
      <c r="B309" s="53">
        <f t="shared" si="54"/>
        <v>0</v>
      </c>
      <c r="C309" s="100"/>
      <c r="D309" s="107"/>
      <c r="E309" s="107"/>
      <c r="F309" s="107"/>
      <c r="G309" s="107"/>
      <c r="H309" s="107"/>
      <c r="I309" s="107"/>
      <c r="J309" s="111"/>
      <c r="K309" s="111"/>
      <c r="L309" s="53"/>
      <c r="M309" s="53"/>
      <c r="N309" s="53"/>
      <c r="O309" s="53"/>
      <c r="P309" s="53"/>
      <c r="Q309" s="53"/>
      <c r="R309" s="53"/>
      <c r="S309" s="53"/>
      <c r="T309" s="53"/>
      <c r="U309" s="53"/>
      <c r="V309" s="53"/>
      <c r="W309" s="53"/>
      <c r="X309" s="53"/>
      <c r="Y309" s="53"/>
      <c r="Z309" s="53"/>
      <c r="AA309" s="53"/>
      <c r="AB309" s="53"/>
      <c r="AC309" s="53"/>
      <c r="AD309" s="53"/>
      <c r="AE309" s="53"/>
      <c r="AF309" s="53"/>
      <c r="AG309" s="53"/>
      <c r="AH309" s="107">
        <f t="shared" si="55"/>
        <v>0</v>
      </c>
    </row>
    <row r="310" spans="1:34">
      <c r="A310" s="363" t="s">
        <v>154</v>
      </c>
      <c r="B310" s="53">
        <f t="shared" si="54"/>
        <v>0</v>
      </c>
      <c r="C310" s="103"/>
      <c r="D310" s="107"/>
      <c r="E310" s="107"/>
      <c r="F310" s="107"/>
      <c r="G310" s="53"/>
      <c r="H310" s="53"/>
      <c r="I310" s="53"/>
      <c r="J310" s="53"/>
      <c r="K310" s="53"/>
      <c r="L310" s="53"/>
      <c r="M310" s="53"/>
      <c r="N310" s="53"/>
      <c r="O310" s="107"/>
      <c r="P310" s="53"/>
      <c r="Q310" s="53"/>
      <c r="R310" s="53"/>
      <c r="S310" s="53"/>
      <c r="T310" s="53"/>
      <c r="U310" s="53"/>
      <c r="V310" s="53"/>
      <c r="W310" s="53"/>
      <c r="X310" s="53"/>
      <c r="Y310" s="53"/>
      <c r="Z310" s="53"/>
      <c r="AA310" s="53"/>
      <c r="AB310" s="53"/>
      <c r="AC310" s="53"/>
      <c r="AD310" s="53"/>
      <c r="AE310" s="107"/>
      <c r="AF310" s="53"/>
      <c r="AG310" s="107"/>
      <c r="AH310" s="107">
        <f t="shared" si="55"/>
        <v>0</v>
      </c>
    </row>
    <row r="311" spans="1:34">
      <c r="A311" s="363" t="s">
        <v>155</v>
      </c>
      <c r="B311" s="53">
        <f t="shared" si="54"/>
        <v>0</v>
      </c>
      <c r="C311" s="103"/>
      <c r="D311" s="53"/>
      <c r="E311" s="53"/>
      <c r="F311" s="53"/>
      <c r="G311" s="53"/>
      <c r="H311" s="53"/>
      <c r="I311" s="53"/>
      <c r="J311" s="53"/>
      <c r="K311" s="53"/>
      <c r="L311" s="53"/>
      <c r="M311" s="53"/>
      <c r="N311" s="53"/>
      <c r="O311" s="53"/>
      <c r="P311" s="53"/>
      <c r="Q311" s="53"/>
      <c r="R311" s="53"/>
      <c r="S311" s="53"/>
      <c r="T311" s="53"/>
      <c r="U311" s="53"/>
      <c r="V311" s="53"/>
      <c r="W311" s="53"/>
      <c r="X311" s="53"/>
      <c r="Y311" s="53"/>
      <c r="Z311" s="53"/>
      <c r="AA311" s="53"/>
      <c r="AB311" s="53"/>
      <c r="AC311" s="53"/>
      <c r="AD311" s="53"/>
      <c r="AE311" s="107"/>
      <c r="AF311" s="53"/>
      <c r="AG311" s="107"/>
      <c r="AH311" s="107">
        <f t="shared" si="55"/>
        <v>0</v>
      </c>
    </row>
    <row r="312" spans="1:34">
      <c r="A312" s="363" t="s">
        <v>156</v>
      </c>
      <c r="B312" s="53">
        <f t="shared" si="54"/>
        <v>0</v>
      </c>
      <c r="C312" s="103"/>
      <c r="D312" s="53"/>
      <c r="E312" s="53"/>
      <c r="F312" s="53"/>
      <c r="G312" s="53"/>
      <c r="H312" s="53"/>
      <c r="I312" s="53"/>
      <c r="J312" s="53"/>
      <c r="K312" s="53"/>
      <c r="L312" s="53"/>
      <c r="M312" s="53"/>
      <c r="N312" s="53"/>
      <c r="O312" s="53"/>
      <c r="P312" s="53"/>
      <c r="Q312" s="53"/>
      <c r="R312" s="53"/>
      <c r="S312" s="53"/>
      <c r="T312" s="53"/>
      <c r="U312" s="53"/>
      <c r="V312" s="53"/>
      <c r="W312" s="53"/>
      <c r="X312" s="53"/>
      <c r="Y312" s="53"/>
      <c r="Z312" s="53"/>
      <c r="AA312" s="53"/>
      <c r="AB312" s="53"/>
      <c r="AC312" s="53"/>
      <c r="AD312" s="53"/>
      <c r="AE312" s="107"/>
      <c r="AF312" s="53"/>
      <c r="AG312" s="107"/>
      <c r="AH312" s="107">
        <f t="shared" si="55"/>
        <v>0</v>
      </c>
    </row>
    <row r="313" spans="1:34">
      <c r="A313" s="199" t="s">
        <v>144</v>
      </c>
      <c r="B313" s="200">
        <f>SUM(B301:B312)</f>
        <v>0</v>
      </c>
      <c r="C313" s="100">
        <f>SUM(C301:C311)</f>
        <v>0</v>
      </c>
      <c r="D313" s="107">
        <f>SUM(D301:D311)</f>
        <v>0</v>
      </c>
      <c r="E313" s="107">
        <v>0</v>
      </c>
      <c r="F313" s="107">
        <f t="shared" ref="F313:AC313" si="56">SUM(F301:F311)</f>
        <v>0</v>
      </c>
      <c r="G313" s="107">
        <f t="shared" si="56"/>
        <v>0</v>
      </c>
      <c r="H313" s="107">
        <f t="shared" si="56"/>
        <v>0</v>
      </c>
      <c r="I313" s="107">
        <f t="shared" si="56"/>
        <v>0</v>
      </c>
      <c r="J313" s="107">
        <f t="shared" si="56"/>
        <v>0</v>
      </c>
      <c r="K313" s="107">
        <f t="shared" si="56"/>
        <v>0</v>
      </c>
      <c r="L313" s="107">
        <f t="shared" si="56"/>
        <v>0</v>
      </c>
      <c r="M313" s="107">
        <f t="shared" si="56"/>
        <v>0</v>
      </c>
      <c r="N313" s="107">
        <f t="shared" si="56"/>
        <v>0</v>
      </c>
      <c r="O313" s="107">
        <f t="shared" si="56"/>
        <v>0</v>
      </c>
      <c r="P313" s="107">
        <f t="shared" si="56"/>
        <v>0</v>
      </c>
      <c r="Q313" s="107">
        <f t="shared" si="56"/>
        <v>0</v>
      </c>
      <c r="R313" s="107">
        <f t="shared" si="56"/>
        <v>0</v>
      </c>
      <c r="S313" s="107">
        <f t="shared" si="56"/>
        <v>0</v>
      </c>
      <c r="T313" s="107">
        <f t="shared" si="56"/>
        <v>0</v>
      </c>
      <c r="U313" s="107">
        <f t="shared" si="56"/>
        <v>0</v>
      </c>
      <c r="V313" s="107">
        <f t="shared" si="56"/>
        <v>0</v>
      </c>
      <c r="W313" s="107">
        <f t="shared" si="56"/>
        <v>0</v>
      </c>
      <c r="X313" s="107">
        <f t="shared" si="56"/>
        <v>0</v>
      </c>
      <c r="Y313" s="107">
        <f t="shared" si="56"/>
        <v>0</v>
      </c>
      <c r="Z313" s="107">
        <f t="shared" si="56"/>
        <v>0</v>
      </c>
      <c r="AA313" s="107">
        <f t="shared" si="56"/>
        <v>0</v>
      </c>
      <c r="AB313" s="107">
        <f t="shared" si="56"/>
        <v>0</v>
      </c>
      <c r="AC313" s="107">
        <f t="shared" si="56"/>
        <v>0</v>
      </c>
      <c r="AD313" s="107">
        <v>0</v>
      </c>
      <c r="AE313" s="107">
        <f>SUM(AE301:AE311)</f>
        <v>0</v>
      </c>
      <c r="AF313" s="107">
        <f>SUM(AF301:AF311)</f>
        <v>0</v>
      </c>
      <c r="AG313" s="107">
        <f>SUM(AG301:AG311)</f>
        <v>0</v>
      </c>
      <c r="AH313" s="100">
        <f>SUM(AH301:AH311)</f>
        <v>0</v>
      </c>
    </row>
    <row r="314" spans="1:34" ht="17.25" customHeight="1">
      <c r="A314" s="49"/>
      <c r="B314" s="49"/>
      <c r="C314" s="1"/>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c r="AG314" s="14"/>
      <c r="AH314" s="1"/>
    </row>
    <row r="315" spans="1:34">
      <c r="A315" s="3854" t="s">
        <v>411</v>
      </c>
      <c r="B315" s="3855"/>
      <c r="C315" s="3855"/>
      <c r="D315" s="3855"/>
      <c r="E315" s="3855"/>
      <c r="F315" s="3855"/>
      <c r="G315" s="3855"/>
      <c r="H315" s="3856"/>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c r="AH315" s="14"/>
    </row>
    <row r="316" spans="1:34">
      <c r="A316" s="8" t="s">
        <v>142</v>
      </c>
      <c r="B316" s="8" t="s">
        <v>143</v>
      </c>
      <c r="C316" s="314">
        <v>1</v>
      </c>
      <c r="D316" s="73">
        <v>2</v>
      </c>
      <c r="E316" s="73">
        <v>3</v>
      </c>
      <c r="F316" s="73">
        <v>4</v>
      </c>
      <c r="G316" s="73">
        <v>5</v>
      </c>
      <c r="H316" s="73">
        <v>6</v>
      </c>
      <c r="I316" s="73">
        <v>7</v>
      </c>
      <c r="J316" s="73">
        <v>8</v>
      </c>
      <c r="K316" s="73">
        <v>9</v>
      </c>
      <c r="L316" s="73">
        <v>10</v>
      </c>
      <c r="M316" s="73">
        <v>11</v>
      </c>
      <c r="N316" s="73">
        <v>12</v>
      </c>
      <c r="O316" s="73">
        <v>13</v>
      </c>
      <c r="P316" s="73">
        <v>14</v>
      </c>
      <c r="Q316" s="73">
        <v>15</v>
      </c>
      <c r="R316" s="73">
        <v>16</v>
      </c>
      <c r="S316" s="73">
        <v>17</v>
      </c>
      <c r="T316" s="73">
        <v>18</v>
      </c>
      <c r="U316" s="73">
        <v>19</v>
      </c>
      <c r="V316" s="73">
        <v>20</v>
      </c>
      <c r="W316" s="73">
        <v>21</v>
      </c>
      <c r="X316" s="73">
        <v>22</v>
      </c>
      <c r="Y316" s="73">
        <v>23</v>
      </c>
      <c r="Z316" s="73">
        <v>24</v>
      </c>
      <c r="AA316" s="73">
        <v>25</v>
      </c>
      <c r="AB316" s="73">
        <v>26</v>
      </c>
      <c r="AC316" s="73">
        <v>27</v>
      </c>
      <c r="AD316" s="73">
        <v>28</v>
      </c>
      <c r="AE316" s="73">
        <v>29</v>
      </c>
      <c r="AF316" s="73">
        <v>30</v>
      </c>
      <c r="AG316" s="73">
        <v>31</v>
      </c>
      <c r="AH316" s="88" t="s">
        <v>144</v>
      </c>
    </row>
    <row r="317" spans="1:34">
      <c r="A317" s="375" t="s">
        <v>145</v>
      </c>
      <c r="B317" s="53">
        <f t="shared" ref="B317:B328" si="57">+AH317</f>
        <v>0</v>
      </c>
      <c r="C317" s="103"/>
      <c r="D317" s="107"/>
      <c r="E317" s="107"/>
      <c r="F317" s="107"/>
      <c r="G317" s="53"/>
      <c r="H317" s="53"/>
      <c r="I317" s="53"/>
      <c r="J317" s="53"/>
      <c r="K317" s="53"/>
      <c r="L317" s="53"/>
      <c r="M317" s="53"/>
      <c r="N317" s="53"/>
      <c r="O317" s="53"/>
      <c r="P317" s="53"/>
      <c r="Q317" s="107"/>
      <c r="R317" s="53"/>
      <c r="S317" s="53"/>
      <c r="T317" s="53"/>
      <c r="U317" s="53"/>
      <c r="V317" s="107"/>
      <c r="W317" s="107"/>
      <c r="X317" s="53"/>
      <c r="Y317" s="53"/>
      <c r="Z317" s="53"/>
      <c r="AA317" s="53"/>
      <c r="AB317" s="53"/>
      <c r="AC317" s="53"/>
      <c r="AD317" s="107"/>
      <c r="AE317" s="53"/>
      <c r="AF317" s="53"/>
      <c r="AG317" s="53"/>
      <c r="AH317" s="107">
        <f>SUM(C317:AG317)</f>
        <v>0</v>
      </c>
    </row>
    <row r="318" spans="1:34">
      <c r="A318" s="375" t="s">
        <v>146</v>
      </c>
      <c r="B318" s="53">
        <f t="shared" si="57"/>
        <v>0</v>
      </c>
      <c r="C318" s="103"/>
      <c r="D318" s="53"/>
      <c r="E318" s="53"/>
      <c r="F318" s="53"/>
      <c r="G318" s="53"/>
      <c r="H318" s="53"/>
      <c r="I318" s="53"/>
      <c r="J318" s="53"/>
      <c r="K318" s="53"/>
      <c r="L318" s="53"/>
      <c r="M318" s="53"/>
      <c r="N318" s="53"/>
      <c r="O318" s="53"/>
      <c r="P318" s="53"/>
      <c r="Q318" s="53"/>
      <c r="R318" s="53"/>
      <c r="S318" s="53"/>
      <c r="T318" s="53"/>
      <c r="U318" s="53"/>
      <c r="V318" s="53"/>
      <c r="W318" s="53"/>
      <c r="X318" s="53"/>
      <c r="Y318" s="53"/>
      <c r="Z318" s="53"/>
      <c r="AA318" s="53"/>
      <c r="AB318" s="53"/>
      <c r="AC318" s="53"/>
      <c r="AD318" s="53"/>
      <c r="AE318" s="53"/>
      <c r="AF318" s="53"/>
      <c r="AG318" s="53"/>
      <c r="AH318" s="107">
        <f t="shared" ref="AH318:AH328" si="58">SUM(C318:AG318)</f>
        <v>0</v>
      </c>
    </row>
    <row r="319" spans="1:34">
      <c r="A319" s="375" t="s">
        <v>147</v>
      </c>
      <c r="B319" s="53">
        <f t="shared" si="57"/>
        <v>0</v>
      </c>
      <c r="C319" s="100"/>
      <c r="D319" s="107"/>
      <c r="E319" s="107"/>
      <c r="F319" s="107"/>
      <c r="G319" s="107"/>
      <c r="H319" s="107"/>
      <c r="I319" s="107"/>
      <c r="J319" s="107"/>
      <c r="K319" s="107"/>
      <c r="L319" s="107"/>
      <c r="M319" s="107"/>
      <c r="N319" s="107"/>
      <c r="O319" s="107"/>
      <c r="P319" s="107"/>
      <c r="Q319" s="107"/>
      <c r="R319" s="107"/>
      <c r="S319" s="107"/>
      <c r="T319" s="107"/>
      <c r="U319" s="107"/>
      <c r="V319" s="107"/>
      <c r="W319" s="107"/>
      <c r="X319" s="107"/>
      <c r="Y319" s="107"/>
      <c r="Z319" s="107"/>
      <c r="AA319" s="107"/>
      <c r="AB319" s="107"/>
      <c r="AC319" s="107"/>
      <c r="AD319" s="107"/>
      <c r="AE319" s="107"/>
      <c r="AF319" s="107"/>
      <c r="AG319" s="107"/>
      <c r="AH319" s="107">
        <f t="shared" si="58"/>
        <v>0</v>
      </c>
    </row>
    <row r="320" spans="1:34">
      <c r="A320" s="375" t="s">
        <v>148</v>
      </c>
      <c r="B320" s="53">
        <f t="shared" si="57"/>
        <v>0</v>
      </c>
      <c r="C320" s="103"/>
      <c r="D320" s="107"/>
      <c r="E320" s="107"/>
      <c r="F320" s="107"/>
      <c r="G320" s="53"/>
      <c r="H320" s="53"/>
      <c r="I320" s="53"/>
      <c r="J320" s="107"/>
      <c r="K320" s="107"/>
      <c r="L320" s="107"/>
      <c r="M320" s="107"/>
      <c r="N320" s="107"/>
      <c r="O320" s="107"/>
      <c r="P320" s="107"/>
      <c r="Q320" s="107"/>
      <c r="R320" s="107"/>
      <c r="S320" s="107"/>
      <c r="T320" s="107"/>
      <c r="U320" s="107"/>
      <c r="V320" s="107"/>
      <c r="W320" s="107"/>
      <c r="X320" s="107"/>
      <c r="Y320" s="107"/>
      <c r="Z320" s="107"/>
      <c r="AA320" s="107"/>
      <c r="AB320" s="107"/>
      <c r="AC320" s="107"/>
      <c r="AD320" s="107"/>
      <c r="AE320" s="107"/>
      <c r="AF320" s="107"/>
      <c r="AG320" s="107"/>
      <c r="AH320" s="107">
        <f t="shared" si="58"/>
        <v>0</v>
      </c>
    </row>
    <row r="321" spans="1:34">
      <c r="A321" s="375" t="s">
        <v>149</v>
      </c>
      <c r="B321" s="53">
        <f t="shared" si="57"/>
        <v>0</v>
      </c>
      <c r="C321" s="103"/>
      <c r="D321" s="53"/>
      <c r="E321" s="53"/>
      <c r="F321" s="53"/>
      <c r="G321" s="53"/>
      <c r="H321" s="53"/>
      <c r="I321" s="53"/>
      <c r="J321" s="107"/>
      <c r="K321" s="107"/>
      <c r="L321" s="107"/>
      <c r="M321" s="107"/>
      <c r="N321" s="107"/>
      <c r="O321" s="107"/>
      <c r="P321" s="107"/>
      <c r="Q321" s="107"/>
      <c r="R321" s="107"/>
      <c r="S321" s="107"/>
      <c r="T321" s="107"/>
      <c r="U321" s="107"/>
      <c r="V321" s="107"/>
      <c r="W321" s="107"/>
      <c r="X321" s="107"/>
      <c r="Y321" s="107"/>
      <c r="Z321" s="107"/>
      <c r="AA321" s="107"/>
      <c r="AB321" s="107"/>
      <c r="AC321" s="107"/>
      <c r="AD321" s="107"/>
      <c r="AE321" s="107"/>
      <c r="AF321" s="107"/>
      <c r="AG321" s="107"/>
      <c r="AH321" s="107">
        <f t="shared" si="58"/>
        <v>0</v>
      </c>
    </row>
    <row r="322" spans="1:34">
      <c r="A322" s="375" t="s">
        <v>150</v>
      </c>
      <c r="B322" s="53">
        <f t="shared" si="57"/>
        <v>0</v>
      </c>
      <c r="C322" s="100"/>
      <c r="D322" s="107"/>
      <c r="E322" s="107"/>
      <c r="F322" s="107"/>
      <c r="G322" s="107"/>
      <c r="H322" s="107"/>
      <c r="I322" s="107"/>
      <c r="J322" s="107"/>
      <c r="K322" s="107"/>
      <c r="L322" s="107"/>
      <c r="M322" s="107"/>
      <c r="N322" s="107"/>
      <c r="O322" s="107"/>
      <c r="P322" s="107"/>
      <c r="Q322" s="107"/>
      <c r="R322" s="107"/>
      <c r="S322" s="107"/>
      <c r="T322" s="107"/>
      <c r="U322" s="107"/>
      <c r="V322" s="107"/>
      <c r="W322" s="107"/>
      <c r="X322" s="107"/>
      <c r="Y322" s="107"/>
      <c r="Z322" s="107"/>
      <c r="AA322" s="107"/>
      <c r="AB322" s="107"/>
      <c r="AC322" s="107"/>
      <c r="AD322" s="107"/>
      <c r="AE322" s="107"/>
      <c r="AF322" s="107"/>
      <c r="AG322" s="107"/>
      <c r="AH322" s="107">
        <f t="shared" si="58"/>
        <v>0</v>
      </c>
    </row>
    <row r="323" spans="1:34">
      <c r="A323" s="375" t="s">
        <v>151</v>
      </c>
      <c r="B323" s="53">
        <f t="shared" si="57"/>
        <v>0</v>
      </c>
      <c r="C323" s="103"/>
      <c r="D323" s="107"/>
      <c r="E323" s="107"/>
      <c r="F323" s="107"/>
      <c r="G323" s="53"/>
      <c r="H323" s="53"/>
      <c r="I323" s="53"/>
      <c r="J323" s="111"/>
      <c r="K323" s="111"/>
      <c r="L323" s="107"/>
      <c r="M323" s="107"/>
      <c r="N323" s="107"/>
      <c r="O323" s="107"/>
      <c r="P323" s="107"/>
      <c r="Q323" s="107"/>
      <c r="R323" s="107"/>
      <c r="S323" s="107"/>
      <c r="T323" s="107"/>
      <c r="U323" s="107"/>
      <c r="V323" s="107"/>
      <c r="W323" s="107"/>
      <c r="X323" s="107"/>
      <c r="Y323" s="107"/>
      <c r="Z323" s="107"/>
      <c r="AA323" s="107"/>
      <c r="AB323" s="107"/>
      <c r="AC323" s="107"/>
      <c r="AD323" s="107"/>
      <c r="AE323" s="107"/>
      <c r="AF323" s="107"/>
      <c r="AG323" s="107"/>
      <c r="AH323" s="107">
        <f t="shared" si="58"/>
        <v>0</v>
      </c>
    </row>
    <row r="324" spans="1:34">
      <c r="A324" s="375" t="s">
        <v>152</v>
      </c>
      <c r="B324" s="53">
        <f t="shared" si="57"/>
        <v>0</v>
      </c>
      <c r="C324" s="103"/>
      <c r="D324" s="53"/>
      <c r="E324" s="53"/>
      <c r="F324" s="53"/>
      <c r="G324" s="53"/>
      <c r="H324" s="53"/>
      <c r="I324" s="53"/>
      <c r="J324" s="111"/>
      <c r="K324" s="111"/>
      <c r="L324" s="107"/>
      <c r="M324" s="107"/>
      <c r="N324" s="107"/>
      <c r="O324" s="107"/>
      <c r="P324" s="107"/>
      <c r="Q324" s="107"/>
      <c r="R324" s="107"/>
      <c r="S324" s="107"/>
      <c r="T324" s="107"/>
      <c r="U324" s="107"/>
      <c r="V324" s="107"/>
      <c r="W324" s="107"/>
      <c r="X324" s="107"/>
      <c r="Y324" s="107"/>
      <c r="Z324" s="107"/>
      <c r="AA324" s="107"/>
      <c r="AB324" s="107"/>
      <c r="AC324" s="107"/>
      <c r="AD324" s="107"/>
      <c r="AE324" s="107"/>
      <c r="AF324" s="107"/>
      <c r="AG324" s="107"/>
      <c r="AH324" s="107">
        <f t="shared" si="58"/>
        <v>0</v>
      </c>
    </row>
    <row r="325" spans="1:34">
      <c r="A325" s="375" t="s">
        <v>153</v>
      </c>
      <c r="B325" s="53">
        <f t="shared" si="57"/>
        <v>0</v>
      </c>
      <c r="C325" s="100"/>
      <c r="D325" s="107"/>
      <c r="E325" s="107"/>
      <c r="F325" s="107"/>
      <c r="G325" s="107"/>
      <c r="H325" s="107"/>
      <c r="I325" s="107"/>
      <c r="J325" s="111"/>
      <c r="K325" s="111"/>
      <c r="L325" s="53"/>
      <c r="M325" s="53"/>
      <c r="N325" s="53"/>
      <c r="O325" s="53"/>
      <c r="P325" s="53"/>
      <c r="Q325" s="53"/>
      <c r="R325" s="53"/>
      <c r="S325" s="53"/>
      <c r="T325" s="53"/>
      <c r="U325" s="53"/>
      <c r="V325" s="53"/>
      <c r="W325" s="53"/>
      <c r="X325" s="53"/>
      <c r="Y325" s="53"/>
      <c r="Z325" s="53"/>
      <c r="AA325" s="53"/>
      <c r="AB325" s="53"/>
      <c r="AC325" s="53"/>
      <c r="AD325" s="53"/>
      <c r="AE325" s="53"/>
      <c r="AF325" s="53"/>
      <c r="AG325" s="53"/>
      <c r="AH325" s="107">
        <f t="shared" si="58"/>
        <v>0</v>
      </c>
    </row>
    <row r="326" spans="1:34">
      <c r="A326" s="363" t="s">
        <v>154</v>
      </c>
      <c r="B326" s="53">
        <f t="shared" si="57"/>
        <v>0</v>
      </c>
      <c r="C326" s="103"/>
      <c r="D326" s="107"/>
      <c r="E326" s="107"/>
      <c r="F326" s="107"/>
      <c r="G326" s="53"/>
      <c r="H326" s="53"/>
      <c r="I326" s="53"/>
      <c r="J326" s="53"/>
      <c r="K326" s="53"/>
      <c r="L326" s="53"/>
      <c r="M326" s="53"/>
      <c r="N326" s="53"/>
      <c r="O326" s="107"/>
      <c r="P326" s="53"/>
      <c r="Q326" s="53"/>
      <c r="R326" s="53"/>
      <c r="S326" s="53"/>
      <c r="T326" s="53"/>
      <c r="U326" s="53"/>
      <c r="V326" s="53"/>
      <c r="W326" s="53"/>
      <c r="X326" s="53"/>
      <c r="Y326" s="53"/>
      <c r="Z326" s="53"/>
      <c r="AA326" s="53"/>
      <c r="AB326" s="53"/>
      <c r="AC326" s="53"/>
      <c r="AD326" s="53"/>
      <c r="AE326" s="107"/>
      <c r="AF326" s="53"/>
      <c r="AG326" s="107"/>
      <c r="AH326" s="107">
        <f t="shared" si="58"/>
        <v>0</v>
      </c>
    </row>
    <row r="327" spans="1:34">
      <c r="A327" s="363" t="s">
        <v>155</v>
      </c>
      <c r="B327" s="53">
        <f t="shared" si="57"/>
        <v>0</v>
      </c>
      <c r="C327" s="103"/>
      <c r="D327" s="53"/>
      <c r="E327" s="53"/>
      <c r="F327" s="53"/>
      <c r="G327" s="53"/>
      <c r="H327" s="53"/>
      <c r="I327" s="53"/>
      <c r="J327" s="53"/>
      <c r="K327" s="53"/>
      <c r="L327" s="53"/>
      <c r="M327" s="53"/>
      <c r="N327" s="53"/>
      <c r="O327" s="53"/>
      <c r="P327" s="53"/>
      <c r="Q327" s="53"/>
      <c r="R327" s="53"/>
      <c r="S327" s="53"/>
      <c r="T327" s="53"/>
      <c r="U327" s="53"/>
      <c r="V327" s="53"/>
      <c r="W327" s="53"/>
      <c r="X327" s="53"/>
      <c r="Y327" s="53"/>
      <c r="Z327" s="53"/>
      <c r="AA327" s="53"/>
      <c r="AB327" s="53"/>
      <c r="AC327" s="53"/>
      <c r="AD327" s="53"/>
      <c r="AE327" s="107"/>
      <c r="AF327" s="53"/>
      <c r="AG327" s="107"/>
      <c r="AH327" s="107">
        <f t="shared" si="58"/>
        <v>0</v>
      </c>
    </row>
    <row r="328" spans="1:34">
      <c r="A328" s="363" t="s">
        <v>156</v>
      </c>
      <c r="B328" s="53">
        <f t="shared" si="57"/>
        <v>0</v>
      </c>
      <c r="C328" s="103"/>
      <c r="D328" s="53"/>
      <c r="E328" s="53"/>
      <c r="F328" s="53"/>
      <c r="G328" s="53"/>
      <c r="H328" s="53"/>
      <c r="I328" s="53"/>
      <c r="J328" s="53"/>
      <c r="K328" s="53"/>
      <c r="L328" s="53"/>
      <c r="M328" s="53"/>
      <c r="N328" s="53"/>
      <c r="O328" s="53"/>
      <c r="P328" s="53"/>
      <c r="Q328" s="53"/>
      <c r="R328" s="53"/>
      <c r="S328" s="53"/>
      <c r="T328" s="53"/>
      <c r="U328" s="53"/>
      <c r="V328" s="53"/>
      <c r="W328" s="53"/>
      <c r="X328" s="53"/>
      <c r="Y328" s="53"/>
      <c r="Z328" s="53"/>
      <c r="AA328" s="53"/>
      <c r="AB328" s="53"/>
      <c r="AC328" s="53"/>
      <c r="AD328" s="53"/>
      <c r="AE328" s="107"/>
      <c r="AF328" s="53"/>
      <c r="AG328" s="107"/>
      <c r="AH328" s="107">
        <f t="shared" si="58"/>
        <v>0</v>
      </c>
    </row>
    <row r="329" spans="1:34">
      <c r="A329" s="199" t="s">
        <v>144</v>
      </c>
      <c r="B329" s="200">
        <f>SUM(B317:B328)</f>
        <v>0</v>
      </c>
      <c r="C329" s="100">
        <f>SUM(C317:C327)</f>
        <v>0</v>
      </c>
      <c r="D329" s="107">
        <f>SUM(D317:D327)</f>
        <v>0</v>
      </c>
      <c r="E329" s="107">
        <v>0</v>
      </c>
      <c r="F329" s="107">
        <f t="shared" ref="F329:AC329" si="59">SUM(F317:F327)</f>
        <v>0</v>
      </c>
      <c r="G329" s="107">
        <f t="shared" si="59"/>
        <v>0</v>
      </c>
      <c r="H329" s="107">
        <f t="shared" si="59"/>
        <v>0</v>
      </c>
      <c r="I329" s="107">
        <f t="shared" si="59"/>
        <v>0</v>
      </c>
      <c r="J329" s="107">
        <f t="shared" si="59"/>
        <v>0</v>
      </c>
      <c r="K329" s="107">
        <f t="shared" si="59"/>
        <v>0</v>
      </c>
      <c r="L329" s="107">
        <f t="shared" si="59"/>
        <v>0</v>
      </c>
      <c r="M329" s="107">
        <f t="shared" si="59"/>
        <v>0</v>
      </c>
      <c r="N329" s="107">
        <f t="shared" si="59"/>
        <v>0</v>
      </c>
      <c r="O329" s="107">
        <f t="shared" si="59"/>
        <v>0</v>
      </c>
      <c r="P329" s="107">
        <f t="shared" si="59"/>
        <v>0</v>
      </c>
      <c r="Q329" s="107">
        <f t="shared" si="59"/>
        <v>0</v>
      </c>
      <c r="R329" s="107">
        <f t="shared" si="59"/>
        <v>0</v>
      </c>
      <c r="S329" s="107">
        <f t="shared" si="59"/>
        <v>0</v>
      </c>
      <c r="T329" s="107">
        <f t="shared" si="59"/>
        <v>0</v>
      </c>
      <c r="U329" s="107">
        <f t="shared" si="59"/>
        <v>0</v>
      </c>
      <c r="V329" s="107">
        <f t="shared" si="59"/>
        <v>0</v>
      </c>
      <c r="W329" s="107">
        <f t="shared" si="59"/>
        <v>0</v>
      </c>
      <c r="X329" s="107">
        <f t="shared" si="59"/>
        <v>0</v>
      </c>
      <c r="Y329" s="107">
        <f t="shared" si="59"/>
        <v>0</v>
      </c>
      <c r="Z329" s="107">
        <f t="shared" si="59"/>
        <v>0</v>
      </c>
      <c r="AA329" s="107">
        <f t="shared" si="59"/>
        <v>0</v>
      </c>
      <c r="AB329" s="107">
        <f t="shared" si="59"/>
        <v>0</v>
      </c>
      <c r="AC329" s="107">
        <f t="shared" si="59"/>
        <v>0</v>
      </c>
      <c r="AD329" s="107">
        <v>0</v>
      </c>
      <c r="AE329" s="107">
        <f>SUM(AE317:AE327)</f>
        <v>0</v>
      </c>
      <c r="AF329" s="107">
        <f>SUM(AF317:AF327)</f>
        <v>0</v>
      </c>
      <c r="AG329" s="107">
        <f>SUM(AG317:AG327)</f>
        <v>0</v>
      </c>
      <c r="AH329" s="100">
        <f>SUM(AH317:AH327)</f>
        <v>0</v>
      </c>
    </row>
    <row r="330" spans="1:34" ht="17.25" customHeight="1">
      <c r="A330" s="49"/>
      <c r="B330" s="49"/>
      <c r="C330" s="1"/>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1"/>
    </row>
    <row r="331" spans="1:34">
      <c r="A331" s="3854" t="s">
        <v>413</v>
      </c>
      <c r="B331" s="3855"/>
      <c r="C331" s="3855"/>
      <c r="D331" s="3855"/>
      <c r="E331" s="3855"/>
      <c r="F331" s="3855"/>
      <c r="G331" s="3855"/>
      <c r="H331" s="3856"/>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c r="AG331" s="14"/>
      <c r="AH331" s="14"/>
    </row>
    <row r="332" spans="1:34">
      <c r="A332" s="8" t="s">
        <v>142</v>
      </c>
      <c r="B332" s="8" t="s">
        <v>143</v>
      </c>
      <c r="C332" s="314">
        <v>1</v>
      </c>
      <c r="D332" s="73">
        <v>2</v>
      </c>
      <c r="E332" s="73">
        <v>3</v>
      </c>
      <c r="F332" s="73">
        <v>4</v>
      </c>
      <c r="G332" s="73">
        <v>5</v>
      </c>
      <c r="H332" s="73">
        <v>6</v>
      </c>
      <c r="I332" s="73">
        <v>7</v>
      </c>
      <c r="J332" s="73">
        <v>8</v>
      </c>
      <c r="K332" s="73">
        <v>9</v>
      </c>
      <c r="L332" s="73">
        <v>10</v>
      </c>
      <c r="M332" s="73">
        <v>11</v>
      </c>
      <c r="N332" s="73">
        <v>12</v>
      </c>
      <c r="O332" s="73">
        <v>13</v>
      </c>
      <c r="P332" s="73">
        <v>14</v>
      </c>
      <c r="Q332" s="73">
        <v>15</v>
      </c>
      <c r="R332" s="73">
        <v>16</v>
      </c>
      <c r="S332" s="73">
        <v>17</v>
      </c>
      <c r="T332" s="73">
        <v>18</v>
      </c>
      <c r="U332" s="73">
        <v>19</v>
      </c>
      <c r="V332" s="73">
        <v>20</v>
      </c>
      <c r="W332" s="73">
        <v>21</v>
      </c>
      <c r="X332" s="73">
        <v>22</v>
      </c>
      <c r="Y332" s="73">
        <v>23</v>
      </c>
      <c r="Z332" s="73">
        <v>24</v>
      </c>
      <c r="AA332" s="73">
        <v>25</v>
      </c>
      <c r="AB332" s="73">
        <v>26</v>
      </c>
      <c r="AC332" s="73">
        <v>27</v>
      </c>
      <c r="AD332" s="73">
        <v>28</v>
      </c>
      <c r="AE332" s="73">
        <v>29</v>
      </c>
      <c r="AF332" s="73">
        <v>30</v>
      </c>
      <c r="AG332" s="73">
        <v>31</v>
      </c>
      <c r="AH332" s="88" t="s">
        <v>144</v>
      </c>
    </row>
    <row r="333" spans="1:34">
      <c r="A333" s="375" t="s">
        <v>145</v>
      </c>
      <c r="B333" s="53">
        <f t="shared" ref="B333:B344" si="60">+AH333</f>
        <v>0</v>
      </c>
      <c r="C333" s="103"/>
      <c r="D333" s="107"/>
      <c r="E333" s="107"/>
      <c r="F333" s="107"/>
      <c r="G333" s="53"/>
      <c r="H333" s="53"/>
      <c r="I333" s="53"/>
      <c r="J333" s="53"/>
      <c r="K333" s="53"/>
      <c r="L333" s="53"/>
      <c r="M333" s="53"/>
      <c r="N333" s="53"/>
      <c r="O333" s="53"/>
      <c r="P333" s="53"/>
      <c r="Q333" s="107"/>
      <c r="R333" s="53"/>
      <c r="S333" s="53"/>
      <c r="T333" s="53"/>
      <c r="U333" s="53"/>
      <c r="V333" s="107"/>
      <c r="W333" s="107"/>
      <c r="X333" s="53"/>
      <c r="Y333" s="53"/>
      <c r="Z333" s="53"/>
      <c r="AA333" s="53"/>
      <c r="AB333" s="53"/>
      <c r="AC333" s="53"/>
      <c r="AD333" s="107"/>
      <c r="AE333" s="53"/>
      <c r="AF333" s="53"/>
      <c r="AG333" s="53"/>
      <c r="AH333" s="107">
        <f>SUM(C333:AG333)</f>
        <v>0</v>
      </c>
    </row>
    <row r="334" spans="1:34">
      <c r="A334" s="375" t="s">
        <v>146</v>
      </c>
      <c r="B334" s="53">
        <f t="shared" si="60"/>
        <v>0</v>
      </c>
      <c r="C334" s="103"/>
      <c r="D334" s="53"/>
      <c r="E334" s="53"/>
      <c r="F334" s="53"/>
      <c r="G334" s="53"/>
      <c r="H334" s="53"/>
      <c r="I334" s="53"/>
      <c r="J334" s="53"/>
      <c r="K334" s="53"/>
      <c r="L334" s="53"/>
      <c r="M334" s="53"/>
      <c r="N334" s="53"/>
      <c r="O334" s="53"/>
      <c r="P334" s="53"/>
      <c r="Q334" s="53"/>
      <c r="R334" s="53"/>
      <c r="S334" s="53"/>
      <c r="T334" s="53"/>
      <c r="U334" s="53"/>
      <c r="V334" s="53"/>
      <c r="W334" s="53"/>
      <c r="X334" s="53"/>
      <c r="Y334" s="53"/>
      <c r="Z334" s="53"/>
      <c r="AA334" s="53"/>
      <c r="AB334" s="53"/>
      <c r="AC334" s="53"/>
      <c r="AD334" s="53"/>
      <c r="AE334" s="53"/>
      <c r="AF334" s="53"/>
      <c r="AG334" s="53"/>
      <c r="AH334" s="107">
        <f t="shared" ref="AH334:AH344" si="61">SUM(C334:AG334)</f>
        <v>0</v>
      </c>
    </row>
    <row r="335" spans="1:34">
      <c r="A335" s="375" t="s">
        <v>147</v>
      </c>
      <c r="B335" s="53">
        <f t="shared" si="60"/>
        <v>0</v>
      </c>
      <c r="C335" s="100"/>
      <c r="D335" s="107"/>
      <c r="E335" s="107"/>
      <c r="F335" s="107"/>
      <c r="G335" s="107"/>
      <c r="H335" s="107"/>
      <c r="I335" s="107"/>
      <c r="J335" s="107"/>
      <c r="K335" s="107"/>
      <c r="L335" s="107"/>
      <c r="M335" s="107"/>
      <c r="N335" s="107"/>
      <c r="O335" s="107"/>
      <c r="P335" s="107"/>
      <c r="Q335" s="107"/>
      <c r="R335" s="107"/>
      <c r="S335" s="107"/>
      <c r="T335" s="107"/>
      <c r="U335" s="107"/>
      <c r="V335" s="107"/>
      <c r="W335" s="107"/>
      <c r="X335" s="107"/>
      <c r="Y335" s="107"/>
      <c r="Z335" s="107"/>
      <c r="AA335" s="107"/>
      <c r="AB335" s="107"/>
      <c r="AC335" s="107"/>
      <c r="AD335" s="107"/>
      <c r="AE335" s="107"/>
      <c r="AF335" s="107"/>
      <c r="AG335" s="107"/>
      <c r="AH335" s="107">
        <f t="shared" si="61"/>
        <v>0</v>
      </c>
    </row>
    <row r="336" spans="1:34">
      <c r="A336" s="375" t="s">
        <v>148</v>
      </c>
      <c r="B336" s="53">
        <f t="shared" si="60"/>
        <v>0</v>
      </c>
      <c r="C336" s="103"/>
      <c r="D336" s="107"/>
      <c r="E336" s="107"/>
      <c r="F336" s="107"/>
      <c r="G336" s="53"/>
      <c r="H336" s="53"/>
      <c r="I336" s="53"/>
      <c r="J336" s="107"/>
      <c r="K336" s="107"/>
      <c r="L336" s="107"/>
      <c r="M336" s="107"/>
      <c r="N336" s="107"/>
      <c r="O336" s="107"/>
      <c r="P336" s="107"/>
      <c r="Q336" s="107"/>
      <c r="R336" s="107"/>
      <c r="S336" s="107"/>
      <c r="T336" s="107"/>
      <c r="U336" s="107"/>
      <c r="V336" s="107"/>
      <c r="W336" s="107"/>
      <c r="X336" s="107"/>
      <c r="Y336" s="107"/>
      <c r="Z336" s="107"/>
      <c r="AA336" s="107"/>
      <c r="AB336" s="107"/>
      <c r="AC336" s="107"/>
      <c r="AD336" s="107"/>
      <c r="AE336" s="107"/>
      <c r="AF336" s="107"/>
      <c r="AG336" s="107"/>
      <c r="AH336" s="107">
        <f t="shared" si="61"/>
        <v>0</v>
      </c>
    </row>
    <row r="337" spans="1:34">
      <c r="A337" s="375" t="s">
        <v>149</v>
      </c>
      <c r="B337" s="53">
        <f t="shared" si="60"/>
        <v>0</v>
      </c>
      <c r="C337" s="103"/>
      <c r="D337" s="53"/>
      <c r="E337" s="53"/>
      <c r="F337" s="53"/>
      <c r="G337" s="53"/>
      <c r="H337" s="53"/>
      <c r="I337" s="53"/>
      <c r="J337" s="107"/>
      <c r="K337" s="107"/>
      <c r="L337" s="107"/>
      <c r="M337" s="107"/>
      <c r="N337" s="107"/>
      <c r="O337" s="107"/>
      <c r="P337" s="107"/>
      <c r="Q337" s="107"/>
      <c r="R337" s="107"/>
      <c r="S337" s="107"/>
      <c r="T337" s="107"/>
      <c r="U337" s="107"/>
      <c r="V337" s="107"/>
      <c r="W337" s="107"/>
      <c r="X337" s="107"/>
      <c r="Y337" s="107"/>
      <c r="Z337" s="107"/>
      <c r="AA337" s="107"/>
      <c r="AB337" s="107"/>
      <c r="AC337" s="107"/>
      <c r="AD337" s="107"/>
      <c r="AE337" s="107"/>
      <c r="AF337" s="107"/>
      <c r="AG337" s="107"/>
      <c r="AH337" s="107">
        <f t="shared" si="61"/>
        <v>0</v>
      </c>
    </row>
    <row r="338" spans="1:34">
      <c r="A338" s="375" t="s">
        <v>150</v>
      </c>
      <c r="B338" s="53">
        <f t="shared" si="60"/>
        <v>0</v>
      </c>
      <c r="C338" s="100"/>
      <c r="D338" s="107"/>
      <c r="E338" s="107"/>
      <c r="F338" s="107"/>
      <c r="G338" s="107"/>
      <c r="H338" s="107"/>
      <c r="I338" s="107"/>
      <c r="J338" s="107"/>
      <c r="K338" s="107"/>
      <c r="L338" s="107"/>
      <c r="M338" s="107"/>
      <c r="N338" s="107"/>
      <c r="O338" s="107"/>
      <c r="P338" s="107"/>
      <c r="Q338" s="107"/>
      <c r="R338" s="107"/>
      <c r="S338" s="107"/>
      <c r="T338" s="107"/>
      <c r="U338" s="107"/>
      <c r="V338" s="107"/>
      <c r="W338" s="107"/>
      <c r="X338" s="107"/>
      <c r="Y338" s="107"/>
      <c r="Z338" s="107"/>
      <c r="AA338" s="107"/>
      <c r="AB338" s="107"/>
      <c r="AC338" s="107"/>
      <c r="AD338" s="107"/>
      <c r="AE338" s="107"/>
      <c r="AF338" s="107"/>
      <c r="AG338" s="107"/>
      <c r="AH338" s="107">
        <f t="shared" si="61"/>
        <v>0</v>
      </c>
    </row>
    <row r="339" spans="1:34">
      <c r="A339" s="375" t="s">
        <v>151</v>
      </c>
      <c r="B339" s="53">
        <f t="shared" si="60"/>
        <v>0</v>
      </c>
      <c r="C339" s="103"/>
      <c r="D339" s="107"/>
      <c r="E339" s="107"/>
      <c r="F339" s="107"/>
      <c r="G339" s="53"/>
      <c r="H339" s="53"/>
      <c r="I339" s="53"/>
      <c r="J339" s="111"/>
      <c r="K339" s="111"/>
      <c r="L339" s="107"/>
      <c r="M339" s="107"/>
      <c r="N339" s="107"/>
      <c r="O339" s="107"/>
      <c r="P339" s="107"/>
      <c r="Q339" s="107"/>
      <c r="R339" s="107"/>
      <c r="S339" s="107"/>
      <c r="T339" s="107"/>
      <c r="U339" s="107"/>
      <c r="V339" s="107"/>
      <c r="W339" s="107"/>
      <c r="X339" s="107"/>
      <c r="Y339" s="107"/>
      <c r="Z339" s="107"/>
      <c r="AA339" s="107"/>
      <c r="AB339" s="107"/>
      <c r="AC339" s="107"/>
      <c r="AD339" s="107"/>
      <c r="AE339" s="107"/>
      <c r="AF339" s="107"/>
      <c r="AG339" s="107"/>
      <c r="AH339" s="107">
        <f t="shared" si="61"/>
        <v>0</v>
      </c>
    </row>
    <row r="340" spans="1:34">
      <c r="A340" s="375" t="s">
        <v>152</v>
      </c>
      <c r="B340" s="53">
        <f t="shared" si="60"/>
        <v>0</v>
      </c>
      <c r="C340" s="103"/>
      <c r="D340" s="53"/>
      <c r="E340" s="53"/>
      <c r="F340" s="53"/>
      <c r="G340" s="53"/>
      <c r="H340" s="53"/>
      <c r="I340" s="53"/>
      <c r="J340" s="111"/>
      <c r="K340" s="111"/>
      <c r="L340" s="107"/>
      <c r="M340" s="107"/>
      <c r="N340" s="107"/>
      <c r="O340" s="107"/>
      <c r="P340" s="107"/>
      <c r="Q340" s="107"/>
      <c r="R340" s="107"/>
      <c r="S340" s="107"/>
      <c r="T340" s="107"/>
      <c r="U340" s="107"/>
      <c r="V340" s="107"/>
      <c r="W340" s="107"/>
      <c r="X340" s="107"/>
      <c r="Y340" s="107"/>
      <c r="Z340" s="107"/>
      <c r="AA340" s="107"/>
      <c r="AB340" s="107"/>
      <c r="AC340" s="107"/>
      <c r="AD340" s="107"/>
      <c r="AE340" s="107"/>
      <c r="AF340" s="107"/>
      <c r="AG340" s="107"/>
      <c r="AH340" s="107">
        <f t="shared" si="61"/>
        <v>0</v>
      </c>
    </row>
    <row r="341" spans="1:34">
      <c r="A341" s="375" t="s">
        <v>153</v>
      </c>
      <c r="B341" s="53">
        <f t="shared" si="60"/>
        <v>0</v>
      </c>
      <c r="C341" s="100"/>
      <c r="D341" s="107"/>
      <c r="E341" s="107"/>
      <c r="F341" s="107"/>
      <c r="G341" s="107"/>
      <c r="H341" s="107"/>
      <c r="I341" s="107"/>
      <c r="J341" s="111"/>
      <c r="K341" s="111"/>
      <c r="L341" s="53"/>
      <c r="M341" s="53"/>
      <c r="N341" s="53"/>
      <c r="O341" s="53"/>
      <c r="P341" s="53"/>
      <c r="Q341" s="53"/>
      <c r="R341" s="53"/>
      <c r="S341" s="53"/>
      <c r="T341" s="53"/>
      <c r="U341" s="53"/>
      <c r="V341" s="53"/>
      <c r="W341" s="53"/>
      <c r="X341" s="53"/>
      <c r="Y341" s="53"/>
      <c r="Z341" s="53"/>
      <c r="AA341" s="53"/>
      <c r="AB341" s="53"/>
      <c r="AC341" s="53"/>
      <c r="AD341" s="53"/>
      <c r="AE341" s="53"/>
      <c r="AF341" s="53"/>
      <c r="AG341" s="53"/>
      <c r="AH341" s="107">
        <f t="shared" si="61"/>
        <v>0</v>
      </c>
    </row>
    <row r="342" spans="1:34">
      <c r="A342" s="363" t="s">
        <v>154</v>
      </c>
      <c r="B342" s="53">
        <f t="shared" si="60"/>
        <v>0</v>
      </c>
      <c r="C342" s="103"/>
      <c r="D342" s="107"/>
      <c r="E342" s="107"/>
      <c r="F342" s="107"/>
      <c r="G342" s="53"/>
      <c r="H342" s="53"/>
      <c r="I342" s="53"/>
      <c r="J342" s="53"/>
      <c r="K342" s="53"/>
      <c r="L342" s="53"/>
      <c r="M342" s="53"/>
      <c r="N342" s="53"/>
      <c r="O342" s="107"/>
      <c r="P342" s="53"/>
      <c r="Q342" s="53"/>
      <c r="R342" s="53"/>
      <c r="S342" s="53"/>
      <c r="T342" s="53"/>
      <c r="U342" s="53"/>
      <c r="V342" s="53"/>
      <c r="W342" s="53"/>
      <c r="X342" s="53"/>
      <c r="Y342" s="53"/>
      <c r="Z342" s="53"/>
      <c r="AA342" s="53"/>
      <c r="AB342" s="53"/>
      <c r="AC342" s="53"/>
      <c r="AD342" s="53"/>
      <c r="AE342" s="107"/>
      <c r="AF342" s="53"/>
      <c r="AG342" s="107"/>
      <c r="AH342" s="107">
        <f t="shared" si="61"/>
        <v>0</v>
      </c>
    </row>
    <row r="343" spans="1:34">
      <c r="A343" s="363" t="s">
        <v>155</v>
      </c>
      <c r="B343" s="53">
        <f t="shared" si="60"/>
        <v>0</v>
      </c>
      <c r="C343" s="103"/>
      <c r="D343" s="53"/>
      <c r="E343" s="53"/>
      <c r="F343" s="53"/>
      <c r="G343" s="53"/>
      <c r="H343" s="53"/>
      <c r="I343" s="53"/>
      <c r="J343" s="53"/>
      <c r="K343" s="53"/>
      <c r="L343" s="53"/>
      <c r="M343" s="53"/>
      <c r="N343" s="53"/>
      <c r="O343" s="53"/>
      <c r="P343" s="53"/>
      <c r="Q343" s="53"/>
      <c r="R343" s="53"/>
      <c r="S343" s="53"/>
      <c r="T343" s="53"/>
      <c r="U343" s="53"/>
      <c r="V343" s="53"/>
      <c r="W343" s="53"/>
      <c r="X343" s="53"/>
      <c r="Y343" s="53"/>
      <c r="Z343" s="53"/>
      <c r="AA343" s="53"/>
      <c r="AB343" s="53"/>
      <c r="AC343" s="53"/>
      <c r="AD343" s="53"/>
      <c r="AE343" s="107"/>
      <c r="AF343" s="53"/>
      <c r="AG343" s="107"/>
      <c r="AH343" s="107">
        <f t="shared" si="61"/>
        <v>0</v>
      </c>
    </row>
    <row r="344" spans="1:34">
      <c r="A344" s="363" t="s">
        <v>156</v>
      </c>
      <c r="B344" s="53">
        <f t="shared" si="60"/>
        <v>0</v>
      </c>
      <c r="C344" s="103"/>
      <c r="D344" s="53"/>
      <c r="E344" s="53"/>
      <c r="F344" s="53"/>
      <c r="G344" s="53"/>
      <c r="H344" s="53"/>
      <c r="I344" s="53"/>
      <c r="J344" s="53"/>
      <c r="K344" s="53"/>
      <c r="L344" s="53"/>
      <c r="M344" s="53"/>
      <c r="N344" s="53"/>
      <c r="O344" s="53"/>
      <c r="P344" s="53"/>
      <c r="Q344" s="53"/>
      <c r="R344" s="53"/>
      <c r="S344" s="53"/>
      <c r="T344" s="53"/>
      <c r="U344" s="53"/>
      <c r="V344" s="53"/>
      <c r="W344" s="53"/>
      <c r="X344" s="53"/>
      <c r="Y344" s="53"/>
      <c r="Z344" s="53"/>
      <c r="AA344" s="53"/>
      <c r="AB344" s="53"/>
      <c r="AC344" s="53"/>
      <c r="AD344" s="53"/>
      <c r="AE344" s="107"/>
      <c r="AF344" s="53"/>
      <c r="AG344" s="107"/>
      <c r="AH344" s="107">
        <f t="shared" si="61"/>
        <v>0</v>
      </c>
    </row>
    <row r="345" spans="1:34">
      <c r="A345" s="199" t="s">
        <v>144</v>
      </c>
      <c r="B345" s="200">
        <f>SUM(B333:B344)</f>
        <v>0</v>
      </c>
      <c r="C345" s="100">
        <f>SUM(C333:C343)</f>
        <v>0</v>
      </c>
      <c r="D345" s="107">
        <f>SUM(D333:D343)</f>
        <v>0</v>
      </c>
      <c r="E345" s="107">
        <v>0</v>
      </c>
      <c r="F345" s="107">
        <f t="shared" ref="F345:AC345" si="62">SUM(F333:F343)</f>
        <v>0</v>
      </c>
      <c r="G345" s="107">
        <f t="shared" si="62"/>
        <v>0</v>
      </c>
      <c r="H345" s="107">
        <f t="shared" si="62"/>
        <v>0</v>
      </c>
      <c r="I345" s="107">
        <f t="shared" si="62"/>
        <v>0</v>
      </c>
      <c r="J345" s="107">
        <f t="shared" si="62"/>
        <v>0</v>
      </c>
      <c r="K345" s="107">
        <f t="shared" si="62"/>
        <v>0</v>
      </c>
      <c r="L345" s="107">
        <f t="shared" si="62"/>
        <v>0</v>
      </c>
      <c r="M345" s="107">
        <f t="shared" si="62"/>
        <v>0</v>
      </c>
      <c r="N345" s="107">
        <f t="shared" si="62"/>
        <v>0</v>
      </c>
      <c r="O345" s="107">
        <f t="shared" si="62"/>
        <v>0</v>
      </c>
      <c r="P345" s="107">
        <f t="shared" si="62"/>
        <v>0</v>
      </c>
      <c r="Q345" s="107">
        <f t="shared" si="62"/>
        <v>0</v>
      </c>
      <c r="R345" s="107">
        <f t="shared" si="62"/>
        <v>0</v>
      </c>
      <c r="S345" s="107">
        <f t="shared" si="62"/>
        <v>0</v>
      </c>
      <c r="T345" s="107">
        <f t="shared" si="62"/>
        <v>0</v>
      </c>
      <c r="U345" s="107">
        <f t="shared" si="62"/>
        <v>0</v>
      </c>
      <c r="V345" s="107">
        <f t="shared" si="62"/>
        <v>0</v>
      </c>
      <c r="W345" s="107">
        <f t="shared" si="62"/>
        <v>0</v>
      </c>
      <c r="X345" s="107">
        <f t="shared" si="62"/>
        <v>0</v>
      </c>
      <c r="Y345" s="107">
        <f t="shared" si="62"/>
        <v>0</v>
      </c>
      <c r="Z345" s="107">
        <f t="shared" si="62"/>
        <v>0</v>
      </c>
      <c r="AA345" s="107">
        <f t="shared" si="62"/>
        <v>0</v>
      </c>
      <c r="AB345" s="107">
        <f t="shared" si="62"/>
        <v>0</v>
      </c>
      <c r="AC345" s="107">
        <f t="shared" si="62"/>
        <v>0</v>
      </c>
      <c r="AD345" s="107">
        <v>0</v>
      </c>
      <c r="AE345" s="107">
        <f>SUM(AE333:AE343)</f>
        <v>0</v>
      </c>
      <c r="AF345" s="107">
        <f>SUM(AF333:AF343)</f>
        <v>0</v>
      </c>
      <c r="AG345" s="107">
        <f>SUM(AG333:AG343)</f>
        <v>0</v>
      </c>
      <c r="AH345" s="100">
        <f>SUM(AH333:AH343)</f>
        <v>0</v>
      </c>
    </row>
    <row r="346" spans="1:34" ht="17.25" customHeight="1">
      <c r="A346" s="49"/>
      <c r="B346" s="49"/>
      <c r="C346" s="1"/>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1"/>
    </row>
    <row r="347" spans="1:34">
      <c r="A347" s="3854" t="s">
        <v>119</v>
      </c>
      <c r="B347" s="3855"/>
      <c r="C347" s="3855"/>
      <c r="D347" s="3855"/>
      <c r="E347" s="3855"/>
      <c r="F347" s="3855"/>
      <c r="G347" s="3855"/>
      <c r="H347" s="3856"/>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row>
    <row r="348" spans="1:34">
      <c r="A348" s="8" t="s">
        <v>142</v>
      </c>
      <c r="B348" s="8" t="s">
        <v>143</v>
      </c>
      <c r="C348" s="314">
        <v>1</v>
      </c>
      <c r="D348" s="73">
        <v>2</v>
      </c>
      <c r="E348" s="73">
        <v>3</v>
      </c>
      <c r="F348" s="73">
        <v>4</v>
      </c>
      <c r="G348" s="73">
        <v>5</v>
      </c>
      <c r="H348" s="73">
        <v>6</v>
      </c>
      <c r="I348" s="73">
        <v>7</v>
      </c>
      <c r="J348" s="73">
        <v>8</v>
      </c>
      <c r="K348" s="73">
        <v>9</v>
      </c>
      <c r="L348" s="73">
        <v>10</v>
      </c>
      <c r="M348" s="73">
        <v>11</v>
      </c>
      <c r="N348" s="73">
        <v>12</v>
      </c>
      <c r="O348" s="73">
        <v>13</v>
      </c>
      <c r="P348" s="73">
        <v>14</v>
      </c>
      <c r="Q348" s="73">
        <v>15</v>
      </c>
      <c r="R348" s="73">
        <v>16</v>
      </c>
      <c r="S348" s="73">
        <v>17</v>
      </c>
      <c r="T348" s="73">
        <v>18</v>
      </c>
      <c r="U348" s="73">
        <v>19</v>
      </c>
      <c r="V348" s="73">
        <v>20</v>
      </c>
      <c r="W348" s="73">
        <v>21</v>
      </c>
      <c r="X348" s="73">
        <v>22</v>
      </c>
      <c r="Y348" s="73">
        <v>23</v>
      </c>
      <c r="Z348" s="73">
        <v>24</v>
      </c>
      <c r="AA348" s="73">
        <v>25</v>
      </c>
      <c r="AB348" s="73">
        <v>26</v>
      </c>
      <c r="AC348" s="73">
        <v>27</v>
      </c>
      <c r="AD348" s="73">
        <v>28</v>
      </c>
      <c r="AE348" s="73">
        <v>29</v>
      </c>
      <c r="AF348" s="73">
        <v>30</v>
      </c>
      <c r="AG348" s="73">
        <v>31</v>
      </c>
      <c r="AH348" s="88" t="s">
        <v>144</v>
      </c>
    </row>
    <row r="349" spans="1:34">
      <c r="A349" s="375" t="s">
        <v>145</v>
      </c>
      <c r="B349" s="53">
        <f t="shared" ref="B349:B360" si="63">+AH349</f>
        <v>0</v>
      </c>
      <c r="C349" s="103"/>
      <c r="D349" s="107"/>
      <c r="E349" s="107"/>
      <c r="F349" s="107"/>
      <c r="G349" s="53"/>
      <c r="H349" s="53"/>
      <c r="I349" s="53"/>
      <c r="J349" s="53"/>
      <c r="K349" s="53"/>
      <c r="L349" s="53"/>
      <c r="M349" s="53"/>
      <c r="N349" s="53"/>
      <c r="O349" s="53"/>
      <c r="P349" s="53"/>
      <c r="Q349" s="107"/>
      <c r="R349" s="53"/>
      <c r="S349" s="53"/>
      <c r="T349" s="53"/>
      <c r="U349" s="53"/>
      <c r="V349" s="107"/>
      <c r="W349" s="107"/>
      <c r="X349" s="53"/>
      <c r="Y349" s="53"/>
      <c r="Z349" s="53"/>
      <c r="AA349" s="53"/>
      <c r="AB349" s="53"/>
      <c r="AC349" s="53"/>
      <c r="AD349" s="107"/>
      <c r="AE349" s="53"/>
      <c r="AF349" s="53"/>
      <c r="AG349" s="53"/>
      <c r="AH349" s="107">
        <f>SUM(C349:AG349)</f>
        <v>0</v>
      </c>
    </row>
    <row r="350" spans="1:34">
      <c r="A350" s="375" t="s">
        <v>146</v>
      </c>
      <c r="B350" s="53">
        <f t="shared" si="63"/>
        <v>0</v>
      </c>
      <c r="C350" s="103"/>
      <c r="D350" s="53"/>
      <c r="E350" s="53"/>
      <c r="F350" s="53"/>
      <c r="G350" s="53"/>
      <c r="H350" s="53"/>
      <c r="I350" s="53"/>
      <c r="J350" s="53"/>
      <c r="K350" s="53"/>
      <c r="L350" s="53"/>
      <c r="M350" s="53"/>
      <c r="N350" s="53"/>
      <c r="O350" s="53"/>
      <c r="P350" s="53"/>
      <c r="Q350" s="53"/>
      <c r="R350" s="53"/>
      <c r="S350" s="53"/>
      <c r="T350" s="53"/>
      <c r="U350" s="53"/>
      <c r="V350" s="53"/>
      <c r="W350" s="53"/>
      <c r="X350" s="53"/>
      <c r="Y350" s="53"/>
      <c r="Z350" s="53"/>
      <c r="AA350" s="53"/>
      <c r="AB350" s="53"/>
      <c r="AC350" s="53"/>
      <c r="AD350" s="53"/>
      <c r="AE350" s="53"/>
      <c r="AF350" s="53"/>
      <c r="AG350" s="53"/>
      <c r="AH350" s="107">
        <f t="shared" ref="AH350:AH360" si="64">SUM(C350:AG350)</f>
        <v>0</v>
      </c>
    </row>
    <row r="351" spans="1:34">
      <c r="A351" s="375" t="s">
        <v>147</v>
      </c>
      <c r="B351" s="53">
        <f t="shared" si="63"/>
        <v>0.32</v>
      </c>
      <c r="C351" s="100"/>
      <c r="D351" s="107"/>
      <c r="E351" s="107"/>
      <c r="F351" s="107"/>
      <c r="G351" s="107"/>
      <c r="H351" s="107"/>
      <c r="I351" s="107"/>
      <c r="J351" s="107"/>
      <c r="K351" s="107"/>
      <c r="L351" s="107"/>
      <c r="M351" s="107"/>
      <c r="N351" s="107"/>
      <c r="O351" s="107"/>
      <c r="P351" s="107"/>
      <c r="Q351" s="107"/>
      <c r="R351" s="107"/>
      <c r="S351" s="107"/>
      <c r="T351" s="107">
        <v>0.02</v>
      </c>
      <c r="U351" s="107"/>
      <c r="V351" s="107"/>
      <c r="W351" s="107"/>
      <c r="X351" s="107"/>
      <c r="Y351" s="107">
        <v>0.3</v>
      </c>
      <c r="Z351" s="107"/>
      <c r="AA351" s="107"/>
      <c r="AB351" s="107"/>
      <c r="AC351" s="107"/>
      <c r="AD351" s="107"/>
      <c r="AE351" s="107"/>
      <c r="AF351" s="107"/>
      <c r="AG351" s="107"/>
      <c r="AH351" s="107">
        <f t="shared" si="64"/>
        <v>0.32</v>
      </c>
    </row>
    <row r="352" spans="1:34">
      <c r="A352" s="375" t="s">
        <v>148</v>
      </c>
      <c r="B352" s="53">
        <f t="shared" si="63"/>
        <v>0.09</v>
      </c>
      <c r="C352" s="103"/>
      <c r="D352" s="107"/>
      <c r="E352" s="107"/>
      <c r="F352" s="107"/>
      <c r="G352" s="53"/>
      <c r="H352" s="53"/>
      <c r="I352" s="53"/>
      <c r="J352" s="107"/>
      <c r="K352" s="107"/>
      <c r="L352" s="107"/>
      <c r="M352" s="107"/>
      <c r="N352" s="107"/>
      <c r="O352" s="107"/>
      <c r="P352" s="107"/>
      <c r="Q352" s="107"/>
      <c r="R352" s="107"/>
      <c r="S352" s="107"/>
      <c r="T352" s="107"/>
      <c r="U352" s="107"/>
      <c r="V352" s="107"/>
      <c r="W352" s="107"/>
      <c r="X352" s="107"/>
      <c r="Y352" s="107"/>
      <c r="Z352" s="107"/>
      <c r="AA352" s="107"/>
      <c r="AB352" s="107"/>
      <c r="AC352" s="107"/>
      <c r="AD352" s="107">
        <v>0.09</v>
      </c>
      <c r="AE352" s="107"/>
      <c r="AF352" s="107"/>
      <c r="AG352" s="107"/>
      <c r="AH352" s="107">
        <f t="shared" si="64"/>
        <v>0.09</v>
      </c>
    </row>
    <row r="353" spans="1:34">
      <c r="A353" s="375" t="s">
        <v>149</v>
      </c>
      <c r="B353" s="53">
        <f t="shared" si="63"/>
        <v>0</v>
      </c>
      <c r="C353" s="103"/>
      <c r="D353" s="53"/>
      <c r="E353" s="53"/>
      <c r="F353" s="53"/>
      <c r="G353" s="53"/>
      <c r="H353" s="53"/>
      <c r="I353" s="53"/>
      <c r="J353" s="107"/>
      <c r="K353" s="107"/>
      <c r="L353" s="107"/>
      <c r="M353" s="107"/>
      <c r="N353" s="107"/>
      <c r="O353" s="107"/>
      <c r="P353" s="107"/>
      <c r="Q353" s="107"/>
      <c r="R353" s="107"/>
      <c r="S353" s="107"/>
      <c r="T353" s="107"/>
      <c r="U353" s="107"/>
      <c r="V353" s="107"/>
      <c r="W353" s="107"/>
      <c r="X353" s="107"/>
      <c r="Y353" s="107"/>
      <c r="Z353" s="107"/>
      <c r="AA353" s="107"/>
      <c r="AB353" s="107"/>
      <c r="AC353" s="107"/>
      <c r="AD353" s="107"/>
      <c r="AE353" s="107"/>
      <c r="AF353" s="107"/>
      <c r="AG353" s="107"/>
      <c r="AH353" s="107">
        <f t="shared" si="64"/>
        <v>0</v>
      </c>
    </row>
    <row r="354" spans="1:34">
      <c r="A354" s="375" t="s">
        <v>150</v>
      </c>
      <c r="B354" s="53">
        <f t="shared" si="63"/>
        <v>0</v>
      </c>
      <c r="C354" s="100"/>
      <c r="D354" s="107"/>
      <c r="E354" s="107"/>
      <c r="F354" s="107"/>
      <c r="G354" s="107"/>
      <c r="H354" s="107"/>
      <c r="I354" s="107"/>
      <c r="J354" s="107"/>
      <c r="K354" s="107"/>
      <c r="L354" s="107"/>
      <c r="M354" s="107"/>
      <c r="N354" s="107"/>
      <c r="O354" s="107"/>
      <c r="P354" s="107"/>
      <c r="Q354" s="107"/>
      <c r="R354" s="107"/>
      <c r="S354" s="107"/>
      <c r="T354" s="107"/>
      <c r="U354" s="107"/>
      <c r="V354" s="107"/>
      <c r="W354" s="107"/>
      <c r="X354" s="107"/>
      <c r="Y354" s="107"/>
      <c r="Z354" s="107"/>
      <c r="AA354" s="107"/>
      <c r="AB354" s="107"/>
      <c r="AC354" s="107"/>
      <c r="AD354" s="107"/>
      <c r="AE354" s="107"/>
      <c r="AF354" s="107"/>
      <c r="AG354" s="107"/>
      <c r="AH354" s="107">
        <f t="shared" si="64"/>
        <v>0</v>
      </c>
    </row>
    <row r="355" spans="1:34">
      <c r="A355" s="375" t="s">
        <v>151</v>
      </c>
      <c r="B355" s="53">
        <f t="shared" si="63"/>
        <v>0</v>
      </c>
      <c r="C355" s="103"/>
      <c r="D355" s="107"/>
      <c r="E355" s="107"/>
      <c r="F355" s="107"/>
      <c r="G355" s="53"/>
      <c r="H355" s="53"/>
      <c r="I355" s="53"/>
      <c r="J355" s="111"/>
      <c r="K355" s="111"/>
      <c r="L355" s="107"/>
      <c r="M355" s="107"/>
      <c r="N355" s="107"/>
      <c r="O355" s="107"/>
      <c r="P355" s="107"/>
      <c r="Q355" s="107"/>
      <c r="R355" s="107"/>
      <c r="S355" s="107"/>
      <c r="T355" s="107"/>
      <c r="U355" s="107"/>
      <c r="V355" s="107"/>
      <c r="W355" s="107"/>
      <c r="X355" s="107"/>
      <c r="Y355" s="107"/>
      <c r="Z355" s="107"/>
      <c r="AA355" s="107"/>
      <c r="AB355" s="107"/>
      <c r="AC355" s="107"/>
      <c r="AD355" s="107"/>
      <c r="AE355" s="107"/>
      <c r="AF355" s="107"/>
      <c r="AG355" s="107"/>
      <c r="AH355" s="107">
        <f t="shared" si="64"/>
        <v>0</v>
      </c>
    </row>
    <row r="356" spans="1:34">
      <c r="A356" s="375" t="s">
        <v>152</v>
      </c>
      <c r="B356" s="53">
        <f t="shared" si="63"/>
        <v>0</v>
      </c>
      <c r="C356" s="103"/>
      <c r="D356" s="53"/>
      <c r="E356" s="53"/>
      <c r="F356" s="53"/>
      <c r="G356" s="53"/>
      <c r="H356" s="53"/>
      <c r="I356" s="53"/>
      <c r="J356" s="111"/>
      <c r="K356" s="111"/>
      <c r="L356" s="107"/>
      <c r="M356" s="107"/>
      <c r="N356" s="107"/>
      <c r="O356" s="107"/>
      <c r="P356" s="107"/>
      <c r="Q356" s="107"/>
      <c r="R356" s="107"/>
      <c r="S356" s="107"/>
      <c r="T356" s="107"/>
      <c r="U356" s="107"/>
      <c r="V356" s="107"/>
      <c r="W356" s="107"/>
      <c r="X356" s="107"/>
      <c r="Y356" s="107"/>
      <c r="Z356" s="107"/>
      <c r="AA356" s="107"/>
      <c r="AB356" s="107"/>
      <c r="AC356" s="107"/>
      <c r="AD356" s="107"/>
      <c r="AE356" s="107"/>
      <c r="AF356" s="107"/>
      <c r="AG356" s="107"/>
      <c r="AH356" s="107">
        <f t="shared" si="64"/>
        <v>0</v>
      </c>
    </row>
    <row r="357" spans="1:34">
      <c r="A357" s="375" t="s">
        <v>153</v>
      </c>
      <c r="B357" s="53">
        <f t="shared" si="63"/>
        <v>0.1</v>
      </c>
      <c r="C357" s="100"/>
      <c r="D357" s="107"/>
      <c r="E357" s="107"/>
      <c r="F357" s="107"/>
      <c r="G357" s="107"/>
      <c r="H357" s="107"/>
      <c r="I357" s="107"/>
      <c r="J357" s="111"/>
      <c r="K357" s="111"/>
      <c r="L357" s="53"/>
      <c r="M357" s="53"/>
      <c r="N357" s="53"/>
      <c r="O357" s="53"/>
      <c r="P357" s="53"/>
      <c r="Q357" s="53">
        <v>0.1</v>
      </c>
      <c r="R357" s="53"/>
      <c r="S357" s="53"/>
      <c r="T357" s="53"/>
      <c r="U357" s="53"/>
      <c r="V357" s="53"/>
      <c r="W357" s="53"/>
      <c r="X357" s="53"/>
      <c r="Y357" s="53"/>
      <c r="Z357" s="53"/>
      <c r="AA357" s="53"/>
      <c r="AB357" s="53"/>
      <c r="AC357" s="53"/>
      <c r="AD357" s="53"/>
      <c r="AE357" s="53"/>
      <c r="AF357" s="53"/>
      <c r="AG357" s="53"/>
      <c r="AH357" s="107">
        <f t="shared" si="64"/>
        <v>0.1</v>
      </c>
    </row>
    <row r="358" spans="1:34">
      <c r="A358" s="363" t="s">
        <v>154</v>
      </c>
      <c r="B358" s="53">
        <f t="shared" si="63"/>
        <v>0</v>
      </c>
      <c r="C358" s="103"/>
      <c r="D358" s="107"/>
      <c r="E358" s="107"/>
      <c r="F358" s="107"/>
      <c r="G358" s="53"/>
      <c r="H358" s="53"/>
      <c r="I358" s="53"/>
      <c r="J358" s="53"/>
      <c r="K358" s="53"/>
      <c r="L358" s="53"/>
      <c r="M358" s="53"/>
      <c r="N358" s="53"/>
      <c r="O358" s="107"/>
      <c r="P358" s="53"/>
      <c r="Q358" s="53"/>
      <c r="R358" s="53"/>
      <c r="S358" s="53"/>
      <c r="T358" s="53"/>
      <c r="U358" s="53"/>
      <c r="V358" s="53"/>
      <c r="W358" s="53"/>
      <c r="X358" s="53"/>
      <c r="Y358" s="53"/>
      <c r="Z358" s="53"/>
      <c r="AA358" s="53"/>
      <c r="AB358" s="53"/>
      <c r="AC358" s="53"/>
      <c r="AD358" s="53"/>
      <c r="AE358" s="107"/>
      <c r="AF358" s="53"/>
      <c r="AG358" s="107"/>
      <c r="AH358" s="107">
        <f t="shared" si="64"/>
        <v>0</v>
      </c>
    </row>
    <row r="359" spans="1:34">
      <c r="A359" s="363" t="s">
        <v>155</v>
      </c>
      <c r="B359" s="53">
        <f t="shared" si="63"/>
        <v>0</v>
      </c>
      <c r="C359" s="103"/>
      <c r="D359" s="53"/>
      <c r="E359" s="53"/>
      <c r="F359" s="53"/>
      <c r="G359" s="53"/>
      <c r="H359" s="53"/>
      <c r="I359" s="53"/>
      <c r="J359" s="53"/>
      <c r="K359" s="53"/>
      <c r="L359" s="53"/>
      <c r="M359" s="53"/>
      <c r="N359" s="53"/>
      <c r="O359" s="53"/>
      <c r="P359" s="53"/>
      <c r="Q359" s="53"/>
      <c r="R359" s="53"/>
      <c r="S359" s="53"/>
      <c r="T359" s="53"/>
      <c r="U359" s="53"/>
      <c r="V359" s="53"/>
      <c r="W359" s="53"/>
      <c r="X359" s="53"/>
      <c r="Y359" s="53"/>
      <c r="Z359" s="53"/>
      <c r="AA359" s="53"/>
      <c r="AB359" s="53"/>
      <c r="AC359" s="53"/>
      <c r="AD359" s="53"/>
      <c r="AE359" s="107"/>
      <c r="AF359" s="53"/>
      <c r="AG359" s="107"/>
      <c r="AH359" s="107">
        <f t="shared" si="64"/>
        <v>0</v>
      </c>
    </row>
    <row r="360" spans="1:34">
      <c r="A360" s="363" t="s">
        <v>156</v>
      </c>
      <c r="B360" s="53">
        <f t="shared" si="63"/>
        <v>0</v>
      </c>
      <c r="C360" s="103"/>
      <c r="D360" s="53"/>
      <c r="E360" s="53"/>
      <c r="F360" s="53"/>
      <c r="G360" s="53"/>
      <c r="H360" s="53"/>
      <c r="I360" s="53"/>
      <c r="J360" s="53"/>
      <c r="K360" s="53"/>
      <c r="L360" s="53"/>
      <c r="M360" s="53"/>
      <c r="N360" s="53"/>
      <c r="O360" s="53"/>
      <c r="P360" s="53"/>
      <c r="Q360" s="53"/>
      <c r="R360" s="53"/>
      <c r="S360" s="53"/>
      <c r="T360" s="53"/>
      <c r="U360" s="53"/>
      <c r="V360" s="53"/>
      <c r="W360" s="53"/>
      <c r="X360" s="53"/>
      <c r="Y360" s="53"/>
      <c r="Z360" s="53"/>
      <c r="AA360" s="53"/>
      <c r="AB360" s="53"/>
      <c r="AC360" s="53"/>
      <c r="AD360" s="53"/>
      <c r="AE360" s="107"/>
      <c r="AF360" s="53"/>
      <c r="AG360" s="107"/>
      <c r="AH360" s="107">
        <f t="shared" si="64"/>
        <v>0</v>
      </c>
    </row>
    <row r="361" spans="1:34">
      <c r="A361" s="199" t="s">
        <v>144</v>
      </c>
      <c r="B361" s="200">
        <f>SUM(B349:B360)</f>
        <v>0.51</v>
      </c>
      <c r="C361" s="100">
        <f>SUM(C349:C359)</f>
        <v>0</v>
      </c>
      <c r="D361" s="107">
        <f>SUM(D349:D359)</f>
        <v>0</v>
      </c>
      <c r="E361" s="107">
        <v>0</v>
      </c>
      <c r="F361" s="107">
        <f t="shared" ref="F361:AC361" si="65">SUM(F349:F359)</f>
        <v>0</v>
      </c>
      <c r="G361" s="107">
        <f t="shared" si="65"/>
        <v>0</v>
      </c>
      <c r="H361" s="107">
        <f t="shared" si="65"/>
        <v>0</v>
      </c>
      <c r="I361" s="107">
        <f t="shared" si="65"/>
        <v>0</v>
      </c>
      <c r="J361" s="107">
        <f t="shared" si="65"/>
        <v>0</v>
      </c>
      <c r="K361" s="107">
        <f t="shared" si="65"/>
        <v>0</v>
      </c>
      <c r="L361" s="107">
        <f t="shared" si="65"/>
        <v>0</v>
      </c>
      <c r="M361" s="107">
        <f t="shared" si="65"/>
        <v>0</v>
      </c>
      <c r="N361" s="107">
        <f t="shared" si="65"/>
        <v>0</v>
      </c>
      <c r="O361" s="107">
        <f t="shared" si="65"/>
        <v>0</v>
      </c>
      <c r="P361" s="107">
        <f t="shared" si="65"/>
        <v>0</v>
      </c>
      <c r="Q361" s="107">
        <f t="shared" si="65"/>
        <v>0.1</v>
      </c>
      <c r="R361" s="107">
        <f t="shared" si="65"/>
        <v>0</v>
      </c>
      <c r="S361" s="107">
        <f t="shared" si="65"/>
        <v>0</v>
      </c>
      <c r="T361" s="107">
        <f t="shared" si="65"/>
        <v>0.02</v>
      </c>
      <c r="U361" s="107">
        <f t="shared" si="65"/>
        <v>0</v>
      </c>
      <c r="V361" s="107">
        <f t="shared" si="65"/>
        <v>0</v>
      </c>
      <c r="W361" s="107">
        <f t="shared" si="65"/>
        <v>0</v>
      </c>
      <c r="X361" s="107">
        <f t="shared" si="65"/>
        <v>0</v>
      </c>
      <c r="Y361" s="107">
        <f t="shared" si="65"/>
        <v>0.3</v>
      </c>
      <c r="Z361" s="107">
        <f t="shared" si="65"/>
        <v>0</v>
      </c>
      <c r="AA361" s="107">
        <f t="shared" si="65"/>
        <v>0</v>
      </c>
      <c r="AB361" s="107">
        <f t="shared" si="65"/>
        <v>0</v>
      </c>
      <c r="AC361" s="107">
        <f t="shared" si="65"/>
        <v>0</v>
      </c>
      <c r="AD361" s="107">
        <v>0</v>
      </c>
      <c r="AE361" s="107">
        <f>SUM(AE349:AE359)</f>
        <v>0</v>
      </c>
      <c r="AF361" s="107">
        <f>SUM(AF349:AF359)</f>
        <v>0</v>
      </c>
      <c r="AG361" s="107">
        <f>SUM(AG349:AG359)</f>
        <v>0</v>
      </c>
      <c r="AH361" s="100">
        <f>SUM(AH349:AH359)</f>
        <v>0.51</v>
      </c>
    </row>
    <row r="362" spans="1:34">
      <c r="A362" s="113"/>
      <c r="B362" s="113"/>
      <c r="C362" s="114"/>
      <c r="D362" s="114"/>
      <c r="E362" s="114"/>
      <c r="F362" s="114"/>
      <c r="G362" s="114"/>
      <c r="H362" s="114"/>
      <c r="I362" s="114"/>
      <c r="J362" s="114"/>
      <c r="K362" s="114"/>
      <c r="L362" s="114"/>
      <c r="M362" s="114"/>
      <c r="N362" s="114"/>
      <c r="O362" s="114"/>
      <c r="P362" s="114"/>
      <c r="Q362" s="114"/>
      <c r="R362" s="114"/>
      <c r="S362" s="114"/>
      <c r="T362" s="114"/>
      <c r="U362" s="114"/>
      <c r="V362" s="114"/>
      <c r="W362" s="114"/>
      <c r="X362" s="114"/>
      <c r="Y362" s="114"/>
      <c r="Z362" s="114"/>
      <c r="AA362" s="114"/>
      <c r="AB362" s="114"/>
      <c r="AC362" s="114"/>
      <c r="AD362" s="114"/>
      <c r="AE362" s="114"/>
      <c r="AF362" s="114"/>
      <c r="AG362" s="114"/>
      <c r="AH362" s="114"/>
    </row>
    <row r="363" spans="1:34" ht="15" customHeight="1">
      <c r="A363" s="3873" t="s">
        <v>120</v>
      </c>
      <c r="B363" s="3874"/>
      <c r="C363" s="3874"/>
      <c r="D363" s="3874"/>
      <c r="E363" s="3874"/>
      <c r="F363" s="3874"/>
      <c r="G363" s="3874"/>
      <c r="H363" s="3874"/>
      <c r="I363" s="3874"/>
      <c r="J363" s="3874"/>
      <c r="K363" s="3874"/>
      <c r="L363" s="3874"/>
      <c r="M363" s="3874"/>
      <c r="N363" s="3874"/>
      <c r="O363" s="3874"/>
      <c r="P363" s="3874"/>
      <c r="Q363" s="3874"/>
      <c r="R363" s="3875"/>
      <c r="S363" s="14"/>
      <c r="T363" s="14"/>
      <c r="U363" s="14"/>
      <c r="V363" s="14"/>
      <c r="W363" s="14"/>
      <c r="X363" s="14"/>
      <c r="Y363" s="14"/>
      <c r="Z363" s="14"/>
      <c r="AA363" s="14"/>
      <c r="AB363" s="14"/>
      <c r="AC363" s="14"/>
      <c r="AD363" s="14"/>
      <c r="AE363" s="14"/>
      <c r="AF363" s="14"/>
      <c r="AG363" s="14"/>
      <c r="AH363" s="14"/>
    </row>
    <row r="364" spans="1:34" ht="5.0999999999999996" customHeight="1">
      <c r="A364" s="104"/>
      <c r="B364" s="174"/>
      <c r="C364" s="104"/>
      <c r="D364" s="104"/>
      <c r="E364" s="104"/>
      <c r="F364" s="104"/>
      <c r="G364" s="104"/>
      <c r="H364" s="10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c r="AG364" s="14"/>
      <c r="AH364" s="14"/>
    </row>
    <row r="365" spans="1:34" ht="15" customHeight="1">
      <c r="A365" s="3854" t="s">
        <v>121</v>
      </c>
      <c r="B365" s="3855"/>
      <c r="C365" s="3855"/>
      <c r="D365" s="3855"/>
      <c r="E365" s="3855"/>
      <c r="F365" s="3855"/>
      <c r="G365" s="3855"/>
      <c r="H365" s="3856"/>
    </row>
    <row r="366" spans="1:34" ht="15" customHeight="1">
      <c r="A366" s="8" t="s">
        <v>161</v>
      </c>
      <c r="B366" s="172" t="s">
        <v>143</v>
      </c>
      <c r="C366" s="2907">
        <v>1</v>
      </c>
      <c r="D366" s="73">
        <v>2</v>
      </c>
      <c r="E366" s="73">
        <v>3</v>
      </c>
      <c r="F366" s="73">
        <v>4</v>
      </c>
      <c r="G366" s="73">
        <v>5</v>
      </c>
      <c r="H366" s="73">
        <v>6</v>
      </c>
      <c r="I366" s="73">
        <v>7</v>
      </c>
      <c r="J366" s="73">
        <v>8</v>
      </c>
      <c r="K366" s="73">
        <v>9</v>
      </c>
      <c r="L366" s="73">
        <v>10</v>
      </c>
      <c r="M366" s="73">
        <v>11</v>
      </c>
      <c r="N366" s="73">
        <v>12</v>
      </c>
      <c r="O366" s="73">
        <v>13</v>
      </c>
      <c r="P366" s="73">
        <v>14</v>
      </c>
      <c r="Q366" s="73">
        <v>15</v>
      </c>
      <c r="R366" s="73">
        <v>16</v>
      </c>
      <c r="S366" s="73">
        <v>17</v>
      </c>
      <c r="T366" s="73">
        <v>18</v>
      </c>
      <c r="U366" s="73">
        <v>19</v>
      </c>
      <c r="V366" s="73">
        <v>20</v>
      </c>
      <c r="W366" s="73">
        <v>21</v>
      </c>
      <c r="X366" s="73">
        <v>22</v>
      </c>
      <c r="Y366" s="73">
        <v>23</v>
      </c>
      <c r="Z366" s="73">
        <v>24</v>
      </c>
      <c r="AA366" s="73">
        <v>25</v>
      </c>
      <c r="AB366" s="73">
        <v>26</v>
      </c>
      <c r="AC366" s="73">
        <v>27</v>
      </c>
      <c r="AD366" s="73">
        <v>28</v>
      </c>
      <c r="AE366" s="73">
        <v>29</v>
      </c>
      <c r="AF366" s="73">
        <v>30</v>
      </c>
      <c r="AG366" s="73">
        <v>31</v>
      </c>
      <c r="AH366" s="88" t="s">
        <v>144</v>
      </c>
    </row>
    <row r="367" spans="1:34" ht="15" customHeight="1">
      <c r="A367" s="73" t="s">
        <v>145</v>
      </c>
      <c r="B367" s="313">
        <f t="shared" ref="B367:B378" si="66">+AH367</f>
        <v>0</v>
      </c>
      <c r="C367" s="103"/>
      <c r="D367" s="53"/>
      <c r="E367" s="53"/>
      <c r="F367" s="53"/>
      <c r="G367" s="53"/>
      <c r="H367" s="53"/>
      <c r="I367" s="53"/>
      <c r="J367" s="53"/>
      <c r="K367" s="53"/>
      <c r="L367" s="53"/>
      <c r="M367" s="53"/>
      <c r="N367" s="53"/>
      <c r="O367" s="53"/>
      <c r="P367" s="53"/>
      <c r="Q367" s="162"/>
      <c r="R367" s="162"/>
      <c r="S367" s="162"/>
      <c r="T367" s="162"/>
      <c r="U367" s="162"/>
      <c r="V367" s="162"/>
      <c r="W367" s="162"/>
      <c r="X367" s="162"/>
      <c r="Y367" s="162"/>
      <c r="Z367" s="162"/>
      <c r="AA367" s="162"/>
      <c r="AB367" s="162"/>
      <c r="AC367" s="162"/>
      <c r="AD367" s="162"/>
      <c r="AE367" s="162"/>
      <c r="AF367" s="162"/>
      <c r="AG367" s="162"/>
      <c r="AH367" s="107">
        <f>SUM(C367:AG367)</f>
        <v>0</v>
      </c>
    </row>
    <row r="368" spans="1:34" ht="15" customHeight="1">
      <c r="A368" s="73" t="s">
        <v>146</v>
      </c>
      <c r="B368" s="313">
        <f t="shared" si="66"/>
        <v>0</v>
      </c>
      <c r="C368" s="103"/>
      <c r="D368" s="53"/>
      <c r="E368" s="53"/>
      <c r="F368" s="53"/>
      <c r="G368" s="53"/>
      <c r="H368" s="53"/>
      <c r="I368" s="53"/>
      <c r="J368" s="53"/>
      <c r="K368" s="53"/>
      <c r="L368" s="53"/>
      <c r="M368" s="53"/>
      <c r="N368" s="53"/>
      <c r="O368" s="53"/>
      <c r="P368" s="53"/>
      <c r="Q368" s="53"/>
      <c r="R368" s="53"/>
      <c r="S368" s="53"/>
      <c r="T368" s="53"/>
      <c r="U368" s="53"/>
      <c r="V368" s="53"/>
      <c r="W368" s="53"/>
      <c r="X368" s="53"/>
      <c r="Y368" s="53"/>
      <c r="Z368" s="53"/>
      <c r="AA368" s="53"/>
      <c r="AB368" s="53"/>
      <c r="AC368" s="53"/>
      <c r="AD368" s="53"/>
      <c r="AE368" s="53"/>
      <c r="AF368" s="53"/>
      <c r="AG368" s="53"/>
      <c r="AH368" s="107">
        <f t="shared" ref="AH368:AH378" si="67">SUM(C368:AG368)</f>
        <v>0</v>
      </c>
    </row>
    <row r="369" spans="1:35" ht="15" customHeight="1">
      <c r="A369" s="73" t="s">
        <v>147</v>
      </c>
      <c r="B369" s="313">
        <f t="shared" si="66"/>
        <v>0</v>
      </c>
      <c r="C369" s="103"/>
      <c r="D369" s="53"/>
      <c r="E369" s="53"/>
      <c r="F369" s="53"/>
      <c r="G369" s="53"/>
      <c r="H369" s="53"/>
      <c r="I369" s="53"/>
      <c r="J369" s="53"/>
      <c r="K369" s="53"/>
      <c r="L369" s="53"/>
      <c r="M369" s="53"/>
      <c r="N369" s="53"/>
      <c r="O369" s="53"/>
      <c r="P369" s="53"/>
      <c r="Q369" s="53"/>
      <c r="R369" s="53"/>
      <c r="S369" s="53"/>
      <c r="T369" s="53"/>
      <c r="U369" s="53"/>
      <c r="V369" s="53"/>
      <c r="W369" s="53"/>
      <c r="X369" s="53"/>
      <c r="Y369" s="53"/>
      <c r="Z369" s="53"/>
      <c r="AA369" s="53"/>
      <c r="AB369" s="53"/>
      <c r="AC369" s="53"/>
      <c r="AD369" s="53"/>
      <c r="AE369" s="53"/>
      <c r="AF369" s="53"/>
      <c r="AG369" s="53"/>
      <c r="AH369" s="107">
        <f t="shared" si="67"/>
        <v>0</v>
      </c>
    </row>
    <row r="370" spans="1:35" ht="15" customHeight="1">
      <c r="A370" s="73" t="s">
        <v>148</v>
      </c>
      <c r="B370" s="313">
        <f t="shared" si="66"/>
        <v>0</v>
      </c>
      <c r="C370" s="103"/>
      <c r="D370" s="53"/>
      <c r="E370" s="53"/>
      <c r="F370" s="53"/>
      <c r="G370" s="53"/>
      <c r="H370" s="53"/>
      <c r="I370" s="53"/>
      <c r="J370" s="53"/>
      <c r="K370" s="53"/>
      <c r="L370" s="53"/>
      <c r="M370" s="53"/>
      <c r="N370" s="53"/>
      <c r="O370" s="53"/>
      <c r="P370" s="53"/>
      <c r="Q370" s="53"/>
      <c r="R370" s="53"/>
      <c r="S370" s="53"/>
      <c r="T370" s="53"/>
      <c r="U370" s="53"/>
      <c r="V370" s="53"/>
      <c r="W370" s="53"/>
      <c r="X370" s="53"/>
      <c r="Y370" s="53"/>
      <c r="Z370" s="53"/>
      <c r="AA370" s="53"/>
      <c r="AB370" s="53"/>
      <c r="AC370" s="53"/>
      <c r="AD370" s="53"/>
      <c r="AE370" s="53"/>
      <c r="AF370" s="53"/>
      <c r="AG370" s="53"/>
      <c r="AH370" s="107">
        <f t="shared" si="67"/>
        <v>0</v>
      </c>
    </row>
    <row r="371" spans="1:35" ht="15" customHeight="1">
      <c r="A371" s="73" t="s">
        <v>149</v>
      </c>
      <c r="B371" s="313">
        <f t="shared" si="66"/>
        <v>0</v>
      </c>
      <c r="C371" s="103"/>
      <c r="D371" s="53"/>
      <c r="E371" s="53"/>
      <c r="F371" s="53"/>
      <c r="G371" s="53"/>
      <c r="H371" s="53"/>
      <c r="I371" s="53"/>
      <c r="J371" s="53"/>
      <c r="K371" s="53"/>
      <c r="L371" s="53"/>
      <c r="M371" s="53"/>
      <c r="N371" s="53"/>
      <c r="O371" s="53"/>
      <c r="P371" s="53"/>
      <c r="Q371" s="53"/>
      <c r="R371" s="53"/>
      <c r="S371" s="53"/>
      <c r="T371" s="53"/>
      <c r="U371" s="53"/>
      <c r="V371" s="53"/>
      <c r="W371" s="53"/>
      <c r="X371" s="53"/>
      <c r="Y371" s="53"/>
      <c r="Z371" s="53"/>
      <c r="AA371" s="53"/>
      <c r="AB371" s="53"/>
      <c r="AC371" s="53"/>
      <c r="AD371" s="53"/>
      <c r="AE371" s="53"/>
      <c r="AF371" s="53"/>
      <c r="AG371" s="53"/>
      <c r="AH371" s="107">
        <f t="shared" si="67"/>
        <v>0</v>
      </c>
    </row>
    <row r="372" spans="1:35" ht="15" customHeight="1">
      <c r="A372" s="73" t="s">
        <v>150</v>
      </c>
      <c r="B372" s="313">
        <f t="shared" si="66"/>
        <v>0</v>
      </c>
      <c r="C372" s="103"/>
      <c r="D372" s="53"/>
      <c r="E372" s="53"/>
      <c r="F372" s="53"/>
      <c r="G372" s="53"/>
      <c r="H372" s="53"/>
      <c r="I372" s="53"/>
      <c r="J372" s="53"/>
      <c r="K372" s="53"/>
      <c r="L372" s="53"/>
      <c r="M372" s="53"/>
      <c r="N372" s="53"/>
      <c r="O372" s="53"/>
      <c r="P372" s="53"/>
      <c r="Q372" s="53"/>
      <c r="R372" s="53"/>
      <c r="S372" s="53"/>
      <c r="T372" s="53"/>
      <c r="U372" s="53"/>
      <c r="V372" s="53"/>
      <c r="W372" s="53"/>
      <c r="X372" s="53"/>
      <c r="Y372" s="53"/>
      <c r="Z372" s="53"/>
      <c r="AA372" s="53"/>
      <c r="AB372" s="53"/>
      <c r="AC372" s="53"/>
      <c r="AD372" s="53"/>
      <c r="AE372" s="53"/>
      <c r="AF372" s="53"/>
      <c r="AG372" s="53"/>
      <c r="AH372" s="107">
        <f t="shared" si="67"/>
        <v>0</v>
      </c>
    </row>
    <row r="373" spans="1:35" ht="15" customHeight="1">
      <c r="A373" s="73" t="s">
        <v>151</v>
      </c>
      <c r="B373" s="313">
        <f t="shared" si="66"/>
        <v>0</v>
      </c>
      <c r="C373" s="103"/>
      <c r="D373" s="107"/>
      <c r="E373" s="107"/>
      <c r="F373" s="107"/>
      <c r="G373" s="53"/>
      <c r="H373" s="53"/>
      <c r="I373" s="53"/>
      <c r="J373" s="111"/>
      <c r="K373" s="111"/>
      <c r="L373" s="107"/>
      <c r="M373" s="107"/>
      <c r="N373" s="107"/>
      <c r="O373" s="107"/>
      <c r="P373" s="107"/>
      <c r="Q373" s="107"/>
      <c r="R373" s="107"/>
      <c r="S373" s="107"/>
      <c r="T373" s="107"/>
      <c r="U373" s="107"/>
      <c r="V373" s="107"/>
      <c r="W373" s="107"/>
      <c r="X373" s="107"/>
      <c r="Y373" s="107"/>
      <c r="Z373" s="107"/>
      <c r="AA373" s="107"/>
      <c r="AB373" s="107"/>
      <c r="AC373" s="107"/>
      <c r="AD373" s="107"/>
      <c r="AE373" s="107"/>
      <c r="AF373" s="107"/>
      <c r="AG373" s="107"/>
      <c r="AH373" s="107">
        <f t="shared" si="67"/>
        <v>0</v>
      </c>
    </row>
    <row r="374" spans="1:35" ht="15" customHeight="1">
      <c r="A374" s="73" t="s">
        <v>152</v>
      </c>
      <c r="B374" s="313">
        <f t="shared" si="66"/>
        <v>0</v>
      </c>
      <c r="C374" s="103"/>
      <c r="D374" s="53"/>
      <c r="E374" s="53"/>
      <c r="F374" s="53"/>
      <c r="G374" s="53"/>
      <c r="H374" s="53"/>
      <c r="I374" s="53"/>
      <c r="J374" s="111"/>
      <c r="K374" s="111"/>
      <c r="L374" s="107"/>
      <c r="M374" s="107"/>
      <c r="N374" s="107"/>
      <c r="O374" s="107"/>
      <c r="P374" s="107"/>
      <c r="Q374" s="107"/>
      <c r="R374" s="107"/>
      <c r="S374" s="107"/>
      <c r="T374" s="107"/>
      <c r="U374" s="107"/>
      <c r="V374" s="107"/>
      <c r="W374" s="107"/>
      <c r="X374" s="107"/>
      <c r="Y374" s="107"/>
      <c r="Z374" s="107"/>
      <c r="AA374" s="107"/>
      <c r="AB374" s="107"/>
      <c r="AC374" s="107"/>
      <c r="AD374" s="107"/>
      <c r="AE374" s="107"/>
      <c r="AF374" s="107"/>
      <c r="AG374" s="107"/>
      <c r="AH374" s="107">
        <f t="shared" si="67"/>
        <v>0</v>
      </c>
    </row>
    <row r="375" spans="1:35" ht="15" customHeight="1">
      <c r="A375" s="73" t="s">
        <v>153</v>
      </c>
      <c r="B375" s="313">
        <f t="shared" si="66"/>
        <v>0</v>
      </c>
      <c r="C375" s="100"/>
      <c r="D375" s="107"/>
      <c r="E375" s="107"/>
      <c r="F375" s="107"/>
      <c r="G375" s="107"/>
      <c r="H375" s="107"/>
      <c r="I375" s="107"/>
      <c r="J375" s="111"/>
      <c r="K375" s="111"/>
      <c r="L375" s="53"/>
      <c r="M375" s="53"/>
      <c r="N375" s="53"/>
      <c r="O375" s="53"/>
      <c r="P375" s="53"/>
      <c r="Q375" s="53"/>
      <c r="R375" s="53"/>
      <c r="S375" s="53"/>
      <c r="T375" s="53"/>
      <c r="U375" s="53"/>
      <c r="V375" s="53"/>
      <c r="W375" s="53"/>
      <c r="X375" s="53"/>
      <c r="Y375" s="53"/>
      <c r="Z375" s="53"/>
      <c r="AA375" s="53"/>
      <c r="AB375" s="53"/>
      <c r="AC375" s="53"/>
      <c r="AD375" s="53"/>
      <c r="AE375" s="53"/>
      <c r="AF375" s="53"/>
      <c r="AG375" s="53"/>
      <c r="AH375" s="107">
        <f t="shared" si="67"/>
        <v>0</v>
      </c>
    </row>
    <row r="376" spans="1:35" ht="15" customHeight="1">
      <c r="A376" s="73" t="s">
        <v>154</v>
      </c>
      <c r="B376" s="70">
        <f t="shared" si="66"/>
        <v>0</v>
      </c>
      <c r="C376" s="103"/>
      <c r="D376" s="107"/>
      <c r="E376" s="315"/>
      <c r="F376" s="107"/>
      <c r="G376" s="53"/>
      <c r="H376" s="53"/>
      <c r="I376" s="53"/>
      <c r="J376" s="53"/>
      <c r="K376" s="53"/>
      <c r="L376" s="53"/>
      <c r="M376" s="53"/>
      <c r="N376" s="53"/>
      <c r="O376" s="107"/>
      <c r="P376" s="53"/>
      <c r="Q376" s="53"/>
      <c r="R376" s="53"/>
      <c r="S376" s="53"/>
      <c r="T376" s="53"/>
      <c r="U376" s="53"/>
      <c r="V376" s="53"/>
      <c r="W376" s="53"/>
      <c r="X376" s="53"/>
      <c r="Y376" s="53"/>
      <c r="Z376" s="53"/>
      <c r="AA376" s="53"/>
      <c r="AB376" s="53"/>
      <c r="AC376" s="53"/>
      <c r="AD376" s="53"/>
      <c r="AE376" s="107"/>
      <c r="AF376" s="53"/>
      <c r="AG376" s="107"/>
      <c r="AH376" s="107">
        <f t="shared" si="67"/>
        <v>0</v>
      </c>
    </row>
    <row r="377" spans="1:35" ht="15" customHeight="1">
      <c r="A377" s="73" t="s">
        <v>155</v>
      </c>
      <c r="B377" s="70">
        <f t="shared" si="66"/>
        <v>0</v>
      </c>
      <c r="C377" s="103"/>
      <c r="D377" s="53"/>
      <c r="E377" s="53"/>
      <c r="F377" s="53"/>
      <c r="G377" s="14"/>
      <c r="H377" s="53"/>
      <c r="I377" s="53"/>
      <c r="J377" s="53"/>
      <c r="K377" s="53"/>
      <c r="L377" s="53"/>
      <c r="M377" s="53"/>
      <c r="N377" s="53"/>
      <c r="O377" s="53"/>
      <c r="P377" s="53"/>
      <c r="Q377" s="53"/>
      <c r="R377" s="53"/>
      <c r="S377" s="53"/>
      <c r="T377" s="53"/>
      <c r="U377" s="53"/>
      <c r="V377" s="53"/>
      <c r="W377" s="53"/>
      <c r="X377" s="53"/>
      <c r="Y377" s="14"/>
      <c r="Z377" s="53"/>
      <c r="AA377" s="53"/>
      <c r="AB377" s="53"/>
      <c r="AC377" s="53"/>
      <c r="AD377" s="53"/>
      <c r="AE377" s="107"/>
      <c r="AF377" s="53"/>
      <c r="AG377" s="107"/>
      <c r="AH377" s="107">
        <f t="shared" si="67"/>
        <v>0</v>
      </c>
    </row>
    <row r="378" spans="1:35" ht="15" customHeight="1">
      <c r="A378" s="73" t="s">
        <v>156</v>
      </c>
      <c r="B378" s="70">
        <f t="shared" si="66"/>
        <v>0</v>
      </c>
      <c r="C378" s="103"/>
      <c r="D378" s="53"/>
      <c r="E378" s="53"/>
      <c r="F378" s="53"/>
      <c r="G378" s="53"/>
      <c r="H378" s="53"/>
      <c r="I378" s="53"/>
      <c r="J378" s="53"/>
      <c r="K378" s="53"/>
      <c r="L378" s="53"/>
      <c r="M378" s="53"/>
      <c r="N378" s="53"/>
      <c r="O378" s="53"/>
      <c r="P378" s="53"/>
      <c r="Q378" s="53"/>
      <c r="R378" s="53"/>
      <c r="S378" s="53"/>
      <c r="T378" s="53"/>
      <c r="U378" s="53"/>
      <c r="V378" s="53"/>
      <c r="W378" s="53"/>
      <c r="X378" s="53"/>
      <c r="Y378" s="53"/>
      <c r="Z378" s="53"/>
      <c r="AA378" s="53"/>
      <c r="AB378" s="53"/>
      <c r="AC378" s="53"/>
      <c r="AD378" s="53"/>
      <c r="AE378" s="107"/>
      <c r="AF378" s="53"/>
      <c r="AG378" s="107"/>
      <c r="AH378" s="107">
        <f t="shared" si="67"/>
        <v>0</v>
      </c>
    </row>
    <row r="379" spans="1:35" ht="15" customHeight="1">
      <c r="A379" s="199" t="s">
        <v>144</v>
      </c>
      <c r="B379" s="201">
        <f>SUM(B367:B378)</f>
        <v>0</v>
      </c>
      <c r="C379" s="100">
        <f>SUM(C367:C377)</f>
        <v>0</v>
      </c>
      <c r="D379" s="107">
        <f>SUM(D367:D377)</f>
        <v>0</v>
      </c>
      <c r="E379" s="107">
        <v>0</v>
      </c>
      <c r="F379" s="107">
        <f t="shared" ref="F379:AC379" si="68">SUM(F367:F377)</f>
        <v>0</v>
      </c>
      <c r="G379" s="107">
        <f t="shared" si="68"/>
        <v>0</v>
      </c>
      <c r="H379" s="107">
        <f t="shared" si="68"/>
        <v>0</v>
      </c>
      <c r="I379" s="107">
        <f t="shared" si="68"/>
        <v>0</v>
      </c>
      <c r="J379" s="107">
        <f t="shared" si="68"/>
        <v>0</v>
      </c>
      <c r="K379" s="107">
        <f t="shared" si="68"/>
        <v>0</v>
      </c>
      <c r="L379" s="107">
        <f t="shared" si="68"/>
        <v>0</v>
      </c>
      <c r="M379" s="107">
        <f t="shared" si="68"/>
        <v>0</v>
      </c>
      <c r="N379" s="107">
        <f t="shared" si="68"/>
        <v>0</v>
      </c>
      <c r="O379" s="107">
        <f t="shared" si="68"/>
        <v>0</v>
      </c>
      <c r="P379" s="107">
        <f t="shared" si="68"/>
        <v>0</v>
      </c>
      <c r="Q379" s="107">
        <f t="shared" si="68"/>
        <v>0</v>
      </c>
      <c r="R379" s="107">
        <f t="shared" si="68"/>
        <v>0</v>
      </c>
      <c r="S379" s="107">
        <f t="shared" si="68"/>
        <v>0</v>
      </c>
      <c r="T379" s="107">
        <f t="shared" si="68"/>
        <v>0</v>
      </c>
      <c r="U379" s="107">
        <f t="shared" si="68"/>
        <v>0</v>
      </c>
      <c r="V379" s="107">
        <f t="shared" si="68"/>
        <v>0</v>
      </c>
      <c r="W379" s="107">
        <f t="shared" si="68"/>
        <v>0</v>
      </c>
      <c r="X379" s="107">
        <f t="shared" si="68"/>
        <v>0</v>
      </c>
      <c r="Y379" s="107">
        <f t="shared" si="68"/>
        <v>0</v>
      </c>
      <c r="Z379" s="107">
        <f t="shared" si="68"/>
        <v>0</v>
      </c>
      <c r="AA379" s="107">
        <f t="shared" si="68"/>
        <v>0</v>
      </c>
      <c r="AB379" s="107">
        <f t="shared" si="68"/>
        <v>0</v>
      </c>
      <c r="AC379" s="107">
        <f t="shared" si="68"/>
        <v>0</v>
      </c>
      <c r="AD379" s="107">
        <v>0</v>
      </c>
      <c r="AE379" s="107">
        <f>SUM(AE367:AE377)</f>
        <v>0</v>
      </c>
      <c r="AF379" s="107">
        <f>SUM(AF367:AF377)</f>
        <v>0</v>
      </c>
      <c r="AG379" s="107">
        <f>SUM(AG367:AG377)</f>
        <v>0</v>
      </c>
      <c r="AH379" s="100">
        <f>SUM(AH367:AH378)</f>
        <v>0</v>
      </c>
    </row>
    <row r="380" spans="1:35" ht="5.0999999999999996" customHeight="1">
      <c r="A380" s="49"/>
      <c r="B380" s="170"/>
      <c r="C380" s="1"/>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c r="AG380" s="14"/>
      <c r="AH380" s="14"/>
    </row>
    <row r="381" spans="1:35" ht="15" customHeight="1">
      <c r="A381" s="3854" t="s">
        <v>122</v>
      </c>
      <c r="B381" s="3855"/>
      <c r="C381" s="3855"/>
      <c r="D381" s="3855"/>
      <c r="E381" s="3855"/>
      <c r="F381" s="3855"/>
      <c r="G381" s="3855"/>
      <c r="H381" s="3856"/>
    </row>
    <row r="382" spans="1:35" ht="15" customHeight="1">
      <c r="A382" s="8" t="s">
        <v>161</v>
      </c>
      <c r="B382" s="172" t="s">
        <v>143</v>
      </c>
      <c r="C382" s="2907">
        <v>1</v>
      </c>
      <c r="D382" s="73">
        <v>2</v>
      </c>
      <c r="E382" s="73">
        <v>3</v>
      </c>
      <c r="F382" s="73">
        <v>4</v>
      </c>
      <c r="G382" s="73">
        <v>5</v>
      </c>
      <c r="H382" s="73">
        <v>6</v>
      </c>
      <c r="I382" s="73">
        <v>7</v>
      </c>
      <c r="J382" s="73">
        <v>8</v>
      </c>
      <c r="K382" s="73">
        <v>9</v>
      </c>
      <c r="L382" s="73">
        <v>10</v>
      </c>
      <c r="M382" s="73">
        <v>11</v>
      </c>
      <c r="N382" s="73">
        <v>12</v>
      </c>
      <c r="O382" s="73">
        <v>13</v>
      </c>
      <c r="P382" s="73">
        <v>14</v>
      </c>
      <c r="Q382" s="73">
        <v>15</v>
      </c>
      <c r="R382" s="73">
        <v>16</v>
      </c>
      <c r="S382" s="73">
        <v>17</v>
      </c>
      <c r="T382" s="73">
        <v>18</v>
      </c>
      <c r="U382" s="73">
        <v>19</v>
      </c>
      <c r="V382" s="73">
        <v>20</v>
      </c>
      <c r="W382" s="73">
        <v>21</v>
      </c>
      <c r="X382" s="73">
        <v>22</v>
      </c>
      <c r="Y382" s="73">
        <v>23</v>
      </c>
      <c r="Z382" s="73">
        <v>24</v>
      </c>
      <c r="AA382" s="73">
        <v>25</v>
      </c>
      <c r="AB382" s="73">
        <v>26</v>
      </c>
      <c r="AC382" s="73">
        <v>27</v>
      </c>
      <c r="AD382" s="73">
        <v>28</v>
      </c>
      <c r="AE382" s="73">
        <v>29</v>
      </c>
      <c r="AF382" s="73">
        <v>30</v>
      </c>
      <c r="AG382" s="73">
        <v>31</v>
      </c>
      <c r="AH382" s="88" t="s">
        <v>144</v>
      </c>
    </row>
    <row r="383" spans="1:35" s="312" customFormat="1" ht="15" customHeight="1">
      <c r="A383" s="314" t="s">
        <v>145</v>
      </c>
      <c r="B383" s="313">
        <f t="shared" ref="B383:B394" si="69">+AH383</f>
        <v>141.10999999999999</v>
      </c>
      <c r="C383" s="306"/>
      <c r="D383" s="306"/>
      <c r="E383" s="306"/>
      <c r="F383" s="306"/>
      <c r="G383" s="306"/>
      <c r="H383" s="306"/>
      <c r="I383" s="306"/>
      <c r="J383" s="306"/>
      <c r="K383" s="306"/>
      <c r="L383" s="306"/>
      <c r="M383" s="306"/>
      <c r="N383" s="306"/>
      <c r="O383" s="306"/>
      <c r="P383" s="306"/>
      <c r="Q383" s="306">
        <v>19.388999999999999</v>
      </c>
      <c r="R383" s="306"/>
      <c r="S383" s="306"/>
      <c r="T383" s="306"/>
      <c r="U383" s="306"/>
      <c r="V383" s="306">
        <v>18.170000000000002</v>
      </c>
      <c r="W383" s="306">
        <v>53.9</v>
      </c>
      <c r="X383" s="306"/>
      <c r="Y383" s="306">
        <v>27.631</v>
      </c>
      <c r="Z383" s="306">
        <v>6.44</v>
      </c>
      <c r="AA383" s="306"/>
      <c r="AB383" s="306">
        <v>9.66</v>
      </c>
      <c r="AC383" s="306">
        <v>3.78</v>
      </c>
      <c r="AD383" s="306">
        <v>2.14</v>
      </c>
      <c r="AE383" s="306"/>
      <c r="AF383" s="306"/>
      <c r="AG383" s="306"/>
      <c r="AH383" s="315">
        <f>SUM(C383:AG383)</f>
        <v>141.10999999999999</v>
      </c>
      <c r="AI383" s="462"/>
    </row>
    <row r="384" spans="1:35" ht="15" customHeight="1">
      <c r="A384" s="73" t="s">
        <v>146</v>
      </c>
      <c r="B384" s="313">
        <f t="shared" si="69"/>
        <v>125.761</v>
      </c>
      <c r="C384" s="103"/>
      <c r="D384" s="103">
        <v>10.86</v>
      </c>
      <c r="E384" s="53">
        <v>6</v>
      </c>
      <c r="F384" s="53">
        <v>1.1000000000000001</v>
      </c>
      <c r="G384" s="53"/>
      <c r="H384" s="53">
        <v>35.771000000000001</v>
      </c>
      <c r="I384" s="53"/>
      <c r="J384" s="53">
        <v>18.399999999999999</v>
      </c>
      <c r="K384" s="53"/>
      <c r="L384" s="53">
        <v>25.06</v>
      </c>
      <c r="M384" s="53">
        <v>1</v>
      </c>
      <c r="N384" s="53"/>
      <c r="O384" s="53">
        <v>1</v>
      </c>
      <c r="P384" s="53"/>
      <c r="Q384" s="53"/>
      <c r="R384" s="53"/>
      <c r="S384" s="53"/>
      <c r="T384" s="53"/>
      <c r="U384" s="53"/>
      <c r="V384" s="53"/>
      <c r="W384" s="53">
        <v>26.57</v>
      </c>
      <c r="X384" s="53"/>
      <c r="Y384" s="53"/>
      <c r="Z384" s="53"/>
      <c r="AA384" s="53"/>
      <c r="AB384" s="53"/>
      <c r="AC384" s="53"/>
      <c r="AD384" s="53"/>
      <c r="AE384" s="53"/>
      <c r="AF384" s="53"/>
      <c r="AG384" s="53"/>
      <c r="AH384" s="107">
        <f>SUM(C384:AG384)</f>
        <v>125.761</v>
      </c>
    </row>
    <row r="385" spans="1:34" s="312" customFormat="1" ht="15" customHeight="1">
      <c r="A385" s="314" t="s">
        <v>147</v>
      </c>
      <c r="B385" s="313">
        <f t="shared" si="69"/>
        <v>0</v>
      </c>
      <c r="C385" s="306"/>
      <c r="D385" s="306"/>
      <c r="E385" s="306"/>
      <c r="F385" s="306"/>
      <c r="G385" s="306"/>
      <c r="H385" s="306"/>
      <c r="I385" s="306"/>
      <c r="J385" s="306"/>
      <c r="K385" s="306"/>
      <c r="L385" s="306"/>
      <c r="M385" s="306"/>
      <c r="N385" s="306"/>
      <c r="O385" s="306"/>
      <c r="P385" s="306"/>
      <c r="Q385" s="306"/>
      <c r="R385" s="306"/>
      <c r="S385" s="306"/>
      <c r="T385" s="306"/>
      <c r="U385" s="306"/>
      <c r="V385" s="306"/>
      <c r="W385" s="306"/>
      <c r="X385" s="306"/>
      <c r="Y385" s="306"/>
      <c r="Z385" s="306"/>
      <c r="AA385" s="306"/>
      <c r="AB385" s="306"/>
      <c r="AC385" s="306"/>
      <c r="AD385" s="306"/>
      <c r="AE385" s="306"/>
      <c r="AF385" s="306"/>
      <c r="AG385" s="306"/>
      <c r="AH385" s="315">
        <f>SUM(C385:AG385)</f>
        <v>0</v>
      </c>
    </row>
    <row r="386" spans="1:34" ht="15" customHeight="1">
      <c r="A386" s="73" t="s">
        <v>148</v>
      </c>
      <c r="B386" s="313">
        <f t="shared" si="69"/>
        <v>0</v>
      </c>
      <c r="C386" s="103"/>
      <c r="D386" s="53"/>
      <c r="E386" s="53"/>
      <c r="F386" s="53"/>
      <c r="G386" s="53"/>
      <c r="H386" s="53"/>
      <c r="I386" s="53"/>
      <c r="J386" s="53"/>
      <c r="K386" s="53"/>
      <c r="L386" s="53"/>
      <c r="M386" s="53"/>
      <c r="N386" s="53"/>
      <c r="O386" s="53"/>
      <c r="P386" s="53"/>
      <c r="Q386" s="53"/>
      <c r="R386" s="53"/>
      <c r="S386" s="53"/>
      <c r="T386" s="53"/>
      <c r="U386" s="53"/>
      <c r="V386" s="53"/>
      <c r="W386" s="53"/>
      <c r="X386" s="53"/>
      <c r="Y386" s="53"/>
      <c r="Z386" s="53"/>
      <c r="AA386" s="53"/>
      <c r="AB386" s="53"/>
      <c r="AC386" s="53"/>
      <c r="AD386" s="53"/>
      <c r="AE386" s="53"/>
      <c r="AF386" s="53"/>
      <c r="AG386" s="53"/>
      <c r="AH386" s="107">
        <f t="shared" ref="AH386:AH394" si="70">SUM(C386:AG386)</f>
        <v>0</v>
      </c>
    </row>
    <row r="387" spans="1:34" ht="15" customHeight="1">
      <c r="A387" s="73" t="s">
        <v>149</v>
      </c>
      <c r="B387" s="313">
        <f t="shared" si="69"/>
        <v>0</v>
      </c>
      <c r="C387" s="103"/>
      <c r="D387" s="53"/>
      <c r="E387" s="53"/>
      <c r="F387" s="53"/>
      <c r="G387" s="53"/>
      <c r="H387" s="53"/>
      <c r="I387" s="53"/>
      <c r="J387" s="53"/>
      <c r="K387" s="53"/>
      <c r="L387" s="53"/>
      <c r="M387" s="53"/>
      <c r="N387" s="53"/>
      <c r="O387" s="53"/>
      <c r="P387" s="53"/>
      <c r="Q387" s="53"/>
      <c r="R387" s="53"/>
      <c r="S387" s="53"/>
      <c r="T387" s="53"/>
      <c r="U387" s="53"/>
      <c r="V387" s="53"/>
      <c r="W387" s="53"/>
      <c r="X387" s="53"/>
      <c r="Y387" s="53"/>
      <c r="Z387" s="53"/>
      <c r="AA387" s="53"/>
      <c r="AB387" s="53"/>
      <c r="AC387" s="53"/>
      <c r="AD387" s="53"/>
      <c r="AE387" s="53"/>
      <c r="AF387" s="53"/>
      <c r="AG387" s="53"/>
      <c r="AH387" s="107">
        <f t="shared" si="70"/>
        <v>0</v>
      </c>
    </row>
    <row r="388" spans="1:34" ht="15" customHeight="1">
      <c r="A388" s="73" t="s">
        <v>150</v>
      </c>
      <c r="B388" s="313">
        <f t="shared" si="69"/>
        <v>0</v>
      </c>
      <c r="C388" s="103"/>
      <c r="D388" s="53"/>
      <c r="E388" s="53"/>
      <c r="F388" s="53"/>
      <c r="G388" s="53"/>
      <c r="H388" s="53"/>
      <c r="I388" s="53"/>
      <c r="J388" s="53"/>
      <c r="K388" s="53"/>
      <c r="L388" s="53"/>
      <c r="M388" s="53"/>
      <c r="N388" s="53"/>
      <c r="O388" s="53"/>
      <c r="P388" s="53"/>
      <c r="Q388" s="53"/>
      <c r="R388" s="53"/>
      <c r="S388" s="53"/>
      <c r="T388" s="53"/>
      <c r="U388" s="53"/>
      <c r="V388" s="53"/>
      <c r="W388" s="53"/>
      <c r="X388" s="53"/>
      <c r="Y388" s="53"/>
      <c r="Z388" s="53"/>
      <c r="AA388" s="53"/>
      <c r="AB388" s="53"/>
      <c r="AC388" s="53"/>
      <c r="AD388" s="53"/>
      <c r="AE388" s="53"/>
      <c r="AF388" s="53"/>
      <c r="AG388" s="53"/>
      <c r="AH388" s="107">
        <f t="shared" si="70"/>
        <v>0</v>
      </c>
    </row>
    <row r="389" spans="1:34" ht="15" customHeight="1">
      <c r="A389" s="73" t="s">
        <v>151</v>
      </c>
      <c r="B389" s="313">
        <f t="shared" si="69"/>
        <v>0</v>
      </c>
      <c r="C389" s="103"/>
      <c r="D389" s="53"/>
      <c r="E389" s="53"/>
      <c r="F389" s="53"/>
      <c r="G389" s="53"/>
      <c r="H389" s="53"/>
      <c r="I389" s="53"/>
      <c r="J389" s="103"/>
      <c r="K389" s="103"/>
      <c r="L389" s="53"/>
      <c r="M389" s="53"/>
      <c r="N389" s="53"/>
      <c r="O389" s="53"/>
      <c r="P389" s="53"/>
      <c r="Q389" s="53"/>
      <c r="R389" s="53"/>
      <c r="S389" s="53"/>
      <c r="T389" s="53"/>
      <c r="U389" s="53"/>
      <c r="V389" s="53"/>
      <c r="W389" s="53"/>
      <c r="X389" s="53"/>
      <c r="Y389" s="53"/>
      <c r="Z389" s="53"/>
      <c r="AA389" s="53"/>
      <c r="AB389" s="53"/>
      <c r="AC389" s="53"/>
      <c r="AD389" s="53"/>
      <c r="AE389" s="53"/>
      <c r="AF389" s="53"/>
      <c r="AG389" s="53"/>
      <c r="AH389" s="107">
        <f t="shared" si="70"/>
        <v>0</v>
      </c>
    </row>
    <row r="390" spans="1:34" ht="15" customHeight="1">
      <c r="A390" s="73" t="s">
        <v>152</v>
      </c>
      <c r="B390" s="313">
        <f t="shared" si="69"/>
        <v>0</v>
      </c>
      <c r="C390" s="103"/>
      <c r="D390" s="53"/>
      <c r="E390" s="53"/>
      <c r="F390" s="53"/>
      <c r="G390" s="53"/>
      <c r="H390" s="53"/>
      <c r="I390" s="53"/>
      <c r="J390" s="103"/>
      <c r="K390" s="103"/>
      <c r="L390" s="53"/>
      <c r="M390" s="53"/>
      <c r="N390" s="53"/>
      <c r="O390" s="53"/>
      <c r="P390" s="53"/>
      <c r="Q390" s="53"/>
      <c r="R390" s="53"/>
      <c r="S390" s="53"/>
      <c r="T390" s="53"/>
      <c r="U390" s="53"/>
      <c r="V390" s="53"/>
      <c r="W390" s="53"/>
      <c r="X390" s="53"/>
      <c r="Y390" s="53"/>
      <c r="Z390" s="53"/>
      <c r="AA390" s="53"/>
      <c r="AB390" s="53"/>
      <c r="AC390" s="53"/>
      <c r="AD390" s="53"/>
      <c r="AE390" s="53"/>
      <c r="AF390" s="53"/>
      <c r="AG390" s="53"/>
      <c r="AH390" s="107">
        <f t="shared" si="70"/>
        <v>0</v>
      </c>
    </row>
    <row r="391" spans="1:34" ht="15" customHeight="1">
      <c r="A391" s="73" t="s">
        <v>153</v>
      </c>
      <c r="B391" s="313">
        <f t="shared" si="69"/>
        <v>0</v>
      </c>
      <c r="C391" s="103"/>
      <c r="D391" s="53"/>
      <c r="E391" s="53"/>
      <c r="F391" s="53"/>
      <c r="G391" s="53"/>
      <c r="H391" s="53"/>
      <c r="I391" s="53"/>
      <c r="J391" s="103"/>
      <c r="K391" s="103"/>
      <c r="L391" s="53"/>
      <c r="M391" s="53"/>
      <c r="N391" s="53"/>
      <c r="O391" s="53"/>
      <c r="P391" s="53"/>
      <c r="Q391" s="53"/>
      <c r="R391" s="53"/>
      <c r="S391" s="53"/>
      <c r="T391" s="53"/>
      <c r="U391" s="53"/>
      <c r="V391" s="53"/>
      <c r="W391" s="53"/>
      <c r="X391" s="53"/>
      <c r="Y391" s="53"/>
      <c r="Z391" s="53"/>
      <c r="AA391" s="53"/>
      <c r="AB391" s="53"/>
      <c r="AC391" s="53"/>
      <c r="AD391" s="53"/>
      <c r="AE391" s="53"/>
      <c r="AF391" s="53"/>
      <c r="AG391" s="53"/>
      <c r="AH391" s="107">
        <f t="shared" si="70"/>
        <v>0</v>
      </c>
    </row>
    <row r="392" spans="1:34" ht="15" customHeight="1">
      <c r="A392" s="73" t="s">
        <v>154</v>
      </c>
      <c r="B392" s="70">
        <f t="shared" si="69"/>
        <v>0</v>
      </c>
      <c r="C392" s="103"/>
      <c r="D392" s="53"/>
      <c r="E392" s="53"/>
      <c r="F392" s="53"/>
      <c r="G392" s="53"/>
      <c r="H392" s="53"/>
      <c r="I392" s="53"/>
      <c r="J392" s="103"/>
      <c r="K392" s="103"/>
      <c r="L392" s="53"/>
      <c r="M392" s="53"/>
      <c r="N392" s="53"/>
      <c r="O392" s="53"/>
      <c r="P392" s="53"/>
      <c r="Q392" s="53"/>
      <c r="R392" s="53"/>
      <c r="S392" s="53"/>
      <c r="T392" s="53"/>
      <c r="U392" s="53"/>
      <c r="V392" s="53"/>
      <c r="W392" s="53"/>
      <c r="X392" s="53"/>
      <c r="Y392" s="53"/>
      <c r="Z392" s="53"/>
      <c r="AA392" s="53"/>
      <c r="AB392" s="53"/>
      <c r="AC392" s="53"/>
      <c r="AD392" s="53"/>
      <c r="AE392" s="53"/>
      <c r="AF392" s="53"/>
      <c r="AG392" s="53"/>
      <c r="AH392" s="107">
        <f t="shared" si="70"/>
        <v>0</v>
      </c>
    </row>
    <row r="393" spans="1:34" ht="15" customHeight="1">
      <c r="A393" s="73" t="s">
        <v>155</v>
      </c>
      <c r="B393" s="70">
        <f t="shared" si="69"/>
        <v>0</v>
      </c>
      <c r="C393" s="103"/>
      <c r="D393" s="53"/>
      <c r="E393" s="53"/>
      <c r="F393" s="53"/>
      <c r="G393" s="53"/>
      <c r="H393" s="53"/>
      <c r="I393" s="53"/>
      <c r="J393" s="103"/>
      <c r="K393" s="103"/>
      <c r="L393" s="53"/>
      <c r="M393" s="53"/>
      <c r="N393" s="53"/>
      <c r="O393" s="53"/>
      <c r="P393" s="53"/>
      <c r="Q393" s="53"/>
      <c r="R393" s="53"/>
      <c r="S393" s="53"/>
      <c r="T393" s="53"/>
      <c r="U393" s="53"/>
      <c r="V393" s="53"/>
      <c r="W393" s="53"/>
      <c r="X393" s="53"/>
      <c r="Y393" s="53"/>
      <c r="Z393" s="53"/>
      <c r="AA393" s="53"/>
      <c r="AB393" s="53"/>
      <c r="AC393" s="53"/>
      <c r="AD393" s="53"/>
      <c r="AE393" s="53"/>
      <c r="AF393" s="53"/>
      <c r="AG393" s="53"/>
      <c r="AH393" s="107">
        <f t="shared" si="70"/>
        <v>0</v>
      </c>
    </row>
    <row r="394" spans="1:34" ht="15" customHeight="1">
      <c r="A394" s="73" t="s">
        <v>156</v>
      </c>
      <c r="B394" s="70">
        <f t="shared" si="69"/>
        <v>0</v>
      </c>
      <c r="C394" s="103"/>
      <c r="D394" s="53"/>
      <c r="E394" s="53"/>
      <c r="F394" s="53"/>
      <c r="G394" s="53"/>
      <c r="H394" s="53"/>
      <c r="I394" s="53"/>
      <c r="J394" s="53"/>
      <c r="K394" s="53"/>
      <c r="L394" s="53"/>
      <c r="M394" s="53"/>
      <c r="N394" s="53"/>
      <c r="O394" s="53"/>
      <c r="P394" s="53"/>
      <c r="Q394" s="53"/>
      <c r="R394" s="53"/>
      <c r="S394" s="53"/>
      <c r="T394" s="53"/>
      <c r="U394" s="53"/>
      <c r="V394" s="53"/>
      <c r="W394" s="53"/>
      <c r="X394" s="53"/>
      <c r="Y394" s="53"/>
      <c r="Z394" s="53"/>
      <c r="AA394" s="53"/>
      <c r="AB394" s="53"/>
      <c r="AC394" s="53"/>
      <c r="AD394" s="53"/>
      <c r="AE394" s="107"/>
      <c r="AF394" s="53"/>
      <c r="AG394" s="107"/>
      <c r="AH394" s="107">
        <f t="shared" si="70"/>
        <v>0</v>
      </c>
    </row>
    <row r="395" spans="1:34" ht="15" customHeight="1">
      <c r="A395" s="199" t="s">
        <v>144</v>
      </c>
      <c r="B395" s="229">
        <f>SUM(B383:B394)</f>
        <v>266.87099999999998</v>
      </c>
      <c r="C395" s="100">
        <f>SUM(C383:C393)</f>
        <v>0</v>
      </c>
      <c r="D395" s="107">
        <f>SUM(D383:D393)</f>
        <v>10.86</v>
      </c>
      <c r="E395" s="107">
        <v>0</v>
      </c>
      <c r="F395" s="107">
        <f t="shared" ref="F395:AC395" si="71">SUM(F383:F393)</f>
        <v>1.1000000000000001</v>
      </c>
      <c r="G395" s="107">
        <f t="shared" si="71"/>
        <v>0</v>
      </c>
      <c r="H395" s="107">
        <f t="shared" si="71"/>
        <v>35.771000000000001</v>
      </c>
      <c r="I395" s="107">
        <f t="shared" si="71"/>
        <v>0</v>
      </c>
      <c r="J395" s="107">
        <f t="shared" si="71"/>
        <v>18.399999999999999</v>
      </c>
      <c r="K395" s="107">
        <f t="shared" si="71"/>
        <v>0</v>
      </c>
      <c r="L395" s="107">
        <f t="shared" si="71"/>
        <v>25.06</v>
      </c>
      <c r="M395" s="107">
        <f t="shared" si="71"/>
        <v>1</v>
      </c>
      <c r="N395" s="107">
        <f t="shared" si="71"/>
        <v>0</v>
      </c>
      <c r="O395" s="107">
        <f t="shared" si="71"/>
        <v>1</v>
      </c>
      <c r="P395" s="107">
        <f t="shared" si="71"/>
        <v>0</v>
      </c>
      <c r="Q395" s="107">
        <f t="shared" si="71"/>
        <v>19.388999999999999</v>
      </c>
      <c r="R395" s="107">
        <f t="shared" si="71"/>
        <v>0</v>
      </c>
      <c r="S395" s="107">
        <f t="shared" si="71"/>
        <v>0</v>
      </c>
      <c r="T395" s="107">
        <f t="shared" si="71"/>
        <v>0</v>
      </c>
      <c r="U395" s="107">
        <f t="shared" si="71"/>
        <v>0</v>
      </c>
      <c r="V395" s="107">
        <f t="shared" si="71"/>
        <v>18.170000000000002</v>
      </c>
      <c r="W395" s="107">
        <f t="shared" si="71"/>
        <v>80.47</v>
      </c>
      <c r="X395" s="107">
        <f t="shared" si="71"/>
        <v>0</v>
      </c>
      <c r="Y395" s="107">
        <f t="shared" si="71"/>
        <v>27.631</v>
      </c>
      <c r="Z395" s="107">
        <f t="shared" si="71"/>
        <v>6.44</v>
      </c>
      <c r="AA395" s="107">
        <f t="shared" si="71"/>
        <v>0</v>
      </c>
      <c r="AB395" s="107">
        <f t="shared" si="71"/>
        <v>9.66</v>
      </c>
      <c r="AC395" s="107">
        <f t="shared" si="71"/>
        <v>3.78</v>
      </c>
      <c r="AD395" s="107">
        <v>0</v>
      </c>
      <c r="AE395" s="107">
        <f>SUM(AE383:AE393)</f>
        <v>0</v>
      </c>
      <c r="AF395" s="107">
        <f>SUM(AF383:AF393)</f>
        <v>0</v>
      </c>
      <c r="AG395" s="107">
        <f>SUM(AG383:AG393)</f>
        <v>0</v>
      </c>
      <c r="AH395" s="100">
        <f>SUM(AH383:AH394)</f>
        <v>266.87099999999998</v>
      </c>
    </row>
    <row r="396" spans="1:34" ht="5.0999999999999996" customHeight="1">
      <c r="A396" s="49"/>
      <c r="B396" s="170"/>
      <c r="C396" s="1"/>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c r="AG396" s="14"/>
      <c r="AH396" s="14"/>
    </row>
    <row r="397" spans="1:34" ht="15" customHeight="1">
      <c r="A397" s="3854" t="s">
        <v>123</v>
      </c>
      <c r="B397" s="3855"/>
      <c r="C397" s="3855"/>
      <c r="D397" s="3855"/>
      <c r="E397" s="3855"/>
      <c r="F397" s="3855"/>
      <c r="G397" s="3855"/>
      <c r="H397" s="3856"/>
      <c r="I397" s="2322" t="s">
        <v>1074</v>
      </c>
      <c r="J397" s="2322"/>
      <c r="K397" s="2322"/>
    </row>
    <row r="398" spans="1:34" ht="15" customHeight="1">
      <c r="A398" s="8" t="s">
        <v>161</v>
      </c>
      <c r="B398" s="172" t="s">
        <v>143</v>
      </c>
      <c r="C398" s="2907">
        <v>1</v>
      </c>
      <c r="D398" s="73">
        <v>2</v>
      </c>
      <c r="E398" s="73">
        <v>3</v>
      </c>
      <c r="F398" s="73">
        <v>4</v>
      </c>
      <c r="G398" s="73">
        <v>5</v>
      </c>
      <c r="H398" s="73">
        <v>6</v>
      </c>
      <c r="I398" s="73">
        <v>7</v>
      </c>
      <c r="J398" s="73">
        <v>8</v>
      </c>
      <c r="K398" s="73">
        <v>9</v>
      </c>
      <c r="L398" s="73">
        <v>10</v>
      </c>
      <c r="M398" s="73">
        <v>11</v>
      </c>
      <c r="N398" s="73">
        <v>12</v>
      </c>
      <c r="O398" s="73">
        <v>13</v>
      </c>
      <c r="P398" s="73">
        <v>14</v>
      </c>
      <c r="Q398" s="73">
        <v>15</v>
      </c>
      <c r="R398" s="73">
        <v>16</v>
      </c>
      <c r="S398" s="73">
        <v>17</v>
      </c>
      <c r="T398" s="73">
        <v>18</v>
      </c>
      <c r="U398" s="73">
        <v>19</v>
      </c>
      <c r="V398" s="73">
        <v>20</v>
      </c>
      <c r="W398" s="73">
        <v>21</v>
      </c>
      <c r="X398" s="73">
        <v>22</v>
      </c>
      <c r="Y398" s="73">
        <v>23</v>
      </c>
      <c r="Z398" s="73">
        <v>24</v>
      </c>
      <c r="AA398" s="73">
        <v>25</v>
      </c>
      <c r="AB398" s="73">
        <v>26</v>
      </c>
      <c r="AC398" s="73">
        <v>27</v>
      </c>
      <c r="AD398" s="73">
        <v>28</v>
      </c>
      <c r="AE398" s="73">
        <v>29</v>
      </c>
      <c r="AF398" s="73">
        <v>30</v>
      </c>
      <c r="AG398" s="73">
        <v>31</v>
      </c>
      <c r="AH398" s="88" t="s">
        <v>144</v>
      </c>
    </row>
    <row r="399" spans="1:34" ht="15" customHeight="1">
      <c r="A399" s="73" t="s">
        <v>145</v>
      </c>
      <c r="B399" s="313">
        <f t="shared" ref="B399:B410" si="72">+AH399</f>
        <v>0</v>
      </c>
      <c r="C399" s="103"/>
      <c r="D399" s="103"/>
      <c r="E399" s="103"/>
      <c r="F399" s="103"/>
      <c r="G399" s="103"/>
      <c r="H399" s="103"/>
      <c r="I399" s="103"/>
      <c r="J399" s="103"/>
      <c r="K399" s="103"/>
      <c r="L399" s="103"/>
      <c r="M399" s="103"/>
      <c r="N399" s="103"/>
      <c r="O399" s="103"/>
      <c r="P399" s="103"/>
      <c r="Q399" s="103"/>
      <c r="R399" s="103"/>
      <c r="S399" s="103"/>
      <c r="T399" s="103"/>
      <c r="U399" s="103"/>
      <c r="V399" s="103"/>
      <c r="W399" s="103"/>
      <c r="X399" s="103"/>
      <c r="Y399" s="103"/>
      <c r="Z399" s="103"/>
      <c r="AA399" s="103"/>
      <c r="AB399" s="103"/>
      <c r="AC399" s="103"/>
      <c r="AD399" s="103"/>
      <c r="AE399" s="103"/>
      <c r="AF399" s="103"/>
      <c r="AG399" s="103"/>
      <c r="AH399" s="107">
        <f>SUM(C399:AG399)</f>
        <v>0</v>
      </c>
    </row>
    <row r="400" spans="1:34" ht="15" customHeight="1">
      <c r="A400" s="73" t="s">
        <v>146</v>
      </c>
      <c r="B400" s="313">
        <f t="shared" si="72"/>
        <v>20.18</v>
      </c>
      <c r="C400" s="103"/>
      <c r="D400" s="103"/>
      <c r="E400" s="103"/>
      <c r="F400" s="103"/>
      <c r="G400" s="103"/>
      <c r="H400" s="103"/>
      <c r="I400" s="103"/>
      <c r="J400" s="103"/>
      <c r="K400" s="103"/>
      <c r="L400" s="103"/>
      <c r="M400" s="103"/>
      <c r="N400" s="103"/>
      <c r="O400" s="103"/>
      <c r="P400" s="103"/>
      <c r="Q400" s="103"/>
      <c r="R400" s="103"/>
      <c r="S400" s="103"/>
      <c r="T400" s="103"/>
      <c r="U400" s="103"/>
      <c r="V400" s="103"/>
      <c r="W400" s="507">
        <v>20.18</v>
      </c>
      <c r="X400" s="103"/>
      <c r="Y400" s="103"/>
      <c r="Z400" s="103"/>
      <c r="AA400" s="103"/>
      <c r="AB400" s="103"/>
      <c r="AC400" s="103"/>
      <c r="AD400" s="103"/>
      <c r="AE400" s="103"/>
      <c r="AF400" s="103"/>
      <c r="AG400" s="103"/>
      <c r="AH400" s="107">
        <f t="shared" ref="AH400:AH410" si="73">SUM(C400:AG400)</f>
        <v>20.18</v>
      </c>
    </row>
    <row r="401" spans="1:34" ht="15" customHeight="1">
      <c r="A401" s="73" t="s">
        <v>147</v>
      </c>
      <c r="B401" s="313">
        <f t="shared" si="72"/>
        <v>0</v>
      </c>
      <c r="C401" s="103"/>
      <c r="D401" s="103"/>
      <c r="E401" s="103"/>
      <c r="F401" s="103"/>
      <c r="G401" s="103"/>
      <c r="H401" s="103"/>
      <c r="I401" s="103"/>
      <c r="J401" s="103"/>
      <c r="K401" s="103"/>
      <c r="L401" s="103"/>
      <c r="M401" s="103"/>
      <c r="N401" s="103"/>
      <c r="O401" s="103"/>
      <c r="P401" s="103"/>
      <c r="Q401" s="103"/>
      <c r="R401" s="103"/>
      <c r="S401" s="103"/>
      <c r="T401" s="103"/>
      <c r="U401" s="103"/>
      <c r="V401" s="103"/>
      <c r="W401" s="103"/>
      <c r="X401" s="103"/>
      <c r="Y401" s="103"/>
      <c r="Z401" s="103"/>
      <c r="AA401" s="103"/>
      <c r="AB401" s="103"/>
      <c r="AC401" s="103"/>
      <c r="AD401" s="103"/>
      <c r="AE401" s="103"/>
      <c r="AF401" s="103"/>
      <c r="AG401" s="103"/>
      <c r="AH401" s="107">
        <f t="shared" si="73"/>
        <v>0</v>
      </c>
    </row>
    <row r="402" spans="1:34" ht="15" customHeight="1">
      <c r="A402" s="73" t="s">
        <v>148</v>
      </c>
      <c r="B402" s="313">
        <f t="shared" si="72"/>
        <v>0</v>
      </c>
      <c r="C402" s="103"/>
      <c r="D402" s="103"/>
      <c r="E402" s="103"/>
      <c r="F402" s="103"/>
      <c r="G402" s="103"/>
      <c r="H402" s="103"/>
      <c r="I402" s="103"/>
      <c r="J402" s="103"/>
      <c r="K402" s="103"/>
      <c r="L402" s="103"/>
      <c r="M402" s="103"/>
      <c r="N402" s="103"/>
      <c r="O402" s="103"/>
      <c r="P402" s="103"/>
      <c r="Q402" s="103"/>
      <c r="R402" s="103"/>
      <c r="S402" s="103"/>
      <c r="T402" s="103"/>
      <c r="U402" s="103"/>
      <c r="V402" s="103"/>
      <c r="W402" s="103"/>
      <c r="X402" s="103"/>
      <c r="Y402" s="103"/>
      <c r="Z402" s="103"/>
      <c r="AA402" s="103"/>
      <c r="AB402" s="103"/>
      <c r="AC402" s="103"/>
      <c r="AD402" s="103"/>
      <c r="AE402" s="103"/>
      <c r="AF402" s="103"/>
      <c r="AG402" s="103"/>
      <c r="AH402" s="107">
        <f t="shared" si="73"/>
        <v>0</v>
      </c>
    </row>
    <row r="403" spans="1:34" ht="15" customHeight="1">
      <c r="A403" s="73" t="s">
        <v>149</v>
      </c>
      <c r="B403" s="313">
        <f t="shared" si="72"/>
        <v>0</v>
      </c>
      <c r="C403" s="103"/>
      <c r="D403" s="103"/>
      <c r="E403" s="103"/>
      <c r="F403" s="103"/>
      <c r="G403" s="103"/>
      <c r="H403" s="103"/>
      <c r="I403" s="103"/>
      <c r="J403" s="103"/>
      <c r="K403" s="103"/>
      <c r="L403" s="103"/>
      <c r="M403" s="103"/>
      <c r="N403" s="103"/>
      <c r="O403" s="103"/>
      <c r="P403" s="103"/>
      <c r="Q403" s="103"/>
      <c r="R403" s="103"/>
      <c r="S403" s="103"/>
      <c r="T403" s="103"/>
      <c r="U403" s="103"/>
      <c r="V403" s="103"/>
      <c r="W403" s="103"/>
      <c r="X403" s="103"/>
      <c r="Y403" s="103"/>
      <c r="Z403" s="103"/>
      <c r="AA403" s="103"/>
      <c r="AB403" s="103"/>
      <c r="AC403" s="103"/>
      <c r="AD403" s="103"/>
      <c r="AE403" s="103"/>
      <c r="AF403" s="103"/>
      <c r="AG403" s="103"/>
      <c r="AH403" s="107">
        <f t="shared" si="73"/>
        <v>0</v>
      </c>
    </row>
    <row r="404" spans="1:34" ht="15" customHeight="1">
      <c r="A404" s="73" t="s">
        <v>150</v>
      </c>
      <c r="B404" s="313">
        <f t="shared" si="72"/>
        <v>0</v>
      </c>
      <c r="C404" s="103"/>
      <c r="D404" s="103"/>
      <c r="E404" s="103"/>
      <c r="F404" s="103"/>
      <c r="G404" s="103"/>
      <c r="H404" s="103"/>
      <c r="I404" s="103"/>
      <c r="J404" s="103"/>
      <c r="K404" s="103"/>
      <c r="L404" s="103"/>
      <c r="M404" s="103"/>
      <c r="N404" s="103"/>
      <c r="O404" s="103"/>
      <c r="P404" s="103"/>
      <c r="Q404" s="103"/>
      <c r="R404" s="103"/>
      <c r="S404" s="103"/>
      <c r="T404" s="103"/>
      <c r="U404" s="103"/>
      <c r="V404" s="103"/>
      <c r="W404" s="103"/>
      <c r="X404" s="103"/>
      <c r="Y404" s="103"/>
      <c r="Z404" s="103"/>
      <c r="AA404" s="103"/>
      <c r="AB404" s="103"/>
      <c r="AC404" s="103"/>
      <c r="AD404" s="103"/>
      <c r="AE404" s="103"/>
      <c r="AF404" s="103"/>
      <c r="AG404" s="103"/>
      <c r="AH404" s="107">
        <f t="shared" si="73"/>
        <v>0</v>
      </c>
    </row>
    <row r="405" spans="1:34" ht="15" customHeight="1">
      <c r="A405" s="73" t="s">
        <v>151</v>
      </c>
      <c r="B405" s="313">
        <f t="shared" si="72"/>
        <v>0</v>
      </c>
      <c r="C405" s="103"/>
      <c r="D405" s="53"/>
      <c r="E405" s="53"/>
      <c r="F405" s="53"/>
      <c r="G405" s="53"/>
      <c r="H405" s="53"/>
      <c r="I405" s="53"/>
      <c r="J405" s="103"/>
      <c r="K405" s="103"/>
      <c r="L405" s="53"/>
      <c r="M405" s="53"/>
      <c r="N405" s="53"/>
      <c r="O405" s="53"/>
      <c r="P405" s="53"/>
      <c r="Q405" s="53"/>
      <c r="R405" s="53"/>
      <c r="S405" s="53"/>
      <c r="T405" s="53"/>
      <c r="U405" s="53"/>
      <c r="V405" s="53"/>
      <c r="W405" s="53"/>
      <c r="X405" s="53"/>
      <c r="Y405" s="53"/>
      <c r="Z405" s="53"/>
      <c r="AA405" s="53"/>
      <c r="AB405" s="53"/>
      <c r="AC405" s="53"/>
      <c r="AD405" s="53"/>
      <c r="AE405" s="53"/>
      <c r="AF405" s="53"/>
      <c r="AG405" s="53"/>
      <c r="AH405" s="107">
        <f t="shared" si="73"/>
        <v>0</v>
      </c>
    </row>
    <row r="406" spans="1:34" ht="15" customHeight="1">
      <c r="A406" s="73" t="s">
        <v>152</v>
      </c>
      <c r="B406" s="313">
        <f t="shared" si="72"/>
        <v>0</v>
      </c>
      <c r="C406" s="103"/>
      <c r="D406" s="53"/>
      <c r="E406" s="53"/>
      <c r="F406" s="53"/>
      <c r="G406" s="53"/>
      <c r="H406" s="53"/>
      <c r="I406" s="53"/>
      <c r="J406" s="103"/>
      <c r="K406" s="103"/>
      <c r="L406" s="53"/>
      <c r="M406" s="53"/>
      <c r="N406" s="53"/>
      <c r="O406" s="53"/>
      <c r="P406" s="53"/>
      <c r="Q406" s="53"/>
      <c r="R406" s="53"/>
      <c r="S406" s="53"/>
      <c r="T406" s="53"/>
      <c r="U406" s="53"/>
      <c r="V406" s="53"/>
      <c r="W406" s="53"/>
      <c r="X406" s="53"/>
      <c r="Y406" s="53"/>
      <c r="Z406" s="53"/>
      <c r="AA406" s="53"/>
      <c r="AB406" s="53"/>
      <c r="AC406" s="53"/>
      <c r="AD406" s="53"/>
      <c r="AE406" s="53"/>
      <c r="AF406" s="53"/>
      <c r="AG406" s="53"/>
      <c r="AH406" s="107">
        <f t="shared" si="73"/>
        <v>0</v>
      </c>
    </row>
    <row r="407" spans="1:34" ht="15" customHeight="1">
      <c r="A407" s="73" t="s">
        <v>153</v>
      </c>
      <c r="B407" s="313">
        <f t="shared" si="72"/>
        <v>0</v>
      </c>
      <c r="C407" s="103"/>
      <c r="D407" s="53"/>
      <c r="E407" s="53"/>
      <c r="F407" s="53"/>
      <c r="G407" s="53"/>
      <c r="H407" s="53"/>
      <c r="I407" s="53"/>
      <c r="J407" s="103"/>
      <c r="K407" s="103"/>
      <c r="L407" s="53"/>
      <c r="M407" s="53"/>
      <c r="N407" s="53"/>
      <c r="O407" s="53"/>
      <c r="P407" s="53"/>
      <c r="Q407" s="53"/>
      <c r="R407" s="53"/>
      <c r="S407" s="53"/>
      <c r="T407" s="53"/>
      <c r="U407" s="53"/>
      <c r="V407" s="53"/>
      <c r="W407" s="53"/>
      <c r="X407" s="53"/>
      <c r="Y407" s="53"/>
      <c r="Z407" s="53"/>
      <c r="AA407" s="53"/>
      <c r="AB407" s="53"/>
      <c r="AC407" s="53"/>
      <c r="AD407" s="53"/>
      <c r="AE407" s="53"/>
      <c r="AF407" s="53"/>
      <c r="AG407" s="53"/>
      <c r="AH407" s="107">
        <f t="shared" si="73"/>
        <v>0</v>
      </c>
    </row>
    <row r="408" spans="1:34" ht="15" customHeight="1">
      <c r="A408" s="73" t="s">
        <v>154</v>
      </c>
      <c r="B408" s="70">
        <f t="shared" si="72"/>
        <v>0</v>
      </c>
      <c r="C408" s="103"/>
      <c r="D408" s="53"/>
      <c r="E408" s="53"/>
      <c r="F408" s="53"/>
      <c r="G408" s="53"/>
      <c r="H408" s="53"/>
      <c r="I408" s="53"/>
      <c r="J408" s="103"/>
      <c r="K408" s="103"/>
      <c r="L408" s="53"/>
      <c r="M408" s="53"/>
      <c r="N408" s="53"/>
      <c r="O408" s="53"/>
      <c r="P408" s="53"/>
      <c r="Q408" s="53"/>
      <c r="R408" s="53"/>
      <c r="S408" s="53"/>
      <c r="T408" s="53"/>
      <c r="U408" s="53"/>
      <c r="V408" s="53"/>
      <c r="W408" s="53"/>
      <c r="X408" s="53"/>
      <c r="Y408" s="53"/>
      <c r="Z408" s="53"/>
      <c r="AA408" s="53"/>
      <c r="AB408" s="53"/>
      <c r="AC408" s="53"/>
      <c r="AD408" s="53"/>
      <c r="AE408" s="53"/>
      <c r="AF408" s="53"/>
      <c r="AG408" s="53"/>
      <c r="AH408" s="107">
        <f t="shared" si="73"/>
        <v>0</v>
      </c>
    </row>
    <row r="409" spans="1:34" ht="15" customHeight="1">
      <c r="A409" s="73" t="s">
        <v>155</v>
      </c>
      <c r="B409" s="70">
        <f t="shared" si="72"/>
        <v>0</v>
      </c>
      <c r="C409" s="103"/>
      <c r="D409" s="53"/>
      <c r="E409" s="53"/>
      <c r="F409" s="53"/>
      <c r="G409" s="53"/>
      <c r="H409" s="53"/>
      <c r="I409" s="53"/>
      <c r="J409" s="103"/>
      <c r="K409" s="103"/>
      <c r="L409" s="53"/>
      <c r="M409" s="53"/>
      <c r="N409" s="53"/>
      <c r="O409" s="53"/>
      <c r="P409" s="53"/>
      <c r="Q409" s="53"/>
      <c r="R409" s="53"/>
      <c r="S409" s="53"/>
      <c r="T409" s="53"/>
      <c r="U409" s="53"/>
      <c r="V409" s="53"/>
      <c r="W409" s="53"/>
      <c r="X409" s="53"/>
      <c r="Y409" s="53"/>
      <c r="Z409" s="53"/>
      <c r="AA409" s="53"/>
      <c r="AB409" s="53"/>
      <c r="AC409" s="53"/>
      <c r="AD409" s="53"/>
      <c r="AE409" s="53"/>
      <c r="AF409" s="53"/>
      <c r="AG409" s="53"/>
      <c r="AH409" s="107">
        <f t="shared" si="73"/>
        <v>0</v>
      </c>
    </row>
    <row r="410" spans="1:34" ht="15" customHeight="1">
      <c r="A410" s="73" t="s">
        <v>156</v>
      </c>
      <c r="B410" s="70">
        <f t="shared" si="72"/>
        <v>0</v>
      </c>
      <c r="C410" s="103"/>
      <c r="D410" s="53"/>
      <c r="E410" s="53"/>
      <c r="F410" s="53"/>
      <c r="G410" s="53"/>
      <c r="H410" s="53"/>
      <c r="I410" s="53"/>
      <c r="J410" s="103"/>
      <c r="K410" s="103"/>
      <c r="L410" s="53"/>
      <c r="M410" s="53"/>
      <c r="N410" s="53"/>
      <c r="O410" s="53"/>
      <c r="P410" s="53"/>
      <c r="Q410" s="53"/>
      <c r="R410" s="53"/>
      <c r="S410" s="53"/>
      <c r="T410" s="53"/>
      <c r="U410" s="53"/>
      <c r="V410" s="53"/>
      <c r="W410" s="53"/>
      <c r="X410" s="53"/>
      <c r="Y410" s="53"/>
      <c r="Z410" s="53"/>
      <c r="AA410" s="53"/>
      <c r="AB410" s="53"/>
      <c r="AC410" s="53"/>
      <c r="AD410" s="53"/>
      <c r="AE410" s="53"/>
      <c r="AF410" s="53"/>
      <c r="AG410" s="53"/>
      <c r="AH410" s="107">
        <f t="shared" si="73"/>
        <v>0</v>
      </c>
    </row>
    <row r="411" spans="1:34" ht="15" customHeight="1">
      <c r="A411" s="199" t="s">
        <v>144</v>
      </c>
      <c r="B411" s="201">
        <f>SUM(B399:B410)</f>
        <v>20.18</v>
      </c>
      <c r="C411" s="100">
        <f>SUM(C399:C409)</f>
        <v>0</v>
      </c>
      <c r="D411" s="107">
        <f>SUM(D399:D409)</f>
        <v>0</v>
      </c>
      <c r="E411" s="107">
        <v>0</v>
      </c>
      <c r="F411" s="107">
        <f t="shared" ref="F411:AC411" si="74">SUM(F399:F409)</f>
        <v>0</v>
      </c>
      <c r="G411" s="107">
        <f t="shared" si="74"/>
        <v>0</v>
      </c>
      <c r="H411" s="107">
        <f t="shared" si="74"/>
        <v>0</v>
      </c>
      <c r="I411" s="107">
        <f t="shared" si="74"/>
        <v>0</v>
      </c>
      <c r="J411" s="107">
        <f t="shared" si="74"/>
        <v>0</v>
      </c>
      <c r="K411" s="107">
        <f t="shared" si="74"/>
        <v>0</v>
      </c>
      <c r="L411" s="107">
        <f t="shared" si="74"/>
        <v>0</v>
      </c>
      <c r="M411" s="107">
        <f t="shared" si="74"/>
        <v>0</v>
      </c>
      <c r="N411" s="107">
        <f t="shared" si="74"/>
        <v>0</v>
      </c>
      <c r="O411" s="107">
        <f t="shared" si="74"/>
        <v>0</v>
      </c>
      <c r="P411" s="107">
        <f t="shared" si="74"/>
        <v>0</v>
      </c>
      <c r="Q411" s="107">
        <f t="shared" si="74"/>
        <v>0</v>
      </c>
      <c r="R411" s="107">
        <f t="shared" si="74"/>
        <v>0</v>
      </c>
      <c r="S411" s="107">
        <f t="shared" si="74"/>
        <v>0</v>
      </c>
      <c r="T411" s="107">
        <f t="shared" si="74"/>
        <v>0</v>
      </c>
      <c r="U411" s="107">
        <f t="shared" si="74"/>
        <v>0</v>
      </c>
      <c r="V411" s="107">
        <f t="shared" si="74"/>
        <v>0</v>
      </c>
      <c r="W411" s="107">
        <f t="shared" si="74"/>
        <v>20.18</v>
      </c>
      <c r="X411" s="107">
        <f t="shared" si="74"/>
        <v>0</v>
      </c>
      <c r="Y411" s="107">
        <f t="shared" si="74"/>
        <v>0</v>
      </c>
      <c r="Z411" s="107">
        <f t="shared" si="74"/>
        <v>0</v>
      </c>
      <c r="AA411" s="107">
        <f t="shared" si="74"/>
        <v>0</v>
      </c>
      <c r="AB411" s="107">
        <f t="shared" si="74"/>
        <v>0</v>
      </c>
      <c r="AC411" s="107">
        <f t="shared" si="74"/>
        <v>0</v>
      </c>
      <c r="AD411" s="107">
        <v>0</v>
      </c>
      <c r="AE411" s="107">
        <f>SUM(AE399:AE409)</f>
        <v>0</v>
      </c>
      <c r="AF411" s="107">
        <f>SUM(AF399:AF409)</f>
        <v>0</v>
      </c>
      <c r="AG411" s="107">
        <f>SUM(AG399:AG409)</f>
        <v>0</v>
      </c>
      <c r="AH411" s="100">
        <f>SUM(AH399:AH410)</f>
        <v>20.18</v>
      </c>
    </row>
    <row r="412" spans="1:34" ht="5.0999999999999996" customHeight="1">
      <c r="A412" s="49"/>
      <c r="B412" s="170"/>
      <c r="C412" s="1"/>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c r="AG412" s="14"/>
      <c r="AH412" s="14"/>
    </row>
    <row r="413" spans="1:34" ht="15" customHeight="1">
      <c r="A413" s="3854" t="s">
        <v>124</v>
      </c>
      <c r="B413" s="3855"/>
      <c r="C413" s="3855"/>
      <c r="D413" s="3855"/>
      <c r="E413" s="3855"/>
      <c r="F413" s="3855"/>
      <c r="G413" s="3855"/>
      <c r="H413" s="3856"/>
      <c r="I413" s="2322" t="s">
        <v>1074</v>
      </c>
    </row>
    <row r="414" spans="1:34" ht="15" customHeight="1">
      <c r="A414" s="8" t="s">
        <v>161</v>
      </c>
      <c r="B414" s="172" t="s">
        <v>143</v>
      </c>
      <c r="C414" s="2907">
        <v>1</v>
      </c>
      <c r="D414" s="73">
        <v>2</v>
      </c>
      <c r="E414" s="73">
        <v>3</v>
      </c>
      <c r="F414" s="73">
        <v>4</v>
      </c>
      <c r="G414" s="73">
        <v>5</v>
      </c>
      <c r="H414" s="73">
        <v>6</v>
      </c>
      <c r="I414" s="73">
        <v>7</v>
      </c>
      <c r="J414" s="73">
        <v>8</v>
      </c>
      <c r="K414" s="73">
        <v>9</v>
      </c>
      <c r="L414" s="73">
        <v>10</v>
      </c>
      <c r="M414" s="73">
        <v>11</v>
      </c>
      <c r="N414" s="73">
        <v>12</v>
      </c>
      <c r="O414" s="73">
        <v>13</v>
      </c>
      <c r="P414" s="73">
        <v>14</v>
      </c>
      <c r="Q414" s="73">
        <v>15</v>
      </c>
      <c r="R414" s="73">
        <v>16</v>
      </c>
      <c r="S414" s="73">
        <v>17</v>
      </c>
      <c r="T414" s="73">
        <v>18</v>
      </c>
      <c r="U414" s="73">
        <v>19</v>
      </c>
      <c r="V414" s="73">
        <v>20</v>
      </c>
      <c r="W414" s="73">
        <v>21</v>
      </c>
      <c r="X414" s="73">
        <v>22</v>
      </c>
      <c r="Y414" s="73">
        <v>23</v>
      </c>
      <c r="Z414" s="73">
        <v>24</v>
      </c>
      <c r="AA414" s="73">
        <v>25</v>
      </c>
      <c r="AB414" s="73">
        <v>26</v>
      </c>
      <c r="AC414" s="73">
        <v>27</v>
      </c>
      <c r="AD414" s="73">
        <v>28</v>
      </c>
      <c r="AE414" s="73">
        <v>29</v>
      </c>
      <c r="AF414" s="73">
        <v>30</v>
      </c>
      <c r="AG414" s="73">
        <v>31</v>
      </c>
      <c r="AH414" s="88" t="s">
        <v>144</v>
      </c>
    </row>
    <row r="415" spans="1:34" ht="15" customHeight="1">
      <c r="A415" s="73" t="s">
        <v>145</v>
      </c>
      <c r="B415" s="313">
        <f t="shared" ref="B415:B426" si="75">+AH415</f>
        <v>73.879000000000005</v>
      </c>
      <c r="C415" s="103"/>
      <c r="D415" s="53"/>
      <c r="E415" s="53"/>
      <c r="F415" s="53"/>
      <c r="G415" s="53"/>
      <c r="H415" s="53"/>
      <c r="I415" s="53"/>
      <c r="J415" s="53"/>
      <c r="K415" s="53"/>
      <c r="L415" s="53"/>
      <c r="M415" s="53"/>
      <c r="N415" s="53"/>
      <c r="O415" s="53">
        <v>17</v>
      </c>
      <c r="P415" s="53"/>
      <c r="Q415" s="53"/>
      <c r="R415" s="53"/>
      <c r="S415" s="53"/>
      <c r="T415" s="53"/>
      <c r="U415" s="53"/>
      <c r="V415" s="53"/>
      <c r="W415" s="53">
        <v>7</v>
      </c>
      <c r="X415" s="53"/>
      <c r="Y415" s="53">
        <v>9.9600000000000009</v>
      </c>
      <c r="Z415" s="53">
        <v>10.25</v>
      </c>
      <c r="AA415" s="53"/>
      <c r="AB415" s="53">
        <v>29.669</v>
      </c>
      <c r="AC415" s="53"/>
      <c r="AD415" s="53"/>
      <c r="AE415" s="53"/>
      <c r="AF415" s="53"/>
      <c r="AG415" s="53"/>
      <c r="AH415" s="107">
        <f>SUM(C415:AG415)</f>
        <v>73.879000000000005</v>
      </c>
    </row>
    <row r="416" spans="1:34" ht="15" customHeight="1">
      <c r="A416" s="73" t="s">
        <v>146</v>
      </c>
      <c r="B416" s="313">
        <f t="shared" si="75"/>
        <v>231.55799999999999</v>
      </c>
      <c r="C416" s="103"/>
      <c r="D416" s="53">
        <f>31.765+27.806</f>
        <v>59.570999999999998</v>
      </c>
      <c r="E416" s="53"/>
      <c r="F416" s="53">
        <f>34.86+29.12</f>
        <v>63.980000000000004</v>
      </c>
      <c r="G416" s="53"/>
      <c r="H416" s="53">
        <f>32.02+17.66</f>
        <v>49.680000000000007</v>
      </c>
      <c r="I416" s="53">
        <v>25.86</v>
      </c>
      <c r="J416" s="53">
        <v>19.29</v>
      </c>
      <c r="K416" s="53"/>
      <c r="L416" s="53">
        <v>13.177</v>
      </c>
      <c r="M416" s="53"/>
      <c r="N416" s="53"/>
      <c r="O416" s="53"/>
      <c r="P416" s="53"/>
      <c r="Q416" s="53"/>
      <c r="R416" s="53"/>
      <c r="S416" s="53"/>
      <c r="T416" s="53"/>
      <c r="U416" s="53"/>
      <c r="V416" s="103"/>
      <c r="W416" s="53"/>
      <c r="X416" s="53"/>
      <c r="Y416" s="53"/>
      <c r="Z416" s="53"/>
      <c r="AA416" s="53"/>
      <c r="AB416" s="53"/>
      <c r="AC416" s="53"/>
      <c r="AD416" s="53"/>
      <c r="AE416" s="53"/>
      <c r="AF416" s="53"/>
      <c r="AG416" s="53"/>
      <c r="AH416" s="107">
        <f t="shared" ref="AH416:AH426" si="76">SUM(C416:AG416)</f>
        <v>231.55799999999999</v>
      </c>
    </row>
    <row r="417" spans="1:34" ht="15" customHeight="1">
      <c r="A417" s="73" t="s">
        <v>147</v>
      </c>
      <c r="B417" s="313">
        <f t="shared" si="75"/>
        <v>0</v>
      </c>
      <c r="C417" s="103"/>
      <c r="D417" s="53"/>
      <c r="E417" s="53"/>
      <c r="F417" s="53"/>
      <c r="G417" s="53"/>
      <c r="H417" s="53"/>
      <c r="I417" s="53"/>
      <c r="J417" s="53"/>
      <c r="K417" s="53"/>
      <c r="L417" s="53"/>
      <c r="M417" s="53"/>
      <c r="N417" s="53"/>
      <c r="O417" s="53"/>
      <c r="P417" s="53"/>
      <c r="Q417" s="53"/>
      <c r="R417" s="53"/>
      <c r="S417" s="53"/>
      <c r="T417" s="53"/>
      <c r="U417" s="53"/>
      <c r="V417" s="53"/>
      <c r="W417" s="53"/>
      <c r="X417" s="53"/>
      <c r="Y417" s="53"/>
      <c r="Z417" s="53"/>
      <c r="AA417" s="53"/>
      <c r="AB417" s="53"/>
      <c r="AC417" s="53"/>
      <c r="AD417" s="53"/>
      <c r="AE417" s="53"/>
      <c r="AF417" s="53"/>
      <c r="AG417" s="53"/>
      <c r="AH417" s="107">
        <f t="shared" si="76"/>
        <v>0</v>
      </c>
    </row>
    <row r="418" spans="1:34" ht="15" customHeight="1">
      <c r="A418" s="73" t="s">
        <v>148</v>
      </c>
      <c r="B418" s="313">
        <f t="shared" si="75"/>
        <v>0</v>
      </c>
      <c r="C418" s="103"/>
      <c r="D418" s="53"/>
      <c r="E418" s="53"/>
      <c r="F418" s="53"/>
      <c r="G418" s="53"/>
      <c r="H418" s="53"/>
      <c r="I418" s="53"/>
      <c r="J418" s="53"/>
      <c r="K418" s="53"/>
      <c r="L418" s="53"/>
      <c r="M418" s="53"/>
      <c r="N418" s="53"/>
      <c r="O418" s="53"/>
      <c r="P418" s="53"/>
      <c r="Q418" s="53"/>
      <c r="R418" s="53"/>
      <c r="S418" s="53"/>
      <c r="T418" s="53"/>
      <c r="U418" s="53"/>
      <c r="V418" s="53"/>
      <c r="W418" s="53"/>
      <c r="X418" s="53"/>
      <c r="Y418" s="53"/>
      <c r="Z418" s="53"/>
      <c r="AA418" s="53"/>
      <c r="AB418" s="53"/>
      <c r="AC418" s="53"/>
      <c r="AD418" s="53"/>
      <c r="AE418" s="53"/>
      <c r="AF418" s="53"/>
      <c r="AG418" s="53"/>
      <c r="AH418" s="107">
        <f t="shared" si="76"/>
        <v>0</v>
      </c>
    </row>
    <row r="419" spans="1:34" ht="15" customHeight="1">
      <c r="A419" s="73" t="s">
        <v>149</v>
      </c>
      <c r="B419" s="313">
        <f t="shared" si="75"/>
        <v>0</v>
      </c>
      <c r="C419" s="103"/>
      <c r="D419" s="53"/>
      <c r="E419" s="53"/>
      <c r="F419" s="53"/>
      <c r="G419" s="53"/>
      <c r="H419" s="53"/>
      <c r="I419" s="53"/>
      <c r="J419" s="53"/>
      <c r="K419" s="53"/>
      <c r="L419" s="53"/>
      <c r="M419" s="53"/>
      <c r="N419" s="53"/>
      <c r="O419" s="53"/>
      <c r="P419" s="53"/>
      <c r="Q419" s="53"/>
      <c r="R419" s="53"/>
      <c r="S419" s="53"/>
      <c r="T419" s="53"/>
      <c r="U419" s="53"/>
      <c r="V419" s="53"/>
      <c r="W419" s="53"/>
      <c r="X419" s="53"/>
      <c r="Y419" s="53"/>
      <c r="Z419" s="53"/>
      <c r="AA419" s="53"/>
      <c r="AB419" s="53"/>
      <c r="AC419" s="53"/>
      <c r="AD419" s="53"/>
      <c r="AE419" s="53"/>
      <c r="AF419" s="53"/>
      <c r="AG419" s="53"/>
      <c r="AH419" s="107">
        <f t="shared" si="76"/>
        <v>0</v>
      </c>
    </row>
    <row r="420" spans="1:34" ht="15" customHeight="1">
      <c r="A420" s="73" t="s">
        <v>150</v>
      </c>
      <c r="B420" s="313">
        <f t="shared" si="75"/>
        <v>0</v>
      </c>
      <c r="C420" s="103"/>
      <c r="D420" s="53"/>
      <c r="E420" s="53"/>
      <c r="F420" s="53"/>
      <c r="G420" s="53"/>
      <c r="H420" s="53"/>
      <c r="I420" s="53"/>
      <c r="J420" s="53"/>
      <c r="K420" s="53"/>
      <c r="L420" s="53"/>
      <c r="M420" s="53"/>
      <c r="N420" s="53"/>
      <c r="O420" s="53"/>
      <c r="P420" s="53"/>
      <c r="Q420" s="53"/>
      <c r="R420" s="53"/>
      <c r="S420" s="53"/>
      <c r="T420" s="53"/>
      <c r="U420" s="53"/>
      <c r="V420" s="53"/>
      <c r="W420" s="53"/>
      <c r="X420" s="53"/>
      <c r="Y420" s="53"/>
      <c r="Z420" s="53"/>
      <c r="AA420" s="53"/>
      <c r="AB420" s="53"/>
      <c r="AC420" s="53"/>
      <c r="AD420" s="53"/>
      <c r="AE420" s="53"/>
      <c r="AF420" s="53"/>
      <c r="AG420" s="53"/>
      <c r="AH420" s="107">
        <f t="shared" si="76"/>
        <v>0</v>
      </c>
    </row>
    <row r="421" spans="1:34" ht="15" customHeight="1">
      <c r="A421" s="73" t="s">
        <v>151</v>
      </c>
      <c r="B421" s="313">
        <f t="shared" si="75"/>
        <v>0</v>
      </c>
      <c r="C421" s="103"/>
      <c r="D421" s="53"/>
      <c r="E421" s="53"/>
      <c r="F421" s="53"/>
      <c r="G421" s="53"/>
      <c r="H421" s="53"/>
      <c r="I421" s="53"/>
      <c r="J421" s="103"/>
      <c r="K421" s="103"/>
      <c r="L421" s="53"/>
      <c r="M421" s="53"/>
      <c r="N421" s="53"/>
      <c r="O421" s="53"/>
      <c r="P421" s="53"/>
      <c r="Q421" s="53"/>
      <c r="R421" s="53"/>
      <c r="S421" s="53"/>
      <c r="T421" s="53"/>
      <c r="U421" s="53"/>
      <c r="V421" s="53"/>
      <c r="W421" s="53"/>
      <c r="X421" s="53"/>
      <c r="Y421" s="53"/>
      <c r="Z421" s="53"/>
      <c r="AA421" s="53"/>
      <c r="AB421" s="53"/>
      <c r="AC421" s="53"/>
      <c r="AD421" s="53"/>
      <c r="AE421" s="53"/>
      <c r="AF421" s="53"/>
      <c r="AG421" s="53"/>
      <c r="AH421" s="107">
        <f t="shared" si="76"/>
        <v>0</v>
      </c>
    </row>
    <row r="422" spans="1:34" ht="15" customHeight="1">
      <c r="A422" s="73" t="s">
        <v>152</v>
      </c>
      <c r="B422" s="313">
        <f t="shared" si="75"/>
        <v>0</v>
      </c>
      <c r="C422" s="103"/>
      <c r="D422" s="53"/>
      <c r="E422" s="53"/>
      <c r="F422" s="53"/>
      <c r="G422" s="53"/>
      <c r="H422" s="53"/>
      <c r="I422" s="53"/>
      <c r="J422" s="103"/>
      <c r="K422" s="103"/>
      <c r="L422" s="53"/>
      <c r="M422" s="53"/>
      <c r="N422" s="53"/>
      <c r="O422" s="53"/>
      <c r="P422" s="53"/>
      <c r="Q422" s="53"/>
      <c r="R422" s="53"/>
      <c r="S422" s="53"/>
      <c r="T422" s="53"/>
      <c r="U422" s="53"/>
      <c r="V422" s="53"/>
      <c r="W422" s="53"/>
      <c r="X422" s="53"/>
      <c r="Y422" s="53"/>
      <c r="Z422" s="53"/>
      <c r="AA422" s="53"/>
      <c r="AB422" s="53"/>
      <c r="AC422" s="53"/>
      <c r="AD422" s="53"/>
      <c r="AE422" s="53"/>
      <c r="AF422" s="53"/>
      <c r="AG422" s="53"/>
      <c r="AH422" s="107">
        <f t="shared" si="76"/>
        <v>0</v>
      </c>
    </row>
    <row r="423" spans="1:34" ht="15" customHeight="1">
      <c r="A423" s="73" t="s">
        <v>153</v>
      </c>
      <c r="B423" s="313">
        <f t="shared" si="75"/>
        <v>0</v>
      </c>
      <c r="C423" s="103"/>
      <c r="D423" s="53"/>
      <c r="E423" s="53"/>
      <c r="F423" s="53"/>
      <c r="G423" s="53"/>
      <c r="H423" s="53"/>
      <c r="I423" s="53"/>
      <c r="J423" s="103"/>
      <c r="K423" s="103"/>
      <c r="L423" s="53"/>
      <c r="M423" s="53"/>
      <c r="N423" s="53"/>
      <c r="O423" s="53"/>
      <c r="P423" s="53"/>
      <c r="Q423" s="53"/>
      <c r="R423" s="53"/>
      <c r="S423" s="53"/>
      <c r="T423" s="53"/>
      <c r="U423" s="53"/>
      <c r="V423" s="53"/>
      <c r="W423" s="53"/>
      <c r="X423" s="53"/>
      <c r="Y423" s="53"/>
      <c r="Z423" s="53"/>
      <c r="AA423" s="53"/>
      <c r="AB423" s="53"/>
      <c r="AC423" s="53"/>
      <c r="AD423" s="53"/>
      <c r="AE423" s="53"/>
      <c r="AF423" s="53"/>
      <c r="AG423" s="53"/>
      <c r="AH423" s="107">
        <f t="shared" si="76"/>
        <v>0</v>
      </c>
    </row>
    <row r="424" spans="1:34" ht="15" customHeight="1">
      <c r="A424" s="73" t="s">
        <v>154</v>
      </c>
      <c r="B424" s="70">
        <f t="shared" si="75"/>
        <v>0</v>
      </c>
      <c r="C424" s="103"/>
      <c r="D424" s="53"/>
      <c r="E424" s="53"/>
      <c r="F424" s="53"/>
      <c r="G424" s="53"/>
      <c r="H424" s="53"/>
      <c r="I424" s="53"/>
      <c r="J424" s="103"/>
      <c r="K424" s="103"/>
      <c r="L424" s="53"/>
      <c r="M424" s="53"/>
      <c r="N424" s="53"/>
      <c r="O424" s="53"/>
      <c r="P424" s="53"/>
      <c r="Q424" s="53"/>
      <c r="R424" s="53"/>
      <c r="S424" s="53"/>
      <c r="T424" s="53"/>
      <c r="U424" s="53"/>
      <c r="V424" s="53"/>
      <c r="W424" s="53"/>
      <c r="X424" s="53"/>
      <c r="Y424" s="53"/>
      <c r="Z424" s="53"/>
      <c r="AA424" s="53"/>
      <c r="AB424" s="53"/>
      <c r="AC424" s="53"/>
      <c r="AD424" s="53"/>
      <c r="AE424" s="53"/>
      <c r="AF424" s="53"/>
      <c r="AG424" s="107"/>
      <c r="AH424" s="107">
        <f t="shared" si="76"/>
        <v>0</v>
      </c>
    </row>
    <row r="425" spans="1:34" ht="15" customHeight="1">
      <c r="A425" s="73" t="s">
        <v>155</v>
      </c>
      <c r="B425" s="70">
        <f t="shared" si="75"/>
        <v>0</v>
      </c>
      <c r="C425" s="103"/>
      <c r="D425" s="53"/>
      <c r="E425" s="53"/>
      <c r="F425" s="53"/>
      <c r="G425" s="53"/>
      <c r="H425" s="53"/>
      <c r="I425" s="53"/>
      <c r="J425" s="103"/>
      <c r="K425" s="103"/>
      <c r="L425" s="53"/>
      <c r="M425" s="53"/>
      <c r="N425" s="53"/>
      <c r="O425" s="53"/>
      <c r="P425" s="53"/>
      <c r="Q425" s="53"/>
      <c r="R425" s="53"/>
      <c r="S425" s="53"/>
      <c r="T425" s="53"/>
      <c r="U425" s="53"/>
      <c r="V425" s="53"/>
      <c r="W425" s="53"/>
      <c r="X425" s="53"/>
      <c r="Y425" s="53"/>
      <c r="Z425" s="53"/>
      <c r="AA425" s="53"/>
      <c r="AB425" s="53"/>
      <c r="AC425" s="53"/>
      <c r="AD425" s="53"/>
      <c r="AE425" s="53"/>
      <c r="AF425" s="53"/>
      <c r="AG425" s="107"/>
      <c r="AH425" s="107">
        <f t="shared" si="76"/>
        <v>0</v>
      </c>
    </row>
    <row r="426" spans="1:34" ht="15" customHeight="1">
      <c r="A426" s="73" t="s">
        <v>156</v>
      </c>
      <c r="B426" s="70">
        <f t="shared" si="75"/>
        <v>0</v>
      </c>
      <c r="C426" s="103"/>
      <c r="D426" s="103"/>
      <c r="E426" s="103"/>
      <c r="F426" s="103"/>
      <c r="G426" s="103"/>
      <c r="H426" s="103"/>
      <c r="I426" s="103"/>
      <c r="J426" s="103"/>
      <c r="K426" s="103"/>
      <c r="L426" s="103"/>
      <c r="M426" s="103"/>
      <c r="N426" s="103"/>
      <c r="O426" s="53"/>
      <c r="P426" s="53"/>
      <c r="Q426" s="53"/>
      <c r="R426" s="53"/>
      <c r="S426" s="53"/>
      <c r="T426" s="53"/>
      <c r="U426" s="53"/>
      <c r="V426" s="53"/>
      <c r="W426" s="53"/>
      <c r="X426" s="53"/>
      <c r="Y426" s="53"/>
      <c r="Z426" s="53"/>
      <c r="AA426" s="53"/>
      <c r="AB426" s="53"/>
      <c r="AC426" s="53"/>
      <c r="AD426" s="53"/>
      <c r="AE426" s="107"/>
      <c r="AF426" s="53"/>
      <c r="AG426" s="107"/>
      <c r="AH426" s="107">
        <f t="shared" si="76"/>
        <v>0</v>
      </c>
    </row>
    <row r="427" spans="1:34" ht="15" customHeight="1">
      <c r="A427" s="199" t="s">
        <v>144</v>
      </c>
      <c r="B427" s="201">
        <f>SUM(B415:B426)</f>
        <v>305.43700000000001</v>
      </c>
      <c r="C427" s="100">
        <f>SUM(C415:C425)</f>
        <v>0</v>
      </c>
      <c r="D427" s="107">
        <f>SUM(D415:D425)</f>
        <v>59.570999999999998</v>
      </c>
      <c r="E427" s="107">
        <v>0</v>
      </c>
      <c r="F427" s="107">
        <f t="shared" ref="F427:AC427" si="77">SUM(F415:F425)</f>
        <v>63.980000000000004</v>
      </c>
      <c r="G427" s="107">
        <f t="shared" si="77"/>
        <v>0</v>
      </c>
      <c r="H427" s="107">
        <f t="shared" si="77"/>
        <v>49.680000000000007</v>
      </c>
      <c r="I427" s="107">
        <f t="shared" si="77"/>
        <v>25.86</v>
      </c>
      <c r="J427" s="107">
        <f t="shared" si="77"/>
        <v>19.29</v>
      </c>
      <c r="K427" s="107">
        <f t="shared" si="77"/>
        <v>0</v>
      </c>
      <c r="L427" s="107">
        <f t="shared" si="77"/>
        <v>13.177</v>
      </c>
      <c r="M427" s="107">
        <f t="shared" si="77"/>
        <v>0</v>
      </c>
      <c r="N427" s="107">
        <f t="shared" si="77"/>
        <v>0</v>
      </c>
      <c r="O427" s="107">
        <f t="shared" si="77"/>
        <v>17</v>
      </c>
      <c r="P427" s="107">
        <f t="shared" si="77"/>
        <v>0</v>
      </c>
      <c r="Q427" s="107">
        <f t="shared" si="77"/>
        <v>0</v>
      </c>
      <c r="R427" s="107">
        <f t="shared" si="77"/>
        <v>0</v>
      </c>
      <c r="S427" s="107">
        <f t="shared" si="77"/>
        <v>0</v>
      </c>
      <c r="T427" s="107">
        <f t="shared" si="77"/>
        <v>0</v>
      </c>
      <c r="U427" s="107">
        <f t="shared" si="77"/>
        <v>0</v>
      </c>
      <c r="V427" s="107">
        <f t="shared" si="77"/>
        <v>0</v>
      </c>
      <c r="W427" s="107">
        <f t="shared" si="77"/>
        <v>7</v>
      </c>
      <c r="X427" s="107">
        <f t="shared" si="77"/>
        <v>0</v>
      </c>
      <c r="Y427" s="107">
        <f t="shared" si="77"/>
        <v>9.9600000000000009</v>
      </c>
      <c r="Z427" s="107">
        <f t="shared" si="77"/>
        <v>10.25</v>
      </c>
      <c r="AA427" s="107">
        <f t="shared" si="77"/>
        <v>0</v>
      </c>
      <c r="AB427" s="107">
        <f t="shared" si="77"/>
        <v>29.669</v>
      </c>
      <c r="AC427" s="107">
        <f t="shared" si="77"/>
        <v>0</v>
      </c>
      <c r="AD427" s="107">
        <v>0</v>
      </c>
      <c r="AE427" s="107">
        <f>SUM(AE415:AE425)</f>
        <v>0</v>
      </c>
      <c r="AF427" s="107">
        <f>SUM(AF415:AF425)</f>
        <v>0</v>
      </c>
      <c r="AG427" s="107">
        <f>SUM(AG415:AG425)</f>
        <v>0</v>
      </c>
      <c r="AH427" s="100">
        <f>SUM(AH415:AH426)</f>
        <v>305.43700000000001</v>
      </c>
    </row>
    <row r="428" spans="1:34" ht="5.0999999999999996" customHeight="1">
      <c r="A428" s="49"/>
      <c r="B428" s="49"/>
      <c r="C428" s="1"/>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c r="AG428" s="14"/>
      <c r="AH428" s="1"/>
    </row>
    <row r="429" spans="1:34">
      <c r="A429" s="3854" t="s">
        <v>274</v>
      </c>
      <c r="B429" s="3855"/>
      <c r="C429" s="3855"/>
      <c r="D429" s="3855"/>
      <c r="E429" s="3855"/>
      <c r="F429" s="3855"/>
      <c r="G429" s="3855"/>
      <c r="H429" s="3856"/>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c r="AG429" s="14"/>
      <c r="AH429" s="14"/>
    </row>
    <row r="430" spans="1:34">
      <c r="A430" s="8" t="s">
        <v>161</v>
      </c>
      <c r="B430" s="8" t="s">
        <v>143</v>
      </c>
      <c r="C430" s="2907">
        <v>1</v>
      </c>
      <c r="D430" s="73">
        <v>2</v>
      </c>
      <c r="E430" s="73">
        <v>3</v>
      </c>
      <c r="F430" s="73">
        <v>4</v>
      </c>
      <c r="G430" s="73">
        <v>5</v>
      </c>
      <c r="H430" s="73">
        <v>6</v>
      </c>
      <c r="I430" s="73">
        <v>7</v>
      </c>
      <c r="J430" s="73">
        <v>8</v>
      </c>
      <c r="K430" s="73">
        <v>9</v>
      </c>
      <c r="L430" s="73">
        <v>10</v>
      </c>
      <c r="M430" s="73">
        <v>11</v>
      </c>
      <c r="N430" s="73">
        <v>12</v>
      </c>
      <c r="O430" s="73">
        <v>13</v>
      </c>
      <c r="P430" s="73">
        <v>14</v>
      </c>
      <c r="Q430" s="73">
        <v>15</v>
      </c>
      <c r="R430" s="73">
        <v>16</v>
      </c>
      <c r="S430" s="73">
        <v>17</v>
      </c>
      <c r="T430" s="73">
        <v>18</v>
      </c>
      <c r="U430" s="73">
        <v>19</v>
      </c>
      <c r="V430" s="73">
        <v>20</v>
      </c>
      <c r="W430" s="73">
        <v>21</v>
      </c>
      <c r="X430" s="73">
        <v>22</v>
      </c>
      <c r="Y430" s="73">
        <v>23</v>
      </c>
      <c r="Z430" s="73">
        <v>24</v>
      </c>
      <c r="AA430" s="73">
        <v>25</v>
      </c>
      <c r="AB430" s="73">
        <v>26</v>
      </c>
      <c r="AC430" s="73">
        <v>27</v>
      </c>
      <c r="AD430" s="73">
        <v>28</v>
      </c>
      <c r="AE430" s="73">
        <v>29</v>
      </c>
      <c r="AF430" s="73">
        <v>30</v>
      </c>
      <c r="AG430" s="73">
        <v>31</v>
      </c>
      <c r="AH430" s="88" t="s">
        <v>144</v>
      </c>
    </row>
    <row r="431" spans="1:34">
      <c r="A431" s="73" t="s">
        <v>145</v>
      </c>
      <c r="B431" s="311">
        <f t="shared" ref="B431:B442" si="78">+AH431</f>
        <v>0</v>
      </c>
      <c r="C431" s="103"/>
      <c r="D431" s="53"/>
      <c r="E431" s="53"/>
      <c r="F431" s="53"/>
      <c r="G431" s="53"/>
      <c r="H431" s="53"/>
      <c r="I431" s="53"/>
      <c r="J431" s="53"/>
      <c r="K431" s="53"/>
      <c r="L431" s="53"/>
      <c r="M431" s="53"/>
      <c r="N431" s="53"/>
      <c r="O431" s="53"/>
      <c r="P431" s="53"/>
      <c r="Q431" s="53"/>
      <c r="R431" s="53"/>
      <c r="S431" s="53"/>
      <c r="T431" s="53"/>
      <c r="U431" s="53"/>
      <c r="V431" s="53"/>
      <c r="W431" s="53"/>
      <c r="X431" s="53"/>
      <c r="Y431" s="53"/>
      <c r="Z431" s="53"/>
      <c r="AA431" s="53"/>
      <c r="AB431" s="53"/>
      <c r="AC431" s="53"/>
      <c r="AD431" s="53"/>
      <c r="AE431" s="53"/>
      <c r="AF431" s="53"/>
      <c r="AG431" s="53"/>
      <c r="AH431" s="107">
        <f>SUM(C431:AG431)</f>
        <v>0</v>
      </c>
    </row>
    <row r="432" spans="1:34">
      <c r="A432" s="73" t="s">
        <v>146</v>
      </c>
      <c r="B432" s="311">
        <f t="shared" si="78"/>
        <v>0</v>
      </c>
      <c r="C432" s="103"/>
      <c r="D432" s="53"/>
      <c r="E432" s="53"/>
      <c r="F432" s="53"/>
      <c r="G432" s="53"/>
      <c r="H432" s="53"/>
      <c r="I432" s="53"/>
      <c r="J432" s="53"/>
      <c r="K432" s="53"/>
      <c r="L432" s="53"/>
      <c r="M432" s="53"/>
      <c r="N432" s="53"/>
      <c r="O432" s="53"/>
      <c r="P432" s="53"/>
      <c r="Q432" s="53"/>
      <c r="R432" s="53"/>
      <c r="S432" s="53"/>
      <c r="T432" s="53"/>
      <c r="U432" s="53"/>
      <c r="V432" s="53"/>
      <c r="W432" s="53"/>
      <c r="X432" s="53"/>
      <c r="Y432" s="53"/>
      <c r="Z432" s="53"/>
      <c r="AA432" s="53"/>
      <c r="AB432" s="53"/>
      <c r="AC432" s="53"/>
      <c r="AD432" s="53"/>
      <c r="AE432" s="53"/>
      <c r="AF432" s="53"/>
      <c r="AG432" s="53"/>
      <c r="AH432" s="107">
        <f t="shared" ref="AH432:AH442" si="79">SUM(C432:AG432)</f>
        <v>0</v>
      </c>
    </row>
    <row r="433" spans="1:34">
      <c r="A433" s="73" t="s">
        <v>147</v>
      </c>
      <c r="B433" s="311">
        <f t="shared" si="78"/>
        <v>0</v>
      </c>
      <c r="C433" s="103"/>
      <c r="D433" s="53"/>
      <c r="E433" s="53"/>
      <c r="F433" s="53"/>
      <c r="G433" s="53"/>
      <c r="H433" s="53"/>
      <c r="I433" s="53"/>
      <c r="J433" s="53"/>
      <c r="K433" s="53"/>
      <c r="L433" s="53"/>
      <c r="M433" s="53"/>
      <c r="N433" s="53"/>
      <c r="O433" s="53"/>
      <c r="P433" s="53"/>
      <c r="Q433" s="53"/>
      <c r="R433" s="53"/>
      <c r="S433" s="53"/>
      <c r="T433" s="53"/>
      <c r="U433" s="53"/>
      <c r="V433" s="53"/>
      <c r="W433" s="53"/>
      <c r="X433" s="53"/>
      <c r="Y433" s="53"/>
      <c r="Z433" s="53"/>
      <c r="AA433" s="53"/>
      <c r="AB433" s="53"/>
      <c r="AC433" s="53"/>
      <c r="AD433" s="53"/>
      <c r="AE433" s="53"/>
      <c r="AF433" s="53"/>
      <c r="AG433" s="53"/>
      <c r="AH433" s="107">
        <f t="shared" si="79"/>
        <v>0</v>
      </c>
    </row>
    <row r="434" spans="1:34">
      <c r="A434" s="73" t="s">
        <v>148</v>
      </c>
      <c r="B434" s="311">
        <f t="shared" si="78"/>
        <v>0</v>
      </c>
      <c r="C434" s="103"/>
      <c r="D434" s="53"/>
      <c r="E434" s="11"/>
      <c r="F434" s="53"/>
      <c r="G434" s="53"/>
      <c r="H434" s="53"/>
      <c r="I434" s="53"/>
      <c r="J434" s="53"/>
      <c r="K434" s="53"/>
      <c r="L434" s="53"/>
      <c r="M434" s="53"/>
      <c r="N434" s="53"/>
      <c r="O434" s="53"/>
      <c r="P434" s="53"/>
      <c r="Q434" s="53"/>
      <c r="R434" s="53"/>
      <c r="S434" s="53"/>
      <c r="T434" s="53"/>
      <c r="U434" s="53"/>
      <c r="V434" s="53"/>
      <c r="W434" s="53"/>
      <c r="X434" s="53"/>
      <c r="Y434" s="53"/>
      <c r="Z434" s="53"/>
      <c r="AA434" s="53"/>
      <c r="AB434" s="53"/>
      <c r="AC434" s="53"/>
      <c r="AD434" s="53"/>
      <c r="AE434" s="53"/>
      <c r="AF434" s="53"/>
      <c r="AG434" s="53"/>
      <c r="AH434" s="107">
        <f t="shared" si="79"/>
        <v>0</v>
      </c>
    </row>
    <row r="435" spans="1:34">
      <c r="A435" s="73" t="s">
        <v>149</v>
      </c>
      <c r="B435" s="311">
        <f t="shared" si="78"/>
        <v>0</v>
      </c>
      <c r="C435" s="103"/>
      <c r="D435" s="53"/>
      <c r="E435" s="53"/>
      <c r="F435" s="53"/>
      <c r="G435" s="53"/>
      <c r="H435" s="53"/>
      <c r="I435" s="53"/>
      <c r="J435" s="53"/>
      <c r="K435" s="53"/>
      <c r="L435" s="53"/>
      <c r="M435" s="53"/>
      <c r="N435" s="53"/>
      <c r="O435" s="53"/>
      <c r="P435" s="53"/>
      <c r="Q435" s="53"/>
      <c r="R435" s="53"/>
      <c r="S435" s="53"/>
      <c r="T435" s="53"/>
      <c r="U435" s="53"/>
      <c r="V435" s="53"/>
      <c r="W435" s="53"/>
      <c r="X435" s="53"/>
      <c r="Y435" s="53"/>
      <c r="Z435" s="53"/>
      <c r="AA435" s="53"/>
      <c r="AB435" s="53"/>
      <c r="AC435" s="53"/>
      <c r="AD435" s="53"/>
      <c r="AE435" s="53"/>
      <c r="AF435" s="53"/>
      <c r="AG435" s="53"/>
      <c r="AH435" s="107">
        <f t="shared" si="79"/>
        <v>0</v>
      </c>
    </row>
    <row r="436" spans="1:34">
      <c r="A436" s="73" t="s">
        <v>150</v>
      </c>
      <c r="B436" s="311">
        <f t="shared" si="78"/>
        <v>0</v>
      </c>
      <c r="C436" s="103"/>
      <c r="D436" s="53"/>
      <c r="E436" s="53"/>
      <c r="F436" s="53"/>
      <c r="G436" s="53"/>
      <c r="H436" s="53"/>
      <c r="I436" s="53"/>
      <c r="J436" s="53"/>
      <c r="K436" s="53"/>
      <c r="L436" s="53"/>
      <c r="M436" s="53"/>
      <c r="N436" s="53"/>
      <c r="O436" s="53"/>
      <c r="P436" s="53"/>
      <c r="Q436" s="53"/>
      <c r="R436" s="53"/>
      <c r="S436" s="53"/>
      <c r="T436" s="53"/>
      <c r="U436" s="53"/>
      <c r="V436" s="53"/>
      <c r="W436" s="53"/>
      <c r="X436" s="53"/>
      <c r="Y436" s="53"/>
      <c r="Z436" s="53"/>
      <c r="AA436" s="53"/>
      <c r="AB436" s="53"/>
      <c r="AC436" s="53"/>
      <c r="AD436" s="53"/>
      <c r="AE436" s="53"/>
      <c r="AF436" s="53"/>
      <c r="AG436" s="53"/>
      <c r="AH436" s="107">
        <f t="shared" si="79"/>
        <v>0</v>
      </c>
    </row>
    <row r="437" spans="1:34">
      <c r="A437" s="73" t="s">
        <v>151</v>
      </c>
      <c r="B437" s="311">
        <f t="shared" si="78"/>
        <v>0</v>
      </c>
      <c r="C437" s="103"/>
      <c r="D437" s="53"/>
      <c r="E437" s="53"/>
      <c r="F437" s="53"/>
      <c r="G437" s="53"/>
      <c r="H437" s="53"/>
      <c r="I437" s="53"/>
      <c r="J437" s="103"/>
      <c r="K437" s="103"/>
      <c r="L437" s="53"/>
      <c r="M437" s="53"/>
      <c r="N437" s="53"/>
      <c r="O437" s="53"/>
      <c r="P437" s="53"/>
      <c r="Q437" s="53"/>
      <c r="R437" s="53"/>
      <c r="S437" s="53"/>
      <c r="T437" s="53"/>
      <c r="U437" s="53"/>
      <c r="V437" s="53"/>
      <c r="W437" s="53"/>
      <c r="X437" s="53"/>
      <c r="Y437" s="53"/>
      <c r="Z437" s="53"/>
      <c r="AA437" s="53"/>
      <c r="AB437" s="53"/>
      <c r="AC437" s="53"/>
      <c r="AD437" s="53"/>
      <c r="AE437" s="53"/>
      <c r="AF437" s="53"/>
      <c r="AG437" s="53"/>
      <c r="AH437" s="107">
        <f t="shared" si="79"/>
        <v>0</v>
      </c>
    </row>
    <row r="438" spans="1:34">
      <c r="A438" s="73" t="s">
        <v>152</v>
      </c>
      <c r="B438" s="311">
        <f t="shared" si="78"/>
        <v>0</v>
      </c>
      <c r="C438" s="103"/>
      <c r="D438" s="53"/>
      <c r="E438" s="53"/>
      <c r="F438" s="53"/>
      <c r="G438" s="53"/>
      <c r="H438" s="53"/>
      <c r="I438" s="53"/>
      <c r="J438" s="103"/>
      <c r="K438" s="103"/>
      <c r="L438" s="53"/>
      <c r="M438" s="53"/>
      <c r="N438" s="53"/>
      <c r="O438" s="53"/>
      <c r="P438" s="53"/>
      <c r="Q438" s="53"/>
      <c r="R438" s="53"/>
      <c r="S438" s="53"/>
      <c r="T438" s="53"/>
      <c r="U438" s="53"/>
      <c r="V438" s="53"/>
      <c r="W438" s="53"/>
      <c r="X438" s="53"/>
      <c r="Y438" s="53"/>
      <c r="Z438" s="53"/>
      <c r="AA438" s="53"/>
      <c r="AB438" s="53"/>
      <c r="AC438" s="53"/>
      <c r="AD438" s="53"/>
      <c r="AE438" s="53"/>
      <c r="AF438" s="53"/>
      <c r="AG438" s="53"/>
      <c r="AH438" s="107">
        <f t="shared" si="79"/>
        <v>0</v>
      </c>
    </row>
    <row r="439" spans="1:34">
      <c r="A439" s="73" t="s">
        <v>153</v>
      </c>
      <c r="B439" s="311">
        <f t="shared" si="78"/>
        <v>0</v>
      </c>
      <c r="C439" s="103"/>
      <c r="D439" s="53"/>
      <c r="E439" s="53"/>
      <c r="F439" s="53"/>
      <c r="G439" s="53"/>
      <c r="H439" s="53"/>
      <c r="I439" s="53"/>
      <c r="J439" s="103"/>
      <c r="K439" s="103"/>
      <c r="L439" s="53"/>
      <c r="M439" s="53"/>
      <c r="N439" s="53"/>
      <c r="O439" s="53"/>
      <c r="P439" s="53"/>
      <c r="Q439" s="53"/>
      <c r="R439" s="53"/>
      <c r="S439" s="53"/>
      <c r="T439" s="53"/>
      <c r="U439" s="53"/>
      <c r="V439" s="53"/>
      <c r="W439" s="53"/>
      <c r="X439" s="53"/>
      <c r="Y439" s="53"/>
      <c r="Z439" s="53"/>
      <c r="AA439" s="53"/>
      <c r="AB439" s="53"/>
      <c r="AC439" s="53"/>
      <c r="AD439" s="53"/>
      <c r="AE439" s="53"/>
      <c r="AF439" s="53"/>
      <c r="AG439" s="53"/>
      <c r="AH439" s="107">
        <f t="shared" si="79"/>
        <v>0</v>
      </c>
    </row>
    <row r="440" spans="1:34">
      <c r="A440" s="73" t="s">
        <v>154</v>
      </c>
      <c r="B440" s="53">
        <f t="shared" si="78"/>
        <v>0</v>
      </c>
      <c r="C440" s="103"/>
      <c r="D440" s="107"/>
      <c r="E440" s="107"/>
      <c r="F440" s="107"/>
      <c r="G440" s="53"/>
      <c r="H440" s="53"/>
      <c r="I440" s="53"/>
      <c r="J440" s="53"/>
      <c r="K440" s="53"/>
      <c r="L440" s="53"/>
      <c r="M440" s="53"/>
      <c r="N440" s="53"/>
      <c r="O440" s="107"/>
      <c r="P440" s="53"/>
      <c r="Q440" s="53"/>
      <c r="R440" s="53"/>
      <c r="S440" s="53"/>
      <c r="T440" s="53"/>
      <c r="U440" s="53"/>
      <c r="V440" s="53"/>
      <c r="W440" s="53"/>
      <c r="X440" s="53"/>
      <c r="Y440" s="53"/>
      <c r="Z440" s="53"/>
      <c r="AA440" s="53"/>
      <c r="AB440" s="53"/>
      <c r="AC440" s="53"/>
      <c r="AD440" s="53"/>
      <c r="AE440" s="107"/>
      <c r="AF440" s="53"/>
      <c r="AG440" s="107"/>
      <c r="AH440" s="107">
        <f t="shared" si="79"/>
        <v>0</v>
      </c>
    </row>
    <row r="441" spans="1:34">
      <c r="A441" s="73" t="s">
        <v>155</v>
      </c>
      <c r="B441" s="53">
        <f t="shared" si="78"/>
        <v>0</v>
      </c>
      <c r="C441" s="103"/>
      <c r="D441" s="53"/>
      <c r="E441" s="53"/>
      <c r="F441" s="53"/>
      <c r="G441" s="53"/>
      <c r="H441" s="53"/>
      <c r="I441" s="53"/>
      <c r="J441" s="53"/>
      <c r="K441" s="53"/>
      <c r="L441" s="53"/>
      <c r="M441" s="53"/>
      <c r="N441" s="53"/>
      <c r="O441" s="53"/>
      <c r="P441" s="53"/>
      <c r="Q441" s="53"/>
      <c r="R441" s="53"/>
      <c r="S441" s="53"/>
      <c r="T441" s="53"/>
      <c r="U441" s="53"/>
      <c r="V441" s="53"/>
      <c r="W441" s="53"/>
      <c r="X441" s="53"/>
      <c r="Y441" s="53"/>
      <c r="Z441" s="53"/>
      <c r="AA441" s="53"/>
      <c r="AB441" s="53"/>
      <c r="AC441" s="53"/>
      <c r="AD441" s="53"/>
      <c r="AE441" s="103"/>
      <c r="AF441" s="53"/>
      <c r="AG441" s="53"/>
      <c r="AH441" s="107">
        <f t="shared" si="79"/>
        <v>0</v>
      </c>
    </row>
    <row r="442" spans="1:34">
      <c r="A442" s="73" t="s">
        <v>156</v>
      </c>
      <c r="B442" s="53">
        <f t="shared" si="78"/>
        <v>0</v>
      </c>
      <c r="C442" s="103"/>
      <c r="D442" s="53"/>
      <c r="E442" s="53"/>
      <c r="F442" s="53"/>
      <c r="G442" s="53"/>
      <c r="H442" s="53"/>
      <c r="I442" s="53"/>
      <c r="J442" s="53"/>
      <c r="K442" s="53"/>
      <c r="L442" s="53"/>
      <c r="M442" s="53"/>
      <c r="N442" s="53"/>
      <c r="O442" s="53"/>
      <c r="P442" s="53"/>
      <c r="Q442" s="53"/>
      <c r="R442" s="53"/>
      <c r="S442" s="53"/>
      <c r="T442" s="53"/>
      <c r="U442" s="53"/>
      <c r="V442" s="53"/>
      <c r="W442" s="53"/>
      <c r="X442" s="53"/>
      <c r="Y442" s="53"/>
      <c r="Z442" s="53"/>
      <c r="AA442" s="53"/>
      <c r="AB442" s="53"/>
      <c r="AC442" s="53"/>
      <c r="AD442" s="53"/>
      <c r="AE442" s="103"/>
      <c r="AF442" s="53"/>
      <c r="AG442" s="53"/>
      <c r="AH442" s="107">
        <f t="shared" si="79"/>
        <v>0</v>
      </c>
    </row>
    <row r="443" spans="1:34">
      <c r="A443" s="199" t="s">
        <v>144</v>
      </c>
      <c r="B443" s="200">
        <f>SUM(B431:B442)</f>
        <v>0</v>
      </c>
      <c r="C443" s="100">
        <f>SUM(C431:C441)</f>
        <v>0</v>
      </c>
      <c r="D443" s="107">
        <f>SUM(D431:D441)</f>
        <v>0</v>
      </c>
      <c r="E443" s="107">
        <v>0</v>
      </c>
      <c r="F443" s="107">
        <f t="shared" ref="F443:AC443" si="80">SUM(F431:F441)</f>
        <v>0</v>
      </c>
      <c r="G443" s="107">
        <f t="shared" si="80"/>
        <v>0</v>
      </c>
      <c r="H443" s="107">
        <f t="shared" si="80"/>
        <v>0</v>
      </c>
      <c r="I443" s="107">
        <f t="shared" si="80"/>
        <v>0</v>
      </c>
      <c r="J443" s="107">
        <f t="shared" si="80"/>
        <v>0</v>
      </c>
      <c r="K443" s="107">
        <f t="shared" si="80"/>
        <v>0</v>
      </c>
      <c r="L443" s="107">
        <f t="shared" si="80"/>
        <v>0</v>
      </c>
      <c r="M443" s="107">
        <f t="shared" si="80"/>
        <v>0</v>
      </c>
      <c r="N443" s="107">
        <f t="shared" si="80"/>
        <v>0</v>
      </c>
      <c r="O443" s="107">
        <f t="shared" si="80"/>
        <v>0</v>
      </c>
      <c r="P443" s="107">
        <f t="shared" si="80"/>
        <v>0</v>
      </c>
      <c r="Q443" s="107">
        <f t="shared" si="80"/>
        <v>0</v>
      </c>
      <c r="R443" s="107">
        <f t="shared" si="80"/>
        <v>0</v>
      </c>
      <c r="S443" s="107">
        <f t="shared" si="80"/>
        <v>0</v>
      </c>
      <c r="T443" s="107">
        <f t="shared" si="80"/>
        <v>0</v>
      </c>
      <c r="U443" s="107">
        <f t="shared" si="80"/>
        <v>0</v>
      </c>
      <c r="V443" s="107">
        <f t="shared" si="80"/>
        <v>0</v>
      </c>
      <c r="W443" s="107">
        <f t="shared" si="80"/>
        <v>0</v>
      </c>
      <c r="X443" s="107">
        <f t="shared" si="80"/>
        <v>0</v>
      </c>
      <c r="Y443" s="107">
        <f t="shared" si="80"/>
        <v>0</v>
      </c>
      <c r="Z443" s="107">
        <f t="shared" si="80"/>
        <v>0</v>
      </c>
      <c r="AA443" s="107">
        <f t="shared" si="80"/>
        <v>0</v>
      </c>
      <c r="AB443" s="107">
        <f t="shared" si="80"/>
        <v>0</v>
      </c>
      <c r="AC443" s="107">
        <f t="shared" si="80"/>
        <v>0</v>
      </c>
      <c r="AD443" s="107">
        <v>0</v>
      </c>
      <c r="AE443" s="107">
        <f>SUM(AE431:AE441)</f>
        <v>0</v>
      </c>
      <c r="AF443" s="107">
        <f>SUM(AF431:AF441)</f>
        <v>0</v>
      </c>
      <c r="AG443" s="107">
        <f>SUM(AG431:AG441)</f>
        <v>0</v>
      </c>
      <c r="AH443" s="100">
        <f>SUM(AH431:AH441)</f>
        <v>0</v>
      </c>
    </row>
    <row r="444" spans="1:34" ht="5.0999999999999996" customHeight="1">
      <c r="A444" s="49"/>
      <c r="B444" s="49"/>
      <c r="C444" s="1"/>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c r="AG444" s="14"/>
      <c r="AH444" s="1"/>
    </row>
    <row r="445" spans="1:34" ht="5.0999999999999996" customHeight="1">
      <c r="A445" s="49"/>
      <c r="B445" s="170"/>
      <c r="C445" s="1"/>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c r="AG445" s="14"/>
      <c r="AH445" s="14"/>
    </row>
    <row r="446" spans="1:34" ht="15" customHeight="1">
      <c r="A446" s="3854" t="s">
        <v>119</v>
      </c>
      <c r="B446" s="3855"/>
      <c r="C446" s="3855"/>
      <c r="D446" s="3855"/>
      <c r="E446" s="3855"/>
      <c r="F446" s="3855"/>
      <c r="G446" s="3855"/>
      <c r="H446" s="3856"/>
    </row>
    <row r="447" spans="1:34" ht="15" customHeight="1">
      <c r="A447" s="8" t="s">
        <v>161</v>
      </c>
      <c r="B447" s="172" t="s">
        <v>143</v>
      </c>
      <c r="C447" s="2907">
        <v>1</v>
      </c>
      <c r="D447" s="73">
        <v>2</v>
      </c>
      <c r="E447" s="73">
        <v>3</v>
      </c>
      <c r="F447" s="73">
        <v>4</v>
      </c>
      <c r="G447" s="73">
        <v>5</v>
      </c>
      <c r="H447" s="73">
        <v>6</v>
      </c>
      <c r="I447" s="73">
        <v>7</v>
      </c>
      <c r="J447" s="73">
        <v>8</v>
      </c>
      <c r="K447" s="73">
        <v>9</v>
      </c>
      <c r="L447" s="73">
        <v>10</v>
      </c>
      <c r="M447" s="73">
        <v>11</v>
      </c>
      <c r="N447" s="73">
        <v>12</v>
      </c>
      <c r="O447" s="73">
        <v>13</v>
      </c>
      <c r="P447" s="73">
        <v>14</v>
      </c>
      <c r="Q447" s="73">
        <v>15</v>
      </c>
      <c r="R447" s="73">
        <v>16</v>
      </c>
      <c r="S447" s="73">
        <v>17</v>
      </c>
      <c r="T447" s="73">
        <v>18</v>
      </c>
      <c r="U447" s="73">
        <v>19</v>
      </c>
      <c r="V447" s="73">
        <v>20</v>
      </c>
      <c r="W447" s="73">
        <v>21</v>
      </c>
      <c r="X447" s="73">
        <v>22</v>
      </c>
      <c r="Y447" s="73">
        <v>23</v>
      </c>
      <c r="Z447" s="73">
        <v>24</v>
      </c>
      <c r="AA447" s="73">
        <v>25</v>
      </c>
      <c r="AB447" s="73">
        <v>26</v>
      </c>
      <c r="AC447" s="73">
        <v>27</v>
      </c>
      <c r="AD447" s="73">
        <v>28</v>
      </c>
      <c r="AE447" s="73">
        <v>29</v>
      </c>
      <c r="AF447" s="73">
        <v>30</v>
      </c>
      <c r="AG447" s="73">
        <v>31</v>
      </c>
      <c r="AH447" s="88" t="s">
        <v>144</v>
      </c>
    </row>
    <row r="448" spans="1:34" ht="15" customHeight="1">
      <c r="A448" s="73" t="s">
        <v>145</v>
      </c>
      <c r="B448" s="313">
        <f t="shared" ref="B448:B459" si="81">+AH448</f>
        <v>0</v>
      </c>
      <c r="C448" s="103"/>
      <c r="D448" s="107"/>
      <c r="E448" s="107"/>
      <c r="F448" s="107"/>
      <c r="G448" s="53"/>
      <c r="H448" s="53"/>
      <c r="I448" s="53"/>
      <c r="J448" s="53"/>
      <c r="K448" s="53"/>
      <c r="L448" s="53"/>
      <c r="M448" s="53"/>
      <c r="N448" s="53"/>
      <c r="O448" s="53"/>
      <c r="P448" s="53"/>
      <c r="Q448" s="107"/>
      <c r="R448" s="53"/>
      <c r="S448" s="53"/>
      <c r="T448" s="53"/>
      <c r="U448" s="53"/>
      <c r="V448" s="107"/>
      <c r="W448" s="107"/>
      <c r="X448" s="53"/>
      <c r="Y448" s="53"/>
      <c r="Z448" s="53"/>
      <c r="AA448" s="53"/>
      <c r="AB448" s="53"/>
      <c r="AC448" s="53"/>
      <c r="AD448" s="107"/>
      <c r="AE448" s="53"/>
      <c r="AF448" s="53"/>
      <c r="AG448" s="53"/>
      <c r="AH448" s="107">
        <f>SUM(C448:AG448)</f>
        <v>0</v>
      </c>
    </row>
    <row r="449" spans="1:34" ht="15" customHeight="1">
      <c r="A449" s="73" t="s">
        <v>146</v>
      </c>
      <c r="B449" s="313">
        <f t="shared" si="81"/>
        <v>15.713000000000001</v>
      </c>
      <c r="C449" s="103"/>
      <c r="D449" s="53">
        <v>12.131</v>
      </c>
      <c r="E449" s="53"/>
      <c r="F449" s="53"/>
      <c r="G449" s="53"/>
      <c r="H449" s="53"/>
      <c r="I449" s="53"/>
      <c r="J449" s="53"/>
      <c r="K449" s="53">
        <v>2.6819999999999999</v>
      </c>
      <c r="L449" s="53"/>
      <c r="M449" s="53"/>
      <c r="N449" s="53"/>
      <c r="O449" s="53"/>
      <c r="P449" s="53"/>
      <c r="Q449" s="53"/>
      <c r="R449" s="53"/>
      <c r="S449" s="53"/>
      <c r="T449" s="53"/>
      <c r="U449" s="53"/>
      <c r="V449" s="53">
        <v>0.9</v>
      </c>
      <c r="W449" s="53"/>
      <c r="X449" s="53"/>
      <c r="Y449" s="53"/>
      <c r="Z449" s="53"/>
      <c r="AA449" s="53"/>
      <c r="AB449" s="53"/>
      <c r="AC449" s="53"/>
      <c r="AD449" s="53"/>
      <c r="AE449" s="53"/>
      <c r="AF449" s="53"/>
      <c r="AG449" s="53"/>
      <c r="AH449" s="107">
        <f t="shared" ref="AH449:AH459" si="82">SUM(C449:AG449)</f>
        <v>15.713000000000001</v>
      </c>
    </row>
    <row r="450" spans="1:34" ht="15" customHeight="1">
      <c r="A450" s="73" t="s">
        <v>147</v>
      </c>
      <c r="B450" s="313">
        <f t="shared" si="81"/>
        <v>0.02</v>
      </c>
      <c r="C450" s="100"/>
      <c r="D450" s="107"/>
      <c r="E450" s="107"/>
      <c r="F450" s="107"/>
      <c r="G450" s="107"/>
      <c r="H450" s="107"/>
      <c r="I450" s="107">
        <v>0.02</v>
      </c>
      <c r="J450" s="107"/>
      <c r="K450" s="107"/>
      <c r="L450" s="107"/>
      <c r="M450" s="107"/>
      <c r="N450" s="107"/>
      <c r="O450" s="107"/>
      <c r="P450" s="107"/>
      <c r="Q450" s="107"/>
      <c r="R450" s="107"/>
      <c r="S450" s="107"/>
      <c r="T450" s="107"/>
      <c r="U450" s="107"/>
      <c r="V450" s="107"/>
      <c r="W450" s="107"/>
      <c r="X450" s="107"/>
      <c r="Y450" s="107"/>
      <c r="Z450" s="107"/>
      <c r="AA450" s="107"/>
      <c r="AB450" s="107"/>
      <c r="AC450" s="107"/>
      <c r="AD450" s="107"/>
      <c r="AE450" s="107"/>
      <c r="AF450" s="107"/>
      <c r="AG450" s="107"/>
      <c r="AH450" s="107">
        <f t="shared" si="82"/>
        <v>0.02</v>
      </c>
    </row>
    <row r="451" spans="1:34" ht="15" customHeight="1">
      <c r="A451" s="73" t="s">
        <v>148</v>
      </c>
      <c r="B451" s="313">
        <f t="shared" si="81"/>
        <v>0</v>
      </c>
      <c r="C451" s="103"/>
      <c r="D451" s="107"/>
      <c r="E451" s="107"/>
      <c r="F451" s="107"/>
      <c r="G451" s="53"/>
      <c r="H451" s="53"/>
      <c r="I451" s="53"/>
      <c r="J451" s="107"/>
      <c r="K451" s="107"/>
      <c r="L451" s="107"/>
      <c r="M451" s="107"/>
      <c r="N451" s="107"/>
      <c r="O451" s="107"/>
      <c r="P451" s="107"/>
      <c r="Q451" s="107"/>
      <c r="R451" s="107"/>
      <c r="S451" s="107"/>
      <c r="T451" s="107"/>
      <c r="U451" s="107"/>
      <c r="V451" s="107"/>
      <c r="W451" s="107"/>
      <c r="X451" s="107"/>
      <c r="Y451" s="107"/>
      <c r="Z451" s="107"/>
      <c r="AA451" s="107"/>
      <c r="AB451" s="107"/>
      <c r="AC451" s="107"/>
      <c r="AD451" s="107"/>
      <c r="AE451" s="107"/>
      <c r="AF451" s="107"/>
      <c r="AG451" s="107"/>
      <c r="AH451" s="107">
        <f t="shared" si="82"/>
        <v>0</v>
      </c>
    </row>
    <row r="452" spans="1:34" ht="15" customHeight="1">
      <c r="A452" s="73" t="s">
        <v>149</v>
      </c>
      <c r="B452" s="313">
        <f t="shared" si="81"/>
        <v>0</v>
      </c>
      <c r="C452" s="103"/>
      <c r="D452" s="53"/>
      <c r="E452" s="53"/>
      <c r="F452" s="53"/>
      <c r="G452" s="53"/>
      <c r="H452" s="53"/>
      <c r="I452" s="53"/>
      <c r="J452" s="107"/>
      <c r="K452" s="107"/>
      <c r="L452" s="107"/>
      <c r="M452" s="107"/>
      <c r="N452" s="107"/>
      <c r="O452" s="107"/>
      <c r="P452" s="107"/>
      <c r="Q452" s="107"/>
      <c r="R452" s="107"/>
      <c r="S452" s="107"/>
      <c r="T452" s="107"/>
      <c r="U452" s="107"/>
      <c r="V452" s="107"/>
      <c r="W452" s="107"/>
      <c r="X452" s="107"/>
      <c r="Y452" s="107"/>
      <c r="Z452" s="107"/>
      <c r="AA452" s="107"/>
      <c r="AB452" s="107"/>
      <c r="AC452" s="107"/>
      <c r="AD452" s="107"/>
      <c r="AE452" s="107"/>
      <c r="AF452" s="107"/>
      <c r="AG452" s="107"/>
      <c r="AH452" s="107">
        <f t="shared" si="82"/>
        <v>0</v>
      </c>
    </row>
    <row r="453" spans="1:34" ht="15" customHeight="1">
      <c r="A453" s="73" t="s">
        <v>150</v>
      </c>
      <c r="B453" s="313">
        <f t="shared" si="81"/>
        <v>0</v>
      </c>
      <c r="C453" s="100"/>
      <c r="D453" s="107"/>
      <c r="E453" s="107"/>
      <c r="F453" s="107"/>
      <c r="G453" s="107"/>
      <c r="H453" s="107"/>
      <c r="I453" s="107"/>
      <c r="J453" s="107"/>
      <c r="K453" s="107"/>
      <c r="L453" s="107"/>
      <c r="M453" s="107"/>
      <c r="N453" s="107"/>
      <c r="O453" s="107"/>
      <c r="P453" s="107"/>
      <c r="Q453" s="107"/>
      <c r="R453" s="107"/>
      <c r="S453" s="107"/>
      <c r="T453" s="107"/>
      <c r="U453" s="107"/>
      <c r="V453" s="107"/>
      <c r="W453" s="107"/>
      <c r="X453" s="107"/>
      <c r="Y453" s="107"/>
      <c r="Z453" s="107"/>
      <c r="AA453" s="107"/>
      <c r="AB453" s="107"/>
      <c r="AC453" s="107"/>
      <c r="AD453" s="107"/>
      <c r="AE453" s="107"/>
      <c r="AF453" s="107"/>
      <c r="AG453" s="107"/>
      <c r="AH453" s="107">
        <f t="shared" si="82"/>
        <v>0</v>
      </c>
    </row>
    <row r="454" spans="1:34" ht="15" customHeight="1">
      <c r="A454" s="73" t="s">
        <v>151</v>
      </c>
      <c r="B454" s="313">
        <f t="shared" si="81"/>
        <v>0</v>
      </c>
      <c r="C454" s="103"/>
      <c r="D454" s="107"/>
      <c r="E454" s="107"/>
      <c r="F454" s="107"/>
      <c r="G454" s="53"/>
      <c r="H454" s="53"/>
      <c r="I454" s="53"/>
      <c r="J454" s="111"/>
      <c r="K454" s="111"/>
      <c r="L454" s="107"/>
      <c r="M454" s="107"/>
      <c r="N454" s="107"/>
      <c r="O454" s="107"/>
      <c r="P454" s="107"/>
      <c r="Q454" s="107"/>
      <c r="R454" s="107"/>
      <c r="S454" s="107"/>
      <c r="T454" s="107"/>
      <c r="U454" s="107"/>
      <c r="V454" s="107"/>
      <c r="W454" s="107"/>
      <c r="X454" s="107"/>
      <c r="Y454" s="107"/>
      <c r="Z454" s="107"/>
      <c r="AA454" s="107"/>
      <c r="AB454" s="107"/>
      <c r="AC454" s="107"/>
      <c r="AD454" s="107"/>
      <c r="AE454" s="107"/>
      <c r="AF454" s="107"/>
      <c r="AG454" s="107"/>
      <c r="AH454" s="107">
        <f t="shared" si="82"/>
        <v>0</v>
      </c>
    </row>
    <row r="455" spans="1:34" ht="15" customHeight="1">
      <c r="A455" s="73" t="s">
        <v>152</v>
      </c>
      <c r="B455" s="313">
        <f t="shared" si="81"/>
        <v>0</v>
      </c>
      <c r="C455" s="103"/>
      <c r="D455" s="53"/>
      <c r="E455" s="53"/>
      <c r="F455" s="53"/>
      <c r="G455" s="53"/>
      <c r="H455" s="53"/>
      <c r="I455" s="53"/>
      <c r="J455" s="111"/>
      <c r="K455" s="111"/>
      <c r="L455" s="107"/>
      <c r="M455" s="107"/>
      <c r="N455" s="107"/>
      <c r="O455" s="107"/>
      <c r="P455" s="107"/>
      <c r="Q455" s="107"/>
      <c r="R455" s="107"/>
      <c r="S455" s="107"/>
      <c r="T455" s="107"/>
      <c r="U455" s="107"/>
      <c r="V455" s="107"/>
      <c r="W455" s="107"/>
      <c r="X455" s="107"/>
      <c r="Y455" s="107"/>
      <c r="Z455" s="107"/>
      <c r="AA455" s="107"/>
      <c r="AB455" s="107"/>
      <c r="AC455" s="107"/>
      <c r="AD455" s="107"/>
      <c r="AE455" s="107"/>
      <c r="AF455" s="107"/>
      <c r="AG455" s="107"/>
      <c r="AH455" s="107">
        <f t="shared" si="82"/>
        <v>0</v>
      </c>
    </row>
    <row r="456" spans="1:34" ht="15" customHeight="1">
      <c r="A456" s="73" t="s">
        <v>153</v>
      </c>
      <c r="B456" s="313">
        <f t="shared" si="81"/>
        <v>0</v>
      </c>
      <c r="C456" s="100"/>
      <c r="D456" s="107"/>
      <c r="E456" s="107"/>
      <c r="F456" s="107"/>
      <c r="G456" s="107"/>
      <c r="H456" s="107"/>
      <c r="I456" s="107"/>
      <c r="J456" s="111"/>
      <c r="K456" s="111"/>
      <c r="L456" s="53"/>
      <c r="M456" s="53"/>
      <c r="N456" s="53"/>
      <c r="O456" s="53"/>
      <c r="P456" s="53"/>
      <c r="Q456" s="53"/>
      <c r="R456" s="53"/>
      <c r="S456" s="53"/>
      <c r="T456" s="53"/>
      <c r="U456" s="53"/>
      <c r="V456" s="53"/>
      <c r="W456" s="53"/>
      <c r="X456" s="53"/>
      <c r="Y456" s="53"/>
      <c r="Z456" s="53"/>
      <c r="AA456" s="53"/>
      <c r="AB456" s="53"/>
      <c r="AC456" s="53"/>
      <c r="AD456" s="53"/>
      <c r="AE456" s="53"/>
      <c r="AF456" s="53"/>
      <c r="AG456" s="53"/>
      <c r="AH456" s="107">
        <f t="shared" si="82"/>
        <v>0</v>
      </c>
    </row>
    <row r="457" spans="1:34" ht="15" customHeight="1">
      <c r="A457" s="73" t="s">
        <v>154</v>
      </c>
      <c r="B457" s="319">
        <f t="shared" si="81"/>
        <v>0</v>
      </c>
      <c r="C457" s="103"/>
      <c r="D457" s="107"/>
      <c r="E457" s="107"/>
      <c r="F457" s="107"/>
      <c r="G457" s="53"/>
      <c r="H457" s="53"/>
      <c r="I457" s="53"/>
      <c r="J457" s="53"/>
      <c r="K457" s="53"/>
      <c r="L457" s="53"/>
      <c r="M457" s="53"/>
      <c r="N457" s="53"/>
      <c r="O457" s="107"/>
      <c r="P457" s="53"/>
      <c r="Q457" s="53"/>
      <c r="R457" s="53"/>
      <c r="S457" s="53"/>
      <c r="T457" s="53"/>
      <c r="U457" s="53"/>
      <c r="V457" s="53"/>
      <c r="W457" s="53"/>
      <c r="X457" s="53"/>
      <c r="Y457" s="53"/>
      <c r="Z457" s="53"/>
      <c r="AA457" s="53"/>
      <c r="AB457" s="53"/>
      <c r="AC457" s="53"/>
      <c r="AD457" s="53"/>
      <c r="AE457" s="107"/>
      <c r="AF457" s="53"/>
      <c r="AG457" s="107"/>
      <c r="AH457" s="107">
        <f t="shared" si="82"/>
        <v>0</v>
      </c>
    </row>
    <row r="458" spans="1:34" ht="15" customHeight="1">
      <c r="A458" s="73" t="s">
        <v>155</v>
      </c>
      <c r="B458" s="70">
        <f t="shared" si="81"/>
        <v>0</v>
      </c>
      <c r="C458" s="103"/>
      <c r="D458" s="53"/>
      <c r="E458" s="53"/>
      <c r="F458" s="53"/>
      <c r="G458" s="53"/>
      <c r="H458" s="53"/>
      <c r="I458" s="53"/>
      <c r="J458" s="53"/>
      <c r="K458" s="53"/>
      <c r="L458" s="53"/>
      <c r="M458" s="53"/>
      <c r="N458" s="53"/>
      <c r="O458" s="53"/>
      <c r="P458" s="53"/>
      <c r="Q458" s="53"/>
      <c r="R458" s="53"/>
      <c r="S458" s="53"/>
      <c r="T458" s="53"/>
      <c r="U458" s="53"/>
      <c r="V458" s="53"/>
      <c r="W458" s="53"/>
      <c r="X458" s="53"/>
      <c r="Y458" s="53"/>
      <c r="Z458" s="53"/>
      <c r="AA458" s="53"/>
      <c r="AB458" s="53"/>
      <c r="AC458" s="53"/>
      <c r="AD458" s="53"/>
      <c r="AE458" s="107"/>
      <c r="AF458" s="53"/>
      <c r="AG458" s="107"/>
      <c r="AH458" s="107">
        <f t="shared" si="82"/>
        <v>0</v>
      </c>
    </row>
    <row r="459" spans="1:34" ht="15" customHeight="1">
      <c r="A459" s="73" t="s">
        <v>156</v>
      </c>
      <c r="B459" s="70">
        <f t="shared" si="81"/>
        <v>0</v>
      </c>
      <c r="C459" s="103"/>
      <c r="D459" s="53"/>
      <c r="E459" s="53"/>
      <c r="F459" s="53"/>
      <c r="G459" s="53"/>
      <c r="H459" s="53"/>
      <c r="I459" s="53"/>
      <c r="J459" s="53"/>
      <c r="K459" s="53"/>
      <c r="L459" s="53"/>
      <c r="M459" s="53"/>
      <c r="N459" s="53"/>
      <c r="O459" s="53"/>
      <c r="P459" s="53"/>
      <c r="Q459" s="53"/>
      <c r="R459" s="53"/>
      <c r="S459" s="53"/>
      <c r="T459" s="53"/>
      <c r="U459" s="53"/>
      <c r="V459" s="53"/>
      <c r="W459" s="53"/>
      <c r="X459" s="53"/>
      <c r="Y459" s="53"/>
      <c r="Z459" s="53"/>
      <c r="AA459" s="53"/>
      <c r="AB459" s="53"/>
      <c r="AC459" s="53"/>
      <c r="AD459" s="53"/>
      <c r="AE459" s="107"/>
      <c r="AF459" s="53"/>
      <c r="AG459" s="107"/>
      <c r="AH459" s="107">
        <f t="shared" si="82"/>
        <v>0</v>
      </c>
    </row>
    <row r="460" spans="1:34" ht="15" customHeight="1">
      <c r="A460" s="199" t="s">
        <v>144</v>
      </c>
      <c r="B460" s="201">
        <f>SUM(B448:B459)</f>
        <v>15.733000000000001</v>
      </c>
      <c r="C460" s="100">
        <f>SUM(C448:C458)</f>
        <v>0</v>
      </c>
      <c r="D460" s="107">
        <f>SUM(D448:D458)</f>
        <v>12.131</v>
      </c>
      <c r="E460" s="107">
        <v>0</v>
      </c>
      <c r="F460" s="107">
        <f t="shared" ref="F460:AC460" si="83">SUM(F448:F458)</f>
        <v>0</v>
      </c>
      <c r="G460" s="107">
        <f t="shared" si="83"/>
        <v>0</v>
      </c>
      <c r="H460" s="107">
        <f t="shared" si="83"/>
        <v>0</v>
      </c>
      <c r="I460" s="107">
        <f t="shared" si="83"/>
        <v>0.02</v>
      </c>
      <c r="J460" s="107">
        <f t="shared" si="83"/>
        <v>0</v>
      </c>
      <c r="K460" s="107">
        <f t="shared" si="83"/>
        <v>2.6819999999999999</v>
      </c>
      <c r="L460" s="107">
        <f t="shared" si="83"/>
        <v>0</v>
      </c>
      <c r="M460" s="107">
        <f t="shared" si="83"/>
        <v>0</v>
      </c>
      <c r="N460" s="107">
        <f t="shared" si="83"/>
        <v>0</v>
      </c>
      <c r="O460" s="107">
        <f t="shared" si="83"/>
        <v>0</v>
      </c>
      <c r="P460" s="107">
        <f t="shared" si="83"/>
        <v>0</v>
      </c>
      <c r="Q460" s="107">
        <f t="shared" si="83"/>
        <v>0</v>
      </c>
      <c r="R460" s="107">
        <f t="shared" si="83"/>
        <v>0</v>
      </c>
      <c r="S460" s="107">
        <f t="shared" si="83"/>
        <v>0</v>
      </c>
      <c r="T460" s="107">
        <f t="shared" si="83"/>
        <v>0</v>
      </c>
      <c r="U460" s="107">
        <f t="shared" si="83"/>
        <v>0</v>
      </c>
      <c r="V460" s="107">
        <f t="shared" si="83"/>
        <v>0.9</v>
      </c>
      <c r="W460" s="107">
        <f t="shared" si="83"/>
        <v>0</v>
      </c>
      <c r="X460" s="107">
        <f t="shared" si="83"/>
        <v>0</v>
      </c>
      <c r="Y460" s="107">
        <f t="shared" si="83"/>
        <v>0</v>
      </c>
      <c r="Z460" s="107">
        <f t="shared" si="83"/>
        <v>0</v>
      </c>
      <c r="AA460" s="107">
        <f t="shared" si="83"/>
        <v>0</v>
      </c>
      <c r="AB460" s="107">
        <f t="shared" si="83"/>
        <v>0</v>
      </c>
      <c r="AC460" s="107">
        <f t="shared" si="83"/>
        <v>0</v>
      </c>
      <c r="AD460" s="107">
        <v>0</v>
      </c>
      <c r="AE460" s="107">
        <f>SUM(AE448:AE458)</f>
        <v>0</v>
      </c>
      <c r="AF460" s="107">
        <f>SUM(AF448:AF458)</f>
        <v>0</v>
      </c>
      <c r="AG460" s="107">
        <f>SUM(AG448:AG458)</f>
        <v>0</v>
      </c>
      <c r="AH460" s="100">
        <f>SUM(AH448:AH459)</f>
        <v>15.733000000000001</v>
      </c>
    </row>
    <row r="461" spans="1:34" ht="5.0999999999999996" customHeight="1">
      <c r="A461" s="49"/>
      <c r="B461" s="49"/>
      <c r="C461" s="1"/>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c r="AG461" s="14"/>
      <c r="AH461" s="1"/>
    </row>
    <row r="462" spans="1:34">
      <c r="A462" s="3854" t="s">
        <v>276</v>
      </c>
      <c r="B462" s="3855"/>
      <c r="C462" s="3855"/>
      <c r="D462" s="3855"/>
      <c r="E462" s="3855"/>
      <c r="F462" s="3855"/>
      <c r="G462" s="3855"/>
      <c r="H462" s="3856"/>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14"/>
      <c r="AG462" s="14"/>
      <c r="AH462" s="14"/>
    </row>
    <row r="463" spans="1:34">
      <c r="A463" s="8" t="s">
        <v>142</v>
      </c>
      <c r="B463" s="8" t="s">
        <v>143</v>
      </c>
      <c r="C463" s="2907">
        <v>1</v>
      </c>
      <c r="D463" s="73">
        <v>2</v>
      </c>
      <c r="E463" s="73">
        <v>3</v>
      </c>
      <c r="F463" s="73">
        <v>4</v>
      </c>
      <c r="G463" s="73">
        <v>5</v>
      </c>
      <c r="H463" s="73">
        <v>6</v>
      </c>
      <c r="I463" s="73">
        <v>7</v>
      </c>
      <c r="J463" s="73">
        <v>8</v>
      </c>
      <c r="K463" s="73">
        <v>9</v>
      </c>
      <c r="L463" s="73">
        <v>10</v>
      </c>
      <c r="M463" s="73">
        <v>11</v>
      </c>
      <c r="N463" s="73">
        <v>12</v>
      </c>
      <c r="O463" s="73">
        <v>13</v>
      </c>
      <c r="P463" s="73">
        <v>14</v>
      </c>
      <c r="Q463" s="73">
        <v>15</v>
      </c>
      <c r="R463" s="73">
        <v>16</v>
      </c>
      <c r="S463" s="73">
        <v>17</v>
      </c>
      <c r="T463" s="73">
        <v>18</v>
      </c>
      <c r="U463" s="73">
        <v>19</v>
      </c>
      <c r="V463" s="73">
        <v>20</v>
      </c>
      <c r="W463" s="73">
        <v>21</v>
      </c>
      <c r="X463" s="73">
        <v>22</v>
      </c>
      <c r="Y463" s="73">
        <v>23</v>
      </c>
      <c r="Z463" s="73">
        <v>24</v>
      </c>
      <c r="AA463" s="73">
        <v>25</v>
      </c>
      <c r="AB463" s="73">
        <v>26</v>
      </c>
      <c r="AC463" s="73">
        <v>27</v>
      </c>
      <c r="AD463" s="73">
        <v>28</v>
      </c>
      <c r="AE463" s="73">
        <v>29</v>
      </c>
      <c r="AF463" s="73">
        <v>30</v>
      </c>
      <c r="AG463" s="73">
        <v>31</v>
      </c>
      <c r="AH463" s="88" t="s">
        <v>144</v>
      </c>
    </row>
    <row r="464" spans="1:34">
      <c r="A464" s="73" t="s">
        <v>145</v>
      </c>
      <c r="B464" s="311">
        <f t="shared" ref="B464:B475" si="84">+AH464</f>
        <v>0</v>
      </c>
      <c r="C464" s="103"/>
      <c r="D464" s="107"/>
      <c r="E464" s="107"/>
      <c r="F464" s="107"/>
      <c r="G464" s="53"/>
      <c r="H464" s="53"/>
      <c r="I464" s="53"/>
      <c r="J464" s="53"/>
      <c r="K464" s="53"/>
      <c r="L464" s="53"/>
      <c r="M464" s="53"/>
      <c r="N464" s="53"/>
      <c r="O464" s="53"/>
      <c r="P464" s="53"/>
      <c r="Q464" s="107"/>
      <c r="R464" s="53"/>
      <c r="S464" s="53"/>
      <c r="T464" s="53"/>
      <c r="U464" s="53"/>
      <c r="V464" s="107"/>
      <c r="W464" s="107"/>
      <c r="X464" s="53"/>
      <c r="Y464" s="53"/>
      <c r="Z464" s="53"/>
      <c r="AA464" s="53"/>
      <c r="AB464" s="53"/>
      <c r="AC464" s="53"/>
      <c r="AD464" s="107"/>
      <c r="AE464" s="53"/>
      <c r="AF464" s="53"/>
      <c r="AG464" s="53"/>
      <c r="AH464" s="107">
        <f>SUM(C464:AG464)</f>
        <v>0</v>
      </c>
    </row>
    <row r="465" spans="1:34">
      <c r="A465" s="73" t="s">
        <v>146</v>
      </c>
      <c r="B465" s="311">
        <f t="shared" si="84"/>
        <v>0</v>
      </c>
      <c r="C465" s="103"/>
      <c r="D465" s="53"/>
      <c r="E465" s="53"/>
      <c r="F465" s="53"/>
      <c r="G465" s="53"/>
      <c r="H465" s="53"/>
      <c r="I465" s="53"/>
      <c r="J465" s="53"/>
      <c r="K465" s="53"/>
      <c r="L465" s="53"/>
      <c r="M465" s="53"/>
      <c r="N465" s="53"/>
      <c r="O465" s="53"/>
      <c r="P465" s="53"/>
      <c r="Q465" s="53"/>
      <c r="R465" s="53"/>
      <c r="S465" s="53"/>
      <c r="T465" s="53"/>
      <c r="U465" s="53"/>
      <c r="V465" s="53"/>
      <c r="W465" s="53"/>
      <c r="X465" s="53"/>
      <c r="Y465" s="53"/>
      <c r="Z465" s="53"/>
      <c r="AA465" s="53"/>
      <c r="AB465" s="53"/>
      <c r="AC465" s="53"/>
      <c r="AD465" s="53"/>
      <c r="AE465" s="53"/>
      <c r="AF465" s="53"/>
      <c r="AG465" s="53"/>
      <c r="AH465" s="107">
        <f t="shared" ref="AH465:AH475" si="85">SUM(C465:AG465)</f>
        <v>0</v>
      </c>
    </row>
    <row r="466" spans="1:34">
      <c r="A466" s="73" t="s">
        <v>147</v>
      </c>
      <c r="B466" s="311">
        <f t="shared" si="84"/>
        <v>0</v>
      </c>
      <c r="C466" s="100"/>
      <c r="D466" s="107"/>
      <c r="E466" s="107"/>
      <c r="F466" s="107"/>
      <c r="G466" s="107"/>
      <c r="H466" s="107"/>
      <c r="I466" s="107"/>
      <c r="J466" s="107"/>
      <c r="K466" s="107"/>
      <c r="L466" s="107"/>
      <c r="M466" s="107"/>
      <c r="N466" s="107"/>
      <c r="O466" s="107"/>
      <c r="P466" s="107"/>
      <c r="Q466" s="107"/>
      <c r="R466" s="107"/>
      <c r="S466" s="107"/>
      <c r="T466" s="107"/>
      <c r="U466" s="107"/>
      <c r="V466" s="107"/>
      <c r="W466" s="107"/>
      <c r="X466" s="107"/>
      <c r="Y466" s="107"/>
      <c r="Z466" s="107"/>
      <c r="AA466" s="107"/>
      <c r="AB466" s="107"/>
      <c r="AC466" s="107"/>
      <c r="AD466" s="107"/>
      <c r="AE466" s="107"/>
      <c r="AF466" s="107"/>
      <c r="AG466" s="107"/>
      <c r="AH466" s="107">
        <f t="shared" si="85"/>
        <v>0</v>
      </c>
    </row>
    <row r="467" spans="1:34">
      <c r="A467" s="73" t="s">
        <v>148</v>
      </c>
      <c r="B467" s="311">
        <f t="shared" si="84"/>
        <v>0</v>
      </c>
      <c r="C467" s="103"/>
      <c r="D467" s="107"/>
      <c r="E467" s="107"/>
      <c r="F467" s="107"/>
      <c r="G467" s="53"/>
      <c r="H467" s="53"/>
      <c r="I467" s="53"/>
      <c r="J467" s="107"/>
      <c r="K467" s="107"/>
      <c r="L467" s="107"/>
      <c r="M467" s="107"/>
      <c r="N467" s="107"/>
      <c r="O467" s="107"/>
      <c r="P467" s="107"/>
      <c r="Q467" s="107"/>
      <c r="R467" s="107"/>
      <c r="S467" s="107"/>
      <c r="T467" s="107"/>
      <c r="U467" s="107"/>
      <c r="V467" s="107"/>
      <c r="W467" s="107"/>
      <c r="X467" s="107"/>
      <c r="Y467" s="107"/>
      <c r="Z467" s="107"/>
      <c r="AA467" s="107"/>
      <c r="AB467" s="107"/>
      <c r="AC467" s="107"/>
      <c r="AD467" s="107"/>
      <c r="AE467" s="107"/>
      <c r="AF467" s="107"/>
      <c r="AG467" s="107"/>
      <c r="AH467" s="107">
        <f t="shared" si="85"/>
        <v>0</v>
      </c>
    </row>
    <row r="468" spans="1:34">
      <c r="A468" s="73" t="s">
        <v>149</v>
      </c>
      <c r="B468" s="311">
        <f t="shared" si="84"/>
        <v>0</v>
      </c>
      <c r="C468" s="103"/>
      <c r="D468" s="53"/>
      <c r="E468" s="53"/>
      <c r="F468" s="53"/>
      <c r="G468" s="53"/>
      <c r="H468" s="53"/>
      <c r="I468" s="53"/>
      <c r="J468" s="107"/>
      <c r="K468" s="107"/>
      <c r="L468" s="107"/>
      <c r="M468" s="107"/>
      <c r="N468" s="107"/>
      <c r="O468" s="107"/>
      <c r="P468" s="107"/>
      <c r="Q468" s="107"/>
      <c r="R468" s="107"/>
      <c r="S468" s="107"/>
      <c r="T468" s="107"/>
      <c r="U468" s="107"/>
      <c r="V468" s="107"/>
      <c r="W468" s="107"/>
      <c r="X468" s="107"/>
      <c r="Y468" s="107"/>
      <c r="Z468" s="107"/>
      <c r="AA468" s="107"/>
      <c r="AB468" s="107"/>
      <c r="AC468" s="107"/>
      <c r="AD468" s="107"/>
      <c r="AE468" s="107"/>
      <c r="AF468" s="107"/>
      <c r="AG468" s="107"/>
      <c r="AH468" s="107">
        <f t="shared" si="85"/>
        <v>0</v>
      </c>
    </row>
    <row r="469" spans="1:34">
      <c r="A469" s="73" t="s">
        <v>150</v>
      </c>
      <c r="B469" s="311">
        <f t="shared" si="84"/>
        <v>0</v>
      </c>
      <c r="C469" s="100"/>
      <c r="D469" s="107"/>
      <c r="E469" s="107"/>
      <c r="F469" s="107"/>
      <c r="G469" s="107"/>
      <c r="H469" s="107"/>
      <c r="I469" s="107"/>
      <c r="J469" s="107"/>
      <c r="K469" s="107"/>
      <c r="L469" s="107"/>
      <c r="M469" s="107"/>
      <c r="N469" s="107"/>
      <c r="O469" s="107"/>
      <c r="P469" s="107"/>
      <c r="Q469" s="107"/>
      <c r="R469" s="107"/>
      <c r="S469" s="107"/>
      <c r="T469" s="107"/>
      <c r="U469" s="107"/>
      <c r="V469" s="107"/>
      <c r="W469" s="107"/>
      <c r="X469" s="107"/>
      <c r="Y469" s="107"/>
      <c r="Z469" s="107"/>
      <c r="AA469" s="107"/>
      <c r="AB469" s="107"/>
      <c r="AC469" s="107"/>
      <c r="AD469" s="107"/>
      <c r="AE469" s="107"/>
      <c r="AF469" s="107"/>
      <c r="AG469" s="107"/>
      <c r="AH469" s="107">
        <f t="shared" si="85"/>
        <v>0</v>
      </c>
    </row>
    <row r="470" spans="1:34">
      <c r="A470" s="73" t="s">
        <v>151</v>
      </c>
      <c r="B470" s="311">
        <f t="shared" si="84"/>
        <v>0</v>
      </c>
      <c r="C470" s="103"/>
      <c r="D470" s="107"/>
      <c r="E470" s="107"/>
      <c r="F470" s="107"/>
      <c r="G470" s="53"/>
      <c r="H470" s="53"/>
      <c r="I470" s="53"/>
      <c r="J470" s="111"/>
      <c r="K470" s="111"/>
      <c r="L470" s="107"/>
      <c r="M470" s="107"/>
      <c r="N470" s="107"/>
      <c r="O470" s="107"/>
      <c r="P470" s="107"/>
      <c r="Q470" s="107"/>
      <c r="R470" s="107"/>
      <c r="S470" s="107"/>
      <c r="T470" s="107"/>
      <c r="U470" s="107"/>
      <c r="V470" s="107"/>
      <c r="W470" s="107"/>
      <c r="X470" s="107"/>
      <c r="Y470" s="107"/>
      <c r="Z470" s="107"/>
      <c r="AA470" s="107"/>
      <c r="AB470" s="107"/>
      <c r="AC470" s="107"/>
      <c r="AD470" s="107"/>
      <c r="AE470" s="107"/>
      <c r="AF470" s="107"/>
      <c r="AG470" s="107"/>
      <c r="AH470" s="107">
        <f t="shared" si="85"/>
        <v>0</v>
      </c>
    </row>
    <row r="471" spans="1:34">
      <c r="A471" s="73" t="s">
        <v>152</v>
      </c>
      <c r="B471" s="311">
        <f t="shared" si="84"/>
        <v>0</v>
      </c>
      <c r="C471" s="103"/>
      <c r="D471" s="53"/>
      <c r="E471" s="53"/>
      <c r="F471" s="53"/>
      <c r="G471" s="53"/>
      <c r="H471" s="53"/>
      <c r="I471" s="53"/>
      <c r="J471" s="111"/>
      <c r="K471" s="111"/>
      <c r="L471" s="107"/>
      <c r="M471" s="107"/>
      <c r="N471" s="107"/>
      <c r="O471" s="107"/>
      <c r="P471" s="107"/>
      <c r="Q471" s="107"/>
      <c r="R471" s="107"/>
      <c r="S471" s="107"/>
      <c r="T471" s="107"/>
      <c r="U471" s="107"/>
      <c r="V471" s="107"/>
      <c r="W471" s="107"/>
      <c r="X471" s="107"/>
      <c r="Y471" s="107"/>
      <c r="Z471" s="107"/>
      <c r="AA471" s="107"/>
      <c r="AB471" s="107"/>
      <c r="AC471" s="107"/>
      <c r="AD471" s="107"/>
      <c r="AE471" s="107"/>
      <c r="AF471" s="107"/>
      <c r="AG471" s="107"/>
      <c r="AH471" s="107">
        <f t="shared" si="85"/>
        <v>0</v>
      </c>
    </row>
    <row r="472" spans="1:34">
      <c r="A472" s="73" t="s">
        <v>153</v>
      </c>
      <c r="B472" s="311">
        <f t="shared" si="84"/>
        <v>0</v>
      </c>
      <c r="C472" s="100"/>
      <c r="D472" s="107"/>
      <c r="E472" s="107"/>
      <c r="F472" s="107"/>
      <c r="G472" s="107"/>
      <c r="H472" s="107"/>
      <c r="I472" s="107"/>
      <c r="J472" s="111"/>
      <c r="K472" s="111"/>
      <c r="L472" s="53"/>
      <c r="M472" s="53"/>
      <c r="N472" s="53"/>
      <c r="O472" s="53"/>
      <c r="P472" s="53"/>
      <c r="Q472" s="53"/>
      <c r="R472" s="53"/>
      <c r="S472" s="53"/>
      <c r="T472" s="53"/>
      <c r="U472" s="53"/>
      <c r="V472" s="53"/>
      <c r="W472" s="53"/>
      <c r="X472" s="53"/>
      <c r="Y472" s="53"/>
      <c r="Z472" s="53"/>
      <c r="AA472" s="53"/>
      <c r="AB472" s="53"/>
      <c r="AC472" s="53"/>
      <c r="AD472" s="53"/>
      <c r="AE472" s="53"/>
      <c r="AF472" s="53"/>
      <c r="AG472" s="53"/>
      <c r="AH472" s="107">
        <f t="shared" si="85"/>
        <v>0</v>
      </c>
    </row>
    <row r="473" spans="1:34">
      <c r="A473" s="73" t="s">
        <v>154</v>
      </c>
      <c r="B473" s="306">
        <f t="shared" si="84"/>
        <v>0</v>
      </c>
      <c r="C473" s="103"/>
      <c r="D473" s="107"/>
      <c r="E473" s="107"/>
      <c r="F473" s="107"/>
      <c r="G473" s="53"/>
      <c r="H473" s="53"/>
      <c r="I473" s="53"/>
      <c r="J473" s="53"/>
      <c r="K473" s="53"/>
      <c r="L473" s="53"/>
      <c r="M473" s="53"/>
      <c r="N473" s="53"/>
      <c r="O473" s="107"/>
      <c r="P473" s="53"/>
      <c r="Q473" s="53"/>
      <c r="R473" s="53"/>
      <c r="S473" s="53"/>
      <c r="T473" s="53"/>
      <c r="U473" s="53"/>
      <c r="V473" s="53"/>
      <c r="W473" s="53"/>
      <c r="X473" s="53"/>
      <c r="Y473" s="53"/>
      <c r="Z473" s="53"/>
      <c r="AA473" s="53"/>
      <c r="AB473" s="53"/>
      <c r="AC473" s="53"/>
      <c r="AD473" s="53"/>
      <c r="AE473" s="107"/>
      <c r="AF473" s="53"/>
      <c r="AG473" s="107"/>
      <c r="AH473" s="107">
        <f t="shared" si="85"/>
        <v>0</v>
      </c>
    </row>
    <row r="474" spans="1:34">
      <c r="A474" s="73" t="s">
        <v>155</v>
      </c>
      <c r="B474" s="53">
        <f t="shared" si="84"/>
        <v>0</v>
      </c>
      <c r="C474" s="103"/>
      <c r="D474" s="53"/>
      <c r="E474" s="53"/>
      <c r="F474" s="53"/>
      <c r="G474" s="53"/>
      <c r="H474" s="53"/>
      <c r="I474" s="53"/>
      <c r="J474" s="53"/>
      <c r="K474" s="53"/>
      <c r="L474" s="53"/>
      <c r="M474" s="53"/>
      <c r="N474" s="53"/>
      <c r="O474" s="53"/>
      <c r="P474" s="53"/>
      <c r="Q474" s="53"/>
      <c r="R474" s="53"/>
      <c r="S474" s="53"/>
      <c r="T474" s="53"/>
      <c r="U474" s="53"/>
      <c r="V474" s="53"/>
      <c r="W474" s="53"/>
      <c r="X474" s="53"/>
      <c r="Y474" s="53"/>
      <c r="Z474" s="53"/>
      <c r="AA474" s="53"/>
      <c r="AB474" s="53"/>
      <c r="AC474" s="53"/>
      <c r="AD474" s="53"/>
      <c r="AE474" s="107"/>
      <c r="AF474" s="53"/>
      <c r="AG474" s="107"/>
      <c r="AH474" s="107">
        <f t="shared" si="85"/>
        <v>0</v>
      </c>
    </row>
    <row r="475" spans="1:34">
      <c r="A475" s="73" t="s">
        <v>156</v>
      </c>
      <c r="B475" s="53">
        <f t="shared" si="84"/>
        <v>0</v>
      </c>
      <c r="C475" s="103"/>
      <c r="D475" s="53"/>
      <c r="E475" s="53"/>
      <c r="F475" s="53"/>
      <c r="G475" s="53"/>
      <c r="H475" s="53"/>
      <c r="I475" s="53"/>
      <c r="J475" s="53"/>
      <c r="K475" s="53"/>
      <c r="L475" s="53"/>
      <c r="M475" s="53"/>
      <c r="N475" s="53"/>
      <c r="O475" s="53"/>
      <c r="P475" s="53"/>
      <c r="Q475" s="53"/>
      <c r="R475" s="53"/>
      <c r="S475" s="53"/>
      <c r="T475" s="53"/>
      <c r="U475" s="53"/>
      <c r="V475" s="53"/>
      <c r="W475" s="53"/>
      <c r="X475" s="53"/>
      <c r="Y475" s="53"/>
      <c r="Z475" s="53"/>
      <c r="AA475" s="53"/>
      <c r="AB475" s="53"/>
      <c r="AC475" s="53"/>
      <c r="AD475" s="53"/>
      <c r="AE475" s="107"/>
      <c r="AF475" s="53"/>
      <c r="AG475" s="107"/>
      <c r="AH475" s="107">
        <f t="shared" si="85"/>
        <v>0</v>
      </c>
    </row>
    <row r="476" spans="1:34">
      <c r="A476" s="199" t="s">
        <v>144</v>
      </c>
      <c r="B476" s="200">
        <f>SUM(B464:B475)</f>
        <v>0</v>
      </c>
      <c r="C476" s="100">
        <f>SUM(C464:C474)</f>
        <v>0</v>
      </c>
      <c r="D476" s="107">
        <f>SUM(D464:D474)</f>
        <v>0</v>
      </c>
      <c r="E476" s="107">
        <v>0</v>
      </c>
      <c r="F476" s="107">
        <f t="shared" ref="F476:AC476" si="86">SUM(F464:F474)</f>
        <v>0</v>
      </c>
      <c r="G476" s="107">
        <f t="shared" si="86"/>
        <v>0</v>
      </c>
      <c r="H476" s="107">
        <f t="shared" si="86"/>
        <v>0</v>
      </c>
      <c r="I476" s="107">
        <f t="shared" si="86"/>
        <v>0</v>
      </c>
      <c r="J476" s="107">
        <f t="shared" si="86"/>
        <v>0</v>
      </c>
      <c r="K476" s="107">
        <f t="shared" si="86"/>
        <v>0</v>
      </c>
      <c r="L476" s="107">
        <f t="shared" si="86"/>
        <v>0</v>
      </c>
      <c r="M476" s="107">
        <f t="shared" si="86"/>
        <v>0</v>
      </c>
      <c r="N476" s="107">
        <f t="shared" si="86"/>
        <v>0</v>
      </c>
      <c r="O476" s="107">
        <f t="shared" si="86"/>
        <v>0</v>
      </c>
      <c r="P476" s="107">
        <f t="shared" si="86"/>
        <v>0</v>
      </c>
      <c r="Q476" s="107">
        <f t="shared" si="86"/>
        <v>0</v>
      </c>
      <c r="R476" s="107">
        <f t="shared" si="86"/>
        <v>0</v>
      </c>
      <c r="S476" s="107">
        <f t="shared" si="86"/>
        <v>0</v>
      </c>
      <c r="T476" s="107">
        <f t="shared" si="86"/>
        <v>0</v>
      </c>
      <c r="U476" s="107">
        <f t="shared" si="86"/>
        <v>0</v>
      </c>
      <c r="V476" s="107">
        <f t="shared" si="86"/>
        <v>0</v>
      </c>
      <c r="W476" s="107">
        <f t="shared" si="86"/>
        <v>0</v>
      </c>
      <c r="X476" s="107">
        <f t="shared" si="86"/>
        <v>0</v>
      </c>
      <c r="Y476" s="107">
        <f t="shared" si="86"/>
        <v>0</v>
      </c>
      <c r="Z476" s="107">
        <f t="shared" si="86"/>
        <v>0</v>
      </c>
      <c r="AA476" s="107">
        <f t="shared" si="86"/>
        <v>0</v>
      </c>
      <c r="AB476" s="107">
        <f t="shared" si="86"/>
        <v>0</v>
      </c>
      <c r="AC476" s="107">
        <f t="shared" si="86"/>
        <v>0</v>
      </c>
      <c r="AD476" s="107">
        <v>0</v>
      </c>
      <c r="AE476" s="107">
        <f>SUM(AE464:AE474)</f>
        <v>0</v>
      </c>
      <c r="AF476" s="107">
        <f>SUM(AF464:AF474)</f>
        <v>0</v>
      </c>
      <c r="AG476" s="107">
        <f>SUM(AG464:AG474)</f>
        <v>0</v>
      </c>
      <c r="AH476" s="100">
        <f>SUM(AH464:AH474)</f>
        <v>0</v>
      </c>
    </row>
    <row r="477" spans="1:34" ht="5.0999999999999996" customHeight="1">
      <c r="A477" s="49"/>
      <c r="B477" s="49"/>
      <c r="C477" s="1"/>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c r="AG477" s="14"/>
      <c r="AH477" s="1"/>
    </row>
    <row r="478" spans="1:34">
      <c r="A478" s="3854" t="s">
        <v>277</v>
      </c>
      <c r="B478" s="3855"/>
      <c r="C478" s="3855"/>
      <c r="D478" s="3855"/>
      <c r="E478" s="3855"/>
      <c r="F478" s="3855"/>
      <c r="G478" s="3855"/>
      <c r="H478" s="3856"/>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c r="AF478" s="14"/>
      <c r="AG478" s="14"/>
      <c r="AH478" s="14"/>
    </row>
    <row r="479" spans="1:34">
      <c r="A479" s="8" t="s">
        <v>142</v>
      </c>
      <c r="B479" s="8" t="s">
        <v>143</v>
      </c>
      <c r="C479" s="2907">
        <v>1</v>
      </c>
      <c r="D479" s="73">
        <v>2</v>
      </c>
      <c r="E479" s="73">
        <v>3</v>
      </c>
      <c r="F479" s="73">
        <v>4</v>
      </c>
      <c r="G479" s="73">
        <v>5</v>
      </c>
      <c r="H479" s="73">
        <v>6</v>
      </c>
      <c r="I479" s="73">
        <v>7</v>
      </c>
      <c r="J479" s="73">
        <v>8</v>
      </c>
      <c r="K479" s="73">
        <v>9</v>
      </c>
      <c r="L479" s="73">
        <v>10</v>
      </c>
      <c r="M479" s="73">
        <v>11</v>
      </c>
      <c r="N479" s="73">
        <v>12</v>
      </c>
      <c r="O479" s="73">
        <v>13</v>
      </c>
      <c r="P479" s="73">
        <v>14</v>
      </c>
      <c r="Q479" s="73">
        <v>15</v>
      </c>
      <c r="R479" s="73">
        <v>16</v>
      </c>
      <c r="S479" s="73">
        <v>17</v>
      </c>
      <c r="T479" s="73">
        <v>18</v>
      </c>
      <c r="U479" s="73">
        <v>19</v>
      </c>
      <c r="V479" s="73">
        <v>20</v>
      </c>
      <c r="W479" s="73">
        <v>21</v>
      </c>
      <c r="X479" s="73">
        <v>22</v>
      </c>
      <c r="Y479" s="73">
        <v>23</v>
      </c>
      <c r="Z479" s="73">
        <v>24</v>
      </c>
      <c r="AA479" s="73">
        <v>25</v>
      </c>
      <c r="AB479" s="73">
        <v>26</v>
      </c>
      <c r="AC479" s="73">
        <v>27</v>
      </c>
      <c r="AD479" s="73">
        <v>28</v>
      </c>
      <c r="AE479" s="73">
        <v>29</v>
      </c>
      <c r="AF479" s="73">
        <v>30</v>
      </c>
      <c r="AG479" s="73">
        <v>31</v>
      </c>
      <c r="AH479" s="88" t="s">
        <v>144</v>
      </c>
    </row>
    <row r="480" spans="1:34">
      <c r="A480" s="73" t="s">
        <v>145</v>
      </c>
      <c r="B480" s="311">
        <f t="shared" ref="B480:B491" si="87">+AH480</f>
        <v>0</v>
      </c>
      <c r="C480" s="103"/>
      <c r="D480" s="107"/>
      <c r="E480" s="107"/>
      <c r="F480" s="107"/>
      <c r="G480" s="53"/>
      <c r="H480" s="53"/>
      <c r="I480" s="53"/>
      <c r="J480" s="53"/>
      <c r="K480" s="53"/>
      <c r="L480" s="53"/>
      <c r="M480" s="53"/>
      <c r="N480" s="53"/>
      <c r="O480" s="53"/>
      <c r="P480" s="53"/>
      <c r="Q480" s="107"/>
      <c r="R480" s="53"/>
      <c r="S480" s="53"/>
      <c r="T480" s="53"/>
      <c r="U480" s="53"/>
      <c r="V480" s="107"/>
      <c r="W480" s="107"/>
      <c r="X480" s="53"/>
      <c r="Y480" s="53"/>
      <c r="Z480" s="53"/>
      <c r="AA480" s="53"/>
      <c r="AB480" s="53"/>
      <c r="AC480" s="53"/>
      <c r="AD480" s="107"/>
      <c r="AE480" s="53"/>
      <c r="AF480" s="53"/>
      <c r="AG480" s="53"/>
      <c r="AH480" s="107">
        <f>SUM(C480:AG480)</f>
        <v>0</v>
      </c>
    </row>
    <row r="481" spans="1:34">
      <c r="A481" s="73" t="s">
        <v>146</v>
      </c>
      <c r="B481" s="311">
        <f t="shared" si="87"/>
        <v>0</v>
      </c>
      <c r="C481" s="103"/>
      <c r="D481" s="53"/>
      <c r="E481" s="53"/>
      <c r="F481" s="53"/>
      <c r="G481" s="53"/>
      <c r="H481" s="53"/>
      <c r="I481" s="53"/>
      <c r="J481" s="53"/>
      <c r="K481" s="53"/>
      <c r="L481" s="53"/>
      <c r="M481" s="53"/>
      <c r="N481" s="53"/>
      <c r="O481" s="53"/>
      <c r="P481" s="53"/>
      <c r="Q481" s="53"/>
      <c r="R481" s="53"/>
      <c r="S481" s="53"/>
      <c r="T481" s="53"/>
      <c r="U481" s="53"/>
      <c r="V481" s="53"/>
      <c r="W481" s="53"/>
      <c r="X481" s="53"/>
      <c r="Y481" s="53"/>
      <c r="Z481" s="53"/>
      <c r="AA481" s="53"/>
      <c r="AB481" s="53"/>
      <c r="AC481" s="53"/>
      <c r="AD481" s="53"/>
      <c r="AE481" s="53"/>
      <c r="AF481" s="53"/>
      <c r="AG481" s="53"/>
      <c r="AH481" s="107">
        <f t="shared" ref="AH481:AH491" si="88">SUM(C481:AG481)</f>
        <v>0</v>
      </c>
    </row>
    <row r="482" spans="1:34">
      <c r="A482" s="73" t="s">
        <v>147</v>
      </c>
      <c r="B482" s="311">
        <f t="shared" si="87"/>
        <v>0</v>
      </c>
      <c r="C482" s="100"/>
      <c r="D482" s="107"/>
      <c r="E482" s="107"/>
      <c r="F482" s="107"/>
      <c r="G482" s="107"/>
      <c r="H482" s="107"/>
      <c r="I482" s="107"/>
      <c r="J482" s="107"/>
      <c r="K482" s="107"/>
      <c r="L482" s="107"/>
      <c r="M482" s="107"/>
      <c r="N482" s="107"/>
      <c r="O482" s="107"/>
      <c r="P482" s="107"/>
      <c r="Q482" s="107"/>
      <c r="R482" s="107"/>
      <c r="S482" s="107"/>
      <c r="T482" s="107"/>
      <c r="U482" s="107"/>
      <c r="V482" s="107"/>
      <c r="W482" s="107"/>
      <c r="X482" s="107"/>
      <c r="Y482" s="107"/>
      <c r="Z482" s="107"/>
      <c r="AA482" s="107"/>
      <c r="AB482" s="107"/>
      <c r="AC482" s="107"/>
      <c r="AD482" s="107"/>
      <c r="AE482" s="107"/>
      <c r="AF482" s="107"/>
      <c r="AG482" s="107"/>
      <c r="AH482" s="107">
        <f t="shared" si="88"/>
        <v>0</v>
      </c>
    </row>
    <row r="483" spans="1:34">
      <c r="A483" s="73" t="s">
        <v>148</v>
      </c>
      <c r="B483" s="311">
        <f t="shared" si="87"/>
        <v>0</v>
      </c>
      <c r="C483" s="103"/>
      <c r="D483" s="107"/>
      <c r="E483" s="107"/>
      <c r="F483" s="107"/>
      <c r="G483" s="53"/>
      <c r="H483" s="53"/>
      <c r="I483" s="53"/>
      <c r="J483" s="107"/>
      <c r="K483" s="107"/>
      <c r="L483" s="107"/>
      <c r="M483" s="107"/>
      <c r="N483" s="107"/>
      <c r="O483" s="107"/>
      <c r="P483" s="107"/>
      <c r="Q483" s="107"/>
      <c r="R483" s="107"/>
      <c r="S483" s="107"/>
      <c r="T483" s="107"/>
      <c r="U483" s="107"/>
      <c r="V483" s="107"/>
      <c r="W483" s="107"/>
      <c r="X483" s="107"/>
      <c r="Y483" s="107"/>
      <c r="Z483" s="107"/>
      <c r="AA483" s="107"/>
      <c r="AB483" s="107"/>
      <c r="AC483" s="107"/>
      <c r="AD483" s="107"/>
      <c r="AE483" s="107"/>
      <c r="AF483" s="107"/>
      <c r="AG483" s="107"/>
      <c r="AH483" s="107">
        <f t="shared" si="88"/>
        <v>0</v>
      </c>
    </row>
    <row r="484" spans="1:34">
      <c r="A484" s="73" t="s">
        <v>149</v>
      </c>
      <c r="B484" s="311">
        <f t="shared" si="87"/>
        <v>0</v>
      </c>
      <c r="C484" s="103"/>
      <c r="D484" s="53"/>
      <c r="E484" s="53"/>
      <c r="F484" s="53"/>
      <c r="G484" s="53"/>
      <c r="H484" s="53"/>
      <c r="I484" s="53"/>
      <c r="J484" s="107"/>
      <c r="K484" s="107"/>
      <c r="L484" s="107"/>
      <c r="M484" s="107"/>
      <c r="N484" s="107"/>
      <c r="O484" s="107"/>
      <c r="P484" s="107"/>
      <c r="Q484" s="107"/>
      <c r="R484" s="107"/>
      <c r="S484" s="107"/>
      <c r="T484" s="107"/>
      <c r="U484" s="107"/>
      <c r="V484" s="107"/>
      <c r="W484" s="107"/>
      <c r="X484" s="107"/>
      <c r="Y484" s="107"/>
      <c r="Z484" s="107"/>
      <c r="AA484" s="107"/>
      <c r="AB484" s="107"/>
      <c r="AC484" s="107"/>
      <c r="AD484" s="107"/>
      <c r="AE484" s="107"/>
      <c r="AF484" s="107"/>
      <c r="AG484" s="107"/>
      <c r="AH484" s="107">
        <f t="shared" si="88"/>
        <v>0</v>
      </c>
    </row>
    <row r="485" spans="1:34">
      <c r="A485" s="73" t="s">
        <v>150</v>
      </c>
      <c r="B485" s="311">
        <f t="shared" si="87"/>
        <v>0</v>
      </c>
      <c r="C485" s="100"/>
      <c r="D485" s="107"/>
      <c r="E485" s="107"/>
      <c r="F485" s="107"/>
      <c r="G485" s="107"/>
      <c r="H485" s="107"/>
      <c r="I485" s="107"/>
      <c r="J485" s="107"/>
      <c r="K485" s="107"/>
      <c r="L485" s="107"/>
      <c r="M485" s="107"/>
      <c r="N485" s="107"/>
      <c r="O485" s="107"/>
      <c r="P485" s="107"/>
      <c r="Q485" s="107"/>
      <c r="R485" s="107"/>
      <c r="S485" s="107"/>
      <c r="T485" s="107"/>
      <c r="U485" s="107"/>
      <c r="V485" s="107"/>
      <c r="W485" s="107"/>
      <c r="X485" s="107"/>
      <c r="Y485" s="107"/>
      <c r="Z485" s="107"/>
      <c r="AA485" s="107"/>
      <c r="AB485" s="107"/>
      <c r="AC485" s="107"/>
      <c r="AD485" s="107"/>
      <c r="AE485" s="107"/>
      <c r="AF485" s="107"/>
      <c r="AG485" s="107"/>
      <c r="AH485" s="107">
        <f t="shared" si="88"/>
        <v>0</v>
      </c>
    </row>
    <row r="486" spans="1:34">
      <c r="A486" s="73" t="s">
        <v>151</v>
      </c>
      <c r="B486" s="311">
        <f t="shared" si="87"/>
        <v>0</v>
      </c>
      <c r="C486" s="103"/>
      <c r="D486" s="107"/>
      <c r="E486" s="107"/>
      <c r="F486" s="107"/>
      <c r="G486" s="53"/>
      <c r="H486" s="53"/>
      <c r="I486" s="53"/>
      <c r="J486" s="111"/>
      <c r="K486" s="111"/>
      <c r="L486" s="107"/>
      <c r="M486" s="107"/>
      <c r="N486" s="107"/>
      <c r="O486" s="107"/>
      <c r="P486" s="107"/>
      <c r="Q486" s="107"/>
      <c r="R486" s="107"/>
      <c r="S486" s="107"/>
      <c r="T486" s="107"/>
      <c r="U486" s="107"/>
      <c r="V486" s="107"/>
      <c r="W486" s="107"/>
      <c r="X486" s="107"/>
      <c r="Y486" s="107"/>
      <c r="Z486" s="107"/>
      <c r="AA486" s="107"/>
      <c r="AB486" s="107"/>
      <c r="AC486" s="107"/>
      <c r="AD486" s="107"/>
      <c r="AE486" s="107"/>
      <c r="AF486" s="107"/>
      <c r="AG486" s="107"/>
      <c r="AH486" s="107">
        <f t="shared" si="88"/>
        <v>0</v>
      </c>
    </row>
    <row r="487" spans="1:34">
      <c r="A487" s="73" t="s">
        <v>152</v>
      </c>
      <c r="B487" s="311">
        <f t="shared" si="87"/>
        <v>0</v>
      </c>
      <c r="C487" s="103"/>
      <c r="D487" s="53"/>
      <c r="E487" s="53"/>
      <c r="F487" s="53"/>
      <c r="G487" s="53"/>
      <c r="H487" s="53"/>
      <c r="I487" s="53"/>
      <c r="J487" s="111"/>
      <c r="K487" s="111"/>
      <c r="L487" s="107"/>
      <c r="M487" s="107"/>
      <c r="N487" s="107"/>
      <c r="O487" s="107"/>
      <c r="P487" s="107"/>
      <c r="Q487" s="107"/>
      <c r="R487" s="107"/>
      <c r="S487" s="107"/>
      <c r="T487" s="107"/>
      <c r="U487" s="107"/>
      <c r="V487" s="107"/>
      <c r="W487" s="107"/>
      <c r="X487" s="107"/>
      <c r="Y487" s="107"/>
      <c r="Z487" s="107"/>
      <c r="AA487" s="107"/>
      <c r="AB487" s="107"/>
      <c r="AC487" s="107"/>
      <c r="AD487" s="107"/>
      <c r="AE487" s="107"/>
      <c r="AF487" s="107"/>
      <c r="AG487" s="107"/>
      <c r="AH487" s="107">
        <f t="shared" si="88"/>
        <v>0</v>
      </c>
    </row>
    <row r="488" spans="1:34">
      <c r="A488" s="73" t="s">
        <v>153</v>
      </c>
      <c r="B488" s="311">
        <f t="shared" si="87"/>
        <v>0</v>
      </c>
      <c r="C488" s="100"/>
      <c r="D488" s="107"/>
      <c r="E488" s="107"/>
      <c r="F488" s="107"/>
      <c r="G488" s="107"/>
      <c r="H488" s="107"/>
      <c r="I488" s="107"/>
      <c r="J488" s="111"/>
      <c r="K488" s="111"/>
      <c r="L488" s="53"/>
      <c r="M488" s="53"/>
      <c r="N488" s="53"/>
      <c r="O488" s="53"/>
      <c r="P488" s="53"/>
      <c r="Q488" s="53"/>
      <c r="R488" s="53"/>
      <c r="S488" s="53"/>
      <c r="T488" s="53"/>
      <c r="U488" s="53"/>
      <c r="V488" s="53"/>
      <c r="W488" s="53"/>
      <c r="X488" s="53"/>
      <c r="Y488" s="53"/>
      <c r="Z488" s="53"/>
      <c r="AA488" s="53"/>
      <c r="AB488" s="53"/>
      <c r="AC488" s="53"/>
      <c r="AD488" s="53"/>
      <c r="AE488" s="53"/>
      <c r="AF488" s="53"/>
      <c r="AG488" s="53"/>
      <c r="AH488" s="107">
        <f t="shared" si="88"/>
        <v>0</v>
      </c>
    </row>
    <row r="489" spans="1:34">
      <c r="A489" s="73" t="s">
        <v>154</v>
      </c>
      <c r="B489" s="53">
        <f t="shared" si="87"/>
        <v>0</v>
      </c>
      <c r="C489" s="103"/>
      <c r="D489" s="107"/>
      <c r="E489" s="107"/>
      <c r="F489" s="107"/>
      <c r="G489" s="53"/>
      <c r="H489" s="53"/>
      <c r="I489" s="53"/>
      <c r="J489" s="53"/>
      <c r="K489" s="53"/>
      <c r="L489" s="53"/>
      <c r="M489" s="53"/>
      <c r="N489" s="53"/>
      <c r="O489" s="107"/>
      <c r="P489" s="53"/>
      <c r="Q489" s="53"/>
      <c r="R489" s="53"/>
      <c r="S489" s="53"/>
      <c r="T489" s="53"/>
      <c r="U489" s="53"/>
      <c r="V489" s="53"/>
      <c r="W489" s="53"/>
      <c r="X489" s="53"/>
      <c r="Y489" s="53"/>
      <c r="Z489" s="53"/>
      <c r="AA489" s="53"/>
      <c r="AB489" s="53"/>
      <c r="AC489" s="53"/>
      <c r="AD489" s="53"/>
      <c r="AE489" s="107"/>
      <c r="AF489" s="53"/>
      <c r="AG489" s="107"/>
      <c r="AH489" s="107">
        <f t="shared" si="88"/>
        <v>0</v>
      </c>
    </row>
    <row r="490" spans="1:34">
      <c r="A490" s="73" t="s">
        <v>155</v>
      </c>
      <c r="B490" s="53">
        <f t="shared" si="87"/>
        <v>0</v>
      </c>
      <c r="C490" s="103"/>
      <c r="D490" s="53"/>
      <c r="E490" s="53"/>
      <c r="F490" s="53"/>
      <c r="G490" s="53"/>
      <c r="H490" s="53"/>
      <c r="I490" s="53"/>
      <c r="J490" s="53"/>
      <c r="K490" s="53"/>
      <c r="L490" s="53"/>
      <c r="M490" s="53"/>
      <c r="N490" s="53"/>
      <c r="O490" s="53"/>
      <c r="P490" s="53"/>
      <c r="Q490" s="53"/>
      <c r="R490" s="53"/>
      <c r="S490" s="53"/>
      <c r="T490" s="53"/>
      <c r="U490" s="53"/>
      <c r="V490" s="53"/>
      <c r="W490" s="53"/>
      <c r="X490" s="53"/>
      <c r="Y490" s="53"/>
      <c r="Z490" s="53"/>
      <c r="AA490" s="53"/>
      <c r="AB490" s="53"/>
      <c r="AC490" s="53"/>
      <c r="AD490" s="53"/>
      <c r="AE490" s="107"/>
      <c r="AF490" s="53"/>
      <c r="AG490" s="107"/>
      <c r="AH490" s="107">
        <f t="shared" si="88"/>
        <v>0</v>
      </c>
    </row>
    <row r="491" spans="1:34">
      <c r="A491" s="73" t="s">
        <v>156</v>
      </c>
      <c r="B491" s="53">
        <f t="shared" si="87"/>
        <v>0</v>
      </c>
      <c r="C491" s="103"/>
      <c r="D491" s="53"/>
      <c r="E491" s="53"/>
      <c r="F491" s="53"/>
      <c r="G491" s="53"/>
      <c r="H491" s="53"/>
      <c r="I491" s="53"/>
      <c r="J491" s="53"/>
      <c r="K491" s="53"/>
      <c r="L491" s="53"/>
      <c r="M491" s="53"/>
      <c r="O491" s="53"/>
      <c r="P491" s="53"/>
      <c r="Q491" s="53"/>
      <c r="R491" s="53"/>
      <c r="S491" s="53"/>
      <c r="T491" s="53"/>
      <c r="U491" s="53"/>
      <c r="V491" s="53"/>
      <c r="W491" s="53"/>
      <c r="X491" s="53"/>
      <c r="Y491" s="53"/>
      <c r="Z491" s="53"/>
      <c r="AA491" s="53"/>
      <c r="AB491" s="53"/>
      <c r="AC491" s="53"/>
      <c r="AD491" s="53"/>
      <c r="AE491" s="107"/>
      <c r="AF491" s="53"/>
      <c r="AG491" s="107"/>
      <c r="AH491" s="107">
        <f t="shared" si="88"/>
        <v>0</v>
      </c>
    </row>
    <row r="492" spans="1:34">
      <c r="A492" s="199" t="s">
        <v>144</v>
      </c>
      <c r="B492" s="200">
        <f>SUM(B480:B491)</f>
        <v>0</v>
      </c>
      <c r="C492" s="100">
        <f>SUM(C480:C490)</f>
        <v>0</v>
      </c>
      <c r="D492" s="107">
        <f>SUM(D480:D490)</f>
        <v>0</v>
      </c>
      <c r="E492" s="107">
        <v>0</v>
      </c>
      <c r="F492" s="107">
        <f t="shared" ref="F492:AC492" si="89">SUM(F480:F490)</f>
        <v>0</v>
      </c>
      <c r="G492" s="107">
        <f t="shared" si="89"/>
        <v>0</v>
      </c>
      <c r="H492" s="107">
        <f t="shared" si="89"/>
        <v>0</v>
      </c>
      <c r="I492" s="107">
        <f t="shared" si="89"/>
        <v>0</v>
      </c>
      <c r="J492" s="107">
        <f t="shared" si="89"/>
        <v>0</v>
      </c>
      <c r="K492" s="107">
        <f t="shared" si="89"/>
        <v>0</v>
      </c>
      <c r="L492" s="107">
        <f t="shared" si="89"/>
        <v>0</v>
      </c>
      <c r="M492" s="107">
        <f t="shared" si="89"/>
        <v>0</v>
      </c>
      <c r="N492" s="107">
        <f t="shared" si="89"/>
        <v>0</v>
      </c>
      <c r="O492" s="107">
        <f t="shared" si="89"/>
        <v>0</v>
      </c>
      <c r="P492" s="107">
        <f t="shared" si="89"/>
        <v>0</v>
      </c>
      <c r="Q492" s="107">
        <f t="shared" si="89"/>
        <v>0</v>
      </c>
      <c r="R492" s="107">
        <f t="shared" si="89"/>
        <v>0</v>
      </c>
      <c r="S492" s="107">
        <f t="shared" si="89"/>
        <v>0</v>
      </c>
      <c r="T492" s="107">
        <f t="shared" si="89"/>
        <v>0</v>
      </c>
      <c r="U492" s="107">
        <f t="shared" si="89"/>
        <v>0</v>
      </c>
      <c r="V492" s="107">
        <f t="shared" si="89"/>
        <v>0</v>
      </c>
      <c r="W492" s="107">
        <f t="shared" si="89"/>
        <v>0</v>
      </c>
      <c r="X492" s="107">
        <f t="shared" si="89"/>
        <v>0</v>
      </c>
      <c r="Y492" s="107">
        <f t="shared" si="89"/>
        <v>0</v>
      </c>
      <c r="Z492" s="107">
        <f t="shared" si="89"/>
        <v>0</v>
      </c>
      <c r="AA492" s="107">
        <f t="shared" si="89"/>
        <v>0</v>
      </c>
      <c r="AB492" s="107">
        <f t="shared" si="89"/>
        <v>0</v>
      </c>
      <c r="AC492" s="107">
        <f t="shared" si="89"/>
        <v>0</v>
      </c>
      <c r="AD492" s="107">
        <v>0</v>
      </c>
      <c r="AE492" s="107">
        <f>SUM(AE480:AE490)</f>
        <v>0</v>
      </c>
      <c r="AF492" s="107">
        <f>SUM(AF480:AF490)</f>
        <v>0</v>
      </c>
      <c r="AG492" s="107">
        <f>SUM(AG480:AG490)</f>
        <v>0</v>
      </c>
      <c r="AH492" s="100">
        <f>SUM(AH480:AH490)</f>
        <v>0</v>
      </c>
    </row>
    <row r="494" spans="1:34" ht="15" customHeight="1">
      <c r="A494" s="3854" t="s">
        <v>407</v>
      </c>
      <c r="B494" s="3855"/>
      <c r="C494" s="3855"/>
      <c r="D494" s="3855"/>
      <c r="E494" s="3855"/>
      <c r="F494" s="3855"/>
      <c r="G494" s="3855"/>
      <c r="H494" s="3856"/>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c r="AG494" s="14"/>
      <c r="AH494" s="14"/>
    </row>
    <row r="495" spans="1:34" ht="15" customHeight="1">
      <c r="A495" s="8" t="s">
        <v>142</v>
      </c>
      <c r="B495" s="8" t="s">
        <v>143</v>
      </c>
      <c r="C495" s="2908">
        <v>1</v>
      </c>
      <c r="D495" s="73">
        <v>2</v>
      </c>
      <c r="E495" s="73">
        <v>3</v>
      </c>
      <c r="F495" s="73">
        <v>4</v>
      </c>
      <c r="G495" s="73">
        <v>5</v>
      </c>
      <c r="H495" s="73">
        <v>6</v>
      </c>
      <c r="I495" s="73">
        <v>7</v>
      </c>
      <c r="J495" s="73">
        <v>8</v>
      </c>
      <c r="K495" s="73">
        <v>9</v>
      </c>
      <c r="L495" s="73">
        <v>10</v>
      </c>
      <c r="M495" s="73">
        <v>11</v>
      </c>
      <c r="N495" s="73">
        <v>12</v>
      </c>
      <c r="O495" s="73">
        <v>13</v>
      </c>
      <c r="P495" s="73">
        <v>14</v>
      </c>
      <c r="Q495" s="73">
        <v>15</v>
      </c>
      <c r="R495" s="73">
        <v>16</v>
      </c>
      <c r="S495" s="73">
        <v>17</v>
      </c>
      <c r="T495" s="73">
        <v>18</v>
      </c>
      <c r="U495" s="73">
        <v>19</v>
      </c>
      <c r="V495" s="73">
        <v>20</v>
      </c>
      <c r="W495" s="73">
        <v>21</v>
      </c>
      <c r="X495" s="73">
        <v>22</v>
      </c>
      <c r="Y495" s="73">
        <v>23</v>
      </c>
      <c r="Z495" s="73">
        <v>24</v>
      </c>
      <c r="AA495" s="73">
        <v>25</v>
      </c>
      <c r="AB495" s="73">
        <v>26</v>
      </c>
      <c r="AC495" s="73">
        <v>27</v>
      </c>
      <c r="AD495" s="73">
        <v>28</v>
      </c>
      <c r="AE495" s="73">
        <v>29</v>
      </c>
      <c r="AF495" s="73">
        <v>30</v>
      </c>
      <c r="AG495" s="73">
        <v>31</v>
      </c>
      <c r="AH495" s="88" t="s">
        <v>144</v>
      </c>
    </row>
    <row r="496" spans="1:34" ht="15" customHeight="1">
      <c r="A496" s="73" t="s">
        <v>145</v>
      </c>
      <c r="B496" s="311">
        <f t="shared" ref="B496:B507" si="90">+AH496</f>
        <v>0</v>
      </c>
      <c r="C496" s="103"/>
      <c r="D496" s="107"/>
      <c r="E496" s="107"/>
      <c r="F496" s="107"/>
      <c r="G496" s="53"/>
      <c r="H496" s="53"/>
      <c r="I496" s="53"/>
      <c r="J496" s="53"/>
      <c r="K496" s="53"/>
      <c r="L496" s="53"/>
      <c r="M496" s="53"/>
      <c r="N496" s="53"/>
      <c r="O496" s="53"/>
      <c r="P496" s="53"/>
      <c r="Q496" s="107"/>
      <c r="R496" s="53"/>
      <c r="S496" s="53"/>
      <c r="T496" s="53"/>
      <c r="U496" s="53"/>
      <c r="V496" s="107"/>
      <c r="W496" s="107"/>
      <c r="X496" s="53"/>
      <c r="Y496" s="53"/>
      <c r="Z496" s="53"/>
      <c r="AA496" s="53"/>
      <c r="AB496" s="53"/>
      <c r="AC496" s="53"/>
      <c r="AD496" s="107"/>
      <c r="AE496" s="53"/>
      <c r="AF496" s="53"/>
      <c r="AG496" s="53"/>
      <c r="AH496" s="107">
        <f>SUM(C496:AG496)</f>
        <v>0</v>
      </c>
    </row>
    <row r="497" spans="1:34" ht="15" customHeight="1">
      <c r="A497" s="73" t="s">
        <v>146</v>
      </c>
      <c r="B497" s="311">
        <f t="shared" si="90"/>
        <v>0</v>
      </c>
      <c r="C497" s="103"/>
      <c r="D497" s="53"/>
      <c r="E497" s="53"/>
      <c r="F497" s="53"/>
      <c r="G497" s="53"/>
      <c r="H497" s="53"/>
      <c r="I497" s="53"/>
      <c r="J497" s="53"/>
      <c r="K497" s="53"/>
      <c r="L497" s="53"/>
      <c r="M497" s="53"/>
      <c r="N497" s="53"/>
      <c r="O497" s="53"/>
      <c r="P497" s="53"/>
      <c r="Q497" s="53"/>
      <c r="R497" s="53"/>
      <c r="S497" s="53"/>
      <c r="T497" s="53"/>
      <c r="U497" s="53"/>
      <c r="V497" s="53"/>
      <c r="W497" s="53"/>
      <c r="X497" s="53"/>
      <c r="Y497" s="53"/>
      <c r="Z497" s="53"/>
      <c r="AA497" s="53"/>
      <c r="AB497" s="53"/>
      <c r="AC497" s="53"/>
      <c r="AD497" s="53"/>
      <c r="AE497" s="53"/>
      <c r="AF497" s="53"/>
      <c r="AG497" s="53"/>
      <c r="AH497" s="107">
        <f t="shared" ref="AH497:AH507" si="91">SUM(C497:AG497)</f>
        <v>0</v>
      </c>
    </row>
    <row r="498" spans="1:34" ht="15" customHeight="1">
      <c r="A498" s="73" t="s">
        <v>147</v>
      </c>
      <c r="B498" s="311">
        <f t="shared" si="90"/>
        <v>0</v>
      </c>
      <c r="C498" s="100"/>
      <c r="D498" s="107"/>
      <c r="E498" s="107"/>
      <c r="F498" s="107"/>
      <c r="G498" s="107"/>
      <c r="H498" s="107"/>
      <c r="I498" s="107"/>
      <c r="J498" s="107"/>
      <c r="K498" s="107"/>
      <c r="L498" s="107"/>
      <c r="M498" s="107"/>
      <c r="N498" s="107"/>
      <c r="O498" s="107"/>
      <c r="P498" s="107"/>
      <c r="Q498" s="107"/>
      <c r="R498" s="107"/>
      <c r="S498" s="107"/>
      <c r="T498" s="107"/>
      <c r="U498" s="107"/>
      <c r="V498" s="107"/>
      <c r="W498" s="107"/>
      <c r="X498" s="107"/>
      <c r="Y498" s="107"/>
      <c r="Z498" s="107"/>
      <c r="AA498" s="107"/>
      <c r="AB498" s="107"/>
      <c r="AC498" s="107"/>
      <c r="AD498" s="107"/>
      <c r="AE498" s="107"/>
      <c r="AF498" s="107"/>
      <c r="AG498" s="107"/>
      <c r="AH498" s="107">
        <f t="shared" si="91"/>
        <v>0</v>
      </c>
    </row>
    <row r="499" spans="1:34" ht="15" customHeight="1">
      <c r="A499" s="73" t="s">
        <v>148</v>
      </c>
      <c r="B499" s="311">
        <f t="shared" si="90"/>
        <v>0</v>
      </c>
      <c r="C499" s="103"/>
      <c r="D499" s="315"/>
      <c r="E499" s="315"/>
      <c r="F499" s="315"/>
      <c r="G499" s="306"/>
      <c r="H499" s="306"/>
      <c r="I499" s="306"/>
      <c r="J499" s="315"/>
      <c r="K499" s="315"/>
      <c r="L499" s="315"/>
      <c r="M499" s="315"/>
      <c r="N499" s="315"/>
      <c r="O499" s="315"/>
      <c r="P499" s="107"/>
      <c r="Q499" s="107"/>
      <c r="R499" s="107"/>
      <c r="S499" s="107"/>
      <c r="T499" s="107"/>
      <c r="U499" s="107"/>
      <c r="V499" s="107"/>
      <c r="W499" s="107"/>
      <c r="X499" s="107"/>
      <c r="Y499" s="107"/>
      <c r="Z499" s="107"/>
      <c r="AA499" s="107"/>
      <c r="AB499" s="107"/>
      <c r="AC499" s="107"/>
      <c r="AD499" s="107"/>
      <c r="AE499" s="107"/>
      <c r="AF499" s="107"/>
      <c r="AG499" s="107"/>
      <c r="AH499" s="107">
        <f t="shared" si="91"/>
        <v>0</v>
      </c>
    </row>
    <row r="500" spans="1:34" ht="15" customHeight="1">
      <c r="A500" s="73" t="s">
        <v>149</v>
      </c>
      <c r="B500" s="311">
        <f t="shared" si="90"/>
        <v>0</v>
      </c>
      <c r="C500" s="103"/>
      <c r="D500" s="53"/>
      <c r="E500" s="53"/>
      <c r="F500" s="53"/>
      <c r="G500" s="53"/>
      <c r="H500" s="53"/>
      <c r="I500" s="53"/>
      <c r="J500" s="107"/>
      <c r="K500" s="107"/>
      <c r="L500" s="107"/>
      <c r="M500" s="107"/>
      <c r="N500" s="107"/>
      <c r="O500" s="107"/>
      <c r="P500" s="107"/>
      <c r="Q500" s="107"/>
      <c r="R500" s="107"/>
      <c r="S500" s="107"/>
      <c r="T500" s="107"/>
      <c r="U500" s="107"/>
      <c r="V500" s="107"/>
      <c r="W500" s="107"/>
      <c r="X500" s="107"/>
      <c r="Y500" s="107"/>
      <c r="Z500" s="107"/>
      <c r="AA500" s="107"/>
      <c r="AB500" s="107"/>
      <c r="AC500" s="107"/>
      <c r="AD500" s="107"/>
      <c r="AE500" s="107"/>
      <c r="AF500" s="107"/>
      <c r="AG500" s="107"/>
      <c r="AH500" s="107">
        <f t="shared" si="91"/>
        <v>0</v>
      </c>
    </row>
    <row r="501" spans="1:34" ht="15" customHeight="1">
      <c r="A501" s="73" t="s">
        <v>150</v>
      </c>
      <c r="B501" s="311">
        <f t="shared" si="90"/>
        <v>0</v>
      </c>
      <c r="C501" s="100"/>
      <c r="D501" s="107"/>
      <c r="E501" s="107"/>
      <c r="F501" s="107"/>
      <c r="G501" s="107"/>
      <c r="H501" s="107"/>
      <c r="I501" s="107"/>
      <c r="J501" s="107"/>
      <c r="K501" s="107"/>
      <c r="L501" s="107"/>
      <c r="M501" s="107"/>
      <c r="N501" s="107"/>
      <c r="O501" s="107"/>
      <c r="P501" s="107"/>
      <c r="Q501" s="107"/>
      <c r="R501" s="107"/>
      <c r="S501" s="107"/>
      <c r="T501" s="107"/>
      <c r="U501" s="107"/>
      <c r="V501" s="107"/>
      <c r="W501" s="107"/>
      <c r="X501" s="107"/>
      <c r="Y501" s="107"/>
      <c r="Z501" s="107"/>
      <c r="AA501" s="107"/>
      <c r="AB501" s="107"/>
      <c r="AC501" s="107"/>
      <c r="AD501" s="107"/>
      <c r="AE501" s="107"/>
      <c r="AF501" s="107"/>
      <c r="AG501" s="107"/>
      <c r="AH501" s="107">
        <f t="shared" si="91"/>
        <v>0</v>
      </c>
    </row>
    <row r="502" spans="1:34" ht="15" customHeight="1">
      <c r="A502" s="73" t="s">
        <v>151</v>
      </c>
      <c r="B502" s="311">
        <f t="shared" si="90"/>
        <v>0</v>
      </c>
      <c r="C502" s="103"/>
      <c r="D502" s="107"/>
      <c r="E502" s="107"/>
      <c r="F502" s="107"/>
      <c r="G502" s="53"/>
      <c r="H502" s="53"/>
      <c r="I502" s="53"/>
      <c r="J502" s="111"/>
      <c r="K502" s="111"/>
      <c r="L502" s="107"/>
      <c r="M502" s="107"/>
      <c r="N502" s="107"/>
      <c r="O502" s="107"/>
      <c r="P502" s="107"/>
      <c r="Q502" s="107"/>
      <c r="R502" s="107"/>
      <c r="S502" s="107"/>
      <c r="T502" s="107"/>
      <c r="U502" s="107"/>
      <c r="V502" s="107"/>
      <c r="W502" s="107"/>
      <c r="X502" s="107"/>
      <c r="Y502" s="107"/>
      <c r="Z502" s="107"/>
      <c r="AA502" s="107"/>
      <c r="AB502" s="107"/>
      <c r="AC502" s="107"/>
      <c r="AD502" s="107"/>
      <c r="AE502" s="107"/>
      <c r="AF502" s="107"/>
      <c r="AG502" s="107"/>
      <c r="AH502" s="107">
        <f t="shared" si="91"/>
        <v>0</v>
      </c>
    </row>
    <row r="503" spans="1:34" ht="15" customHeight="1">
      <c r="A503" s="73" t="s">
        <v>152</v>
      </c>
      <c r="B503" s="311">
        <f t="shared" si="90"/>
        <v>0</v>
      </c>
      <c r="C503" s="103"/>
      <c r="D503" s="53"/>
      <c r="E503" s="53"/>
      <c r="F503" s="53"/>
      <c r="G503" s="53"/>
      <c r="H503" s="53"/>
      <c r="I503" s="53"/>
      <c r="J503" s="111"/>
      <c r="K503" s="111"/>
      <c r="L503" s="107"/>
      <c r="M503" s="107"/>
      <c r="N503" s="107"/>
      <c r="O503" s="107"/>
      <c r="P503" s="107"/>
      <c r="Q503" s="107"/>
      <c r="R503" s="107"/>
      <c r="S503" s="107"/>
      <c r="T503" s="107"/>
      <c r="U503" s="107"/>
      <c r="V503" s="107"/>
      <c r="W503" s="107"/>
      <c r="X503" s="107"/>
      <c r="Y503" s="107"/>
      <c r="Z503" s="107"/>
      <c r="AA503" s="107"/>
      <c r="AB503" s="107"/>
      <c r="AC503" s="107"/>
      <c r="AD503" s="107"/>
      <c r="AE503" s="107"/>
      <c r="AF503" s="107"/>
      <c r="AG503" s="107"/>
      <c r="AH503" s="107">
        <f t="shared" si="91"/>
        <v>0</v>
      </c>
    </row>
    <row r="504" spans="1:34" ht="15" customHeight="1">
      <c r="A504" s="73" t="s">
        <v>153</v>
      </c>
      <c r="B504" s="311">
        <f t="shared" si="90"/>
        <v>0</v>
      </c>
      <c r="C504" s="100"/>
      <c r="D504" s="107"/>
      <c r="E504" s="107"/>
      <c r="F504" s="107"/>
      <c r="G504" s="107"/>
      <c r="H504" s="107"/>
      <c r="I504" s="107"/>
      <c r="J504" s="111"/>
      <c r="K504" s="111"/>
      <c r="L504" s="53"/>
      <c r="M504" s="53"/>
      <c r="N504" s="53"/>
      <c r="O504" s="53"/>
      <c r="P504" s="53"/>
      <c r="Q504" s="53"/>
      <c r="R504" s="53"/>
      <c r="S504" s="53"/>
      <c r="T504" s="53"/>
      <c r="U504" s="53"/>
      <c r="V504" s="53"/>
      <c r="W504" s="53"/>
      <c r="X504" s="53"/>
      <c r="Y504" s="53"/>
      <c r="Z504" s="53"/>
      <c r="AA504" s="53"/>
      <c r="AB504" s="53"/>
      <c r="AC504" s="53"/>
      <c r="AD504" s="53"/>
      <c r="AE504" s="53"/>
      <c r="AF504" s="53"/>
      <c r="AG504" s="53"/>
      <c r="AH504" s="107">
        <f t="shared" si="91"/>
        <v>0</v>
      </c>
    </row>
    <row r="505" spans="1:34" ht="15" customHeight="1">
      <c r="A505" s="73" t="s">
        <v>154</v>
      </c>
      <c r="B505" s="53">
        <f t="shared" si="90"/>
        <v>0</v>
      </c>
      <c r="C505" s="103"/>
      <c r="D505" s="107"/>
      <c r="E505" s="107"/>
      <c r="F505" s="107"/>
      <c r="G505" s="53"/>
      <c r="H505" s="53"/>
      <c r="I505" s="53"/>
      <c r="J505" s="53"/>
      <c r="K505" s="53"/>
      <c r="L505" s="53"/>
      <c r="M505" s="53"/>
      <c r="N505" s="53"/>
      <c r="O505" s="107"/>
      <c r="P505" s="53"/>
      <c r="Q505" s="53"/>
      <c r="R505" s="53"/>
      <c r="S505" s="53"/>
      <c r="T505" s="53"/>
      <c r="U505" s="53"/>
      <c r="V505" s="53"/>
      <c r="W505" s="53"/>
      <c r="X505" s="53"/>
      <c r="Y505" s="53"/>
      <c r="Z505" s="53"/>
      <c r="AA505" s="53"/>
      <c r="AB505" s="53"/>
      <c r="AC505" s="53"/>
      <c r="AD505" s="53"/>
      <c r="AE505" s="107"/>
      <c r="AF505" s="53"/>
      <c r="AG505" s="107"/>
      <c r="AH505" s="107">
        <f t="shared" si="91"/>
        <v>0</v>
      </c>
    </row>
    <row r="506" spans="1:34" ht="15" customHeight="1">
      <c r="A506" s="73" t="s">
        <v>155</v>
      </c>
      <c r="B506" s="53">
        <f t="shared" si="90"/>
        <v>0</v>
      </c>
      <c r="C506" s="103"/>
      <c r="D506" s="53"/>
      <c r="E506" s="53"/>
      <c r="F506" s="53"/>
      <c r="G506" s="53"/>
      <c r="H506" s="53"/>
      <c r="I506" s="53"/>
      <c r="J506" s="53"/>
      <c r="K506" s="53"/>
      <c r="L506" s="53"/>
      <c r="M506" s="53"/>
      <c r="N506" s="53"/>
      <c r="O506" s="53"/>
      <c r="P506" s="53"/>
      <c r="Q506" s="53"/>
      <c r="R506" s="53"/>
      <c r="S506" s="53"/>
      <c r="T506" s="53"/>
      <c r="U506" s="53"/>
      <c r="V506" s="53"/>
      <c r="W506" s="53"/>
      <c r="X506" s="53"/>
      <c r="Y506" s="53"/>
      <c r="Z506" s="53"/>
      <c r="AA506" s="53"/>
      <c r="AB506" s="53"/>
      <c r="AC506" s="53"/>
      <c r="AD506" s="53"/>
      <c r="AE506" s="107"/>
      <c r="AF506" s="53"/>
      <c r="AG506" s="107"/>
      <c r="AH506" s="107">
        <f t="shared" si="91"/>
        <v>0</v>
      </c>
    </row>
    <row r="507" spans="1:34" ht="15" customHeight="1">
      <c r="A507" s="73" t="s">
        <v>156</v>
      </c>
      <c r="B507" s="53">
        <f t="shared" si="90"/>
        <v>0</v>
      </c>
      <c r="C507" s="103"/>
      <c r="D507" s="53"/>
      <c r="E507" s="53"/>
      <c r="F507" s="53"/>
      <c r="G507" s="53"/>
      <c r="H507" s="53"/>
      <c r="I507" s="53"/>
      <c r="J507" s="53"/>
      <c r="K507" s="53"/>
      <c r="L507" s="53"/>
      <c r="M507" s="53"/>
      <c r="N507" s="53"/>
      <c r="O507" s="53"/>
      <c r="P507" s="53"/>
      <c r="Q507" s="53"/>
      <c r="R507" s="53"/>
      <c r="S507" s="53"/>
      <c r="T507" s="53"/>
      <c r="U507" s="53"/>
      <c r="V507" s="53"/>
      <c r="W507" s="53"/>
      <c r="X507" s="53"/>
      <c r="Y507" s="53"/>
      <c r="Z507" s="53"/>
      <c r="AA507" s="53"/>
      <c r="AB507" s="53"/>
      <c r="AC507" s="53"/>
      <c r="AD507" s="53"/>
      <c r="AE507" s="107"/>
      <c r="AF507" s="53"/>
      <c r="AG507" s="107"/>
      <c r="AH507" s="107">
        <f t="shared" si="91"/>
        <v>0</v>
      </c>
    </row>
    <row r="508" spans="1:34" ht="15" customHeight="1">
      <c r="A508" s="199" t="s">
        <v>144</v>
      </c>
      <c r="B508" s="200">
        <f>SUM(B496:B507)</f>
        <v>0</v>
      </c>
      <c r="C508" s="100">
        <f>SUM(C496:C506)</f>
        <v>0</v>
      </c>
      <c r="D508" s="107">
        <f>SUM(D496:D506)</f>
        <v>0</v>
      </c>
      <c r="E508" s="107">
        <v>0</v>
      </c>
      <c r="F508" s="107">
        <f t="shared" ref="F508:AC508" si="92">SUM(F496:F506)</f>
        <v>0</v>
      </c>
      <c r="G508" s="107">
        <f t="shared" si="92"/>
        <v>0</v>
      </c>
      <c r="H508" s="107">
        <f t="shared" si="92"/>
        <v>0</v>
      </c>
      <c r="I508" s="107">
        <f t="shared" si="92"/>
        <v>0</v>
      </c>
      <c r="J508" s="107">
        <f t="shared" si="92"/>
        <v>0</v>
      </c>
      <c r="K508" s="107">
        <f t="shared" si="92"/>
        <v>0</v>
      </c>
      <c r="L508" s="107">
        <f t="shared" si="92"/>
        <v>0</v>
      </c>
      <c r="M508" s="107">
        <f t="shared" si="92"/>
        <v>0</v>
      </c>
      <c r="N508" s="107">
        <f t="shared" si="92"/>
        <v>0</v>
      </c>
      <c r="O508" s="107">
        <f t="shared" si="92"/>
        <v>0</v>
      </c>
      <c r="P508" s="107">
        <f t="shared" si="92"/>
        <v>0</v>
      </c>
      <c r="Q508" s="107">
        <f t="shared" si="92"/>
        <v>0</v>
      </c>
      <c r="R508" s="107">
        <f t="shared" si="92"/>
        <v>0</v>
      </c>
      <c r="S508" s="107">
        <f t="shared" si="92"/>
        <v>0</v>
      </c>
      <c r="T508" s="107">
        <f t="shared" si="92"/>
        <v>0</v>
      </c>
      <c r="U508" s="107">
        <f t="shared" si="92"/>
        <v>0</v>
      </c>
      <c r="V508" s="107">
        <f t="shared" si="92"/>
        <v>0</v>
      </c>
      <c r="W508" s="107">
        <f t="shared" si="92"/>
        <v>0</v>
      </c>
      <c r="X508" s="107">
        <f t="shared" si="92"/>
        <v>0</v>
      </c>
      <c r="Y508" s="107">
        <f t="shared" si="92"/>
        <v>0</v>
      </c>
      <c r="Z508" s="107">
        <f t="shared" si="92"/>
        <v>0</v>
      </c>
      <c r="AA508" s="107">
        <f t="shared" si="92"/>
        <v>0</v>
      </c>
      <c r="AB508" s="107">
        <f t="shared" si="92"/>
        <v>0</v>
      </c>
      <c r="AC508" s="107">
        <f t="shared" si="92"/>
        <v>0</v>
      </c>
      <c r="AD508" s="107">
        <v>0</v>
      </c>
      <c r="AE508" s="107">
        <f>SUM(AE496:AE506)</f>
        <v>0</v>
      </c>
      <c r="AF508" s="107">
        <f>SUM(AF496:AF506)</f>
        <v>0</v>
      </c>
      <c r="AG508" s="107">
        <f>SUM(AG496:AG506)</f>
        <v>0</v>
      </c>
      <c r="AH508" s="100">
        <f>SUM(AH496:AH506)</f>
        <v>0</v>
      </c>
    </row>
    <row r="510" spans="1:34" ht="15" customHeight="1">
      <c r="A510" s="3854" t="s">
        <v>769</v>
      </c>
      <c r="B510" s="3855"/>
      <c r="C510" s="3855"/>
      <c r="D510" s="3855"/>
      <c r="E510" s="3855"/>
      <c r="F510" s="3855"/>
      <c r="G510" s="3855"/>
      <c r="H510" s="3856"/>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c r="AG510" s="14"/>
      <c r="AH510" s="14"/>
    </row>
    <row r="511" spans="1:34" ht="15" customHeight="1">
      <c r="A511" s="8" t="s">
        <v>142</v>
      </c>
      <c r="B511" s="8" t="s">
        <v>143</v>
      </c>
      <c r="C511" s="2908">
        <v>1</v>
      </c>
      <c r="D511" s="73">
        <v>2</v>
      </c>
      <c r="E511" s="73">
        <v>3</v>
      </c>
      <c r="F511" s="73">
        <v>4</v>
      </c>
      <c r="G511" s="73">
        <v>5</v>
      </c>
      <c r="H511" s="73">
        <v>6</v>
      </c>
      <c r="I511" s="73">
        <v>7</v>
      </c>
      <c r="J511" s="73">
        <v>8</v>
      </c>
      <c r="K511" s="73">
        <v>9</v>
      </c>
      <c r="L511" s="73">
        <v>10</v>
      </c>
      <c r="M511" s="73">
        <v>11</v>
      </c>
      <c r="N511" s="73">
        <v>12</v>
      </c>
      <c r="O511" s="73">
        <v>13</v>
      </c>
      <c r="P511" s="73">
        <v>14</v>
      </c>
      <c r="Q511" s="73">
        <v>15</v>
      </c>
      <c r="R511" s="73">
        <v>16</v>
      </c>
      <c r="S511" s="73">
        <v>17</v>
      </c>
      <c r="T511" s="73">
        <v>18</v>
      </c>
      <c r="U511" s="73">
        <v>19</v>
      </c>
      <c r="V511" s="73">
        <v>20</v>
      </c>
      <c r="W511" s="73">
        <v>21</v>
      </c>
      <c r="X511" s="73">
        <v>22</v>
      </c>
      <c r="Y511" s="73">
        <v>23</v>
      </c>
      <c r="Z511" s="73">
        <v>24</v>
      </c>
      <c r="AA511" s="73">
        <v>25</v>
      </c>
      <c r="AB511" s="73">
        <v>26</v>
      </c>
      <c r="AC511" s="73">
        <v>27</v>
      </c>
      <c r="AD511" s="73">
        <v>28</v>
      </c>
      <c r="AE511" s="73">
        <v>29</v>
      </c>
      <c r="AF511" s="73">
        <v>30</v>
      </c>
      <c r="AG511" s="73">
        <v>31</v>
      </c>
      <c r="AH511" s="88" t="s">
        <v>144</v>
      </c>
    </row>
    <row r="512" spans="1:34" ht="15" customHeight="1">
      <c r="A512" s="73" t="s">
        <v>145</v>
      </c>
      <c r="B512" s="311">
        <f t="shared" ref="B512:B523" si="93">+AH512</f>
        <v>0</v>
      </c>
      <c r="C512" s="103"/>
      <c r="D512" s="107"/>
      <c r="E512" s="107"/>
      <c r="F512" s="107"/>
      <c r="G512" s="53"/>
      <c r="H512" s="53"/>
      <c r="I512" s="53"/>
      <c r="J512" s="53"/>
      <c r="K512" s="53"/>
      <c r="L512" s="53"/>
      <c r="M512" s="53"/>
      <c r="N512" s="53"/>
      <c r="O512" s="53"/>
      <c r="P512" s="53"/>
      <c r="Q512" s="107"/>
      <c r="R512" s="53"/>
      <c r="S512" s="53"/>
      <c r="T512" s="53"/>
      <c r="U512" s="53"/>
      <c r="V512" s="107"/>
      <c r="W512" s="107"/>
      <c r="X512" s="53"/>
      <c r="Y512" s="53"/>
      <c r="Z512" s="53"/>
      <c r="AA512" s="53"/>
      <c r="AB512" s="53"/>
      <c r="AC512" s="53"/>
      <c r="AD512" s="107"/>
      <c r="AE512" s="53"/>
      <c r="AF512" s="53"/>
      <c r="AG512" s="53"/>
      <c r="AH512" s="107">
        <f>SUM(C512:AG512)</f>
        <v>0</v>
      </c>
    </row>
    <row r="513" spans="1:34" ht="15" customHeight="1">
      <c r="A513" s="73" t="s">
        <v>146</v>
      </c>
      <c r="B513" s="311">
        <f t="shared" si="93"/>
        <v>0</v>
      </c>
      <c r="C513" s="103"/>
      <c r="D513" s="53"/>
      <c r="E513" s="53"/>
      <c r="F513" s="53"/>
      <c r="G513" s="53"/>
      <c r="H513" s="53"/>
      <c r="I513" s="53"/>
      <c r="J513" s="53"/>
      <c r="K513" s="53"/>
      <c r="L513" s="53"/>
      <c r="M513" s="53"/>
      <c r="N513" s="53"/>
      <c r="O513" s="53"/>
      <c r="P513" s="53"/>
      <c r="Q513" s="53"/>
      <c r="R513" s="53"/>
      <c r="S513" s="53"/>
      <c r="T513" s="53"/>
      <c r="U513" s="53"/>
      <c r="V513" s="53"/>
      <c r="W513" s="53"/>
      <c r="X513" s="53"/>
      <c r="Y513" s="53"/>
      <c r="Z513" s="53"/>
      <c r="AA513" s="53"/>
      <c r="AB513" s="53"/>
      <c r="AC513" s="53"/>
      <c r="AD513" s="53"/>
      <c r="AE513" s="53"/>
      <c r="AF513" s="53"/>
      <c r="AG513" s="53"/>
      <c r="AH513" s="107">
        <f t="shared" ref="AH513:AH523" si="94">SUM(C513:AG513)</f>
        <v>0</v>
      </c>
    </row>
    <row r="514" spans="1:34" ht="15" customHeight="1">
      <c r="A514" s="73" t="s">
        <v>147</v>
      </c>
      <c r="B514" s="311">
        <f t="shared" si="93"/>
        <v>0</v>
      </c>
      <c r="C514" s="100"/>
      <c r="D514" s="107"/>
      <c r="E514" s="107"/>
      <c r="F514" s="107"/>
      <c r="G514" s="107"/>
      <c r="H514" s="107"/>
      <c r="I514" s="107"/>
      <c r="J514" s="107"/>
      <c r="K514" s="107"/>
      <c r="L514" s="107"/>
      <c r="M514" s="107"/>
      <c r="N514" s="107"/>
      <c r="O514" s="107"/>
      <c r="P514" s="107"/>
      <c r="Q514" s="107"/>
      <c r="R514" s="107"/>
      <c r="S514" s="107"/>
      <c r="T514" s="107"/>
      <c r="U514" s="107"/>
      <c r="V514" s="107"/>
      <c r="W514" s="107"/>
      <c r="X514" s="107"/>
      <c r="Y514" s="107"/>
      <c r="Z514" s="107"/>
      <c r="AA514" s="107"/>
      <c r="AB514" s="107"/>
      <c r="AC514" s="107"/>
      <c r="AD514" s="107"/>
      <c r="AE514" s="107"/>
      <c r="AF514" s="107"/>
      <c r="AG514" s="107"/>
      <c r="AH514" s="107">
        <f t="shared" si="94"/>
        <v>0</v>
      </c>
    </row>
    <row r="515" spans="1:34" ht="15" customHeight="1">
      <c r="A515" s="73" t="s">
        <v>148</v>
      </c>
      <c r="B515" s="311">
        <f t="shared" si="93"/>
        <v>0</v>
      </c>
      <c r="C515" s="103"/>
      <c r="D515" s="315"/>
      <c r="E515" s="315"/>
      <c r="F515" s="315"/>
      <c r="G515" s="306"/>
      <c r="H515" s="306"/>
      <c r="I515" s="306"/>
      <c r="J515" s="315"/>
      <c r="K515" s="315"/>
      <c r="L515" s="315"/>
      <c r="M515" s="315"/>
      <c r="N515" s="315"/>
      <c r="O515" s="315"/>
      <c r="P515" s="107"/>
      <c r="Q515" s="107"/>
      <c r="R515" s="107"/>
      <c r="S515" s="107"/>
      <c r="T515" s="107"/>
      <c r="U515" s="107"/>
      <c r="V515" s="107"/>
      <c r="W515" s="107"/>
      <c r="X515" s="107"/>
      <c r="Y515" s="107"/>
      <c r="Z515" s="107"/>
      <c r="AA515" s="107"/>
      <c r="AB515" s="107"/>
      <c r="AC515" s="107"/>
      <c r="AD515" s="107"/>
      <c r="AE515" s="107"/>
      <c r="AF515" s="107"/>
      <c r="AG515" s="107"/>
      <c r="AH515" s="107">
        <f t="shared" si="94"/>
        <v>0</v>
      </c>
    </row>
    <row r="516" spans="1:34" ht="15" customHeight="1">
      <c r="A516" s="73" t="s">
        <v>149</v>
      </c>
      <c r="B516" s="311">
        <f t="shared" si="93"/>
        <v>0</v>
      </c>
      <c r="C516" s="103"/>
      <c r="D516" s="53"/>
      <c r="E516" s="53"/>
      <c r="F516" s="53"/>
      <c r="G516" s="53"/>
      <c r="H516" s="53"/>
      <c r="I516" s="53"/>
      <c r="J516" s="107"/>
      <c r="K516" s="107"/>
      <c r="L516" s="107"/>
      <c r="M516" s="107"/>
      <c r="N516" s="107"/>
      <c r="O516" s="107"/>
      <c r="P516" s="107"/>
      <c r="Q516" s="107"/>
      <c r="R516" s="107"/>
      <c r="S516" s="107"/>
      <c r="T516" s="107"/>
      <c r="U516" s="107"/>
      <c r="V516" s="107"/>
      <c r="W516" s="107"/>
      <c r="X516" s="107"/>
      <c r="Y516" s="107"/>
      <c r="Z516" s="107"/>
      <c r="AA516" s="107"/>
      <c r="AB516" s="107"/>
      <c r="AC516" s="107"/>
      <c r="AD516" s="107"/>
      <c r="AE516" s="107"/>
      <c r="AF516" s="107"/>
      <c r="AG516" s="107"/>
      <c r="AH516" s="107">
        <f t="shared" si="94"/>
        <v>0</v>
      </c>
    </row>
    <row r="517" spans="1:34" ht="15" customHeight="1">
      <c r="A517" s="73" t="s">
        <v>150</v>
      </c>
      <c r="B517" s="311">
        <f t="shared" si="93"/>
        <v>0</v>
      </c>
      <c r="C517" s="100"/>
      <c r="D517" s="107"/>
      <c r="E517" s="107"/>
      <c r="F517" s="107"/>
      <c r="G517" s="107"/>
      <c r="H517" s="107"/>
      <c r="I517" s="107"/>
      <c r="J517" s="107"/>
      <c r="K517" s="107"/>
      <c r="L517" s="107"/>
      <c r="M517" s="107"/>
      <c r="N517" s="107"/>
      <c r="O517" s="107"/>
      <c r="P517" s="107"/>
      <c r="Q517" s="107"/>
      <c r="R517" s="107"/>
      <c r="S517" s="107"/>
      <c r="T517" s="107"/>
      <c r="U517" s="107"/>
      <c r="V517" s="107"/>
      <c r="W517" s="107"/>
      <c r="X517" s="107"/>
      <c r="Y517" s="107"/>
      <c r="Z517" s="107"/>
      <c r="AA517" s="107"/>
      <c r="AB517" s="107"/>
      <c r="AC517" s="107"/>
      <c r="AD517" s="107"/>
      <c r="AE517" s="107"/>
      <c r="AF517" s="107"/>
      <c r="AG517" s="107"/>
      <c r="AH517" s="107">
        <f t="shared" si="94"/>
        <v>0</v>
      </c>
    </row>
    <row r="518" spans="1:34" ht="15" customHeight="1">
      <c r="A518" s="73" t="s">
        <v>151</v>
      </c>
      <c r="B518" s="311">
        <f t="shared" si="93"/>
        <v>0</v>
      </c>
      <c r="C518" s="103"/>
      <c r="D518" s="107"/>
      <c r="E518" s="107"/>
      <c r="F518" s="107"/>
      <c r="G518" s="53"/>
      <c r="H518" s="53"/>
      <c r="I518" s="53"/>
      <c r="J518" s="111"/>
      <c r="K518" s="111"/>
      <c r="L518" s="107"/>
      <c r="M518" s="107"/>
      <c r="N518" s="107"/>
      <c r="O518" s="107"/>
      <c r="P518" s="107"/>
      <c r="Q518" s="107"/>
      <c r="R518" s="107"/>
      <c r="S518" s="107"/>
      <c r="T518" s="107"/>
      <c r="U518" s="107"/>
      <c r="V518" s="107"/>
      <c r="W518" s="107"/>
      <c r="X518" s="107"/>
      <c r="Y518" s="107"/>
      <c r="Z518" s="107"/>
      <c r="AA518" s="107"/>
      <c r="AB518" s="107"/>
      <c r="AC518" s="107"/>
      <c r="AD518" s="107"/>
      <c r="AE518" s="107"/>
      <c r="AF518" s="107"/>
      <c r="AG518" s="107"/>
      <c r="AH518" s="107">
        <f t="shared" si="94"/>
        <v>0</v>
      </c>
    </row>
    <row r="519" spans="1:34" ht="15" customHeight="1">
      <c r="A519" s="73" t="s">
        <v>152</v>
      </c>
      <c r="B519" s="311">
        <f t="shared" si="93"/>
        <v>0</v>
      </c>
      <c r="C519" s="103"/>
      <c r="D519" s="53"/>
      <c r="E519" s="53"/>
      <c r="F519" s="53"/>
      <c r="G519" s="53"/>
      <c r="H519" s="53"/>
      <c r="I519" s="53"/>
      <c r="J519" s="111"/>
      <c r="K519" s="111"/>
      <c r="L519" s="107"/>
      <c r="M519" s="107"/>
      <c r="N519" s="107"/>
      <c r="O519" s="107"/>
      <c r="P519" s="107"/>
      <c r="Q519" s="107"/>
      <c r="R519" s="107"/>
      <c r="S519" s="107"/>
      <c r="T519" s="107"/>
      <c r="U519" s="107"/>
      <c r="V519" s="107"/>
      <c r="W519" s="107"/>
      <c r="X519" s="107"/>
      <c r="Y519" s="107"/>
      <c r="Z519" s="107"/>
      <c r="AA519" s="107"/>
      <c r="AB519" s="107"/>
      <c r="AC519" s="107"/>
      <c r="AD519" s="107"/>
      <c r="AE519" s="107"/>
      <c r="AF519" s="107"/>
      <c r="AG519" s="107"/>
      <c r="AH519" s="107">
        <f t="shared" si="94"/>
        <v>0</v>
      </c>
    </row>
    <row r="520" spans="1:34" ht="15" customHeight="1">
      <c r="A520" s="73" t="s">
        <v>153</v>
      </c>
      <c r="B520" s="311">
        <f t="shared" si="93"/>
        <v>0</v>
      </c>
      <c r="C520" s="100"/>
      <c r="D520" s="107"/>
      <c r="E520" s="107"/>
      <c r="F520" s="107"/>
      <c r="G520" s="107"/>
      <c r="H520" s="107"/>
      <c r="I520" s="107"/>
      <c r="J520" s="111"/>
      <c r="K520" s="111"/>
      <c r="L520" s="53"/>
      <c r="M520" s="53"/>
      <c r="N520" s="53"/>
      <c r="O520" s="53"/>
      <c r="P520" s="53"/>
      <c r="Q520" s="53"/>
      <c r="R520" s="53"/>
      <c r="S520" s="53"/>
      <c r="T520" s="53"/>
      <c r="U520" s="53"/>
      <c r="V520" s="53"/>
      <c r="W520" s="53"/>
      <c r="X520" s="53"/>
      <c r="Y520" s="53"/>
      <c r="Z520" s="53"/>
      <c r="AA520" s="53"/>
      <c r="AB520" s="53"/>
      <c r="AC520" s="53"/>
      <c r="AD520" s="53"/>
      <c r="AE520" s="53"/>
      <c r="AF520" s="53"/>
      <c r="AG520" s="53"/>
      <c r="AH520" s="107">
        <f t="shared" si="94"/>
        <v>0</v>
      </c>
    </row>
    <row r="521" spans="1:34" ht="15" customHeight="1">
      <c r="A521" s="73" t="s">
        <v>154</v>
      </c>
      <c r="B521" s="53">
        <f t="shared" si="93"/>
        <v>0</v>
      </c>
      <c r="C521" s="103"/>
      <c r="D521" s="107"/>
      <c r="E521" s="107"/>
      <c r="F521" s="107"/>
      <c r="G521" s="53"/>
      <c r="H521" s="53"/>
      <c r="I521" s="53"/>
      <c r="J521" s="53"/>
      <c r="K521" s="53"/>
      <c r="L521" s="53"/>
      <c r="M521" s="53"/>
      <c r="N521" s="53"/>
      <c r="O521" s="107"/>
      <c r="P521" s="53"/>
      <c r="Q521" s="53"/>
      <c r="R521" s="53"/>
      <c r="S521" s="53"/>
      <c r="T521" s="53"/>
      <c r="U521" s="53"/>
      <c r="V521" s="53"/>
      <c r="W521" s="53"/>
      <c r="X521" s="53"/>
      <c r="Y521" s="53"/>
      <c r="Z521" s="53"/>
      <c r="AA521" s="53"/>
      <c r="AB521" s="53"/>
      <c r="AC521" s="53"/>
      <c r="AD521" s="53"/>
      <c r="AE521" s="107"/>
      <c r="AF521" s="53"/>
      <c r="AG521" s="107"/>
      <c r="AH521" s="107">
        <f t="shared" si="94"/>
        <v>0</v>
      </c>
    </row>
    <row r="522" spans="1:34" ht="15" customHeight="1">
      <c r="A522" s="73" t="s">
        <v>155</v>
      </c>
      <c r="B522" s="53">
        <f t="shared" si="93"/>
        <v>0</v>
      </c>
      <c r="C522" s="103"/>
      <c r="D522" s="53"/>
      <c r="E522" s="53"/>
      <c r="F522" s="53"/>
      <c r="G522" s="53"/>
      <c r="H522" s="53"/>
      <c r="I522" s="53"/>
      <c r="J522" s="53"/>
      <c r="K522" s="53"/>
      <c r="L522" s="53"/>
      <c r="M522" s="53"/>
      <c r="N522" s="53"/>
      <c r="O522" s="53"/>
      <c r="P522" s="53"/>
      <c r="Q522" s="53"/>
      <c r="R522" s="53"/>
      <c r="S522" s="53"/>
      <c r="T522" s="53"/>
      <c r="U522" s="53"/>
      <c r="V522" s="53"/>
      <c r="W522" s="53"/>
      <c r="X522" s="53"/>
      <c r="Y522" s="53"/>
      <c r="Z522" s="53"/>
      <c r="AA522" s="53"/>
      <c r="AB522" s="53"/>
      <c r="AC522" s="53"/>
      <c r="AD522" s="53"/>
      <c r="AE522" s="107"/>
      <c r="AF522" s="53"/>
      <c r="AG522" s="107"/>
      <c r="AH522" s="107">
        <f t="shared" si="94"/>
        <v>0</v>
      </c>
    </row>
    <row r="523" spans="1:34" ht="15" customHeight="1">
      <c r="A523" s="73" t="s">
        <v>156</v>
      </c>
      <c r="B523" s="53">
        <f t="shared" si="93"/>
        <v>0</v>
      </c>
      <c r="C523" s="103"/>
      <c r="D523" s="53"/>
      <c r="E523" s="53"/>
      <c r="F523" s="53"/>
      <c r="G523" s="53"/>
      <c r="H523" s="53"/>
      <c r="I523" s="53"/>
      <c r="J523" s="53"/>
      <c r="K523" s="53"/>
      <c r="L523" s="53"/>
      <c r="M523" s="53"/>
      <c r="N523" s="53"/>
      <c r="O523" s="53"/>
      <c r="P523" s="53"/>
      <c r="Q523" s="53"/>
      <c r="R523" s="53"/>
      <c r="S523" s="53"/>
      <c r="T523" s="53"/>
      <c r="U523" s="53"/>
      <c r="V523" s="53"/>
      <c r="W523" s="53"/>
      <c r="X523" s="53"/>
      <c r="Y523" s="53"/>
      <c r="Z523" s="53"/>
      <c r="AA523" s="53"/>
      <c r="AB523" s="53"/>
      <c r="AC523" s="53"/>
      <c r="AD523" s="53"/>
      <c r="AE523" s="107"/>
      <c r="AF523" s="53"/>
      <c r="AG523" s="107"/>
      <c r="AH523" s="107">
        <f t="shared" si="94"/>
        <v>0</v>
      </c>
    </row>
    <row r="524" spans="1:34" ht="15" customHeight="1">
      <c r="A524" s="199" t="s">
        <v>144</v>
      </c>
      <c r="B524" s="200">
        <f>SUM(B512:B523)</f>
        <v>0</v>
      </c>
      <c r="C524" s="100">
        <f>SUM(C512:C522)</f>
        <v>0</v>
      </c>
      <c r="D524" s="107">
        <f>SUM(D512:D522)</f>
        <v>0</v>
      </c>
      <c r="E524" s="107">
        <v>0</v>
      </c>
      <c r="F524" s="107">
        <f t="shared" ref="F524:AC524" si="95">SUM(F512:F522)</f>
        <v>0</v>
      </c>
      <c r="G524" s="107">
        <f t="shared" si="95"/>
        <v>0</v>
      </c>
      <c r="H524" s="107">
        <f t="shared" si="95"/>
        <v>0</v>
      </c>
      <c r="I524" s="107">
        <f t="shared" si="95"/>
        <v>0</v>
      </c>
      <c r="J524" s="107">
        <f t="shared" si="95"/>
        <v>0</v>
      </c>
      <c r="K524" s="107">
        <f t="shared" si="95"/>
        <v>0</v>
      </c>
      <c r="L524" s="107">
        <f t="shared" si="95"/>
        <v>0</v>
      </c>
      <c r="M524" s="107">
        <f t="shared" si="95"/>
        <v>0</v>
      </c>
      <c r="N524" s="107">
        <f t="shared" si="95"/>
        <v>0</v>
      </c>
      <c r="O524" s="107">
        <f t="shared" si="95"/>
        <v>0</v>
      </c>
      <c r="P524" s="107">
        <f t="shared" si="95"/>
        <v>0</v>
      </c>
      <c r="Q524" s="107">
        <f t="shared" si="95"/>
        <v>0</v>
      </c>
      <c r="R524" s="107">
        <f t="shared" si="95"/>
        <v>0</v>
      </c>
      <c r="S524" s="107">
        <f t="shared" si="95"/>
        <v>0</v>
      </c>
      <c r="T524" s="107">
        <f t="shared" si="95"/>
        <v>0</v>
      </c>
      <c r="U524" s="107">
        <f t="shared" si="95"/>
        <v>0</v>
      </c>
      <c r="V524" s="107">
        <f t="shared" si="95"/>
        <v>0</v>
      </c>
      <c r="W524" s="107">
        <f t="shared" si="95"/>
        <v>0</v>
      </c>
      <c r="X524" s="107">
        <f t="shared" si="95"/>
        <v>0</v>
      </c>
      <c r="Y524" s="107">
        <f t="shared" si="95"/>
        <v>0</v>
      </c>
      <c r="Z524" s="107">
        <f t="shared" si="95"/>
        <v>0</v>
      </c>
      <c r="AA524" s="107">
        <f t="shared" si="95"/>
        <v>0</v>
      </c>
      <c r="AB524" s="107">
        <f t="shared" si="95"/>
        <v>0</v>
      </c>
      <c r="AC524" s="107">
        <f t="shared" si="95"/>
        <v>0</v>
      </c>
      <c r="AD524" s="107">
        <v>0</v>
      </c>
      <c r="AE524" s="107">
        <f>SUM(AE512:AE522)</f>
        <v>0</v>
      </c>
      <c r="AF524" s="107">
        <f>SUM(AF512:AF522)</f>
        <v>0</v>
      </c>
      <c r="AG524" s="107">
        <f>SUM(AG512:AG522)</f>
        <v>0</v>
      </c>
      <c r="AH524" s="100">
        <f>SUM(AH512:AH522)</f>
        <v>0</v>
      </c>
    </row>
  </sheetData>
  <mergeCells count="37">
    <mergeCell ref="A510:H510"/>
    <mergeCell ref="A251:H251"/>
    <mergeCell ref="A139:H139"/>
    <mergeCell ref="A347:H347"/>
    <mergeCell ref="A219:H219"/>
    <mergeCell ref="A267:H267"/>
    <mergeCell ref="A171:H171"/>
    <mergeCell ref="A187:H187"/>
    <mergeCell ref="A299:H299"/>
    <mergeCell ref="A315:H315"/>
    <mergeCell ref="A363:R363"/>
    <mergeCell ref="A283:H283"/>
    <mergeCell ref="A203:H203"/>
    <mergeCell ref="A331:H331"/>
    <mergeCell ref="A235:H235"/>
    <mergeCell ref="A494:H494"/>
    <mergeCell ref="A2:T2"/>
    <mergeCell ref="A55:R55"/>
    <mergeCell ref="A57:H57"/>
    <mergeCell ref="A73:H73"/>
    <mergeCell ref="A91:H91"/>
    <mergeCell ref="A89:R89"/>
    <mergeCell ref="A39:H39"/>
    <mergeCell ref="A5:R5"/>
    <mergeCell ref="A107:H107"/>
    <mergeCell ref="A7:H7"/>
    <mergeCell ref="A23:H23"/>
    <mergeCell ref="A155:H155"/>
    <mergeCell ref="A123:H123"/>
    <mergeCell ref="A478:H478"/>
    <mergeCell ref="A446:H446"/>
    <mergeCell ref="A365:H365"/>
    <mergeCell ref="A381:H381"/>
    <mergeCell ref="A429:H429"/>
    <mergeCell ref="A413:H413"/>
    <mergeCell ref="A462:H462"/>
    <mergeCell ref="A397:H397"/>
  </mergeCells>
  <phoneticPr fontId="0" type="noConversion"/>
  <pageMargins left="0.75" right="0.75" top="1" bottom="1" header="0" footer="0"/>
  <pageSetup paperSize="9" orientation="portrait" r:id="rId1"/>
  <headerFooter alignWithMargins="0"/>
  <legacyDrawing r:id="rId2"/>
  <oleObjects>
    <oleObject progId="MSPhotoEd.3" shapeId="15361" r:id="rId3"/>
  </oleObjects>
</worksheet>
</file>

<file path=xl/worksheets/sheet14.xml><?xml version="1.0" encoding="utf-8"?>
<worksheet xmlns="http://schemas.openxmlformats.org/spreadsheetml/2006/main" xmlns:r="http://schemas.openxmlformats.org/officeDocument/2006/relationships">
  <dimension ref="A2:AH115"/>
  <sheetViews>
    <sheetView topLeftCell="A61" zoomScale="90" zoomScaleNormal="90" zoomScaleSheetLayoutView="50" workbookViewId="0">
      <selection activeCell="B80" sqref="B80"/>
    </sheetView>
  </sheetViews>
  <sheetFormatPr baseColWidth="10" defaultColWidth="11.44140625" defaultRowHeight="10.199999999999999"/>
  <cols>
    <col min="1" max="1" width="12.5546875" style="510" customWidth="1"/>
    <col min="2" max="2" width="11.33203125" style="1468" customWidth="1"/>
    <col min="3" max="3" width="8.33203125" style="510" customWidth="1"/>
    <col min="4" max="4" width="6.109375" style="510" bestFit="1" customWidth="1"/>
    <col min="5" max="5" width="5.5546875" style="510" bestFit="1" customWidth="1"/>
    <col min="6" max="6" width="6.5546875" style="510" bestFit="1" customWidth="1"/>
    <col min="7" max="10" width="5.5546875" style="510" bestFit="1" customWidth="1"/>
    <col min="11" max="11" width="4.5546875" style="510" bestFit="1" customWidth="1"/>
    <col min="12" max="14" width="5.5546875" style="510" bestFit="1" customWidth="1"/>
    <col min="15" max="15" width="6" style="510" customWidth="1"/>
    <col min="16" max="16" width="5.5546875" style="510" bestFit="1" customWidth="1"/>
    <col min="17" max="33" width="9.5546875" style="510" customWidth="1"/>
    <col min="34" max="16384" width="11.44140625" style="510"/>
  </cols>
  <sheetData>
    <row r="2" spans="1:34" ht="12">
      <c r="A2" s="3864" t="s">
        <v>397</v>
      </c>
      <c r="B2" s="3865"/>
      <c r="C2" s="3865"/>
      <c r="D2" s="3865"/>
      <c r="E2" s="3865"/>
      <c r="F2" s="3865"/>
      <c r="G2" s="3865"/>
      <c r="H2" s="3865"/>
      <c r="I2" s="3865"/>
      <c r="J2" s="3865"/>
      <c r="K2" s="3865"/>
      <c r="L2" s="3865"/>
      <c r="M2" s="3865"/>
      <c r="N2" s="3865"/>
      <c r="O2" s="3865"/>
      <c r="P2" s="3865"/>
      <c r="Q2" s="3865"/>
      <c r="R2" s="3865"/>
      <c r="S2" s="3865"/>
      <c r="T2" s="3866"/>
      <c r="U2" s="142"/>
      <c r="V2" s="142"/>
      <c r="W2" s="142"/>
      <c r="X2" s="142"/>
      <c r="Y2" s="142"/>
      <c r="Z2" s="142"/>
      <c r="AA2" s="142"/>
      <c r="AB2" s="142"/>
      <c r="AC2" s="142"/>
      <c r="AD2" s="142"/>
      <c r="AE2" s="142"/>
      <c r="AF2" s="142"/>
      <c r="AG2" s="142"/>
      <c r="AH2" s="571"/>
    </row>
    <row r="3" spans="1:34" s="1427" customFormat="1" ht="12">
      <c r="A3" s="1423"/>
      <c r="B3" s="1424"/>
      <c r="C3" s="1423"/>
      <c r="D3" s="1423"/>
      <c r="E3" s="1423"/>
      <c r="F3" s="1423"/>
      <c r="G3" s="1423"/>
      <c r="H3" s="1423"/>
      <c r="I3" s="1423"/>
      <c r="J3" s="1423"/>
      <c r="K3" s="1423"/>
      <c r="L3" s="1423"/>
      <c r="M3" s="1423"/>
      <c r="N3" s="1423"/>
      <c r="O3" s="1423"/>
      <c r="P3" s="1423"/>
      <c r="Q3" s="1423"/>
      <c r="R3" s="1423"/>
      <c r="S3" s="1423"/>
      <c r="T3" s="1423"/>
      <c r="U3" s="142"/>
      <c r="V3" s="142"/>
      <c r="W3" s="142"/>
      <c r="X3" s="142"/>
      <c r="Y3" s="142"/>
      <c r="Z3" s="142"/>
      <c r="AA3" s="142"/>
      <c r="AB3" s="142"/>
      <c r="AC3" s="142"/>
      <c r="AD3" s="142"/>
      <c r="AE3" s="142"/>
      <c r="AF3" s="142"/>
      <c r="AG3" s="142"/>
      <c r="AH3" s="142"/>
    </row>
    <row r="4" spans="1:34" ht="12">
      <c r="A4" s="571"/>
      <c r="B4" s="1428"/>
      <c r="C4" s="571"/>
      <c r="D4" s="142"/>
      <c r="E4" s="142"/>
      <c r="F4" s="142"/>
      <c r="G4" s="142"/>
      <c r="H4" s="142"/>
      <c r="I4" s="142"/>
      <c r="J4" s="142"/>
      <c r="K4" s="142"/>
      <c r="L4" s="570"/>
      <c r="M4" s="142"/>
      <c r="N4" s="142"/>
      <c r="O4" s="142"/>
      <c r="P4" s="142"/>
      <c r="Q4" s="142"/>
      <c r="R4" s="142"/>
      <c r="S4" s="142"/>
      <c r="T4" s="142"/>
      <c r="U4" s="142"/>
      <c r="V4" s="142"/>
      <c r="W4" s="142"/>
      <c r="X4" s="142"/>
      <c r="Y4" s="142"/>
      <c r="Z4" s="142"/>
      <c r="AA4" s="142"/>
      <c r="AB4" s="142"/>
      <c r="AC4" s="142"/>
      <c r="AD4" s="142"/>
      <c r="AE4" s="142"/>
      <c r="AF4" s="142"/>
      <c r="AG4" s="142"/>
      <c r="AH4" s="571"/>
    </row>
    <row r="5" spans="1:34" ht="12">
      <c r="A5" s="3864" t="s">
        <v>141</v>
      </c>
      <c r="B5" s="3865"/>
      <c r="C5" s="3866"/>
      <c r="D5" s="142"/>
      <c r="E5" s="142"/>
      <c r="F5" s="142"/>
      <c r="G5" s="142"/>
      <c r="H5" s="142"/>
      <c r="I5" s="142"/>
      <c r="J5" s="142"/>
      <c r="K5" s="142"/>
      <c r="L5" s="142"/>
      <c r="M5" s="570"/>
      <c r="N5" s="142"/>
      <c r="O5" s="142"/>
      <c r="P5" s="142"/>
      <c r="Q5" s="142"/>
      <c r="R5" s="142"/>
      <c r="S5" s="142"/>
      <c r="T5" s="142"/>
      <c r="U5" s="142"/>
      <c r="V5" s="142"/>
      <c r="W5" s="142"/>
      <c r="X5" s="142"/>
      <c r="Y5" s="142"/>
      <c r="Z5" s="142"/>
      <c r="AA5" s="142"/>
      <c r="AB5" s="142"/>
      <c r="AC5" s="142"/>
      <c r="AD5" s="142"/>
      <c r="AE5" s="142"/>
      <c r="AF5" s="142"/>
      <c r="AG5" s="142"/>
      <c r="AH5" s="571"/>
    </row>
    <row r="6" spans="1:34" ht="12">
      <c r="A6" s="572" t="s">
        <v>142</v>
      </c>
      <c r="B6" s="583" t="s">
        <v>143</v>
      </c>
      <c r="C6" s="572">
        <v>1</v>
      </c>
      <c r="D6" s="573">
        <v>2</v>
      </c>
      <c r="E6" s="573">
        <v>3</v>
      </c>
      <c r="F6" s="573">
        <v>4</v>
      </c>
      <c r="G6" s="573">
        <v>5</v>
      </c>
      <c r="H6" s="573">
        <v>6</v>
      </c>
      <c r="I6" s="573">
        <v>7</v>
      </c>
      <c r="J6" s="573">
        <v>8</v>
      </c>
      <c r="K6" s="573">
        <v>9</v>
      </c>
      <c r="L6" s="573">
        <v>10</v>
      </c>
      <c r="M6" s="573">
        <v>11</v>
      </c>
      <c r="N6" s="573">
        <v>12</v>
      </c>
      <c r="O6" s="573">
        <v>13</v>
      </c>
      <c r="P6" s="573">
        <v>14</v>
      </c>
      <c r="Q6" s="573">
        <v>15</v>
      </c>
      <c r="R6" s="573">
        <v>16</v>
      </c>
      <c r="S6" s="573">
        <v>17</v>
      </c>
      <c r="T6" s="573">
        <v>18</v>
      </c>
      <c r="U6" s="573">
        <v>19</v>
      </c>
      <c r="V6" s="573">
        <v>20</v>
      </c>
      <c r="W6" s="573">
        <v>21</v>
      </c>
      <c r="X6" s="573">
        <v>22</v>
      </c>
      <c r="Y6" s="573">
        <v>23</v>
      </c>
      <c r="Z6" s="573">
        <v>24</v>
      </c>
      <c r="AA6" s="573">
        <v>25</v>
      </c>
      <c r="AB6" s="573">
        <v>26</v>
      </c>
      <c r="AC6" s="573">
        <v>27</v>
      </c>
      <c r="AD6" s="573">
        <v>28</v>
      </c>
      <c r="AE6" s="573">
        <v>29</v>
      </c>
      <c r="AF6" s="573">
        <v>30</v>
      </c>
      <c r="AG6" s="573">
        <v>31</v>
      </c>
      <c r="AH6" s="2035" t="s">
        <v>144</v>
      </c>
    </row>
    <row r="7" spans="1:34" ht="12">
      <c r="A7" s="603" t="s">
        <v>145</v>
      </c>
      <c r="B7" s="584">
        <f t="shared" ref="B7:B18" si="0">+AH7</f>
        <v>0.183</v>
      </c>
      <c r="C7" s="2722"/>
      <c r="D7" s="2722">
        <v>0.08</v>
      </c>
      <c r="E7" s="2722"/>
      <c r="F7" s="2722"/>
      <c r="G7" s="2722"/>
      <c r="H7" s="2722"/>
      <c r="I7" s="2722"/>
      <c r="J7" s="2722"/>
      <c r="K7" s="2722"/>
      <c r="L7" s="2722">
        <v>0.03</v>
      </c>
      <c r="M7" s="2722"/>
      <c r="N7" s="2722"/>
      <c r="O7" s="2722"/>
      <c r="P7" s="2722"/>
      <c r="Q7" s="2722"/>
      <c r="R7" s="2722"/>
      <c r="S7" s="2722"/>
      <c r="T7" s="2722"/>
      <c r="U7" s="2722"/>
      <c r="V7" s="2722"/>
      <c r="W7" s="2722"/>
      <c r="X7" s="2722"/>
      <c r="Y7" s="2722"/>
      <c r="Z7" s="2722"/>
      <c r="AA7" s="2722"/>
      <c r="AB7" s="2722"/>
      <c r="AC7" s="2722"/>
      <c r="AD7" s="2722"/>
      <c r="AE7" s="2722"/>
      <c r="AF7" s="2722"/>
      <c r="AG7" s="2722">
        <v>7.2999999999999995E-2</v>
      </c>
      <c r="AH7" s="581">
        <f>SUM(C7:AG7)</f>
        <v>0.183</v>
      </c>
    </row>
    <row r="8" spans="1:34" ht="12">
      <c r="A8" s="603" t="s">
        <v>146</v>
      </c>
      <c r="B8" s="584">
        <f t="shared" si="0"/>
        <v>0.28300000000000003</v>
      </c>
      <c r="C8" s="2722"/>
      <c r="D8" s="2722"/>
      <c r="E8" s="2722"/>
      <c r="F8" s="2722">
        <v>0.1</v>
      </c>
      <c r="G8" s="2722"/>
      <c r="H8" s="2722"/>
      <c r="I8" s="2722"/>
      <c r="J8" s="2722"/>
      <c r="K8" s="2722"/>
      <c r="L8" s="2722"/>
      <c r="M8" s="2722"/>
      <c r="N8" s="2722"/>
      <c r="O8" s="2722"/>
      <c r="P8" s="2722"/>
      <c r="Q8" s="2722"/>
      <c r="R8" s="2722"/>
      <c r="S8" s="2722"/>
      <c r="T8" s="2722"/>
      <c r="U8" s="2722"/>
      <c r="V8" s="2722"/>
      <c r="W8" s="2722"/>
      <c r="X8" s="2722"/>
      <c r="Y8" s="2722"/>
      <c r="Z8" s="2722"/>
      <c r="AA8" s="2722"/>
      <c r="AB8" s="2722"/>
      <c r="AC8" s="2722"/>
      <c r="AD8" s="2722"/>
      <c r="AE8" s="2722">
        <v>0.183</v>
      </c>
      <c r="AF8" s="2722"/>
      <c r="AG8" s="2722"/>
      <c r="AH8" s="581">
        <f t="shared" ref="AH8:AH16" si="1">SUM(C8:AG8)</f>
        <v>0.28300000000000003</v>
      </c>
    </row>
    <row r="9" spans="1:34" ht="12">
      <c r="A9" s="603" t="s">
        <v>147</v>
      </c>
      <c r="B9" s="584">
        <f t="shared" si="0"/>
        <v>0.33</v>
      </c>
      <c r="C9" s="2722"/>
      <c r="D9" s="2722"/>
      <c r="E9" s="2722"/>
      <c r="F9" s="2722"/>
      <c r="G9" s="2722"/>
      <c r="H9" s="2722"/>
      <c r="I9" s="2722"/>
      <c r="J9" s="2722"/>
      <c r="K9" s="2722"/>
      <c r="L9" s="2722"/>
      <c r="M9" s="2722"/>
      <c r="N9" s="2722"/>
      <c r="O9" s="2722"/>
      <c r="P9" s="2722"/>
      <c r="Q9" s="2722">
        <v>0.1</v>
      </c>
      <c r="R9" s="2722"/>
      <c r="S9" s="2722">
        <v>0.03</v>
      </c>
      <c r="T9" s="2722"/>
      <c r="U9" s="2722"/>
      <c r="V9" s="2722"/>
      <c r="W9" s="2722"/>
      <c r="X9" s="2722"/>
      <c r="Y9" s="2722"/>
      <c r="Z9" s="2722"/>
      <c r="AA9" s="2722"/>
      <c r="AB9" s="2722"/>
      <c r="AC9" s="2722"/>
      <c r="AD9" s="2722"/>
      <c r="AE9" s="2722"/>
      <c r="AF9" s="2722">
        <v>0.2</v>
      </c>
      <c r="AG9" s="2722"/>
      <c r="AH9" s="581">
        <f t="shared" si="1"/>
        <v>0.33</v>
      </c>
    </row>
    <row r="10" spans="1:34" ht="12">
      <c r="A10" s="603" t="s">
        <v>148</v>
      </c>
      <c r="B10" s="584">
        <f t="shared" si="0"/>
        <v>0.74</v>
      </c>
      <c r="C10" s="2722"/>
      <c r="D10" s="2722"/>
      <c r="E10" s="2722"/>
      <c r="F10" s="2722"/>
      <c r="G10" s="2722"/>
      <c r="H10" s="2722"/>
      <c r="I10" s="2722"/>
      <c r="J10" s="2722"/>
      <c r="K10" s="2722"/>
      <c r="L10" s="2722"/>
      <c r="M10" s="2722"/>
      <c r="N10" s="2722"/>
      <c r="O10" s="2722"/>
      <c r="P10" s="2722">
        <v>0.3</v>
      </c>
      <c r="Q10" s="2722"/>
      <c r="R10" s="2722"/>
      <c r="S10" s="2722"/>
      <c r="T10" s="2722"/>
      <c r="U10" s="2722"/>
      <c r="V10" s="2722"/>
      <c r="W10" s="2722"/>
      <c r="X10" s="2722"/>
      <c r="Y10" s="2722">
        <v>0.18</v>
      </c>
      <c r="Z10" s="2722"/>
      <c r="AA10" s="2722"/>
      <c r="AB10" s="2722"/>
      <c r="AC10" s="2722"/>
      <c r="AD10" s="2722">
        <v>0.2</v>
      </c>
      <c r="AE10" s="2722"/>
      <c r="AF10" s="2722">
        <v>0.06</v>
      </c>
      <c r="AG10" s="2722"/>
      <c r="AH10" s="581">
        <f t="shared" si="1"/>
        <v>0.74</v>
      </c>
    </row>
    <row r="11" spans="1:34" ht="12">
      <c r="A11" s="603" t="s">
        <v>149</v>
      </c>
      <c r="B11" s="584">
        <f t="shared" si="0"/>
        <v>1.1499999999999999</v>
      </c>
      <c r="C11" s="2722"/>
      <c r="D11" s="2722">
        <v>0.06</v>
      </c>
      <c r="E11" s="2722"/>
      <c r="F11" s="2722"/>
      <c r="G11" s="2722"/>
      <c r="H11" s="2722"/>
      <c r="I11" s="2722"/>
      <c r="J11" s="2722"/>
      <c r="K11" s="2722"/>
      <c r="L11" s="2722"/>
      <c r="M11" s="2722"/>
      <c r="N11" s="2722"/>
      <c r="O11" s="2722">
        <v>0.312</v>
      </c>
      <c r="P11" s="2722"/>
      <c r="Q11" s="2722"/>
      <c r="R11" s="2722"/>
      <c r="S11" s="2722"/>
      <c r="T11" s="2722"/>
      <c r="U11" s="2722"/>
      <c r="V11" s="2722"/>
      <c r="W11" s="2722"/>
      <c r="X11" s="2722"/>
      <c r="Y11" s="2722"/>
      <c r="Z11" s="2722"/>
      <c r="AA11" s="2722"/>
      <c r="AB11" s="2722"/>
      <c r="AC11" s="2722">
        <v>0.02</v>
      </c>
      <c r="AD11" s="2722">
        <v>0.20799999999999999</v>
      </c>
      <c r="AE11" s="2722"/>
      <c r="AF11" s="2722"/>
      <c r="AG11" s="2722">
        <v>0.55000000000000004</v>
      </c>
      <c r="AH11" s="581">
        <f t="shared" si="1"/>
        <v>1.1499999999999999</v>
      </c>
    </row>
    <row r="12" spans="1:34" ht="12">
      <c r="A12" s="603" t="s">
        <v>150</v>
      </c>
      <c r="B12" s="584">
        <f t="shared" si="0"/>
        <v>1.726</v>
      </c>
      <c r="C12" s="2722"/>
      <c r="D12" s="2722"/>
      <c r="E12" s="2722"/>
      <c r="F12" s="2722"/>
      <c r="G12" s="2722"/>
      <c r="H12" s="2722">
        <v>0.76600000000000001</v>
      </c>
      <c r="I12" s="2722"/>
      <c r="J12" s="2722"/>
      <c r="K12" s="2722"/>
      <c r="L12" s="2722"/>
      <c r="M12" s="2722">
        <v>0.31</v>
      </c>
      <c r="N12" s="2722"/>
      <c r="O12" s="2722"/>
      <c r="P12" s="2722">
        <v>0.3</v>
      </c>
      <c r="Q12" s="2722"/>
      <c r="R12" s="2722"/>
      <c r="S12" s="2722"/>
      <c r="T12" s="2722"/>
      <c r="U12" s="2722"/>
      <c r="V12" s="2722"/>
      <c r="W12" s="2722"/>
      <c r="X12" s="2722"/>
      <c r="Y12" s="2722"/>
      <c r="Z12" s="2722"/>
      <c r="AA12" s="2722"/>
      <c r="AB12" s="2722"/>
      <c r="AC12" s="2722"/>
      <c r="AD12" s="2722">
        <v>0.35</v>
      </c>
      <c r="AE12" s="2722"/>
      <c r="AF12" s="2722"/>
      <c r="AG12" s="2722"/>
      <c r="AH12" s="581">
        <f t="shared" si="1"/>
        <v>1.726</v>
      </c>
    </row>
    <row r="13" spans="1:34" ht="12">
      <c r="A13" s="603" t="s">
        <v>151</v>
      </c>
      <c r="B13" s="584">
        <f t="shared" si="0"/>
        <v>1.109</v>
      </c>
      <c r="C13" s="2722"/>
      <c r="D13" s="2722">
        <v>4.3999999999999997E-2</v>
      </c>
      <c r="E13" s="2722"/>
      <c r="F13" s="2722"/>
      <c r="G13" s="2722"/>
      <c r="H13" s="2722"/>
      <c r="I13" s="2722"/>
      <c r="J13" s="2722"/>
      <c r="K13" s="2722"/>
      <c r="L13" s="2722"/>
      <c r="M13" s="2722"/>
      <c r="N13" s="2722">
        <v>4.4999999999999998E-2</v>
      </c>
      <c r="O13" s="2722"/>
      <c r="P13" s="2722">
        <v>0.2</v>
      </c>
      <c r="Q13" s="2722">
        <v>0.16</v>
      </c>
      <c r="R13" s="2722">
        <v>0.05</v>
      </c>
      <c r="S13" s="2722"/>
      <c r="T13" s="2722"/>
      <c r="U13" s="2722"/>
      <c r="V13" s="2722">
        <v>0.03</v>
      </c>
      <c r="W13" s="2722"/>
      <c r="X13" s="2722"/>
      <c r="Y13" s="2722"/>
      <c r="Z13" s="2722"/>
      <c r="AA13" s="2722"/>
      <c r="AB13" s="2722"/>
      <c r="AC13" s="2722"/>
      <c r="AD13" s="2722"/>
      <c r="AE13" s="2722"/>
      <c r="AF13" s="2722">
        <v>0.5</v>
      </c>
      <c r="AG13" s="2722">
        <v>0.08</v>
      </c>
      <c r="AH13" s="581">
        <f t="shared" si="1"/>
        <v>1.109</v>
      </c>
    </row>
    <row r="14" spans="1:34" ht="12">
      <c r="A14" s="603" t="s">
        <v>152</v>
      </c>
      <c r="B14" s="584">
        <f t="shared" si="0"/>
        <v>1.3840000000000001</v>
      </c>
      <c r="C14" s="2722"/>
      <c r="D14" s="2895"/>
      <c r="E14" s="2722"/>
      <c r="F14" s="2722"/>
      <c r="G14" s="2722"/>
      <c r="H14" s="2722"/>
      <c r="I14" s="2722">
        <v>0.04</v>
      </c>
      <c r="J14" s="2722"/>
      <c r="K14" s="2722"/>
      <c r="L14" s="2722"/>
      <c r="M14" s="2722">
        <v>0.06</v>
      </c>
      <c r="N14" s="2722"/>
      <c r="O14" s="2722"/>
      <c r="P14" s="2722">
        <v>0.08</v>
      </c>
      <c r="Q14" s="2722">
        <v>0.05</v>
      </c>
      <c r="R14" s="2722"/>
      <c r="S14" s="2722"/>
      <c r="T14" s="2722"/>
      <c r="U14" s="2722"/>
      <c r="V14" s="2722"/>
      <c r="W14" s="2722"/>
      <c r="X14" s="2722"/>
      <c r="Y14" s="2722">
        <v>1.1140000000000001</v>
      </c>
      <c r="Z14" s="2722"/>
      <c r="AA14" s="2722"/>
      <c r="AB14" s="2722"/>
      <c r="AC14" s="2722"/>
      <c r="AD14" s="2722"/>
      <c r="AE14" s="2722">
        <v>0.04</v>
      </c>
      <c r="AF14" s="2722"/>
      <c r="AG14" s="2722"/>
      <c r="AH14" s="581">
        <f t="shared" si="1"/>
        <v>1.3840000000000001</v>
      </c>
    </row>
    <row r="15" spans="1:34" ht="12">
      <c r="A15" s="603" t="s">
        <v>153</v>
      </c>
      <c r="B15" s="584">
        <f t="shared" si="0"/>
        <v>4.4999999999999998E-2</v>
      </c>
      <c r="C15" s="2722"/>
      <c r="D15" s="2722"/>
      <c r="E15" s="2722"/>
      <c r="F15" s="2722"/>
      <c r="G15" s="2722"/>
      <c r="H15" s="2722"/>
      <c r="I15" s="2722"/>
      <c r="J15" s="2722"/>
      <c r="K15" s="2722"/>
      <c r="L15" s="2722"/>
      <c r="M15" s="2722"/>
      <c r="N15" s="2722"/>
      <c r="O15" s="2722"/>
      <c r="P15" s="2722"/>
      <c r="Q15" s="2722"/>
      <c r="R15" s="2722"/>
      <c r="S15" s="2722"/>
      <c r="T15" s="2722"/>
      <c r="U15" s="2722"/>
      <c r="V15" s="2722"/>
      <c r="W15" s="2722"/>
      <c r="X15" s="2722">
        <v>4.4999999999999998E-2</v>
      </c>
      <c r="Y15" s="2722"/>
      <c r="Z15" s="2722"/>
      <c r="AA15" s="2722"/>
      <c r="AB15" s="2722"/>
      <c r="AC15" s="2722"/>
      <c r="AD15" s="2722"/>
      <c r="AE15" s="2722"/>
      <c r="AF15" s="2722"/>
      <c r="AG15" s="2722"/>
      <c r="AH15" s="581">
        <f t="shared" si="1"/>
        <v>4.4999999999999998E-2</v>
      </c>
    </row>
    <row r="16" spans="1:34" ht="12">
      <c r="A16" s="573" t="s">
        <v>154</v>
      </c>
      <c r="B16" s="584">
        <f t="shared" si="0"/>
        <v>1.147</v>
      </c>
      <c r="C16" s="2722"/>
      <c r="D16" s="2722"/>
      <c r="E16" s="2722"/>
      <c r="F16" s="2722"/>
      <c r="G16" s="2722"/>
      <c r="H16" s="2722"/>
      <c r="I16" s="2722">
        <v>2.5000000000000001E-2</v>
      </c>
      <c r="J16" s="2722"/>
      <c r="K16" s="2722"/>
      <c r="L16" s="2722"/>
      <c r="M16" s="2722"/>
      <c r="N16" s="2722"/>
      <c r="O16" s="2722"/>
      <c r="P16" s="2722"/>
      <c r="Q16" s="2722">
        <v>0.08</v>
      </c>
      <c r="R16" s="2722">
        <v>7.0000000000000007E-2</v>
      </c>
      <c r="S16" s="2722"/>
      <c r="T16" s="2722"/>
      <c r="U16" s="2722">
        <v>0.21199999999999999</v>
      </c>
      <c r="V16" s="2722"/>
      <c r="W16" s="2722"/>
      <c r="X16" s="2722"/>
      <c r="Y16" s="2722"/>
      <c r="Z16" s="2722">
        <v>0.04</v>
      </c>
      <c r="AA16" s="2722">
        <v>0.08</v>
      </c>
      <c r="AB16" s="2722">
        <v>0.32</v>
      </c>
      <c r="AC16" s="2722"/>
      <c r="AD16" s="2722"/>
      <c r="AE16" s="2722">
        <v>0.22</v>
      </c>
      <c r="AF16" s="2722"/>
      <c r="AG16" s="2722">
        <v>0.1</v>
      </c>
      <c r="AH16" s="581">
        <f t="shared" si="1"/>
        <v>1.147</v>
      </c>
    </row>
    <row r="17" spans="1:34" ht="12">
      <c r="A17" s="573" t="s">
        <v>155</v>
      </c>
      <c r="B17" s="584">
        <f t="shared" si="0"/>
        <v>0.152</v>
      </c>
      <c r="C17" s="2722"/>
      <c r="D17" s="2722"/>
      <c r="E17" s="2722"/>
      <c r="F17" s="2722"/>
      <c r="G17" s="2722"/>
      <c r="H17" s="2722"/>
      <c r="I17" s="2722"/>
      <c r="J17" s="2722"/>
      <c r="K17" s="2722"/>
      <c r="L17" s="2722">
        <v>2E-3</v>
      </c>
      <c r="M17" s="2722"/>
      <c r="N17" s="2722"/>
      <c r="O17" s="2722"/>
      <c r="P17" s="2722"/>
      <c r="Q17" s="2722"/>
      <c r="R17" s="2722"/>
      <c r="S17" s="2722">
        <v>0.06</v>
      </c>
      <c r="T17" s="2722"/>
      <c r="U17" s="2722"/>
      <c r="V17" s="2722"/>
      <c r="W17" s="2722"/>
      <c r="X17" s="2722"/>
      <c r="Y17" s="2722"/>
      <c r="Z17" s="2722"/>
      <c r="AA17" s="2722"/>
      <c r="AB17" s="2722"/>
      <c r="AC17" s="2722"/>
      <c r="AD17" s="2722"/>
      <c r="AE17" s="2722"/>
      <c r="AF17" s="2722">
        <v>0.09</v>
      </c>
      <c r="AG17" s="2722"/>
      <c r="AH17" s="581">
        <f>SUM(C17:AG17)</f>
        <v>0.152</v>
      </c>
    </row>
    <row r="18" spans="1:34" ht="12">
      <c r="A18" s="573" t="s">
        <v>156</v>
      </c>
      <c r="B18" s="584">
        <f t="shared" si="0"/>
        <v>0.2</v>
      </c>
      <c r="C18" s="2722"/>
      <c r="D18" s="2722"/>
      <c r="E18" s="2722"/>
      <c r="F18" s="2722"/>
      <c r="G18" s="2722"/>
      <c r="H18" s="2722"/>
      <c r="I18" s="2722"/>
      <c r="J18" s="2722"/>
      <c r="K18" s="2722"/>
      <c r="L18" s="2722"/>
      <c r="M18" s="2722"/>
      <c r="N18" s="2722"/>
      <c r="O18" s="2722"/>
      <c r="P18" s="2722"/>
      <c r="Q18" s="2722">
        <v>7.0000000000000007E-2</v>
      </c>
      <c r="R18" s="2722"/>
      <c r="S18" s="2722"/>
      <c r="T18" s="2722"/>
      <c r="U18" s="2722"/>
      <c r="V18" s="2722"/>
      <c r="W18" s="2722">
        <v>0.06</v>
      </c>
      <c r="X18" s="2722"/>
      <c r="Y18" s="2722">
        <v>0.02</v>
      </c>
      <c r="Z18" s="2722">
        <v>0.05</v>
      </c>
      <c r="AA18" s="2722"/>
      <c r="AB18" s="2722"/>
      <c r="AC18" s="2722"/>
      <c r="AD18" s="2722"/>
      <c r="AE18" s="2722"/>
      <c r="AF18" s="2722"/>
      <c r="AG18" s="2722"/>
      <c r="AH18" s="581">
        <f>SUM(C18:AG18)</f>
        <v>0.2</v>
      </c>
    </row>
    <row r="19" spans="1:34" ht="12">
      <c r="A19" s="1432" t="s">
        <v>144</v>
      </c>
      <c r="B19" s="3089">
        <f>SUM(B7:B18)</f>
        <v>8.4489999999999981</v>
      </c>
      <c r="C19" s="581"/>
      <c r="D19" s="581"/>
      <c r="E19" s="581"/>
      <c r="F19" s="581"/>
      <c r="G19" s="581"/>
      <c r="H19" s="581"/>
      <c r="I19" s="581"/>
      <c r="J19" s="581"/>
      <c r="K19" s="581"/>
      <c r="L19" s="581"/>
      <c r="M19" s="581"/>
      <c r="N19" s="581"/>
      <c r="O19" s="581"/>
      <c r="P19" s="581"/>
      <c r="Q19" s="581"/>
      <c r="R19" s="581"/>
      <c r="S19" s="581"/>
      <c r="T19" s="581"/>
      <c r="U19" s="581"/>
      <c r="V19" s="581"/>
      <c r="W19" s="581"/>
      <c r="X19" s="581"/>
      <c r="Y19" s="581"/>
      <c r="Z19" s="581"/>
      <c r="AA19" s="581"/>
      <c r="AB19" s="581"/>
      <c r="AC19" s="581"/>
      <c r="AD19" s="581"/>
      <c r="AE19" s="581"/>
      <c r="AF19" s="581"/>
      <c r="AG19" s="581"/>
      <c r="AH19" s="581">
        <f>SUM(AH7:AH18)</f>
        <v>8.4489999999999981</v>
      </c>
    </row>
    <row r="20" spans="1:34" ht="12">
      <c r="A20" s="571"/>
      <c r="B20" s="1428"/>
      <c r="C20" s="571"/>
      <c r="D20" s="142"/>
      <c r="E20" s="142"/>
      <c r="F20" s="142"/>
      <c r="G20" s="142"/>
      <c r="H20" s="142"/>
      <c r="I20" s="142"/>
      <c r="J20" s="142"/>
      <c r="K20" s="142"/>
      <c r="L20" s="570"/>
      <c r="M20" s="142"/>
      <c r="N20" s="142"/>
      <c r="O20" s="142"/>
      <c r="P20" s="142"/>
      <c r="Q20" s="142"/>
      <c r="R20" s="142"/>
      <c r="S20" s="142"/>
      <c r="T20" s="142"/>
      <c r="U20" s="142"/>
      <c r="V20" s="142"/>
      <c r="W20" s="142"/>
      <c r="X20" s="142"/>
      <c r="Y20" s="142"/>
      <c r="Z20" s="142"/>
      <c r="AA20" s="142"/>
      <c r="AB20" s="142"/>
      <c r="AC20" s="142"/>
      <c r="AD20" s="142"/>
      <c r="AE20" s="142"/>
      <c r="AF20" s="142"/>
      <c r="AG20" s="142"/>
      <c r="AH20" s="571"/>
    </row>
    <row r="21" spans="1:34" ht="13.8">
      <c r="A21" s="3864" t="s">
        <v>157</v>
      </c>
      <c r="B21" s="3865"/>
      <c r="C21" s="3866"/>
      <c r="D21" s="142"/>
      <c r="E21" s="142"/>
      <c r="F21" s="142"/>
      <c r="G21" s="142"/>
      <c r="H21" s="142"/>
      <c r="I21" s="142"/>
      <c r="J21" s="3235"/>
      <c r="K21" s="142"/>
      <c r="L21" s="142"/>
      <c r="M21" s="570"/>
      <c r="N21" s="142"/>
      <c r="O21" s="142"/>
      <c r="P21" s="142"/>
      <c r="Q21" s="142"/>
      <c r="R21" s="142"/>
      <c r="S21" s="142"/>
      <c r="T21" s="142"/>
      <c r="U21" s="142"/>
      <c r="V21" s="142"/>
      <c r="W21" s="142"/>
      <c r="X21" s="142"/>
      <c r="Y21" s="142"/>
      <c r="Z21" s="142"/>
      <c r="AA21" s="142"/>
      <c r="AB21" s="142"/>
      <c r="AC21" s="142"/>
      <c r="AD21" s="142"/>
      <c r="AE21" s="142"/>
      <c r="AF21" s="142"/>
      <c r="AG21" s="142"/>
      <c r="AH21" s="571"/>
    </row>
    <row r="22" spans="1:34" ht="12">
      <c r="A22" s="572" t="s">
        <v>142</v>
      </c>
      <c r="B22" s="584" t="s">
        <v>143</v>
      </c>
      <c r="C22" s="572">
        <v>1</v>
      </c>
      <c r="D22" s="573">
        <v>2</v>
      </c>
      <c r="E22" s="573">
        <v>3</v>
      </c>
      <c r="F22" s="573">
        <v>4</v>
      </c>
      <c r="G22" s="573">
        <v>5</v>
      </c>
      <c r="H22" s="573">
        <v>6</v>
      </c>
      <c r="I22" s="573">
        <v>7</v>
      </c>
      <c r="J22" s="573">
        <v>8</v>
      </c>
      <c r="K22" s="573">
        <v>9</v>
      </c>
      <c r="L22" s="573">
        <v>10</v>
      </c>
      <c r="M22" s="573">
        <v>11</v>
      </c>
      <c r="N22" s="573">
        <v>12</v>
      </c>
      <c r="O22" s="573">
        <v>13</v>
      </c>
      <c r="P22" s="573">
        <v>14</v>
      </c>
      <c r="Q22" s="573">
        <v>15</v>
      </c>
      <c r="R22" s="573">
        <v>16</v>
      </c>
      <c r="S22" s="573">
        <v>17</v>
      </c>
      <c r="T22" s="573">
        <v>18</v>
      </c>
      <c r="U22" s="573">
        <v>19</v>
      </c>
      <c r="V22" s="573">
        <v>20</v>
      </c>
      <c r="W22" s="573">
        <v>21</v>
      </c>
      <c r="X22" s="573">
        <v>22</v>
      </c>
      <c r="Y22" s="573">
        <v>23</v>
      </c>
      <c r="Z22" s="573">
        <v>24</v>
      </c>
      <c r="AA22" s="573">
        <v>25</v>
      </c>
      <c r="AB22" s="573">
        <v>26</v>
      </c>
      <c r="AC22" s="573">
        <v>27</v>
      </c>
      <c r="AD22" s="573">
        <v>28</v>
      </c>
      <c r="AE22" s="573">
        <v>29</v>
      </c>
      <c r="AF22" s="573">
        <v>30</v>
      </c>
      <c r="AG22" s="573">
        <v>31</v>
      </c>
      <c r="AH22" s="2035" t="s">
        <v>144</v>
      </c>
    </row>
    <row r="23" spans="1:34" ht="12">
      <c r="A23" s="603" t="s">
        <v>145</v>
      </c>
      <c r="B23" s="584">
        <f t="shared" ref="B23:B34" si="2">+AH23</f>
        <v>2.44</v>
      </c>
      <c r="C23" s="579"/>
      <c r="D23" s="579"/>
      <c r="E23" s="579"/>
      <c r="F23" s="579"/>
      <c r="G23" s="579">
        <v>2.14</v>
      </c>
      <c r="H23" s="579"/>
      <c r="I23" s="579"/>
      <c r="J23" s="579"/>
      <c r="K23" s="579"/>
      <c r="L23" s="579"/>
      <c r="M23" s="579"/>
      <c r="N23" s="579"/>
      <c r="O23" s="579"/>
      <c r="P23" s="579"/>
      <c r="Q23" s="579"/>
      <c r="R23" s="579"/>
      <c r="S23" s="579"/>
      <c r="T23" s="579"/>
      <c r="U23" s="579"/>
      <c r="V23" s="579">
        <v>0.3</v>
      </c>
      <c r="W23" s="579"/>
      <c r="X23" s="579"/>
      <c r="Y23" s="579"/>
      <c r="Z23" s="579"/>
      <c r="AA23" s="579"/>
      <c r="AB23" s="579"/>
      <c r="AC23" s="579"/>
      <c r="AD23" s="579"/>
      <c r="AE23" s="579"/>
      <c r="AF23" s="579"/>
      <c r="AG23" s="579"/>
      <c r="AH23" s="581">
        <f>SUM(C23:AG23)</f>
        <v>2.44</v>
      </c>
    </row>
    <row r="24" spans="1:34" ht="12">
      <c r="A24" s="603" t="s">
        <v>146</v>
      </c>
      <c r="B24" s="584">
        <f t="shared" si="2"/>
        <v>1.02</v>
      </c>
      <c r="C24" s="579"/>
      <c r="D24" s="2897"/>
      <c r="E24" s="2897"/>
      <c r="F24" s="2897"/>
      <c r="G24" s="2897"/>
      <c r="H24" s="2897"/>
      <c r="I24" s="2897"/>
      <c r="J24" s="2897"/>
      <c r="K24" s="2897"/>
      <c r="L24" s="2897"/>
      <c r="M24" s="2897"/>
      <c r="N24" s="2897"/>
      <c r="O24" s="2897"/>
      <c r="P24" s="2897"/>
      <c r="Q24" s="2897"/>
      <c r="R24" s="2897"/>
      <c r="S24" s="2897"/>
      <c r="T24" s="2897"/>
      <c r="U24" s="2897"/>
      <c r="V24" s="2897"/>
      <c r="W24" s="2897"/>
      <c r="X24" s="2897"/>
      <c r="Y24" s="579"/>
      <c r="Z24" s="579"/>
      <c r="AA24" s="579"/>
      <c r="AB24" s="579"/>
      <c r="AC24" s="579"/>
      <c r="AD24" s="579"/>
      <c r="AE24" s="579">
        <v>1.02</v>
      </c>
      <c r="AF24" s="579"/>
      <c r="AG24" s="579"/>
      <c r="AH24" s="581">
        <f t="shared" ref="AH24:AH34" si="3">SUM(C24:AG24)</f>
        <v>1.02</v>
      </c>
    </row>
    <row r="25" spans="1:34" ht="12">
      <c r="A25" s="603" t="s">
        <v>147</v>
      </c>
      <c r="B25" s="584">
        <f t="shared" si="2"/>
        <v>4.41</v>
      </c>
      <c r="C25" s="579"/>
      <c r="D25" s="579"/>
      <c r="E25" s="579"/>
      <c r="F25" s="579"/>
      <c r="G25" s="579"/>
      <c r="H25" s="579"/>
      <c r="I25" s="579"/>
      <c r="J25" s="579"/>
      <c r="K25" s="579"/>
      <c r="L25" s="579">
        <v>0.4</v>
      </c>
      <c r="M25" s="579"/>
      <c r="N25" s="579"/>
      <c r="O25" s="579">
        <v>0.2</v>
      </c>
      <c r="P25" s="579"/>
      <c r="Q25" s="579">
        <v>0.7</v>
      </c>
      <c r="R25" s="579"/>
      <c r="S25" s="579"/>
      <c r="T25" s="579"/>
      <c r="U25" s="579"/>
      <c r="V25" s="579"/>
      <c r="W25" s="579"/>
      <c r="X25" s="579"/>
      <c r="Y25" s="579"/>
      <c r="Z25" s="579">
        <v>0.4</v>
      </c>
      <c r="AA25" s="579"/>
      <c r="AB25" s="579"/>
      <c r="AC25" s="579">
        <v>1.71</v>
      </c>
      <c r="AD25" s="579">
        <v>0.5</v>
      </c>
      <c r="AE25" s="579"/>
      <c r="AF25" s="579"/>
      <c r="AG25" s="579">
        <v>0.5</v>
      </c>
      <c r="AH25" s="581">
        <f t="shared" si="3"/>
        <v>4.41</v>
      </c>
    </row>
    <row r="26" spans="1:34" ht="12">
      <c r="A26" s="603" t="s">
        <v>148</v>
      </c>
      <c r="B26" s="584">
        <f t="shared" si="2"/>
        <v>5.0999999999999996</v>
      </c>
      <c r="C26" s="579"/>
      <c r="D26" s="579"/>
      <c r="E26" s="579"/>
      <c r="F26" s="579"/>
      <c r="G26" s="579"/>
      <c r="H26" s="579"/>
      <c r="I26" s="579"/>
      <c r="J26" s="579"/>
      <c r="K26" s="579"/>
      <c r="L26" s="579"/>
      <c r="M26" s="579"/>
      <c r="N26" s="579">
        <v>5</v>
      </c>
      <c r="O26" s="579"/>
      <c r="P26" s="579"/>
      <c r="Q26" s="579"/>
      <c r="R26" s="579"/>
      <c r="S26" s="579">
        <v>0.1</v>
      </c>
      <c r="T26" s="579"/>
      <c r="U26" s="579"/>
      <c r="V26" s="579"/>
      <c r="W26" s="579"/>
      <c r="X26" s="579"/>
      <c r="Y26" s="579"/>
      <c r="Z26" s="579"/>
      <c r="AA26" s="579"/>
      <c r="AB26" s="579"/>
      <c r="AC26" s="579"/>
      <c r="AD26" s="579"/>
      <c r="AE26" s="579"/>
      <c r="AF26" s="579"/>
      <c r="AG26" s="579"/>
      <c r="AH26" s="581">
        <f t="shared" si="3"/>
        <v>5.0999999999999996</v>
      </c>
    </row>
    <row r="27" spans="1:34" ht="12">
      <c r="A27" s="603" t="s">
        <v>149</v>
      </c>
      <c r="B27" s="584">
        <f t="shared" si="2"/>
        <v>2.64</v>
      </c>
      <c r="C27" s="579"/>
      <c r="D27" s="579"/>
      <c r="E27" s="579"/>
      <c r="F27" s="579"/>
      <c r="G27" s="579"/>
      <c r="H27" s="579"/>
      <c r="I27" s="579"/>
      <c r="J27" s="579"/>
      <c r="K27" s="579"/>
      <c r="L27" s="579">
        <v>0.03</v>
      </c>
      <c r="M27" s="579"/>
      <c r="N27" s="579"/>
      <c r="O27" s="579"/>
      <c r="P27" s="579"/>
      <c r="Q27" s="579">
        <v>0.3</v>
      </c>
      <c r="R27" s="579"/>
      <c r="S27" s="579"/>
      <c r="T27" s="579">
        <v>1.5</v>
      </c>
      <c r="U27" s="579"/>
      <c r="V27" s="579"/>
      <c r="W27" s="579"/>
      <c r="X27" s="579">
        <v>0.1</v>
      </c>
      <c r="Y27" s="579"/>
      <c r="Z27" s="579">
        <v>0.5</v>
      </c>
      <c r="AA27" s="579">
        <v>0.06</v>
      </c>
      <c r="AB27" s="579"/>
      <c r="AC27" s="579"/>
      <c r="AD27" s="579"/>
      <c r="AE27" s="579">
        <v>0.15</v>
      </c>
      <c r="AF27" s="579"/>
      <c r="AG27" s="579"/>
      <c r="AH27" s="581">
        <f t="shared" si="3"/>
        <v>2.64</v>
      </c>
    </row>
    <row r="28" spans="1:34" ht="12">
      <c r="A28" s="603" t="s">
        <v>150</v>
      </c>
      <c r="B28" s="584">
        <f t="shared" si="2"/>
        <v>6.2949999999999999</v>
      </c>
      <c r="C28" s="579">
        <v>1.4999999999999999E-2</v>
      </c>
      <c r="D28" s="579"/>
      <c r="E28" s="579"/>
      <c r="F28" s="579"/>
      <c r="G28" s="579">
        <v>0.02</v>
      </c>
      <c r="H28" s="579">
        <v>1.03</v>
      </c>
      <c r="I28" s="579">
        <v>1.5</v>
      </c>
      <c r="J28" s="579"/>
      <c r="K28" s="579"/>
      <c r="L28" s="579"/>
      <c r="M28" s="579"/>
      <c r="N28" s="579"/>
      <c r="O28" s="579">
        <v>0.03</v>
      </c>
      <c r="P28" s="579"/>
      <c r="Q28" s="579"/>
      <c r="R28" s="579">
        <v>0.5</v>
      </c>
      <c r="S28" s="579"/>
      <c r="T28" s="579"/>
      <c r="U28" s="579"/>
      <c r="V28" s="579"/>
      <c r="W28" s="579"/>
      <c r="X28" s="579"/>
      <c r="Y28" s="579"/>
      <c r="Z28" s="579"/>
      <c r="AA28" s="579"/>
      <c r="AB28" s="579"/>
      <c r="AC28" s="579"/>
      <c r="AD28" s="579"/>
      <c r="AE28" s="579"/>
      <c r="AF28" s="579">
        <v>2.8</v>
      </c>
      <c r="AG28" s="579">
        <v>0.4</v>
      </c>
      <c r="AH28" s="581">
        <f t="shared" si="3"/>
        <v>6.2949999999999999</v>
      </c>
    </row>
    <row r="29" spans="1:34" ht="12">
      <c r="A29" s="603" t="s">
        <v>151</v>
      </c>
      <c r="B29" s="584">
        <f t="shared" si="2"/>
        <v>19.18</v>
      </c>
      <c r="C29" s="579"/>
      <c r="D29" s="579">
        <v>3.41</v>
      </c>
      <c r="E29" s="579">
        <v>6.1</v>
      </c>
      <c r="F29" s="579"/>
      <c r="G29" s="579"/>
      <c r="H29" s="579"/>
      <c r="I29" s="579"/>
      <c r="J29" s="579"/>
      <c r="K29" s="579">
        <v>0.08</v>
      </c>
      <c r="L29" s="579"/>
      <c r="M29" s="579"/>
      <c r="N29" s="579">
        <v>0.8</v>
      </c>
      <c r="O29" s="579"/>
      <c r="P29" s="579"/>
      <c r="Q29" s="579"/>
      <c r="R29" s="579"/>
      <c r="S29" s="579"/>
      <c r="T29" s="579"/>
      <c r="U29" s="579"/>
      <c r="V29" s="579">
        <v>0.12</v>
      </c>
      <c r="W29" s="579">
        <v>3.65</v>
      </c>
      <c r="X29" s="579"/>
      <c r="Y29" s="579"/>
      <c r="Z29" s="579"/>
      <c r="AA29" s="579"/>
      <c r="AB29" s="579"/>
      <c r="AC29" s="579"/>
      <c r="AD29" s="579"/>
      <c r="AE29" s="579"/>
      <c r="AF29" s="579"/>
      <c r="AG29" s="579">
        <v>5.0199999999999996</v>
      </c>
      <c r="AH29" s="581">
        <f t="shared" si="3"/>
        <v>19.18</v>
      </c>
    </row>
    <row r="30" spans="1:34" ht="12">
      <c r="A30" s="603" t="s">
        <v>152</v>
      </c>
      <c r="B30" s="584">
        <f t="shared" si="2"/>
        <v>35.619999999999997</v>
      </c>
      <c r="C30" s="579"/>
      <c r="D30" s="579"/>
      <c r="E30" s="579">
        <v>0.5</v>
      </c>
      <c r="F30" s="579"/>
      <c r="G30" s="579"/>
      <c r="H30" s="579"/>
      <c r="I30" s="579"/>
      <c r="J30" s="579">
        <v>0.03</v>
      </c>
      <c r="K30" s="579">
        <v>4.59</v>
      </c>
      <c r="L30" s="579">
        <v>3.58</v>
      </c>
      <c r="M30" s="579">
        <v>6</v>
      </c>
      <c r="N30" s="579"/>
      <c r="O30" s="579"/>
      <c r="P30" s="579"/>
      <c r="Q30" s="579"/>
      <c r="R30" s="579"/>
      <c r="S30" s="579"/>
      <c r="T30" s="579"/>
      <c r="U30" s="579"/>
      <c r="V30" s="579"/>
      <c r="W30" s="579"/>
      <c r="X30" s="579"/>
      <c r="Y30" s="579"/>
      <c r="Z30" s="579"/>
      <c r="AA30" s="579">
        <v>0.5</v>
      </c>
      <c r="AB30" s="579"/>
      <c r="AC30" s="579"/>
      <c r="AD30" s="579">
        <v>15.329999999999998</v>
      </c>
      <c r="AE30" s="579">
        <v>5.04</v>
      </c>
      <c r="AF30" s="579">
        <v>0.05</v>
      </c>
      <c r="AG30" s="579"/>
      <c r="AH30" s="581">
        <f t="shared" si="3"/>
        <v>35.619999999999997</v>
      </c>
    </row>
    <row r="31" spans="1:34" ht="12">
      <c r="A31" s="603" t="s">
        <v>153</v>
      </c>
      <c r="B31" s="584">
        <f t="shared" si="2"/>
        <v>1.0899999999999999</v>
      </c>
      <c r="C31" s="579"/>
      <c r="D31" s="579"/>
      <c r="E31" s="579"/>
      <c r="F31" s="579">
        <v>0.1</v>
      </c>
      <c r="G31" s="579">
        <v>0.48</v>
      </c>
      <c r="H31" s="579"/>
      <c r="I31" s="579">
        <v>0.24</v>
      </c>
      <c r="J31" s="579"/>
      <c r="K31" s="579"/>
      <c r="L31" s="579"/>
      <c r="M31" s="579"/>
      <c r="N31" s="579"/>
      <c r="O31" s="579"/>
      <c r="P31" s="579"/>
      <c r="Q31" s="579">
        <v>0.15</v>
      </c>
      <c r="R31" s="579"/>
      <c r="S31" s="579"/>
      <c r="T31" s="579"/>
      <c r="U31" s="579"/>
      <c r="V31" s="579"/>
      <c r="W31" s="579"/>
      <c r="X31" s="579"/>
      <c r="Y31" s="579"/>
      <c r="Z31" s="579"/>
      <c r="AA31" s="579"/>
      <c r="AB31" s="579"/>
      <c r="AC31" s="579"/>
      <c r="AD31" s="579">
        <v>0.12</v>
      </c>
      <c r="AE31" s="579"/>
      <c r="AF31" s="579"/>
      <c r="AG31" s="579"/>
      <c r="AH31" s="581">
        <f t="shared" si="3"/>
        <v>1.0899999999999999</v>
      </c>
    </row>
    <row r="32" spans="1:34" ht="12">
      <c r="A32" s="573" t="s">
        <v>154</v>
      </c>
      <c r="B32" s="584">
        <f t="shared" si="2"/>
        <v>23.66</v>
      </c>
      <c r="C32" s="579"/>
      <c r="D32" s="579">
        <v>8.9600000000000009</v>
      </c>
      <c r="E32" s="579"/>
      <c r="F32" s="579">
        <v>8.7199999999999989</v>
      </c>
      <c r="G32" s="579">
        <v>0.5</v>
      </c>
      <c r="H32" s="579"/>
      <c r="I32" s="579"/>
      <c r="J32" s="579">
        <v>0.28000000000000003</v>
      </c>
      <c r="K32" s="579">
        <v>0.2</v>
      </c>
      <c r="L32" s="579">
        <v>0.8</v>
      </c>
      <c r="M32" s="579"/>
      <c r="N32" s="579"/>
      <c r="O32" s="579"/>
      <c r="P32" s="579"/>
      <c r="Q32" s="579"/>
      <c r="R32" s="2035"/>
      <c r="S32" s="2035"/>
      <c r="T32" s="2035">
        <v>0.27</v>
      </c>
      <c r="U32" s="2035"/>
      <c r="V32" s="2035">
        <v>1.79</v>
      </c>
      <c r="W32" s="2035"/>
      <c r="X32" s="2035"/>
      <c r="Y32" s="2035"/>
      <c r="Z32" s="2035"/>
      <c r="AA32" s="2035">
        <v>0.03</v>
      </c>
      <c r="AB32" s="2035">
        <v>1.49</v>
      </c>
      <c r="AC32" s="2035">
        <v>0.32</v>
      </c>
      <c r="AD32" s="2035"/>
      <c r="AE32" s="2035"/>
      <c r="AF32" s="2035"/>
      <c r="AG32" s="2035">
        <v>0.3</v>
      </c>
      <c r="AH32" s="581">
        <f t="shared" si="3"/>
        <v>23.66</v>
      </c>
    </row>
    <row r="33" spans="1:34" ht="12">
      <c r="A33" s="573" t="s">
        <v>155</v>
      </c>
      <c r="B33" s="584">
        <f t="shared" si="2"/>
        <v>5.9650000000000007</v>
      </c>
      <c r="C33" s="579"/>
      <c r="D33" s="2035"/>
      <c r="E33" s="2035"/>
      <c r="F33" s="2035"/>
      <c r="G33" s="2035"/>
      <c r="H33" s="2035"/>
      <c r="I33" s="2035"/>
      <c r="J33" s="2035"/>
      <c r="K33" s="2035">
        <v>0.2</v>
      </c>
      <c r="L33" s="2035">
        <v>0.2</v>
      </c>
      <c r="M33" s="2035"/>
      <c r="N33" s="2035"/>
      <c r="O33" s="2035"/>
      <c r="P33" s="2035"/>
      <c r="Q33" s="2035"/>
      <c r="R33" s="2905"/>
      <c r="S33" s="2905">
        <v>1.8</v>
      </c>
      <c r="T33" s="2905"/>
      <c r="U33" s="2905"/>
      <c r="V33" s="2905">
        <v>1.85</v>
      </c>
      <c r="W33" s="2905"/>
      <c r="X33" s="2905"/>
      <c r="Y33" s="2905"/>
      <c r="Z33" s="2905">
        <v>1.3</v>
      </c>
      <c r="AA33" s="2905"/>
      <c r="AB33" s="2905">
        <v>0.115</v>
      </c>
      <c r="AC33" s="2905"/>
      <c r="AD33" s="2905"/>
      <c r="AE33" s="2905"/>
      <c r="AF33" s="2905">
        <v>0.5</v>
      </c>
      <c r="AG33" s="579"/>
      <c r="AH33" s="581">
        <f>SUM(C33:AG33)</f>
        <v>5.9650000000000007</v>
      </c>
    </row>
    <row r="34" spans="1:34" ht="12">
      <c r="A34" s="573" t="s">
        <v>156</v>
      </c>
      <c r="B34" s="584">
        <f t="shared" si="2"/>
        <v>0.15</v>
      </c>
      <c r="C34" s="579"/>
      <c r="D34" s="2905"/>
      <c r="E34" s="2905"/>
      <c r="F34" s="2905"/>
      <c r="G34" s="579"/>
      <c r="H34" s="579"/>
      <c r="I34" s="579"/>
      <c r="J34" s="579"/>
      <c r="K34" s="579"/>
      <c r="L34" s="579"/>
      <c r="M34" s="579"/>
      <c r="N34" s="579"/>
      <c r="O34" s="579"/>
      <c r="P34" s="579"/>
      <c r="Q34" s="579"/>
      <c r="R34" s="579"/>
      <c r="S34" s="579"/>
      <c r="T34" s="579"/>
      <c r="U34" s="579"/>
      <c r="V34" s="579"/>
      <c r="W34" s="579"/>
      <c r="X34" s="579"/>
      <c r="Y34" s="579">
        <v>0.15</v>
      </c>
      <c r="Z34" s="579"/>
      <c r="AA34" s="579"/>
      <c r="AB34" s="579"/>
      <c r="AC34" s="579"/>
      <c r="AD34" s="579"/>
      <c r="AE34" s="579"/>
      <c r="AF34" s="579"/>
      <c r="AG34" s="579"/>
      <c r="AH34" s="581">
        <f t="shared" si="3"/>
        <v>0.15</v>
      </c>
    </row>
    <row r="35" spans="1:34" ht="12">
      <c r="A35" s="1432" t="s">
        <v>144</v>
      </c>
      <c r="B35" s="1433">
        <f>SUM(B23:B34)</f>
        <v>107.57000000000001</v>
      </c>
      <c r="C35" s="581"/>
      <c r="D35" s="581"/>
      <c r="E35" s="581"/>
      <c r="F35" s="581"/>
      <c r="G35" s="581"/>
      <c r="H35" s="581"/>
      <c r="I35" s="581"/>
      <c r="J35" s="581"/>
      <c r="K35" s="581"/>
      <c r="L35" s="581"/>
      <c r="M35" s="581"/>
      <c r="N35" s="581"/>
      <c r="O35" s="581"/>
      <c r="P35" s="581"/>
      <c r="Q35" s="581"/>
      <c r="R35" s="581"/>
      <c r="S35" s="581"/>
      <c r="T35" s="581"/>
      <c r="U35" s="581"/>
      <c r="V35" s="581"/>
      <c r="W35" s="581"/>
      <c r="X35" s="581"/>
      <c r="Y35" s="581"/>
      <c r="Z35" s="581"/>
      <c r="AA35" s="581"/>
      <c r="AB35" s="581"/>
      <c r="AC35" s="581"/>
      <c r="AD35" s="581"/>
      <c r="AE35" s="581"/>
      <c r="AF35" s="581"/>
      <c r="AG35" s="581"/>
      <c r="AH35" s="581">
        <f>SUM(AH23:AH34)</f>
        <v>107.57000000000001</v>
      </c>
    </row>
    <row r="36" spans="1:34" ht="12">
      <c r="A36" s="1448"/>
      <c r="B36" s="1449"/>
      <c r="C36" s="571"/>
      <c r="D36" s="142"/>
      <c r="E36" s="142"/>
      <c r="F36" s="142"/>
      <c r="G36" s="142"/>
      <c r="H36" s="142"/>
      <c r="I36" s="142"/>
      <c r="J36" s="142"/>
      <c r="K36" s="142"/>
      <c r="L36" s="142"/>
      <c r="M36" s="142"/>
      <c r="N36" s="142"/>
      <c r="O36" s="142"/>
      <c r="P36" s="142"/>
      <c r="Q36" s="142"/>
      <c r="R36" s="142"/>
      <c r="S36" s="142"/>
      <c r="T36" s="142"/>
      <c r="U36" s="142"/>
      <c r="V36" s="142"/>
      <c r="W36" s="142"/>
      <c r="X36" s="142"/>
      <c r="Y36" s="142"/>
      <c r="Z36" s="142"/>
      <c r="AA36" s="142"/>
      <c r="AB36" s="142"/>
      <c r="AC36" s="142"/>
      <c r="AD36" s="142"/>
      <c r="AE36" s="142"/>
      <c r="AF36" s="142"/>
      <c r="AG36" s="142"/>
      <c r="AH36" s="571"/>
    </row>
    <row r="37" spans="1:34" ht="12">
      <c r="A37" s="3864" t="s">
        <v>158</v>
      </c>
      <c r="B37" s="3865"/>
      <c r="C37" s="3866"/>
      <c r="D37" s="142"/>
      <c r="E37" s="142"/>
      <c r="F37" s="142"/>
      <c r="G37" s="142"/>
      <c r="H37" s="142"/>
      <c r="I37" s="142"/>
      <c r="J37" s="142"/>
      <c r="K37" s="142"/>
      <c r="L37" s="142"/>
      <c r="M37" s="142"/>
      <c r="N37" s="142"/>
      <c r="O37" s="142"/>
      <c r="P37" s="142"/>
      <c r="Q37" s="142"/>
      <c r="R37" s="142"/>
      <c r="S37" s="142"/>
      <c r="T37" s="142"/>
      <c r="U37" s="142"/>
      <c r="V37" s="142"/>
      <c r="W37" s="142"/>
      <c r="X37" s="142"/>
      <c r="Y37" s="142"/>
      <c r="Z37" s="142"/>
      <c r="AA37" s="142"/>
      <c r="AB37" s="142"/>
      <c r="AC37" s="142"/>
      <c r="AD37" s="142"/>
      <c r="AE37" s="142"/>
      <c r="AF37" s="142"/>
      <c r="AG37" s="142"/>
      <c r="AH37" s="571"/>
    </row>
    <row r="38" spans="1:34" ht="12">
      <c r="A38" s="572" t="s">
        <v>142</v>
      </c>
      <c r="B38" s="584" t="s">
        <v>143</v>
      </c>
      <c r="C38" s="572">
        <v>1</v>
      </c>
      <c r="D38" s="573">
        <v>2</v>
      </c>
      <c r="E38" s="573">
        <v>3</v>
      </c>
      <c r="F38" s="573">
        <v>4</v>
      </c>
      <c r="G38" s="573">
        <v>5</v>
      </c>
      <c r="H38" s="573">
        <v>6</v>
      </c>
      <c r="I38" s="573">
        <v>7</v>
      </c>
      <c r="J38" s="573">
        <v>8</v>
      </c>
      <c r="K38" s="573">
        <v>9</v>
      </c>
      <c r="L38" s="573">
        <v>10</v>
      </c>
      <c r="M38" s="573">
        <v>11</v>
      </c>
      <c r="N38" s="573">
        <v>12</v>
      </c>
      <c r="O38" s="573">
        <v>13</v>
      </c>
      <c r="P38" s="573">
        <v>14</v>
      </c>
      <c r="Q38" s="573">
        <v>15</v>
      </c>
      <c r="R38" s="573">
        <v>16</v>
      </c>
      <c r="S38" s="573">
        <v>17</v>
      </c>
      <c r="T38" s="573">
        <v>18</v>
      </c>
      <c r="U38" s="573">
        <v>19</v>
      </c>
      <c r="V38" s="573">
        <v>20</v>
      </c>
      <c r="W38" s="573">
        <v>21</v>
      </c>
      <c r="X38" s="573">
        <v>22</v>
      </c>
      <c r="Y38" s="573">
        <v>23</v>
      </c>
      <c r="Z38" s="573">
        <v>24</v>
      </c>
      <c r="AA38" s="573">
        <v>25</v>
      </c>
      <c r="AB38" s="573">
        <v>26</v>
      </c>
      <c r="AC38" s="573">
        <v>27</v>
      </c>
      <c r="AD38" s="573">
        <v>28</v>
      </c>
      <c r="AE38" s="573">
        <v>29</v>
      </c>
      <c r="AF38" s="573">
        <v>30</v>
      </c>
      <c r="AG38" s="573">
        <v>31</v>
      </c>
      <c r="AH38" s="572" t="s">
        <v>144</v>
      </c>
    </row>
    <row r="39" spans="1:34" ht="12">
      <c r="A39" s="603" t="s">
        <v>145</v>
      </c>
      <c r="B39" s="584">
        <f t="shared" ref="B39:B50" si="4">+AH39</f>
        <v>35.25</v>
      </c>
      <c r="C39" s="1451"/>
      <c r="D39" s="1451"/>
      <c r="E39" s="1754"/>
      <c r="F39" s="1754"/>
      <c r="G39" s="1754"/>
      <c r="H39" s="1754">
        <v>6</v>
      </c>
      <c r="I39" s="1754">
        <v>28</v>
      </c>
      <c r="J39" s="1754">
        <v>0</v>
      </c>
      <c r="K39" s="1754">
        <v>0</v>
      </c>
      <c r="L39" s="1754">
        <v>0</v>
      </c>
      <c r="M39" s="1754">
        <v>0</v>
      </c>
      <c r="N39" s="1754">
        <v>0</v>
      </c>
      <c r="O39" s="1754">
        <v>0</v>
      </c>
      <c r="P39" s="1754">
        <v>0</v>
      </c>
      <c r="Q39" s="1754">
        <v>1</v>
      </c>
      <c r="R39" s="1754"/>
      <c r="S39" s="1754"/>
      <c r="T39" s="1754"/>
      <c r="U39" s="1754">
        <v>0.25</v>
      </c>
      <c r="V39" s="1754"/>
      <c r="W39" s="1754"/>
      <c r="X39" s="1754"/>
      <c r="Y39" s="1754"/>
      <c r="Z39" s="1754"/>
      <c r="AA39" s="1754"/>
      <c r="AB39" s="1754"/>
      <c r="AC39" s="1754"/>
      <c r="AD39" s="1754"/>
      <c r="AE39" s="1754"/>
      <c r="AF39" s="1754"/>
      <c r="AG39" s="1754"/>
      <c r="AH39" s="2431">
        <f>SUM(C39:AG39)</f>
        <v>35.25</v>
      </c>
    </row>
    <row r="40" spans="1:34" ht="12">
      <c r="A40" s="603" t="s">
        <v>146</v>
      </c>
      <c r="B40" s="584">
        <f t="shared" si="4"/>
        <v>847.57299999999998</v>
      </c>
      <c r="C40" s="1451"/>
      <c r="D40" s="1451"/>
      <c r="E40" s="1754"/>
      <c r="F40" s="1754">
        <v>0.21</v>
      </c>
      <c r="G40" s="1754">
        <v>0.06</v>
      </c>
      <c r="H40" s="1754"/>
      <c r="I40" s="1754"/>
      <c r="J40" s="1754"/>
      <c r="K40" s="1754"/>
      <c r="L40" s="1754"/>
      <c r="M40" s="1754">
        <v>0.12</v>
      </c>
      <c r="N40" s="1754"/>
      <c r="O40" s="1754"/>
      <c r="P40" s="1754"/>
      <c r="Q40" s="1754"/>
      <c r="R40" s="1754">
        <v>0.183</v>
      </c>
      <c r="S40" s="1754">
        <v>2</v>
      </c>
      <c r="T40" s="1754">
        <v>0</v>
      </c>
      <c r="U40" s="1754">
        <v>20</v>
      </c>
      <c r="V40" s="1754">
        <v>12</v>
      </c>
      <c r="W40" s="1754">
        <v>98</v>
      </c>
      <c r="X40" s="1754">
        <v>405</v>
      </c>
      <c r="Y40" s="1754">
        <v>145</v>
      </c>
      <c r="Z40" s="1754">
        <v>28</v>
      </c>
      <c r="AA40" s="1754">
        <v>15</v>
      </c>
      <c r="AB40" s="1754"/>
      <c r="AC40" s="1754"/>
      <c r="AD40" s="1754">
        <v>23</v>
      </c>
      <c r="AE40" s="1754">
        <v>99</v>
      </c>
      <c r="AF40" s="1754"/>
      <c r="AG40" s="1754"/>
      <c r="AH40" s="2431">
        <f t="shared" ref="AH40:AH50" si="5">SUM(C40:AG40)</f>
        <v>847.57299999999998</v>
      </c>
    </row>
    <row r="41" spans="1:34" ht="12">
      <c r="A41" s="603" t="s">
        <v>147</v>
      </c>
      <c r="B41" s="584">
        <f t="shared" si="4"/>
        <v>222</v>
      </c>
      <c r="C41" s="1451"/>
      <c r="D41" s="1451"/>
      <c r="E41" s="1754">
        <v>25</v>
      </c>
      <c r="F41" s="1754">
        <v>118</v>
      </c>
      <c r="G41" s="1754">
        <v>68</v>
      </c>
      <c r="H41" s="1754">
        <v>11</v>
      </c>
      <c r="I41" s="1754"/>
      <c r="J41" s="1754"/>
      <c r="K41" s="1754"/>
      <c r="L41" s="1754"/>
      <c r="M41" s="1754"/>
      <c r="N41" s="1754"/>
      <c r="O41" s="1754"/>
      <c r="P41" s="1754"/>
      <c r="Q41" s="1754"/>
      <c r="R41" s="1754"/>
      <c r="S41" s="1754"/>
      <c r="T41" s="1754"/>
      <c r="U41" s="1754"/>
      <c r="V41" s="1754"/>
      <c r="W41" s="1754"/>
      <c r="X41" s="1754"/>
      <c r="Y41" s="1754"/>
      <c r="Z41" s="1754"/>
      <c r="AA41" s="1754"/>
      <c r="AB41" s="1754"/>
      <c r="AC41" s="1754"/>
      <c r="AD41" s="1754"/>
      <c r="AE41" s="1754"/>
      <c r="AF41" s="1754"/>
      <c r="AG41" s="1754"/>
      <c r="AH41" s="2431">
        <f t="shared" si="5"/>
        <v>222</v>
      </c>
    </row>
    <row r="42" spans="1:34" ht="12">
      <c r="A42" s="603" t="s">
        <v>148</v>
      </c>
      <c r="B42" s="584">
        <f t="shared" si="4"/>
        <v>0</v>
      </c>
      <c r="C42" s="1451"/>
      <c r="D42" s="1451"/>
      <c r="E42" s="1754"/>
      <c r="F42" s="1754"/>
      <c r="G42" s="1754"/>
      <c r="H42" s="1754"/>
      <c r="I42" s="1754"/>
      <c r="J42" s="1754"/>
      <c r="K42" s="1754"/>
      <c r="L42" s="1754"/>
      <c r="M42" s="1754"/>
      <c r="N42" s="1754"/>
      <c r="O42" s="1754"/>
      <c r="P42" s="1754"/>
      <c r="Q42" s="1754"/>
      <c r="R42" s="1754"/>
      <c r="S42" s="1754"/>
      <c r="T42" s="1754"/>
      <c r="U42" s="1754"/>
      <c r="V42" s="1754"/>
      <c r="W42" s="1754"/>
      <c r="X42" s="1754"/>
      <c r="Y42" s="1754"/>
      <c r="Z42" s="1754"/>
      <c r="AA42" s="1754"/>
      <c r="AB42" s="1754"/>
      <c r="AC42" s="1754"/>
      <c r="AD42" s="1754"/>
      <c r="AE42" s="1754"/>
      <c r="AF42" s="1754"/>
      <c r="AG42" s="1754"/>
      <c r="AH42" s="2431">
        <f t="shared" si="5"/>
        <v>0</v>
      </c>
    </row>
    <row r="43" spans="1:34" ht="12">
      <c r="A43" s="603" t="s">
        <v>149</v>
      </c>
      <c r="B43" s="584">
        <f t="shared" si="4"/>
        <v>0</v>
      </c>
      <c r="C43" s="1451"/>
      <c r="D43" s="1451"/>
      <c r="E43" s="1754"/>
      <c r="F43" s="1754"/>
      <c r="G43" s="1754"/>
      <c r="H43" s="1754"/>
      <c r="I43" s="1754"/>
      <c r="J43" s="1754"/>
      <c r="K43" s="1754"/>
      <c r="L43" s="1754"/>
      <c r="M43" s="1754"/>
      <c r="N43" s="1754"/>
      <c r="O43" s="1754"/>
      <c r="P43" s="1754"/>
      <c r="Q43" s="1754"/>
      <c r="R43" s="1754"/>
      <c r="S43" s="1754"/>
      <c r="T43" s="1754"/>
      <c r="U43" s="1754"/>
      <c r="V43" s="1754"/>
      <c r="W43" s="1754"/>
      <c r="X43" s="1754"/>
      <c r="Y43" s="1754"/>
      <c r="Z43" s="1754"/>
      <c r="AA43" s="1754"/>
      <c r="AB43" s="1754"/>
      <c r="AC43" s="1754"/>
      <c r="AD43" s="1754"/>
      <c r="AE43" s="1754"/>
      <c r="AF43" s="1754"/>
      <c r="AG43" s="1754"/>
      <c r="AH43" s="2431">
        <f t="shared" si="5"/>
        <v>0</v>
      </c>
    </row>
    <row r="44" spans="1:34" ht="12">
      <c r="A44" s="603" t="s">
        <v>150</v>
      </c>
      <c r="B44" s="584">
        <f t="shared" si="4"/>
        <v>0</v>
      </c>
      <c r="C44" s="1451"/>
      <c r="D44" s="1451"/>
      <c r="E44" s="1451"/>
      <c r="F44" s="1451"/>
      <c r="G44" s="1451"/>
      <c r="H44" s="1451"/>
      <c r="I44" s="1451"/>
      <c r="J44" s="1451"/>
      <c r="K44" s="1451"/>
      <c r="L44" s="1451"/>
      <c r="M44" s="1451"/>
      <c r="N44" s="1451"/>
      <c r="O44" s="1451"/>
      <c r="P44" s="1451"/>
      <c r="Q44" s="1451"/>
      <c r="R44" s="1451"/>
      <c r="S44" s="1451"/>
      <c r="T44" s="1451"/>
      <c r="U44" s="1451"/>
      <c r="V44" s="1451"/>
      <c r="W44" s="1451"/>
      <c r="X44" s="1451"/>
      <c r="Y44" s="1451"/>
      <c r="Z44" s="1451"/>
      <c r="AA44" s="1451"/>
      <c r="AB44" s="1451"/>
      <c r="AC44" s="1451"/>
      <c r="AD44" s="1451"/>
      <c r="AE44" s="1451"/>
      <c r="AF44" s="1451"/>
      <c r="AG44" s="1451"/>
      <c r="AH44" s="2431">
        <f t="shared" si="5"/>
        <v>0</v>
      </c>
    </row>
    <row r="45" spans="1:34" ht="12">
      <c r="A45" s="603" t="s">
        <v>151</v>
      </c>
      <c r="B45" s="584">
        <f t="shared" si="4"/>
        <v>0</v>
      </c>
      <c r="C45" s="1451"/>
      <c r="D45" s="1451"/>
      <c r="E45" s="1451"/>
      <c r="F45" s="1451"/>
      <c r="G45" s="1451"/>
      <c r="H45" s="1451"/>
      <c r="I45" s="1451"/>
      <c r="J45" s="1451"/>
      <c r="K45" s="1451"/>
      <c r="L45" s="1451"/>
      <c r="M45" s="1451"/>
      <c r="N45" s="1451"/>
      <c r="O45" s="1451"/>
      <c r="P45" s="1451"/>
      <c r="Q45" s="1451"/>
      <c r="R45" s="1451"/>
      <c r="S45" s="1451"/>
      <c r="T45" s="1451"/>
      <c r="U45" s="1451"/>
      <c r="V45" s="1451"/>
      <c r="W45" s="1451"/>
      <c r="X45" s="1451"/>
      <c r="Y45" s="1451"/>
      <c r="Z45" s="1451"/>
      <c r="AA45" s="1451"/>
      <c r="AB45" s="1451"/>
      <c r="AC45" s="1451"/>
      <c r="AD45" s="1451"/>
      <c r="AE45" s="1451"/>
      <c r="AF45" s="1451"/>
      <c r="AG45" s="1451"/>
      <c r="AH45" s="2431">
        <f t="shared" si="5"/>
        <v>0</v>
      </c>
    </row>
    <row r="46" spans="1:34" ht="12">
      <c r="A46" s="603" t="s">
        <v>152</v>
      </c>
      <c r="B46" s="584">
        <f t="shared" si="4"/>
        <v>0</v>
      </c>
      <c r="C46" s="1451"/>
      <c r="D46" s="1451"/>
      <c r="E46" s="1451"/>
      <c r="F46" s="1451"/>
      <c r="G46" s="1451"/>
      <c r="H46" s="1451"/>
      <c r="I46" s="1451"/>
      <c r="J46" s="1451"/>
      <c r="K46" s="1451"/>
      <c r="L46" s="1451"/>
      <c r="M46" s="1451"/>
      <c r="N46" s="1451"/>
      <c r="O46" s="1451"/>
      <c r="P46" s="1451"/>
      <c r="Q46" s="1451"/>
      <c r="R46" s="1451"/>
      <c r="S46" s="1451"/>
      <c r="T46" s="1451"/>
      <c r="U46" s="1451"/>
      <c r="V46" s="1451"/>
      <c r="W46" s="1451"/>
      <c r="X46" s="1451"/>
      <c r="Y46" s="1451"/>
      <c r="Z46" s="1451"/>
      <c r="AA46" s="1451"/>
      <c r="AB46" s="1451"/>
      <c r="AC46" s="1451"/>
      <c r="AD46" s="1451"/>
      <c r="AE46" s="1451"/>
      <c r="AF46" s="1451"/>
      <c r="AG46" s="1451"/>
      <c r="AH46" s="2431">
        <f t="shared" si="5"/>
        <v>0</v>
      </c>
    </row>
    <row r="47" spans="1:34" ht="12">
      <c r="A47" s="603" t="s">
        <v>153</v>
      </c>
      <c r="B47" s="584">
        <f t="shared" si="4"/>
        <v>0</v>
      </c>
      <c r="C47" s="1451"/>
      <c r="D47" s="1451"/>
      <c r="E47" s="1451"/>
      <c r="F47" s="1451"/>
      <c r="G47" s="1451"/>
      <c r="H47" s="1451"/>
      <c r="I47" s="1451"/>
      <c r="J47" s="1451"/>
      <c r="K47" s="1451"/>
      <c r="L47" s="1451"/>
      <c r="M47" s="1451"/>
      <c r="N47" s="1451"/>
      <c r="O47" s="1451"/>
      <c r="P47" s="1451"/>
      <c r="Q47" s="1451"/>
      <c r="R47" s="1451"/>
      <c r="S47" s="1451"/>
      <c r="T47" s="1451"/>
      <c r="U47" s="1451"/>
      <c r="V47" s="1451"/>
      <c r="W47" s="1451"/>
      <c r="X47" s="1451"/>
      <c r="Y47" s="1451"/>
      <c r="Z47" s="1451"/>
      <c r="AA47" s="1451"/>
      <c r="AB47" s="1451"/>
      <c r="AC47" s="1451"/>
      <c r="AD47" s="1451"/>
      <c r="AE47" s="1451"/>
      <c r="AF47" s="1451"/>
      <c r="AG47" s="1451"/>
      <c r="AH47" s="2431">
        <f t="shared" si="5"/>
        <v>0</v>
      </c>
    </row>
    <row r="48" spans="1:34" ht="12">
      <c r="A48" s="603" t="s">
        <v>154</v>
      </c>
      <c r="B48" s="584">
        <f t="shared" si="4"/>
        <v>0</v>
      </c>
      <c r="C48" s="1451"/>
      <c r="D48" s="1451"/>
      <c r="E48" s="1451"/>
      <c r="F48" s="1451"/>
      <c r="G48" s="1451"/>
      <c r="H48" s="1451"/>
      <c r="I48" s="1451"/>
      <c r="J48" s="1451"/>
      <c r="K48" s="1451"/>
      <c r="L48" s="1451"/>
      <c r="M48" s="1451"/>
      <c r="N48" s="1451"/>
      <c r="O48" s="1451"/>
      <c r="P48" s="1451"/>
      <c r="Q48" s="1451"/>
      <c r="R48" s="1451"/>
      <c r="S48" s="1451"/>
      <c r="T48" s="1451"/>
      <c r="U48" s="1451"/>
      <c r="V48" s="1451"/>
      <c r="W48" s="1451"/>
      <c r="X48" s="1451"/>
      <c r="Y48" s="1451"/>
      <c r="Z48" s="1451"/>
      <c r="AA48" s="1451"/>
      <c r="AB48" s="1451"/>
      <c r="AC48" s="1451"/>
      <c r="AD48" s="1451"/>
      <c r="AE48" s="1451"/>
      <c r="AF48" s="1451"/>
      <c r="AG48" s="1451"/>
      <c r="AH48" s="2431">
        <f t="shared" si="5"/>
        <v>0</v>
      </c>
    </row>
    <row r="49" spans="1:34" ht="12.6" thickBot="1">
      <c r="A49" s="573" t="s">
        <v>155</v>
      </c>
      <c r="B49" s="584">
        <f t="shared" si="4"/>
        <v>11.238</v>
      </c>
      <c r="C49" s="510">
        <v>0.43</v>
      </c>
      <c r="D49" s="510">
        <v>0</v>
      </c>
      <c r="E49" s="510">
        <v>0</v>
      </c>
      <c r="F49" s="510">
        <v>0</v>
      </c>
      <c r="G49" s="510">
        <v>0</v>
      </c>
      <c r="H49" s="510">
        <v>1</v>
      </c>
      <c r="I49" s="510">
        <v>0</v>
      </c>
      <c r="J49" s="510">
        <v>0</v>
      </c>
      <c r="K49" s="510">
        <v>0</v>
      </c>
      <c r="L49" s="510">
        <v>0</v>
      </c>
      <c r="M49" s="510">
        <v>0</v>
      </c>
      <c r="N49" s="510">
        <v>1</v>
      </c>
      <c r="O49" s="510">
        <v>3.4079999999999999</v>
      </c>
      <c r="P49" s="510">
        <v>0</v>
      </c>
      <c r="Q49" s="510">
        <v>0</v>
      </c>
      <c r="R49" s="510">
        <v>0</v>
      </c>
      <c r="S49" s="510">
        <v>0</v>
      </c>
      <c r="T49" s="1451">
        <v>0</v>
      </c>
      <c r="U49" s="1451">
        <v>0</v>
      </c>
      <c r="V49" s="1451">
        <v>0</v>
      </c>
      <c r="W49" s="1451">
        <v>0</v>
      </c>
      <c r="X49" s="1451">
        <v>5.4</v>
      </c>
      <c r="Y49" s="1451">
        <v>0</v>
      </c>
      <c r="Z49" s="1451">
        <v>0</v>
      </c>
      <c r="AA49" s="1451">
        <v>0</v>
      </c>
      <c r="AB49" s="1451">
        <v>0</v>
      </c>
      <c r="AC49" s="1451">
        <v>0</v>
      </c>
      <c r="AD49" s="1451">
        <v>0</v>
      </c>
      <c r="AE49" s="1451">
        <v>0</v>
      </c>
      <c r="AF49" s="1451">
        <v>0</v>
      </c>
      <c r="AG49" s="1451">
        <v>0</v>
      </c>
      <c r="AH49" s="2431">
        <f t="shared" si="5"/>
        <v>11.238</v>
      </c>
    </row>
    <row r="50" spans="1:34" ht="12">
      <c r="A50" s="573" t="s">
        <v>156</v>
      </c>
      <c r="B50" s="584">
        <f t="shared" si="4"/>
        <v>0</v>
      </c>
      <c r="C50" s="1451"/>
      <c r="D50" s="1451"/>
      <c r="E50" s="1451"/>
      <c r="F50" s="1451"/>
      <c r="G50" s="1451"/>
      <c r="H50" s="1451"/>
      <c r="I50" s="1451"/>
      <c r="J50" s="1451"/>
      <c r="K50" s="1451"/>
      <c r="L50" s="1451"/>
      <c r="M50" s="1451"/>
      <c r="N50" s="1451"/>
      <c r="O50" s="1451"/>
      <c r="P50" s="1451"/>
      <c r="Q50" s="1451"/>
      <c r="R50" s="1451"/>
      <c r="S50" s="1451"/>
      <c r="T50" s="1451"/>
      <c r="U50" s="1451"/>
      <c r="V50" s="1451"/>
      <c r="W50" s="1451"/>
      <c r="X50" s="1451"/>
      <c r="Y50" s="1451"/>
      <c r="Z50" s="1451"/>
      <c r="AA50" s="1451"/>
      <c r="AB50" s="1451"/>
      <c r="AC50" s="1451"/>
      <c r="AD50" s="1451"/>
      <c r="AE50" s="1451"/>
      <c r="AF50" s="1451"/>
      <c r="AG50" s="1451"/>
      <c r="AH50" s="2431">
        <f t="shared" si="5"/>
        <v>0</v>
      </c>
    </row>
    <row r="51" spans="1:34" ht="12">
      <c r="A51" s="1432" t="s">
        <v>144</v>
      </c>
      <c r="B51" s="3090">
        <f>SUM(B39:B50)</f>
        <v>1116.0609999999999</v>
      </c>
      <c r="C51" s="3091">
        <f t="shared" ref="C51:AH51" si="6">SUM(C39:C50)</f>
        <v>0.43</v>
      </c>
      <c r="D51" s="3091">
        <f t="shared" si="6"/>
        <v>0</v>
      </c>
      <c r="E51" s="3091">
        <f t="shared" si="6"/>
        <v>25</v>
      </c>
      <c r="F51" s="3091">
        <f t="shared" si="6"/>
        <v>118.21</v>
      </c>
      <c r="G51" s="3091">
        <f t="shared" si="6"/>
        <v>68.06</v>
      </c>
      <c r="H51" s="3091">
        <f t="shared" si="6"/>
        <v>18</v>
      </c>
      <c r="I51" s="3091">
        <f t="shared" si="6"/>
        <v>28</v>
      </c>
      <c r="J51" s="3091">
        <f t="shared" si="6"/>
        <v>0</v>
      </c>
      <c r="K51" s="3091">
        <f t="shared" si="6"/>
        <v>0</v>
      </c>
      <c r="L51" s="3091">
        <f t="shared" si="6"/>
        <v>0</v>
      </c>
      <c r="M51" s="3091">
        <f t="shared" si="6"/>
        <v>0.12</v>
      </c>
      <c r="N51" s="3091">
        <f t="shared" si="6"/>
        <v>1</v>
      </c>
      <c r="O51" s="3091">
        <f t="shared" si="6"/>
        <v>3.4079999999999999</v>
      </c>
      <c r="P51" s="3091">
        <f t="shared" si="6"/>
        <v>0</v>
      </c>
      <c r="Q51" s="3091">
        <f t="shared" si="6"/>
        <v>1</v>
      </c>
      <c r="R51" s="3091">
        <f t="shared" si="6"/>
        <v>0.183</v>
      </c>
      <c r="S51" s="3091">
        <f t="shared" si="6"/>
        <v>2</v>
      </c>
      <c r="T51" s="3091">
        <f t="shared" si="6"/>
        <v>0</v>
      </c>
      <c r="U51" s="3091">
        <f t="shared" si="6"/>
        <v>20.25</v>
      </c>
      <c r="V51" s="3091">
        <f t="shared" si="6"/>
        <v>12</v>
      </c>
      <c r="W51" s="3091">
        <f t="shared" si="6"/>
        <v>98</v>
      </c>
      <c r="X51" s="3091">
        <f t="shared" si="6"/>
        <v>410.4</v>
      </c>
      <c r="Y51" s="3091">
        <f t="shared" si="6"/>
        <v>145</v>
      </c>
      <c r="Z51" s="3091">
        <f t="shared" si="6"/>
        <v>28</v>
      </c>
      <c r="AA51" s="3091">
        <f t="shared" si="6"/>
        <v>15</v>
      </c>
      <c r="AB51" s="3091">
        <f t="shared" si="6"/>
        <v>0</v>
      </c>
      <c r="AC51" s="3091">
        <f t="shared" si="6"/>
        <v>0</v>
      </c>
      <c r="AD51" s="3091">
        <f t="shared" si="6"/>
        <v>23</v>
      </c>
      <c r="AE51" s="3091">
        <f t="shared" si="6"/>
        <v>99</v>
      </c>
      <c r="AF51" s="3091">
        <f t="shared" si="6"/>
        <v>0</v>
      </c>
      <c r="AG51" s="3091">
        <f t="shared" si="6"/>
        <v>0</v>
      </c>
      <c r="AH51" s="577">
        <f t="shared" si="6"/>
        <v>1116.0609999999999</v>
      </c>
    </row>
    <row r="52" spans="1:34" ht="12">
      <c r="A52" s="571"/>
      <c r="B52" s="1428"/>
      <c r="C52" s="571"/>
      <c r="D52" s="142"/>
      <c r="E52" s="142"/>
      <c r="F52" s="142"/>
      <c r="G52" s="142"/>
      <c r="H52" s="142"/>
      <c r="I52" s="142"/>
      <c r="J52" s="142"/>
      <c r="K52" s="142"/>
      <c r="L52" s="142"/>
      <c r="M52" s="142"/>
      <c r="N52" s="142"/>
      <c r="O52" s="142"/>
      <c r="P52" s="142"/>
      <c r="Q52" s="142"/>
      <c r="R52" s="142"/>
      <c r="S52" s="142"/>
      <c r="T52" s="142"/>
      <c r="U52" s="142"/>
      <c r="V52" s="142"/>
      <c r="W52" s="142"/>
      <c r="X52" s="142"/>
      <c r="Y52" s="142"/>
      <c r="Z52" s="142"/>
      <c r="AA52" s="142"/>
      <c r="AB52" s="142"/>
      <c r="AC52" s="142"/>
      <c r="AD52" s="142"/>
      <c r="AE52" s="142"/>
      <c r="AF52" s="142"/>
      <c r="AG52" s="142"/>
      <c r="AH52" s="571"/>
    </row>
    <row r="53" spans="1:34" ht="12">
      <c r="A53" s="3864" t="s">
        <v>137</v>
      </c>
      <c r="B53" s="3865"/>
      <c r="C53" s="3866"/>
      <c r="D53" s="142"/>
      <c r="E53" s="142"/>
      <c r="F53" s="142"/>
      <c r="G53" s="142"/>
      <c r="H53" s="142"/>
      <c r="I53" s="142"/>
      <c r="J53" s="142"/>
      <c r="K53" s="142"/>
      <c r="L53" s="142"/>
      <c r="M53" s="142"/>
      <c r="N53" s="142"/>
      <c r="O53" s="142"/>
      <c r="P53" s="142"/>
      <c r="Q53" s="142"/>
      <c r="R53" s="142"/>
      <c r="S53" s="142"/>
      <c r="T53" s="142"/>
      <c r="U53" s="142"/>
      <c r="V53" s="142"/>
      <c r="W53" s="142"/>
      <c r="X53" s="142"/>
      <c r="Y53" s="142"/>
      <c r="Z53" s="142"/>
      <c r="AA53" s="142"/>
      <c r="AB53" s="142"/>
      <c r="AC53" s="142"/>
      <c r="AD53" s="142"/>
      <c r="AE53" s="142"/>
      <c r="AF53" s="142"/>
      <c r="AG53" s="142"/>
      <c r="AH53" s="571"/>
    </row>
    <row r="54" spans="1:34" ht="12">
      <c r="A54" s="1383" t="s">
        <v>142</v>
      </c>
      <c r="B54" s="901" t="s">
        <v>143</v>
      </c>
      <c r="C54" s="572">
        <v>1</v>
      </c>
      <c r="D54" s="573">
        <v>2</v>
      </c>
      <c r="E54" s="573">
        <v>3</v>
      </c>
      <c r="F54" s="573">
        <v>4</v>
      </c>
      <c r="G54" s="573">
        <v>5</v>
      </c>
      <c r="H54" s="573">
        <v>6</v>
      </c>
      <c r="I54" s="573">
        <v>7</v>
      </c>
      <c r="J54" s="573">
        <v>8</v>
      </c>
      <c r="K54" s="573">
        <v>9</v>
      </c>
      <c r="L54" s="573">
        <v>10</v>
      </c>
      <c r="M54" s="573">
        <v>11</v>
      </c>
      <c r="N54" s="573">
        <v>12</v>
      </c>
      <c r="O54" s="573">
        <v>13</v>
      </c>
      <c r="P54" s="573">
        <v>14</v>
      </c>
      <c r="Q54" s="573">
        <v>15</v>
      </c>
      <c r="R54" s="573">
        <v>16</v>
      </c>
      <c r="S54" s="573">
        <v>17</v>
      </c>
      <c r="T54" s="573">
        <v>18</v>
      </c>
      <c r="U54" s="573">
        <v>19</v>
      </c>
      <c r="V54" s="573">
        <v>20</v>
      </c>
      <c r="W54" s="573">
        <v>21</v>
      </c>
      <c r="X54" s="573">
        <v>22</v>
      </c>
      <c r="Y54" s="573">
        <v>23</v>
      </c>
      <c r="Z54" s="573">
        <v>24</v>
      </c>
      <c r="AA54" s="573">
        <v>25</v>
      </c>
      <c r="AB54" s="573">
        <v>26</v>
      </c>
      <c r="AC54" s="573">
        <v>27</v>
      </c>
      <c r="AD54" s="573">
        <v>28</v>
      </c>
      <c r="AE54" s="573">
        <v>29</v>
      </c>
      <c r="AF54" s="573">
        <v>30</v>
      </c>
      <c r="AG54" s="573">
        <v>31</v>
      </c>
      <c r="AH54" s="572" t="s">
        <v>144</v>
      </c>
    </row>
    <row r="55" spans="1:34" ht="12">
      <c r="A55" s="603" t="s">
        <v>145</v>
      </c>
      <c r="B55" s="584">
        <f t="shared" ref="B55:B66" si="7">+AH55</f>
        <v>0.14000000000000001</v>
      </c>
      <c r="C55" s="577"/>
      <c r="D55" s="480"/>
      <c r="E55" s="1446">
        <v>1.4999999999999999E-2</v>
      </c>
      <c r="F55" s="1446"/>
      <c r="G55" s="1446">
        <v>0.04</v>
      </c>
      <c r="H55" s="1446"/>
      <c r="I55" s="1446">
        <v>1.2E-2</v>
      </c>
      <c r="J55" s="1446"/>
      <c r="K55" s="1446"/>
      <c r="L55" s="1446"/>
      <c r="M55" s="1446">
        <v>0.05</v>
      </c>
      <c r="N55" s="1446"/>
      <c r="O55" s="1446">
        <v>7.0000000000000001E-3</v>
      </c>
      <c r="P55" s="1446"/>
      <c r="Q55" s="1446">
        <v>7.0000000000000001E-3</v>
      </c>
      <c r="R55" s="1446"/>
      <c r="S55" s="1446"/>
      <c r="T55" s="1446"/>
      <c r="U55" s="1446"/>
      <c r="V55" s="1446"/>
      <c r="W55" s="1446"/>
      <c r="X55" s="1446"/>
      <c r="Y55" s="1446"/>
      <c r="Z55" s="1446"/>
      <c r="AA55" s="1446"/>
      <c r="AB55" s="1446"/>
      <c r="AC55" s="1446"/>
      <c r="AD55" s="1446"/>
      <c r="AE55" s="1446">
        <v>5.0000000000000001E-3</v>
      </c>
      <c r="AF55" s="1446">
        <v>4.0000000000000001E-3</v>
      </c>
      <c r="AG55" s="1446"/>
      <c r="AH55" s="577">
        <f>SUM(C55:AG55)</f>
        <v>0.14000000000000001</v>
      </c>
    </row>
    <row r="56" spans="1:34" ht="12">
      <c r="A56" s="603" t="s">
        <v>146</v>
      </c>
      <c r="B56" s="584">
        <f t="shared" si="7"/>
        <v>3.7999999999999999E-2</v>
      </c>
      <c r="C56" s="577"/>
      <c r="D56" s="480"/>
      <c r="E56" s="480"/>
      <c r="F56" s="480"/>
      <c r="G56" s="480"/>
      <c r="H56" s="480"/>
      <c r="I56" s="480"/>
      <c r="J56" s="480">
        <v>1E-3</v>
      </c>
      <c r="K56" s="480">
        <v>7.0000000000000001E-3</v>
      </c>
      <c r="L56" s="480"/>
      <c r="M56" s="480"/>
      <c r="N56" s="480">
        <v>3.0000000000000001E-3</v>
      </c>
      <c r="O56" s="480"/>
      <c r="P56" s="480"/>
      <c r="Q56" s="480"/>
      <c r="R56" s="480"/>
      <c r="S56" s="480"/>
      <c r="T56" s="480">
        <v>7.0000000000000001E-3</v>
      </c>
      <c r="U56" s="480"/>
      <c r="V56" s="480"/>
      <c r="W56" s="480">
        <v>7.0000000000000001E-3</v>
      </c>
      <c r="X56" s="480"/>
      <c r="Y56" s="480"/>
      <c r="Z56" s="480">
        <v>3.0000000000000001E-3</v>
      </c>
      <c r="AA56" s="480"/>
      <c r="AB56" s="480">
        <v>0.01</v>
      </c>
      <c r="AC56" s="480"/>
      <c r="AD56" s="480"/>
      <c r="AE56" s="480"/>
      <c r="AF56" s="480"/>
      <c r="AG56" s="480"/>
      <c r="AH56" s="577">
        <f t="shared" ref="AH56:AH66" si="8">SUM(C56:AG56)</f>
        <v>3.7999999999999999E-2</v>
      </c>
    </row>
    <row r="57" spans="1:34" ht="12">
      <c r="A57" s="603" t="s">
        <v>147</v>
      </c>
      <c r="B57" s="584">
        <f t="shared" si="7"/>
        <v>0.11800000000000001</v>
      </c>
      <c r="C57" s="2037"/>
      <c r="D57" s="1123"/>
      <c r="E57" s="1123"/>
      <c r="F57" s="1123"/>
      <c r="G57" s="1123"/>
      <c r="H57" s="1123"/>
      <c r="I57" s="1123"/>
      <c r="J57" s="1123"/>
      <c r="K57" s="1123"/>
      <c r="L57" s="1123">
        <v>1.4E-2</v>
      </c>
      <c r="M57" s="1123"/>
      <c r="N57" s="1123"/>
      <c r="O57" s="1123"/>
      <c r="P57" s="1123"/>
      <c r="Q57" s="1123"/>
      <c r="R57" s="1123"/>
      <c r="S57" s="1123"/>
      <c r="T57" s="1123"/>
      <c r="U57" s="1123"/>
      <c r="V57" s="1123"/>
      <c r="W57" s="1123"/>
      <c r="X57" s="1123"/>
      <c r="Y57" s="1123">
        <v>6.0000000000000001E-3</v>
      </c>
      <c r="Z57" s="1123">
        <v>3.2000000000000001E-2</v>
      </c>
      <c r="AA57" s="1123"/>
      <c r="AB57" s="1123"/>
      <c r="AC57" s="1123">
        <v>8.0000000000000002E-3</v>
      </c>
      <c r="AD57" s="1123">
        <v>1.2E-2</v>
      </c>
      <c r="AE57" s="1123"/>
      <c r="AF57" s="1123">
        <v>1.0999999999999999E-2</v>
      </c>
      <c r="AG57" s="1123">
        <v>3.5000000000000003E-2</v>
      </c>
      <c r="AH57" s="577">
        <f t="shared" si="8"/>
        <v>0.11800000000000001</v>
      </c>
    </row>
    <row r="58" spans="1:34" ht="12">
      <c r="A58" s="603" t="s">
        <v>148</v>
      </c>
      <c r="B58" s="584">
        <f t="shared" si="7"/>
        <v>9.1000000000000011E-2</v>
      </c>
      <c r="C58" s="2037"/>
      <c r="D58" s="1123"/>
      <c r="E58" s="1123">
        <v>0.02</v>
      </c>
      <c r="F58" s="1123">
        <v>1.2E-2</v>
      </c>
      <c r="G58" s="1123">
        <v>6.0000000000000001E-3</v>
      </c>
      <c r="H58" s="1123">
        <v>7.0000000000000001E-3</v>
      </c>
      <c r="I58" s="1123">
        <v>3.0000000000000001E-3</v>
      </c>
      <c r="J58" s="1123">
        <v>6.0000000000000001E-3</v>
      </c>
      <c r="K58" s="1123"/>
      <c r="L58" s="1123"/>
      <c r="M58" s="1123"/>
      <c r="N58" s="1123"/>
      <c r="O58" s="1123"/>
      <c r="P58" s="1123"/>
      <c r="Q58" s="1123"/>
      <c r="R58" s="1123"/>
      <c r="S58" s="1123"/>
      <c r="T58" s="1123"/>
      <c r="U58" s="1123"/>
      <c r="V58" s="1123"/>
      <c r="W58" s="1123">
        <v>7.0000000000000001E-3</v>
      </c>
      <c r="X58" s="1123">
        <v>3.0000000000000001E-3</v>
      </c>
      <c r="Y58" s="1123"/>
      <c r="Z58" s="1123"/>
      <c r="AA58" s="1123">
        <v>7.0000000000000001E-3</v>
      </c>
      <c r="AB58" s="1123"/>
      <c r="AC58" s="1123"/>
      <c r="AD58" s="1123"/>
      <c r="AE58" s="1123">
        <v>0.02</v>
      </c>
      <c r="AF58" s="1123"/>
      <c r="AG58" s="1123"/>
      <c r="AH58" s="577">
        <f t="shared" si="8"/>
        <v>9.1000000000000011E-2</v>
      </c>
    </row>
    <row r="59" spans="1:34" ht="12">
      <c r="A59" s="603" t="s">
        <v>149</v>
      </c>
      <c r="B59" s="584">
        <f t="shared" si="7"/>
        <v>2.3E-2</v>
      </c>
      <c r="C59" s="2037"/>
      <c r="D59" s="1123"/>
      <c r="E59" s="1123"/>
      <c r="F59" s="1123"/>
      <c r="G59" s="1123">
        <v>1.7999999999999999E-2</v>
      </c>
      <c r="H59" s="1123">
        <v>5.0000000000000001E-3</v>
      </c>
      <c r="I59" s="1123"/>
      <c r="J59" s="1123"/>
      <c r="K59" s="1123"/>
      <c r="L59" s="1123"/>
      <c r="M59" s="1123"/>
      <c r="N59" s="1123"/>
      <c r="O59" s="1123"/>
      <c r="P59" s="1123"/>
      <c r="Q59" s="1123"/>
      <c r="R59" s="1123"/>
      <c r="S59" s="1123"/>
      <c r="T59" s="1123"/>
      <c r="U59" s="1123"/>
      <c r="V59" s="1123"/>
      <c r="W59" s="1123"/>
      <c r="X59" s="1123"/>
      <c r="Y59" s="1123"/>
      <c r="Z59" s="1123"/>
      <c r="AA59" s="1123"/>
      <c r="AB59" s="1123"/>
      <c r="AC59" s="1123"/>
      <c r="AD59" s="1123"/>
      <c r="AE59" s="1123"/>
      <c r="AF59" s="1123"/>
      <c r="AG59" s="1123"/>
      <c r="AH59" s="577">
        <f t="shared" si="8"/>
        <v>2.3E-2</v>
      </c>
    </row>
    <row r="60" spans="1:34" ht="12">
      <c r="A60" s="603" t="s">
        <v>150</v>
      </c>
      <c r="B60" s="584">
        <f t="shared" si="7"/>
        <v>0</v>
      </c>
      <c r="C60" s="577"/>
      <c r="D60" s="480"/>
      <c r="E60" s="480"/>
      <c r="F60" s="480"/>
      <c r="G60" s="480"/>
      <c r="H60" s="480"/>
      <c r="I60" s="480"/>
      <c r="J60" s="480"/>
      <c r="K60" s="480"/>
      <c r="L60" s="480"/>
      <c r="M60" s="480"/>
      <c r="N60" s="480"/>
      <c r="O60" s="480"/>
      <c r="P60" s="480"/>
      <c r="Q60" s="480"/>
      <c r="R60" s="480"/>
      <c r="S60" s="480"/>
      <c r="T60" s="480"/>
      <c r="U60" s="480"/>
      <c r="V60" s="480"/>
      <c r="W60" s="480"/>
      <c r="X60" s="480"/>
      <c r="Y60" s="480"/>
      <c r="Z60" s="480"/>
      <c r="AA60" s="480"/>
      <c r="AB60" s="480"/>
      <c r="AC60" s="480"/>
      <c r="AD60" s="480"/>
      <c r="AE60" s="480"/>
      <c r="AF60" s="480"/>
      <c r="AG60" s="480"/>
      <c r="AH60" s="577">
        <f t="shared" si="8"/>
        <v>0</v>
      </c>
    </row>
    <row r="61" spans="1:34" ht="12">
      <c r="A61" s="603" t="s">
        <v>151</v>
      </c>
      <c r="B61" s="584">
        <f t="shared" si="7"/>
        <v>0</v>
      </c>
      <c r="C61" s="577"/>
      <c r="D61" s="480"/>
      <c r="E61" s="480"/>
      <c r="F61" s="480"/>
      <c r="G61" s="480"/>
      <c r="H61" s="480"/>
      <c r="I61" s="480"/>
      <c r="J61" s="480"/>
      <c r="K61" s="480"/>
      <c r="L61" s="480"/>
      <c r="M61" s="480"/>
      <c r="N61" s="480"/>
      <c r="O61" s="480"/>
      <c r="P61" s="480"/>
      <c r="Q61" s="480"/>
      <c r="R61" s="480"/>
      <c r="S61" s="480"/>
      <c r="T61" s="480"/>
      <c r="U61" s="480"/>
      <c r="V61" s="480"/>
      <c r="W61" s="480"/>
      <c r="X61" s="480"/>
      <c r="Y61" s="480"/>
      <c r="Z61" s="480"/>
      <c r="AA61" s="480"/>
      <c r="AB61" s="480"/>
      <c r="AC61" s="480"/>
      <c r="AD61" s="480"/>
      <c r="AE61" s="480"/>
      <c r="AF61" s="480"/>
      <c r="AG61" s="480"/>
      <c r="AH61" s="577">
        <f t="shared" si="8"/>
        <v>0</v>
      </c>
    </row>
    <row r="62" spans="1:34" ht="12">
      <c r="A62" s="603" t="s">
        <v>152</v>
      </c>
      <c r="B62" s="584">
        <f t="shared" si="7"/>
        <v>3.0000000000000001E-3</v>
      </c>
      <c r="C62" s="577"/>
      <c r="D62" s="480"/>
      <c r="E62" s="480"/>
      <c r="F62" s="480"/>
      <c r="G62" s="480"/>
      <c r="H62" s="480"/>
      <c r="I62" s="480"/>
      <c r="J62" s="480"/>
      <c r="K62" s="480"/>
      <c r="L62" s="480"/>
      <c r="M62" s="480"/>
      <c r="N62" s="480"/>
      <c r="O62" s="480"/>
      <c r="P62" s="480"/>
      <c r="Q62" s="480"/>
      <c r="R62" s="480"/>
      <c r="S62" s="480"/>
      <c r="T62" s="480"/>
      <c r="U62" s="480"/>
      <c r="V62" s="480">
        <v>3.0000000000000001E-3</v>
      </c>
      <c r="W62" s="480"/>
      <c r="X62" s="480"/>
      <c r="Y62" s="480"/>
      <c r="Z62" s="480"/>
      <c r="AA62" s="480"/>
      <c r="AB62" s="480"/>
      <c r="AC62" s="480"/>
      <c r="AD62" s="480"/>
      <c r="AE62" s="480"/>
      <c r="AF62" s="480"/>
      <c r="AG62" s="480"/>
      <c r="AH62" s="577">
        <f t="shared" si="8"/>
        <v>3.0000000000000001E-3</v>
      </c>
    </row>
    <row r="63" spans="1:34" ht="12">
      <c r="A63" s="603" t="s">
        <v>153</v>
      </c>
      <c r="B63" s="584">
        <f t="shared" si="7"/>
        <v>0</v>
      </c>
      <c r="C63" s="577"/>
      <c r="D63" s="480"/>
      <c r="E63" s="480"/>
      <c r="F63" s="480"/>
      <c r="G63" s="480"/>
      <c r="H63" s="480"/>
      <c r="I63" s="480"/>
      <c r="J63" s="480"/>
      <c r="K63" s="480"/>
      <c r="L63" s="480"/>
      <c r="M63" s="480"/>
      <c r="N63" s="480"/>
      <c r="O63" s="480"/>
      <c r="P63" s="480"/>
      <c r="Q63" s="480"/>
      <c r="R63" s="480"/>
      <c r="S63" s="480"/>
      <c r="T63" s="480"/>
      <c r="U63" s="480"/>
      <c r="V63" s="480"/>
      <c r="W63" s="480"/>
      <c r="X63" s="480"/>
      <c r="Y63" s="480"/>
      <c r="Z63" s="480"/>
      <c r="AA63" s="480"/>
      <c r="AB63" s="480"/>
      <c r="AC63" s="480"/>
      <c r="AD63" s="480"/>
      <c r="AE63" s="480"/>
      <c r="AF63" s="480"/>
      <c r="AG63" s="480"/>
      <c r="AH63" s="577">
        <f t="shared" si="8"/>
        <v>0</v>
      </c>
    </row>
    <row r="64" spans="1:34" ht="12">
      <c r="A64" s="573" t="s">
        <v>154</v>
      </c>
      <c r="B64" s="584">
        <f t="shared" si="7"/>
        <v>0.05</v>
      </c>
      <c r="C64" s="577"/>
      <c r="D64" s="480">
        <v>0.05</v>
      </c>
      <c r="E64" s="480"/>
      <c r="F64" s="480"/>
      <c r="G64" s="480"/>
      <c r="H64" s="480"/>
      <c r="I64" s="480"/>
      <c r="J64" s="480"/>
      <c r="K64" s="480"/>
      <c r="L64" s="480"/>
      <c r="M64" s="480"/>
      <c r="N64" s="480"/>
      <c r="O64" s="480"/>
      <c r="P64" s="480"/>
      <c r="Q64" s="480"/>
      <c r="R64" s="480"/>
      <c r="S64" s="480"/>
      <c r="T64" s="480"/>
      <c r="U64" s="480"/>
      <c r="V64" s="480"/>
      <c r="W64" s="480"/>
      <c r="X64" s="480"/>
      <c r="Y64" s="480"/>
      <c r="Z64" s="480"/>
      <c r="AA64" s="480"/>
      <c r="AB64" s="480"/>
      <c r="AC64" s="480"/>
      <c r="AD64" s="480"/>
      <c r="AE64" s="480"/>
      <c r="AF64" s="480"/>
      <c r="AG64" s="480"/>
      <c r="AH64" s="577">
        <f t="shared" si="8"/>
        <v>0.05</v>
      </c>
    </row>
    <row r="65" spans="1:34" ht="12">
      <c r="A65" s="573" t="s">
        <v>155</v>
      </c>
      <c r="B65" s="584">
        <f t="shared" si="7"/>
        <v>0</v>
      </c>
      <c r="C65" s="577"/>
      <c r="D65" s="480"/>
      <c r="E65" s="480"/>
      <c r="F65" s="480"/>
      <c r="G65" s="480"/>
      <c r="H65" s="480"/>
      <c r="I65" s="480"/>
      <c r="J65" s="480"/>
      <c r="K65" s="480"/>
      <c r="L65" s="480"/>
      <c r="M65" s="480"/>
      <c r="N65" s="480"/>
      <c r="O65" s="480"/>
      <c r="P65" s="480"/>
      <c r="Q65" s="480"/>
      <c r="R65" s="480"/>
      <c r="S65" s="480"/>
      <c r="T65" s="480"/>
      <c r="U65" s="480"/>
      <c r="V65" s="480"/>
      <c r="W65" s="480"/>
      <c r="X65" s="480"/>
      <c r="Y65" s="480"/>
      <c r="Z65" s="480"/>
      <c r="AA65" s="480"/>
      <c r="AB65" s="480"/>
      <c r="AC65" s="480"/>
      <c r="AD65" s="480"/>
      <c r="AE65" s="480"/>
      <c r="AF65" s="480"/>
      <c r="AG65" s="480"/>
      <c r="AH65" s="577">
        <f t="shared" si="8"/>
        <v>0</v>
      </c>
    </row>
    <row r="66" spans="1:34" ht="12">
      <c r="A66" s="573" t="s">
        <v>156</v>
      </c>
      <c r="B66" s="584">
        <f t="shared" si="7"/>
        <v>0</v>
      </c>
      <c r="C66" s="577"/>
      <c r="D66" s="480"/>
      <c r="E66" s="480"/>
      <c r="F66" s="480"/>
      <c r="G66" s="480"/>
      <c r="H66" s="480"/>
      <c r="I66" s="480"/>
      <c r="J66" s="480"/>
      <c r="K66" s="480"/>
      <c r="L66" s="480"/>
      <c r="M66" s="480"/>
      <c r="N66" s="480"/>
      <c r="O66" s="480"/>
      <c r="P66" s="480"/>
      <c r="Q66" s="480"/>
      <c r="R66" s="480"/>
      <c r="S66" s="480"/>
      <c r="T66" s="480"/>
      <c r="U66" s="480"/>
      <c r="V66" s="480"/>
      <c r="W66" s="480"/>
      <c r="X66" s="480"/>
      <c r="Y66" s="480"/>
      <c r="Z66" s="480"/>
      <c r="AA66" s="480"/>
      <c r="AB66" s="480"/>
      <c r="AC66" s="480"/>
      <c r="AD66" s="480"/>
      <c r="AE66" s="480"/>
      <c r="AF66" s="480"/>
      <c r="AG66" s="480"/>
      <c r="AH66" s="577">
        <f t="shared" si="8"/>
        <v>0</v>
      </c>
    </row>
    <row r="67" spans="1:34" ht="12">
      <c r="A67" s="1432" t="s">
        <v>144</v>
      </c>
      <c r="B67" s="3089">
        <f t="shared" ref="B67:AH67" si="9">SUM(B55:B66)</f>
        <v>0.46300000000000008</v>
      </c>
      <c r="C67" s="577">
        <f t="shared" si="9"/>
        <v>0</v>
      </c>
      <c r="D67" s="577">
        <f t="shared" si="9"/>
        <v>0.05</v>
      </c>
      <c r="E67" s="577">
        <f t="shared" si="9"/>
        <v>3.5000000000000003E-2</v>
      </c>
      <c r="F67" s="577">
        <f t="shared" si="9"/>
        <v>1.2E-2</v>
      </c>
      <c r="G67" s="577">
        <f t="shared" si="9"/>
        <v>6.4000000000000001E-2</v>
      </c>
      <c r="H67" s="577">
        <f t="shared" si="9"/>
        <v>1.2E-2</v>
      </c>
      <c r="I67" s="577">
        <f t="shared" si="9"/>
        <v>1.4999999999999999E-2</v>
      </c>
      <c r="J67" s="577">
        <f t="shared" si="9"/>
        <v>7.0000000000000001E-3</v>
      </c>
      <c r="K67" s="577">
        <f t="shared" si="9"/>
        <v>7.0000000000000001E-3</v>
      </c>
      <c r="L67" s="577">
        <f t="shared" si="9"/>
        <v>1.4E-2</v>
      </c>
      <c r="M67" s="577">
        <f t="shared" si="9"/>
        <v>0.05</v>
      </c>
      <c r="N67" s="577">
        <f t="shared" si="9"/>
        <v>3.0000000000000001E-3</v>
      </c>
      <c r="O67" s="577">
        <f t="shared" si="9"/>
        <v>7.0000000000000001E-3</v>
      </c>
      <c r="P67" s="577">
        <f t="shared" si="9"/>
        <v>0</v>
      </c>
      <c r="Q67" s="577">
        <f t="shared" si="9"/>
        <v>7.0000000000000001E-3</v>
      </c>
      <c r="R67" s="577">
        <f t="shared" si="9"/>
        <v>0</v>
      </c>
      <c r="S67" s="577">
        <f t="shared" si="9"/>
        <v>0</v>
      </c>
      <c r="T67" s="577">
        <f t="shared" si="9"/>
        <v>7.0000000000000001E-3</v>
      </c>
      <c r="U67" s="577">
        <f t="shared" si="9"/>
        <v>0</v>
      </c>
      <c r="V67" s="577">
        <f t="shared" si="9"/>
        <v>3.0000000000000001E-3</v>
      </c>
      <c r="W67" s="577">
        <f t="shared" si="9"/>
        <v>1.4E-2</v>
      </c>
      <c r="X67" s="577">
        <f t="shared" si="9"/>
        <v>3.0000000000000001E-3</v>
      </c>
      <c r="Y67" s="577">
        <f t="shared" si="9"/>
        <v>6.0000000000000001E-3</v>
      </c>
      <c r="Z67" s="577">
        <f t="shared" si="9"/>
        <v>3.5000000000000003E-2</v>
      </c>
      <c r="AA67" s="577">
        <f t="shared" si="9"/>
        <v>7.0000000000000001E-3</v>
      </c>
      <c r="AB67" s="577">
        <f t="shared" si="9"/>
        <v>0.01</v>
      </c>
      <c r="AC67" s="577">
        <f t="shared" si="9"/>
        <v>8.0000000000000002E-3</v>
      </c>
      <c r="AD67" s="577">
        <f t="shared" si="9"/>
        <v>1.2E-2</v>
      </c>
      <c r="AE67" s="577">
        <f t="shared" si="9"/>
        <v>2.5000000000000001E-2</v>
      </c>
      <c r="AF67" s="577">
        <f t="shared" si="9"/>
        <v>1.4999999999999999E-2</v>
      </c>
      <c r="AG67" s="577">
        <f t="shared" si="9"/>
        <v>3.5000000000000003E-2</v>
      </c>
      <c r="AH67" s="577">
        <f t="shared" si="9"/>
        <v>0.46300000000000008</v>
      </c>
    </row>
    <row r="68" spans="1:34" ht="12">
      <c r="A68" s="571"/>
      <c r="B68" s="1428"/>
      <c r="C68" s="571"/>
      <c r="D68" s="142"/>
      <c r="E68" s="142"/>
      <c r="F68" s="142"/>
      <c r="G68" s="142"/>
      <c r="H68" s="142"/>
      <c r="I68" s="142"/>
      <c r="J68" s="142"/>
      <c r="K68" s="142"/>
      <c r="L68" s="142"/>
      <c r="M68" s="142"/>
      <c r="N68" s="142"/>
      <c r="O68" s="142"/>
      <c r="P68" s="142"/>
      <c r="Q68" s="142"/>
      <c r="R68" s="142"/>
      <c r="S68" s="142"/>
      <c r="T68" s="142"/>
      <c r="U68" s="142"/>
      <c r="V68" s="142"/>
      <c r="W68" s="142"/>
      <c r="X68" s="142"/>
      <c r="Y68" s="142"/>
      <c r="Z68" s="142"/>
      <c r="AA68" s="142"/>
      <c r="AB68" s="142"/>
      <c r="AC68" s="142"/>
      <c r="AD68" s="142"/>
      <c r="AE68" s="142"/>
      <c r="AF68" s="142"/>
      <c r="AG68" s="142"/>
      <c r="AH68" s="571"/>
    </row>
    <row r="69" spans="1:34" ht="12">
      <c r="A69" s="3864" t="s">
        <v>138</v>
      </c>
      <c r="B69" s="3865"/>
      <c r="C69" s="3866"/>
      <c r="D69" s="142"/>
      <c r="E69" s="142"/>
      <c r="F69" s="142"/>
      <c r="G69" s="142"/>
      <c r="H69" s="142"/>
      <c r="I69" s="142"/>
      <c r="J69" s="142"/>
      <c r="K69" s="142"/>
      <c r="L69" s="142"/>
      <c r="M69" s="142"/>
      <c r="N69" s="142"/>
      <c r="O69" s="142"/>
      <c r="P69" s="142"/>
      <c r="Q69" s="142"/>
      <c r="R69" s="142"/>
      <c r="S69" s="142"/>
      <c r="T69" s="142"/>
      <c r="U69" s="142"/>
      <c r="V69" s="142"/>
      <c r="W69" s="142"/>
      <c r="X69" s="142"/>
      <c r="Y69" s="142"/>
      <c r="Z69" s="142"/>
      <c r="AA69" s="142"/>
      <c r="AB69" s="142"/>
      <c r="AC69" s="142"/>
      <c r="AD69" s="142"/>
      <c r="AE69" s="142"/>
      <c r="AF69" s="142"/>
      <c r="AG69" s="142"/>
      <c r="AH69" s="571"/>
    </row>
    <row r="70" spans="1:34" ht="12">
      <c r="A70" s="572" t="s">
        <v>142</v>
      </c>
      <c r="B70" s="584" t="s">
        <v>143</v>
      </c>
      <c r="C70" s="572">
        <v>1</v>
      </c>
      <c r="D70" s="573">
        <v>2</v>
      </c>
      <c r="E70" s="573">
        <v>3</v>
      </c>
      <c r="F70" s="573">
        <v>4</v>
      </c>
      <c r="G70" s="573">
        <v>5</v>
      </c>
      <c r="H70" s="573">
        <v>6</v>
      </c>
      <c r="I70" s="573">
        <v>7</v>
      </c>
      <c r="J70" s="573">
        <v>8</v>
      </c>
      <c r="K70" s="573">
        <v>9</v>
      </c>
      <c r="L70" s="573">
        <v>10</v>
      </c>
      <c r="M70" s="573">
        <v>11</v>
      </c>
      <c r="N70" s="573">
        <v>12</v>
      </c>
      <c r="O70" s="573">
        <v>13</v>
      </c>
      <c r="P70" s="573">
        <v>14</v>
      </c>
      <c r="Q70" s="573">
        <v>15</v>
      </c>
      <c r="R70" s="573">
        <v>16</v>
      </c>
      <c r="S70" s="573">
        <v>17</v>
      </c>
      <c r="T70" s="573">
        <v>18</v>
      </c>
      <c r="U70" s="573">
        <v>19</v>
      </c>
      <c r="V70" s="573">
        <v>20</v>
      </c>
      <c r="W70" s="573">
        <v>21</v>
      </c>
      <c r="X70" s="573">
        <v>22</v>
      </c>
      <c r="Y70" s="573">
        <v>23</v>
      </c>
      <c r="Z70" s="573">
        <v>24</v>
      </c>
      <c r="AA70" s="573">
        <v>25</v>
      </c>
      <c r="AB70" s="573">
        <v>26</v>
      </c>
      <c r="AC70" s="573">
        <v>27</v>
      </c>
      <c r="AD70" s="573">
        <v>28</v>
      </c>
      <c r="AE70" s="573">
        <v>29</v>
      </c>
      <c r="AF70" s="573">
        <v>30</v>
      </c>
      <c r="AG70" s="573">
        <v>31</v>
      </c>
      <c r="AH70" s="572" t="s">
        <v>144</v>
      </c>
    </row>
    <row r="71" spans="1:34" ht="12">
      <c r="A71" s="603" t="s">
        <v>145</v>
      </c>
      <c r="B71" s="584">
        <f t="shared" ref="B71:B82" si="10">+AH71</f>
        <v>0.51400000000000001</v>
      </c>
      <c r="C71" s="2158"/>
      <c r="D71" s="2158"/>
      <c r="E71" s="2158"/>
      <c r="F71" s="2158"/>
      <c r="G71" s="2158">
        <v>0.33700000000000002</v>
      </c>
      <c r="H71" s="2158"/>
      <c r="I71" s="2158"/>
      <c r="J71" s="2158"/>
      <c r="K71" s="2158"/>
      <c r="L71" s="2158"/>
      <c r="M71" s="2158"/>
      <c r="N71" s="2158"/>
      <c r="O71" s="2158"/>
      <c r="P71" s="2158"/>
      <c r="Q71" s="2158"/>
      <c r="R71" s="2158"/>
      <c r="S71" s="2158"/>
      <c r="T71" s="2158"/>
      <c r="U71" s="2158"/>
      <c r="V71" s="2158"/>
      <c r="W71" s="2158"/>
      <c r="X71" s="2158"/>
      <c r="Y71" s="2158"/>
      <c r="Z71" s="2158"/>
      <c r="AA71" s="2158"/>
      <c r="AB71" s="2158">
        <v>5.0000000000000001E-3</v>
      </c>
      <c r="AC71" s="2158">
        <v>6.5000000000000002E-2</v>
      </c>
      <c r="AD71" s="2158"/>
      <c r="AE71" s="2158"/>
      <c r="AF71" s="2158">
        <v>0.08</v>
      </c>
      <c r="AG71" s="2158">
        <v>2.7E-2</v>
      </c>
      <c r="AH71" s="577">
        <f>SUM(C71:AG71)</f>
        <v>0.51400000000000001</v>
      </c>
    </row>
    <row r="72" spans="1:34" ht="12">
      <c r="A72" s="603" t="s">
        <v>146</v>
      </c>
      <c r="B72" s="584">
        <f t="shared" si="10"/>
        <v>6.5350000000000001</v>
      </c>
      <c r="C72" s="2158">
        <v>1.722</v>
      </c>
      <c r="D72" s="2158">
        <v>0.16200000000000001</v>
      </c>
      <c r="E72" s="2158"/>
      <c r="F72" s="2158"/>
      <c r="G72" s="2158"/>
      <c r="H72" s="2158"/>
      <c r="I72" s="2158"/>
      <c r="J72" s="2158">
        <v>0.27</v>
      </c>
      <c r="K72" s="2158">
        <v>0.29699999999999999</v>
      </c>
      <c r="L72" s="2158">
        <v>0.621</v>
      </c>
      <c r="M72" s="2158">
        <v>0.13500000000000001</v>
      </c>
      <c r="N72" s="2158"/>
      <c r="O72" s="2158">
        <v>6.4000000000000001E-2</v>
      </c>
      <c r="P72" s="2158">
        <v>0.13500000000000001</v>
      </c>
      <c r="Q72" s="2158">
        <v>2.3490000000000002</v>
      </c>
      <c r="R72" s="2158">
        <v>0.40500000000000003</v>
      </c>
      <c r="S72" s="2158"/>
      <c r="T72" s="2158"/>
      <c r="U72" s="2158"/>
      <c r="V72" s="2158"/>
      <c r="W72" s="2158"/>
      <c r="X72" s="2158">
        <v>0.33100000000000002</v>
      </c>
      <c r="Y72" s="2158">
        <v>3.9E-2</v>
      </c>
      <c r="Z72" s="2158"/>
      <c r="AA72" s="2158"/>
      <c r="AB72" s="2158"/>
      <c r="AC72" s="2158">
        <v>5.0000000000000001E-3</v>
      </c>
      <c r="AD72" s="2158"/>
      <c r="AE72" s="2158"/>
      <c r="AF72" s="2158"/>
      <c r="AG72" s="2158"/>
      <c r="AH72" s="577">
        <f t="shared" ref="AH72:AH82" si="11">SUM(C72:AG72)</f>
        <v>6.5350000000000001</v>
      </c>
    </row>
    <row r="73" spans="1:34" ht="12">
      <c r="A73" s="603" t="s">
        <v>147</v>
      </c>
      <c r="B73" s="584">
        <f t="shared" si="10"/>
        <v>0.37200000000000005</v>
      </c>
      <c r="C73" s="2158"/>
      <c r="D73" s="2158"/>
      <c r="E73" s="2158"/>
      <c r="F73" s="2158"/>
      <c r="G73" s="2158"/>
      <c r="H73" s="2158"/>
      <c r="I73" s="2158"/>
      <c r="J73" s="2158"/>
      <c r="K73" s="2158"/>
      <c r="L73" s="2158"/>
      <c r="M73" s="2158"/>
      <c r="N73" s="2158"/>
      <c r="O73" s="2158"/>
      <c r="P73" s="2158"/>
      <c r="Q73" s="2158"/>
      <c r="R73" s="2158"/>
      <c r="S73" s="2158"/>
      <c r="T73" s="2158"/>
      <c r="U73" s="2158">
        <v>8.0000000000000002E-3</v>
      </c>
      <c r="V73" s="2158">
        <v>1.4999999999999999E-2</v>
      </c>
      <c r="W73" s="2158">
        <v>0.32400000000000001</v>
      </c>
      <c r="X73" s="2158"/>
      <c r="Y73" s="2158"/>
      <c r="Z73" s="2158"/>
      <c r="AA73" s="2158"/>
      <c r="AB73" s="2158"/>
      <c r="AC73" s="2158"/>
      <c r="AD73" s="2158"/>
      <c r="AE73" s="2158"/>
      <c r="AF73" s="2158">
        <v>2.5000000000000001E-2</v>
      </c>
      <c r="AG73" s="2158"/>
      <c r="AH73" s="577">
        <f t="shared" si="11"/>
        <v>0.37200000000000005</v>
      </c>
    </row>
    <row r="74" spans="1:34" ht="12">
      <c r="A74" s="603" t="s">
        <v>148</v>
      </c>
      <c r="B74" s="584">
        <f t="shared" si="10"/>
        <v>3.1419999999999995</v>
      </c>
      <c r="C74" s="2158"/>
      <c r="D74" s="2158"/>
      <c r="E74" s="2158">
        <v>1.95</v>
      </c>
      <c r="F74" s="2158">
        <v>2.1999999999999999E-2</v>
      </c>
      <c r="G74" s="2158">
        <v>0.63</v>
      </c>
      <c r="H74" s="2158"/>
      <c r="I74" s="2158"/>
      <c r="J74" s="2158"/>
      <c r="K74" s="2158">
        <v>0.3</v>
      </c>
      <c r="L74" s="2158">
        <v>0.24</v>
      </c>
      <c r="M74" s="2158"/>
      <c r="N74" s="2158"/>
      <c r="O74" s="2158"/>
      <c r="P74" s="2158"/>
      <c r="Q74" s="2158"/>
      <c r="R74" s="2158"/>
      <c r="S74" s="2158"/>
      <c r="T74" s="2158"/>
      <c r="U74" s="2158"/>
      <c r="V74" s="2158"/>
      <c r="W74" s="2158"/>
      <c r="X74" s="2158"/>
      <c r="Y74" s="2158"/>
      <c r="Z74" s="2158"/>
      <c r="AA74" s="2158"/>
      <c r="AB74" s="2158"/>
      <c r="AC74" s="2158"/>
      <c r="AD74" s="2158"/>
      <c r="AE74" s="2158"/>
      <c r="AF74" s="2158"/>
      <c r="AG74" s="2158"/>
      <c r="AH74" s="577">
        <f t="shared" si="11"/>
        <v>3.1419999999999995</v>
      </c>
    </row>
    <row r="75" spans="1:34" ht="12">
      <c r="A75" s="603" t="s">
        <v>149</v>
      </c>
      <c r="B75" s="584">
        <f t="shared" si="10"/>
        <v>3.0350000000000001</v>
      </c>
      <c r="C75" s="2158"/>
      <c r="D75" s="2158"/>
      <c r="E75" s="2158"/>
      <c r="F75" s="2158">
        <v>5.0000000000000001E-3</v>
      </c>
      <c r="G75" s="2158"/>
      <c r="H75" s="2158"/>
      <c r="I75" s="2158"/>
      <c r="J75" s="2158"/>
      <c r="K75" s="2158">
        <v>2.4300000000000002</v>
      </c>
      <c r="L75" s="2158"/>
      <c r="M75" s="2158"/>
      <c r="N75" s="2158"/>
      <c r="O75" s="2158"/>
      <c r="P75" s="2158"/>
      <c r="Q75" s="2158"/>
      <c r="R75" s="2158"/>
      <c r="S75" s="2158"/>
      <c r="T75" s="2158">
        <v>0.6</v>
      </c>
      <c r="U75" s="2158"/>
      <c r="V75" s="2158"/>
      <c r="W75" s="2158"/>
      <c r="X75" s="2158"/>
      <c r="Y75" s="2158"/>
      <c r="Z75" s="2158"/>
      <c r="AA75" s="2158"/>
      <c r="AB75" s="2158"/>
      <c r="AC75" s="2158"/>
      <c r="AD75" s="2158"/>
      <c r="AE75" s="2158"/>
      <c r="AF75" s="2158"/>
      <c r="AG75" s="2158"/>
      <c r="AH75" s="577">
        <f t="shared" si="11"/>
        <v>3.0350000000000001</v>
      </c>
    </row>
    <row r="76" spans="1:34" ht="12">
      <c r="A76" s="603" t="s">
        <v>150</v>
      </c>
      <c r="B76" s="584">
        <f t="shared" si="10"/>
        <v>0.126</v>
      </c>
      <c r="C76" s="2158"/>
      <c r="D76" s="2158"/>
      <c r="E76" s="2158"/>
      <c r="F76" s="2158"/>
      <c r="G76" s="2158"/>
      <c r="H76" s="2158"/>
      <c r="I76" s="2158"/>
      <c r="J76" s="2158"/>
      <c r="K76" s="2158"/>
      <c r="L76" s="2158"/>
      <c r="M76" s="2158">
        <v>0.01</v>
      </c>
      <c r="N76" s="2158"/>
      <c r="O76" s="2158"/>
      <c r="P76" s="2158"/>
      <c r="Q76" s="2158">
        <v>0.03</v>
      </c>
      <c r="R76" s="2158"/>
      <c r="S76" s="2158"/>
      <c r="T76" s="2158"/>
      <c r="U76" s="2158">
        <v>0.03</v>
      </c>
      <c r="V76" s="2158"/>
      <c r="W76" s="2158"/>
      <c r="X76" s="2158"/>
      <c r="Y76" s="2158"/>
      <c r="Z76" s="2158"/>
      <c r="AA76" s="2158"/>
      <c r="AB76" s="2158">
        <v>2.5999999999999999E-2</v>
      </c>
      <c r="AC76" s="2158"/>
      <c r="AD76" s="2158">
        <v>0.03</v>
      </c>
      <c r="AE76" s="2158"/>
      <c r="AF76" s="2158"/>
      <c r="AG76" s="2158"/>
      <c r="AH76" s="577">
        <f t="shared" si="11"/>
        <v>0.126</v>
      </c>
    </row>
    <row r="77" spans="1:34" ht="12">
      <c r="A77" s="603" t="s">
        <v>151</v>
      </c>
      <c r="B77" s="584">
        <f t="shared" si="10"/>
        <v>0.223</v>
      </c>
      <c r="C77" s="2509"/>
      <c r="D77" s="2158"/>
      <c r="E77" s="2158"/>
      <c r="F77" s="2158"/>
      <c r="G77" s="2158"/>
      <c r="H77" s="2158"/>
      <c r="I77" s="2158"/>
      <c r="J77" s="2158"/>
      <c r="K77" s="2158"/>
      <c r="L77" s="2158"/>
      <c r="M77" s="2158"/>
      <c r="N77" s="2158">
        <v>3.0000000000000001E-3</v>
      </c>
      <c r="O77" s="2158"/>
      <c r="P77" s="2158"/>
      <c r="Q77" s="2158"/>
      <c r="R77" s="2158"/>
      <c r="S77" s="2158"/>
      <c r="T77" s="2158">
        <v>6.8000000000000005E-2</v>
      </c>
      <c r="U77" s="2158"/>
      <c r="V77" s="2158">
        <v>6.4000000000000001E-2</v>
      </c>
      <c r="W77" s="2158"/>
      <c r="X77" s="2158"/>
      <c r="Y77" s="2158">
        <v>5.0000000000000001E-3</v>
      </c>
      <c r="Z77" s="2158">
        <v>0.02</v>
      </c>
      <c r="AA77" s="2158">
        <v>2.3E-2</v>
      </c>
      <c r="AB77" s="2158">
        <v>2.5999999999999999E-2</v>
      </c>
      <c r="AC77" s="2158">
        <v>0.01</v>
      </c>
      <c r="AD77" s="2158"/>
      <c r="AE77" s="2158"/>
      <c r="AF77" s="2158"/>
      <c r="AG77" s="2158">
        <v>4.0000000000000001E-3</v>
      </c>
      <c r="AH77" s="577">
        <f t="shared" si="11"/>
        <v>0.223</v>
      </c>
    </row>
    <row r="78" spans="1:34" ht="12">
      <c r="A78" s="603" t="s">
        <v>152</v>
      </c>
      <c r="B78" s="584">
        <f t="shared" si="10"/>
        <v>0.56599999999999995</v>
      </c>
      <c r="C78" s="2509"/>
      <c r="D78" s="2158"/>
      <c r="E78" s="2158">
        <v>4.1000000000000002E-2</v>
      </c>
      <c r="F78" s="2158"/>
      <c r="G78" s="2158"/>
      <c r="H78" s="2158">
        <v>0.28599999999999998</v>
      </c>
      <c r="I78" s="2158">
        <v>0.09</v>
      </c>
      <c r="J78" s="2158"/>
      <c r="K78" s="2158"/>
      <c r="L78" s="2158"/>
      <c r="M78" s="2158"/>
      <c r="N78" s="2158"/>
      <c r="O78" s="2158"/>
      <c r="P78" s="2158"/>
      <c r="Q78" s="2173"/>
      <c r="R78" s="2173"/>
      <c r="S78" s="2173">
        <v>7.1999999999999995E-2</v>
      </c>
      <c r="T78" s="2173"/>
      <c r="U78" s="2173"/>
      <c r="V78" s="2173">
        <v>5.1999999999999998E-2</v>
      </c>
      <c r="W78" s="2173"/>
      <c r="X78" s="2173"/>
      <c r="Y78" s="2173"/>
      <c r="Z78" s="2173">
        <v>0.01</v>
      </c>
      <c r="AA78" s="2173"/>
      <c r="AB78" s="2173"/>
      <c r="AC78" s="2173"/>
      <c r="AD78" s="2173"/>
      <c r="AE78" s="2173"/>
      <c r="AF78" s="2173">
        <v>1.4999999999999999E-2</v>
      </c>
      <c r="AG78" s="2173"/>
      <c r="AH78" s="577">
        <f t="shared" si="11"/>
        <v>0.56599999999999995</v>
      </c>
    </row>
    <row r="79" spans="1:34" ht="12">
      <c r="A79" s="603" t="s">
        <v>153</v>
      </c>
      <c r="B79" s="584">
        <f t="shared" si="10"/>
        <v>5.5E-2</v>
      </c>
      <c r="C79" s="2173"/>
      <c r="D79" s="2173"/>
      <c r="E79" s="2173">
        <v>2.5000000000000001E-2</v>
      </c>
      <c r="F79" s="2173"/>
      <c r="G79" s="2173"/>
      <c r="H79" s="2173"/>
      <c r="I79" s="2173"/>
      <c r="J79" s="2173"/>
      <c r="K79" s="2173"/>
      <c r="L79" s="2173"/>
      <c r="M79" s="2173"/>
      <c r="N79" s="2173">
        <v>0.02</v>
      </c>
      <c r="O79" s="2173"/>
      <c r="P79" s="2173"/>
      <c r="Q79" s="2173"/>
      <c r="R79" s="2173"/>
      <c r="S79" s="2173"/>
      <c r="T79" s="2173">
        <v>0.01</v>
      </c>
      <c r="U79" s="2173"/>
      <c r="V79" s="2173"/>
      <c r="W79" s="2173"/>
      <c r="X79" s="2173"/>
      <c r="Y79" s="2173"/>
      <c r="Z79" s="2173"/>
      <c r="AA79" s="2173"/>
      <c r="AB79" s="2173"/>
      <c r="AC79" s="2173"/>
      <c r="AD79" s="2173"/>
      <c r="AE79" s="2173"/>
      <c r="AF79" s="2173"/>
      <c r="AG79" s="2173"/>
      <c r="AH79" s="577">
        <f t="shared" si="11"/>
        <v>5.5E-2</v>
      </c>
    </row>
    <row r="80" spans="1:34" ht="12">
      <c r="A80" s="573" t="s">
        <v>154</v>
      </c>
      <c r="B80" s="584">
        <f t="shared" si="10"/>
        <v>0.21299999999999997</v>
      </c>
      <c r="C80" s="2509"/>
      <c r="D80" s="3092">
        <v>4.2999999999999997E-2</v>
      </c>
      <c r="E80" s="2158"/>
      <c r="F80" s="2158"/>
      <c r="G80" s="2158"/>
      <c r="H80" s="2158"/>
      <c r="I80" s="2158"/>
      <c r="J80" s="2158"/>
      <c r="K80" s="2158"/>
      <c r="L80" s="2158"/>
      <c r="M80" s="2158"/>
      <c r="N80" s="2158">
        <v>8.0000000000000002E-3</v>
      </c>
      <c r="O80" s="2158"/>
      <c r="P80" s="2158"/>
      <c r="Q80" s="2158"/>
      <c r="R80" s="2158">
        <v>0.01</v>
      </c>
      <c r="S80" s="2158"/>
      <c r="T80" s="2158">
        <v>2.5999999999999999E-2</v>
      </c>
      <c r="U80" s="2158">
        <v>2.1999999999999999E-2</v>
      </c>
      <c r="V80" s="2158">
        <v>2.1999999999999999E-2</v>
      </c>
      <c r="W80" s="2158"/>
      <c r="X80" s="2158"/>
      <c r="Y80" s="2158"/>
      <c r="Z80" s="2158">
        <v>2.1999999999999999E-2</v>
      </c>
      <c r="AA80" s="2158">
        <v>1.7999999999999999E-2</v>
      </c>
      <c r="AB80" s="2158"/>
      <c r="AC80" s="2158"/>
      <c r="AD80" s="2158"/>
      <c r="AE80" s="2158">
        <v>0.01</v>
      </c>
      <c r="AF80" s="2158">
        <v>0.03</v>
      </c>
      <c r="AG80" s="2158">
        <v>2E-3</v>
      </c>
      <c r="AH80" s="577">
        <f t="shared" si="11"/>
        <v>0.21299999999999997</v>
      </c>
    </row>
    <row r="81" spans="1:34" ht="12">
      <c r="A81" s="573" t="s">
        <v>155</v>
      </c>
      <c r="B81" s="584">
        <f t="shared" si="10"/>
        <v>3.7000000000000005E-2</v>
      </c>
      <c r="C81" s="3093">
        <v>2.5000000000000001E-2</v>
      </c>
      <c r="D81" s="3094">
        <v>0.01</v>
      </c>
      <c r="E81" s="3095"/>
      <c r="F81" s="2158"/>
      <c r="G81" s="2158"/>
      <c r="H81" s="2158"/>
      <c r="I81" s="2158"/>
      <c r="J81" s="2158"/>
      <c r="K81" s="2158"/>
      <c r="L81" s="2158"/>
      <c r="M81" s="2158"/>
      <c r="N81" s="2158">
        <v>2E-3</v>
      </c>
      <c r="O81" s="2158"/>
      <c r="P81" s="2158"/>
      <c r="Q81" s="2158"/>
      <c r="R81" s="2158"/>
      <c r="S81" s="2158"/>
      <c r="T81" s="2158"/>
      <c r="U81" s="2158"/>
      <c r="V81" s="2158"/>
      <c r="W81" s="2158"/>
      <c r="X81" s="2158"/>
      <c r="Y81" s="2158"/>
      <c r="Z81" s="2158"/>
      <c r="AA81" s="2158"/>
      <c r="AB81" s="2158"/>
      <c r="AC81" s="2158"/>
      <c r="AD81" s="2158"/>
      <c r="AE81" s="2158"/>
      <c r="AF81" s="2158"/>
      <c r="AG81" s="2158"/>
      <c r="AH81" s="577">
        <f t="shared" si="11"/>
        <v>3.7000000000000005E-2</v>
      </c>
    </row>
    <row r="82" spans="1:34" ht="12">
      <c r="A82" s="573" t="s">
        <v>156</v>
      </c>
      <c r="B82" s="584">
        <f t="shared" si="10"/>
        <v>0</v>
      </c>
      <c r="C82" s="2158"/>
      <c r="D82" s="3096"/>
      <c r="E82" s="2158"/>
      <c r="F82" s="2158"/>
      <c r="G82" s="2158"/>
      <c r="H82" s="2158"/>
      <c r="I82" s="2158"/>
      <c r="J82" s="2158"/>
      <c r="K82" s="2158"/>
      <c r="L82" s="2158"/>
      <c r="M82" s="2158"/>
      <c r="N82" s="2158"/>
      <c r="O82" s="2158"/>
      <c r="P82" s="2158"/>
      <c r="Q82" s="2158"/>
      <c r="R82" s="2158"/>
      <c r="S82" s="2158"/>
      <c r="T82" s="2158"/>
      <c r="U82" s="2158"/>
      <c r="V82" s="2158"/>
      <c r="W82" s="2158"/>
      <c r="X82" s="2158"/>
      <c r="Y82" s="2158"/>
      <c r="Z82" s="2158"/>
      <c r="AA82" s="2158"/>
      <c r="AB82" s="2158"/>
      <c r="AC82" s="2158"/>
      <c r="AD82" s="2158"/>
      <c r="AE82" s="2158"/>
      <c r="AF82" s="2158"/>
      <c r="AG82" s="2158"/>
      <c r="AH82" s="577">
        <f t="shared" si="11"/>
        <v>0</v>
      </c>
    </row>
    <row r="83" spans="1:34" ht="12">
      <c r="A83" s="1432" t="s">
        <v>144</v>
      </c>
      <c r="B83" s="3089">
        <f t="shared" ref="B83:AH83" si="12">SUM(B71:B82)</f>
        <v>14.818</v>
      </c>
      <c r="C83" s="577">
        <f>SUM(C71:C82)</f>
        <v>1.7469999999999999</v>
      </c>
      <c r="D83" s="577">
        <f t="shared" si="12"/>
        <v>0.21500000000000002</v>
      </c>
      <c r="E83" s="577">
        <f t="shared" si="12"/>
        <v>2.016</v>
      </c>
      <c r="F83" s="577">
        <f t="shared" si="12"/>
        <v>2.7E-2</v>
      </c>
      <c r="G83" s="577">
        <f t="shared" si="12"/>
        <v>0.96700000000000008</v>
      </c>
      <c r="H83" s="577">
        <f t="shared" si="12"/>
        <v>0.28599999999999998</v>
      </c>
      <c r="I83" s="577">
        <f t="shared" si="12"/>
        <v>0.09</v>
      </c>
      <c r="J83" s="577">
        <f t="shared" si="12"/>
        <v>0.27</v>
      </c>
      <c r="K83" s="577">
        <f t="shared" si="12"/>
        <v>3.0270000000000001</v>
      </c>
      <c r="L83" s="577">
        <f t="shared" si="12"/>
        <v>0.86099999999999999</v>
      </c>
      <c r="M83" s="577">
        <f t="shared" si="12"/>
        <v>0.14500000000000002</v>
      </c>
      <c r="N83" s="577">
        <f t="shared" si="12"/>
        <v>3.3000000000000002E-2</v>
      </c>
      <c r="O83" s="577">
        <f t="shared" si="12"/>
        <v>6.4000000000000001E-2</v>
      </c>
      <c r="P83" s="577">
        <f t="shared" si="12"/>
        <v>0.13500000000000001</v>
      </c>
      <c r="Q83" s="577">
        <f t="shared" si="12"/>
        <v>2.379</v>
      </c>
      <c r="R83" s="577">
        <f t="shared" si="12"/>
        <v>0.41500000000000004</v>
      </c>
      <c r="S83" s="577">
        <f t="shared" si="12"/>
        <v>7.1999999999999995E-2</v>
      </c>
      <c r="T83" s="577">
        <f t="shared" si="12"/>
        <v>0.70399999999999996</v>
      </c>
      <c r="U83" s="577">
        <f t="shared" si="12"/>
        <v>0.06</v>
      </c>
      <c r="V83" s="577">
        <f t="shared" si="12"/>
        <v>0.153</v>
      </c>
      <c r="W83" s="577">
        <f t="shared" si="12"/>
        <v>0.32400000000000001</v>
      </c>
      <c r="X83" s="577">
        <f t="shared" si="12"/>
        <v>0.33100000000000002</v>
      </c>
      <c r="Y83" s="577">
        <f t="shared" si="12"/>
        <v>4.3999999999999997E-2</v>
      </c>
      <c r="Z83" s="577">
        <f t="shared" si="12"/>
        <v>5.1999999999999998E-2</v>
      </c>
      <c r="AA83" s="577">
        <f t="shared" si="12"/>
        <v>4.0999999999999995E-2</v>
      </c>
      <c r="AB83" s="577">
        <f t="shared" si="12"/>
        <v>5.6999999999999995E-2</v>
      </c>
      <c r="AC83" s="577">
        <f t="shared" si="12"/>
        <v>0.08</v>
      </c>
      <c r="AD83" s="577">
        <f t="shared" si="12"/>
        <v>0.03</v>
      </c>
      <c r="AE83" s="577">
        <f t="shared" si="12"/>
        <v>0.01</v>
      </c>
      <c r="AF83" s="577">
        <f t="shared" si="12"/>
        <v>0.15000000000000002</v>
      </c>
      <c r="AG83" s="577">
        <f t="shared" si="12"/>
        <v>3.3000000000000002E-2</v>
      </c>
      <c r="AH83" s="577">
        <f t="shared" si="12"/>
        <v>14.818</v>
      </c>
    </row>
    <row r="84" spans="1:34" ht="12">
      <c r="A84" s="571"/>
      <c r="B84" s="1428"/>
      <c r="C84" s="571"/>
      <c r="D84" s="142"/>
      <c r="E84" s="142"/>
      <c r="F84" s="142"/>
      <c r="G84" s="142"/>
      <c r="H84" s="142"/>
      <c r="I84" s="142"/>
      <c r="J84" s="142"/>
      <c r="K84" s="142"/>
      <c r="L84" s="142"/>
      <c r="M84" s="142"/>
      <c r="N84" s="142"/>
      <c r="O84" s="142"/>
      <c r="P84" s="142"/>
      <c r="Q84" s="142"/>
      <c r="R84" s="142"/>
      <c r="S84" s="142"/>
      <c r="T84" s="142"/>
      <c r="U84" s="142"/>
      <c r="V84" s="142"/>
      <c r="W84" s="142"/>
      <c r="X84" s="142"/>
      <c r="Y84" s="142"/>
      <c r="Z84" s="142"/>
      <c r="AA84" s="142"/>
      <c r="AB84" s="142"/>
      <c r="AC84" s="142"/>
      <c r="AD84" s="142"/>
      <c r="AE84" s="142"/>
      <c r="AF84" s="142"/>
      <c r="AG84" s="142"/>
      <c r="AH84" s="571"/>
    </row>
    <row r="85" spans="1:34" ht="12">
      <c r="A85" s="3899" t="s">
        <v>1229</v>
      </c>
      <c r="B85" s="3865"/>
      <c r="C85" s="3866"/>
      <c r="D85" s="142"/>
      <c r="E85" s="155"/>
      <c r="F85" s="155"/>
      <c r="G85" s="155"/>
      <c r="H85" s="142"/>
      <c r="I85" s="142"/>
      <c r="J85" s="155"/>
      <c r="K85" s="142"/>
      <c r="L85" s="142"/>
      <c r="M85" s="142"/>
      <c r="N85" s="142"/>
      <c r="O85" s="142"/>
      <c r="P85" s="142"/>
      <c r="Q85" s="142"/>
      <c r="R85" s="142"/>
      <c r="S85" s="142"/>
      <c r="T85" s="142"/>
      <c r="U85" s="142"/>
      <c r="V85" s="142"/>
      <c r="W85" s="142"/>
      <c r="X85" s="142"/>
      <c r="Y85" s="142"/>
      <c r="Z85" s="142"/>
      <c r="AA85" s="142"/>
      <c r="AB85" s="142"/>
      <c r="AC85" s="142"/>
      <c r="AD85" s="142"/>
      <c r="AE85" s="142"/>
      <c r="AF85" s="142"/>
      <c r="AG85" s="142"/>
      <c r="AH85" s="571"/>
    </row>
    <row r="86" spans="1:34" ht="12">
      <c r="A86" s="572" t="s">
        <v>142</v>
      </c>
      <c r="B86" s="584" t="s">
        <v>143</v>
      </c>
      <c r="C86" s="572">
        <v>1</v>
      </c>
      <c r="D86" s="573">
        <v>2</v>
      </c>
      <c r="E86" s="573">
        <v>3</v>
      </c>
      <c r="F86" s="573">
        <v>4</v>
      </c>
      <c r="G86" s="573">
        <v>5</v>
      </c>
      <c r="H86" s="573">
        <v>6</v>
      </c>
      <c r="I86" s="573">
        <v>7</v>
      </c>
      <c r="J86" s="573">
        <v>8</v>
      </c>
      <c r="K86" s="573">
        <v>9</v>
      </c>
      <c r="L86" s="573">
        <v>10</v>
      </c>
      <c r="M86" s="573">
        <v>11</v>
      </c>
      <c r="N86" s="573">
        <v>12</v>
      </c>
      <c r="O86" s="573">
        <v>13</v>
      </c>
      <c r="P86" s="573">
        <v>14</v>
      </c>
      <c r="Q86" s="573">
        <v>15</v>
      </c>
      <c r="R86" s="573">
        <v>16</v>
      </c>
      <c r="S86" s="573">
        <v>17</v>
      </c>
      <c r="T86" s="573">
        <v>18</v>
      </c>
      <c r="U86" s="573">
        <v>19</v>
      </c>
      <c r="V86" s="573">
        <v>20</v>
      </c>
      <c r="W86" s="573">
        <v>21</v>
      </c>
      <c r="X86" s="573">
        <v>22</v>
      </c>
      <c r="Y86" s="573">
        <v>23</v>
      </c>
      <c r="Z86" s="573">
        <v>24</v>
      </c>
      <c r="AA86" s="573">
        <v>25</v>
      </c>
      <c r="AB86" s="573">
        <v>26</v>
      </c>
      <c r="AC86" s="573">
        <v>27</v>
      </c>
      <c r="AD86" s="573">
        <v>28</v>
      </c>
      <c r="AE86" s="573">
        <v>29</v>
      </c>
      <c r="AF86" s="573">
        <v>30</v>
      </c>
      <c r="AG86" s="573">
        <v>31</v>
      </c>
      <c r="AH86" s="572" t="s">
        <v>144</v>
      </c>
    </row>
    <row r="87" spans="1:34" ht="12">
      <c r="A87" s="603" t="s">
        <v>145</v>
      </c>
      <c r="B87" s="3097">
        <f>22+8.19+50.84+15.3+231</f>
        <v>327.33</v>
      </c>
      <c r="C87" s="480"/>
      <c r="D87" s="577"/>
      <c r="E87" s="577"/>
      <c r="F87" s="577"/>
      <c r="G87" s="577"/>
      <c r="H87" s="577"/>
      <c r="I87" s="577"/>
      <c r="J87" s="577"/>
      <c r="K87" s="577"/>
      <c r="L87" s="577"/>
      <c r="M87" s="577"/>
      <c r="N87" s="577"/>
      <c r="O87" s="577"/>
      <c r="P87" s="577"/>
      <c r="Q87" s="577"/>
      <c r="R87" s="577"/>
      <c r="S87" s="480"/>
      <c r="T87" s="480"/>
      <c r="U87" s="480"/>
      <c r="V87" s="480"/>
      <c r="X87" s="480"/>
      <c r="Y87" s="480"/>
      <c r="Z87" s="480"/>
      <c r="AA87" s="480"/>
      <c r="AB87" s="480"/>
      <c r="AC87" s="480"/>
      <c r="AD87" s="480"/>
      <c r="AE87" s="480"/>
      <c r="AF87" s="480"/>
      <c r="AG87" s="480"/>
      <c r="AH87" s="577">
        <f>SUM(C87:AG87)</f>
        <v>0</v>
      </c>
    </row>
    <row r="88" spans="1:34" ht="12">
      <c r="A88" s="603" t="s">
        <v>146</v>
      </c>
      <c r="B88" s="3097">
        <v>28.379000000000001</v>
      </c>
      <c r="C88" s="577"/>
      <c r="D88" s="577"/>
      <c r="E88" s="577"/>
      <c r="F88" s="577"/>
      <c r="G88" s="577"/>
      <c r="H88" s="577"/>
      <c r="I88" s="577"/>
      <c r="J88" s="577"/>
      <c r="K88" s="577"/>
      <c r="L88" s="577"/>
      <c r="M88" s="577"/>
      <c r="N88" s="577"/>
      <c r="O88" s="480"/>
      <c r="P88" s="480"/>
      <c r="Q88" s="480"/>
      <c r="R88" s="480"/>
      <c r="S88" s="480"/>
      <c r="T88" s="480"/>
      <c r="U88" s="480"/>
      <c r="V88" s="480"/>
      <c r="W88" s="480"/>
      <c r="X88" s="480"/>
      <c r="Y88" s="480"/>
      <c r="Z88" s="480"/>
      <c r="AA88" s="480"/>
      <c r="AB88" s="480"/>
      <c r="AC88" s="480"/>
      <c r="AD88" s="480"/>
      <c r="AE88" s="480"/>
      <c r="AF88" s="480"/>
      <c r="AG88" s="480"/>
      <c r="AH88" s="577">
        <f>SUM(C88:AG88)</f>
        <v>0</v>
      </c>
    </row>
    <row r="89" spans="1:34" ht="12">
      <c r="A89" s="603" t="s">
        <v>147</v>
      </c>
      <c r="B89" s="3097">
        <f>25.52+3.99+0.23+0.1+3.517+0.41+5.7+3+0.92+24.829</f>
        <v>68.216000000000008</v>
      </c>
      <c r="C89" s="577"/>
      <c r="D89" s="480"/>
      <c r="E89" s="480"/>
      <c r="F89" s="480"/>
      <c r="G89" s="480"/>
      <c r="H89" s="480"/>
      <c r="I89" s="480"/>
      <c r="J89" s="480"/>
      <c r="K89" s="480"/>
      <c r="L89" s="480"/>
      <c r="M89" s="480"/>
      <c r="N89" s="480"/>
      <c r="O89" s="480"/>
      <c r="P89" s="480"/>
      <c r="Q89" s="480"/>
      <c r="R89" s="480"/>
      <c r="S89" s="480"/>
      <c r="T89" s="480"/>
      <c r="U89" s="480"/>
      <c r="V89" s="480"/>
      <c r="W89" s="480"/>
      <c r="X89" s="480"/>
      <c r="Y89" s="480"/>
      <c r="Z89" s="480"/>
      <c r="AA89" s="480"/>
      <c r="AB89" s="480"/>
      <c r="AC89" s="480"/>
      <c r="AD89" s="480"/>
      <c r="AE89" s="480"/>
      <c r="AF89" s="480"/>
      <c r="AG89" s="480"/>
      <c r="AH89" s="577">
        <f>SUM(C89:AG89)</f>
        <v>0</v>
      </c>
    </row>
    <row r="90" spans="1:34" ht="12">
      <c r="A90" s="603" t="s">
        <v>148</v>
      </c>
      <c r="B90" s="3097">
        <f>58.899+0.06+0.94+29.219+27.85+4.257+1.747+0.003+8.46+0.23+0.3</f>
        <v>131.965</v>
      </c>
      <c r="C90" s="577"/>
      <c r="D90" s="480"/>
      <c r="E90" s="480"/>
      <c r="F90" s="480"/>
      <c r="G90" s="480"/>
      <c r="H90" s="480"/>
      <c r="I90" s="480"/>
      <c r="J90" s="480"/>
      <c r="K90" s="480"/>
      <c r="L90" s="480"/>
      <c r="M90" s="480"/>
      <c r="N90" s="480"/>
      <c r="O90" s="480"/>
      <c r="P90" s="480"/>
      <c r="Q90" s="480"/>
      <c r="R90" s="480"/>
      <c r="S90" s="480"/>
      <c r="T90" s="480"/>
      <c r="U90" s="480"/>
      <c r="V90" s="480"/>
      <c r="W90" s="480"/>
      <c r="X90" s="480"/>
      <c r="Y90" s="480"/>
      <c r="Z90" s="480"/>
      <c r="AA90" s="480"/>
      <c r="AB90" s="480"/>
      <c r="AC90" s="480"/>
      <c r="AD90" s="480"/>
      <c r="AE90" s="480"/>
      <c r="AF90" s="480"/>
      <c r="AG90" s="480"/>
      <c r="AH90" s="577">
        <f t="shared" ref="AH90:AH98" si="13">SUM(C90:AG90)</f>
        <v>0</v>
      </c>
    </row>
    <row r="91" spans="1:34" ht="12">
      <c r="A91" s="603" t="s">
        <v>149</v>
      </c>
      <c r="B91" s="3097">
        <f>59.61+55.84+12.86+23.52</f>
        <v>151.83000000000001</v>
      </c>
      <c r="C91" s="577"/>
      <c r="D91" s="480"/>
      <c r="E91" s="480"/>
      <c r="F91" s="480"/>
      <c r="G91" s="480"/>
      <c r="H91" s="480"/>
      <c r="I91" s="480"/>
      <c r="J91" s="480"/>
      <c r="K91" s="480"/>
      <c r="L91" s="480"/>
      <c r="M91" s="480"/>
      <c r="N91" s="480"/>
      <c r="O91" s="480"/>
      <c r="P91" s="480"/>
      <c r="Q91" s="480"/>
      <c r="R91" s="480"/>
      <c r="S91" s="480"/>
      <c r="T91" s="480"/>
      <c r="U91" s="480"/>
      <c r="V91" s="480"/>
      <c r="W91" s="480"/>
      <c r="X91" s="480"/>
      <c r="Y91" s="480"/>
      <c r="Z91" s="480"/>
      <c r="AA91" s="480"/>
      <c r="AB91" s="480"/>
      <c r="AC91" s="480"/>
      <c r="AD91" s="480"/>
      <c r="AE91" s="480"/>
      <c r="AF91" s="480"/>
      <c r="AG91" s="480"/>
      <c r="AH91" s="577">
        <f t="shared" si="13"/>
        <v>0</v>
      </c>
    </row>
    <row r="92" spans="1:34" ht="12">
      <c r="A92" s="603" t="s">
        <v>150</v>
      </c>
      <c r="B92" s="3097">
        <f>19.63+1.11+1.585+6.22+1+0.032+1.01+1.98+3.22+1.75+0.33+2.83+0.46+1.34</f>
        <v>42.497</v>
      </c>
      <c r="C92" s="577"/>
      <c r="D92" s="480"/>
      <c r="E92" s="480"/>
      <c r="F92" s="480"/>
      <c r="G92" s="480"/>
      <c r="H92" s="480"/>
      <c r="I92" s="480"/>
      <c r="J92" s="480"/>
      <c r="K92" s="480"/>
      <c r="L92" s="480"/>
      <c r="M92" s="480"/>
      <c r="N92" s="480"/>
      <c r="O92" s="480"/>
      <c r="P92" s="480"/>
      <c r="Q92" s="480"/>
      <c r="R92" s="480"/>
      <c r="S92" s="480"/>
      <c r="T92" s="480"/>
      <c r="U92" s="480"/>
      <c r="V92" s="480"/>
      <c r="W92" s="480"/>
      <c r="X92" s="480"/>
      <c r="Y92" s="480"/>
      <c r="Z92" s="480"/>
      <c r="AA92" s="480"/>
      <c r="AB92" s="480"/>
      <c r="AC92" s="480"/>
      <c r="AD92" s="480"/>
      <c r="AE92" s="480"/>
      <c r="AF92" s="480"/>
      <c r="AG92" s="480"/>
      <c r="AH92" s="577">
        <f t="shared" si="13"/>
        <v>0</v>
      </c>
    </row>
    <row r="93" spans="1:34" ht="12">
      <c r="A93" s="603" t="s">
        <v>151</v>
      </c>
      <c r="B93" s="3097">
        <f>47.737+0.007+0.03+0.265+0.7+0.25+1.622+3.08+0.252</f>
        <v>53.943000000000005</v>
      </c>
      <c r="C93" s="577"/>
      <c r="D93" s="480"/>
      <c r="E93" s="480"/>
      <c r="F93" s="480"/>
      <c r="G93" s="480"/>
      <c r="H93" s="480"/>
      <c r="I93" s="480"/>
      <c r="J93" s="480"/>
      <c r="K93" s="480"/>
      <c r="L93" s="480"/>
      <c r="M93" s="480"/>
      <c r="N93" s="480"/>
      <c r="O93" s="480"/>
      <c r="P93" s="480"/>
      <c r="Q93" s="480"/>
      <c r="R93" s="480"/>
      <c r="S93" s="480"/>
      <c r="T93" s="480"/>
      <c r="U93" s="480"/>
      <c r="V93" s="480"/>
      <c r="W93" s="480"/>
      <c r="X93" s="480"/>
      <c r="Y93" s="480"/>
      <c r="Z93" s="480"/>
      <c r="AA93" s="480"/>
      <c r="AB93" s="480"/>
      <c r="AC93" s="480"/>
      <c r="AD93" s="480"/>
      <c r="AE93" s="480"/>
      <c r="AF93" s="480"/>
      <c r="AG93" s="480"/>
      <c r="AH93" s="577">
        <f>SUM(C93:AG93)</f>
        <v>0</v>
      </c>
    </row>
    <row r="94" spans="1:34" ht="12">
      <c r="A94" s="603" t="s">
        <v>152</v>
      </c>
      <c r="B94" s="3097">
        <f>0.513+0.989+0.25+4.166+1.864+0.378+6.349+12+216.24+196.097</f>
        <v>438.846</v>
      </c>
      <c r="C94" s="577"/>
      <c r="D94" s="480"/>
      <c r="E94" s="480"/>
      <c r="F94" s="480"/>
      <c r="G94" s="480"/>
      <c r="H94" s="480"/>
      <c r="I94" s="480"/>
      <c r="J94" s="480"/>
      <c r="K94" s="480"/>
      <c r="L94" s="480"/>
      <c r="M94" s="480"/>
      <c r="N94" s="480"/>
      <c r="O94" s="480"/>
      <c r="P94" s="480"/>
      <c r="Q94" s="480"/>
      <c r="R94" s="480"/>
      <c r="S94" s="480"/>
      <c r="T94" s="480"/>
      <c r="U94" s="480"/>
      <c r="V94" s="480"/>
      <c r="W94" s="480"/>
      <c r="X94" s="480"/>
      <c r="Y94" s="480"/>
      <c r="Z94" s="480"/>
      <c r="AA94" s="480"/>
      <c r="AB94" s="480"/>
      <c r="AC94" s="480"/>
      <c r="AD94" s="480"/>
      <c r="AE94" s="480"/>
      <c r="AF94" s="480"/>
      <c r="AG94" s="480"/>
      <c r="AH94" s="577">
        <f t="shared" si="13"/>
        <v>0</v>
      </c>
    </row>
    <row r="95" spans="1:34" ht="12">
      <c r="A95" s="603" t="s">
        <v>153</v>
      </c>
      <c r="B95" s="3097">
        <f>29.63+1015.578+197.924+7.9+0.792+0.3</f>
        <v>1252.124</v>
      </c>
      <c r="C95" s="577"/>
      <c r="D95" s="480"/>
      <c r="E95" s="480"/>
      <c r="F95" s="480"/>
      <c r="G95" s="480"/>
      <c r="H95" s="480"/>
      <c r="I95" s="480"/>
      <c r="J95" s="480"/>
      <c r="K95" s="480"/>
      <c r="L95" s="480"/>
      <c r="M95" s="480"/>
      <c r="N95" s="480"/>
      <c r="O95" s="480"/>
      <c r="P95" s="480"/>
      <c r="Q95" s="480"/>
      <c r="R95" s="480"/>
      <c r="S95" s="480"/>
      <c r="T95" s="480"/>
      <c r="U95" s="480"/>
      <c r="V95" s="480"/>
      <c r="W95" s="480"/>
      <c r="X95" s="480"/>
      <c r="Y95" s="480"/>
      <c r="Z95" s="480"/>
      <c r="AA95" s="480"/>
      <c r="AB95" s="480"/>
      <c r="AC95" s="480"/>
      <c r="AD95" s="480"/>
      <c r="AE95" s="480"/>
      <c r="AF95" s="480"/>
      <c r="AG95" s="480"/>
      <c r="AH95" s="577">
        <f t="shared" si="13"/>
        <v>0</v>
      </c>
    </row>
    <row r="96" spans="1:34" ht="12">
      <c r="A96" s="509" t="s">
        <v>154</v>
      </c>
      <c r="B96" s="3097">
        <f>1.1+1.53+0.05+1+0.167+1.063+66.159+3+0.67</f>
        <v>74.739000000000004</v>
      </c>
      <c r="C96" s="577"/>
      <c r="D96" s="480"/>
      <c r="E96" s="480"/>
      <c r="F96" s="480"/>
      <c r="G96" s="480"/>
      <c r="H96" s="480"/>
      <c r="I96" s="480"/>
      <c r="J96" s="480"/>
      <c r="K96" s="480"/>
      <c r="L96" s="480"/>
      <c r="M96" s="480"/>
      <c r="N96" s="480"/>
      <c r="O96" s="480"/>
      <c r="P96" s="480"/>
      <c r="Q96" s="480"/>
      <c r="R96" s="480"/>
      <c r="S96" s="480"/>
      <c r="T96" s="480"/>
      <c r="U96" s="480"/>
      <c r="V96" s="480"/>
      <c r="W96" s="480"/>
      <c r="X96" s="480"/>
      <c r="Y96" s="480"/>
      <c r="Z96" s="480"/>
      <c r="AA96" s="480"/>
      <c r="AB96" s="480"/>
      <c r="AC96" s="480"/>
      <c r="AD96" s="480"/>
      <c r="AE96" s="480"/>
      <c r="AF96" s="480"/>
      <c r="AG96" s="480"/>
      <c r="AH96" s="577">
        <f t="shared" si="13"/>
        <v>0</v>
      </c>
    </row>
    <row r="97" spans="1:34" ht="12">
      <c r="A97" s="509" t="s">
        <v>155</v>
      </c>
      <c r="B97" s="3097">
        <f>0.186+0.026+0.45+0.2+0.173+36.126+1.12+1.01</f>
        <v>39.290999999999997</v>
      </c>
      <c r="C97" s="577"/>
      <c r="D97" s="480"/>
      <c r="E97" s="480"/>
      <c r="F97" s="480"/>
      <c r="G97" s="480"/>
      <c r="H97" s="480"/>
      <c r="I97" s="480"/>
      <c r="J97" s="480"/>
      <c r="K97" s="480"/>
      <c r="L97" s="480"/>
      <c r="M97" s="480"/>
      <c r="N97" s="480"/>
      <c r="O97" s="480"/>
      <c r="P97" s="480"/>
      <c r="Q97" s="480"/>
      <c r="R97" s="480"/>
      <c r="S97" s="480"/>
      <c r="T97" s="480"/>
      <c r="U97" s="480"/>
      <c r="V97" s="480"/>
      <c r="W97" s="480"/>
      <c r="X97" s="480"/>
      <c r="Y97" s="480"/>
      <c r="Z97" s="480"/>
      <c r="AA97" s="480"/>
      <c r="AB97" s="480"/>
      <c r="AC97" s="480"/>
      <c r="AD97" s="480"/>
      <c r="AE97" s="480"/>
      <c r="AF97" s="480"/>
      <c r="AG97" s="480"/>
      <c r="AH97" s="577">
        <f t="shared" si="13"/>
        <v>0</v>
      </c>
    </row>
    <row r="98" spans="1:34" ht="12">
      <c r="A98" s="3098" t="s">
        <v>156</v>
      </c>
      <c r="B98" s="3099">
        <f>+AH98+0.65+42.34+0.048+2.01</f>
        <v>60.902999999999999</v>
      </c>
      <c r="C98" s="577"/>
      <c r="D98" s="480"/>
      <c r="E98" s="480"/>
      <c r="F98" s="480"/>
      <c r="G98" s="480"/>
      <c r="H98" s="480"/>
      <c r="I98" s="480"/>
      <c r="J98" s="480"/>
      <c r="K98" s="480"/>
      <c r="L98" s="480">
        <v>1</v>
      </c>
      <c r="M98" s="480">
        <v>9.65</v>
      </c>
      <c r="N98" s="480">
        <v>2.34</v>
      </c>
      <c r="O98" s="480">
        <v>1.45</v>
      </c>
      <c r="P98" s="480"/>
      <c r="Q98" s="480"/>
      <c r="R98" s="480">
        <v>1.415</v>
      </c>
      <c r="S98" s="480"/>
      <c r="T98" s="480"/>
      <c r="U98" s="480"/>
      <c r="V98" s="480"/>
      <c r="W98" s="480"/>
      <c r="X98" s="480"/>
      <c r="Y98" s="480"/>
      <c r="Z98" s="480"/>
      <c r="AA98" s="480"/>
      <c r="AB98" s="480"/>
      <c r="AC98" s="480"/>
      <c r="AD98" s="480"/>
      <c r="AE98" s="480"/>
      <c r="AF98" s="480"/>
      <c r="AG98" s="480"/>
      <c r="AH98" s="577">
        <f t="shared" si="13"/>
        <v>15.855</v>
      </c>
    </row>
    <row r="99" spans="1:34" ht="12">
      <c r="A99" s="1432" t="s">
        <v>144</v>
      </c>
      <c r="B99" s="3089">
        <f t="shared" ref="B99:AH99" si="14">SUM(B87:B98)</f>
        <v>2670.0630000000001</v>
      </c>
      <c r="C99" s="577">
        <f>SUM(C87:C98)</f>
        <v>0</v>
      </c>
      <c r="D99" s="577">
        <f t="shared" si="14"/>
        <v>0</v>
      </c>
      <c r="E99" s="577">
        <f t="shared" si="14"/>
        <v>0</v>
      </c>
      <c r="F99" s="577">
        <f t="shared" si="14"/>
        <v>0</v>
      </c>
      <c r="G99" s="577">
        <f t="shared" si="14"/>
        <v>0</v>
      </c>
      <c r="H99" s="577">
        <f t="shared" si="14"/>
        <v>0</v>
      </c>
      <c r="I99" s="577">
        <f t="shared" si="14"/>
        <v>0</v>
      </c>
      <c r="J99" s="577">
        <f t="shared" si="14"/>
        <v>0</v>
      </c>
      <c r="K99" s="577">
        <f t="shared" si="14"/>
        <v>0</v>
      </c>
      <c r="L99" s="577">
        <f t="shared" si="14"/>
        <v>1</v>
      </c>
      <c r="M99" s="577">
        <f t="shared" si="14"/>
        <v>9.65</v>
      </c>
      <c r="N99" s="577">
        <f t="shared" si="14"/>
        <v>2.34</v>
      </c>
      <c r="O99" s="577">
        <f t="shared" si="14"/>
        <v>1.45</v>
      </c>
      <c r="P99" s="577">
        <f t="shared" si="14"/>
        <v>0</v>
      </c>
      <c r="Q99" s="577">
        <f t="shared" si="14"/>
        <v>0</v>
      </c>
      <c r="R99" s="577">
        <f t="shared" si="14"/>
        <v>1.415</v>
      </c>
      <c r="S99" s="577">
        <f t="shared" si="14"/>
        <v>0</v>
      </c>
      <c r="T99" s="577">
        <f t="shared" si="14"/>
        <v>0</v>
      </c>
      <c r="U99" s="577">
        <f t="shared" si="14"/>
        <v>0</v>
      </c>
      <c r="V99" s="577">
        <f t="shared" si="14"/>
        <v>0</v>
      </c>
      <c r="W99" s="577">
        <f t="shared" si="14"/>
        <v>0</v>
      </c>
      <c r="X99" s="577">
        <f t="shared" si="14"/>
        <v>0</v>
      </c>
      <c r="Y99" s="577">
        <f t="shared" si="14"/>
        <v>0</v>
      </c>
      <c r="Z99" s="577">
        <f t="shared" si="14"/>
        <v>0</v>
      </c>
      <c r="AA99" s="577">
        <f t="shared" si="14"/>
        <v>0</v>
      </c>
      <c r="AB99" s="577">
        <f t="shared" si="14"/>
        <v>0</v>
      </c>
      <c r="AC99" s="577">
        <f t="shared" si="14"/>
        <v>0</v>
      </c>
      <c r="AD99" s="577">
        <f t="shared" si="14"/>
        <v>0</v>
      </c>
      <c r="AE99" s="577">
        <f t="shared" si="14"/>
        <v>0</v>
      </c>
      <c r="AF99" s="577">
        <f t="shared" si="14"/>
        <v>0</v>
      </c>
      <c r="AG99" s="577">
        <f t="shared" si="14"/>
        <v>0</v>
      </c>
      <c r="AH99" s="577">
        <f t="shared" si="14"/>
        <v>15.855</v>
      </c>
    </row>
    <row r="100" spans="1:34" ht="12">
      <c r="A100" s="1423"/>
      <c r="B100" s="1424"/>
      <c r="C100" s="3100"/>
      <c r="D100" s="3101"/>
      <c r="E100" s="3102"/>
      <c r="F100" s="3101"/>
      <c r="G100" s="3101"/>
      <c r="H100" s="3101"/>
      <c r="I100" s="3101"/>
      <c r="J100" s="3101"/>
      <c r="K100" s="3101"/>
      <c r="L100" s="3101"/>
      <c r="M100" s="3101"/>
      <c r="N100" s="3101"/>
      <c r="O100" s="3101"/>
      <c r="P100" s="3101"/>
      <c r="Q100" s="3101"/>
      <c r="R100" s="3101"/>
      <c r="S100" s="3101"/>
      <c r="T100" s="3101"/>
      <c r="U100" s="3101"/>
      <c r="V100" s="3101"/>
      <c r="W100" s="3101"/>
      <c r="X100" s="3101"/>
      <c r="Y100" s="3101"/>
      <c r="Z100" s="3101"/>
      <c r="AA100" s="3101"/>
      <c r="AB100" s="3101"/>
      <c r="AC100" s="3101"/>
      <c r="AD100" s="3101"/>
      <c r="AE100" s="3101"/>
      <c r="AF100" s="3101"/>
      <c r="AG100" s="3101"/>
      <c r="AH100" s="3101"/>
    </row>
    <row r="101" spans="1:34" ht="12">
      <c r="A101" s="3864" t="s">
        <v>159</v>
      </c>
      <c r="B101" s="3865"/>
      <c r="C101" s="3866"/>
      <c r="D101" s="142"/>
      <c r="E101" s="142"/>
      <c r="F101" s="142"/>
      <c r="G101" s="142"/>
      <c r="H101" s="142"/>
      <c r="I101" s="142"/>
      <c r="J101" s="142"/>
      <c r="K101" s="142"/>
      <c r="L101" s="142"/>
      <c r="M101" s="142"/>
      <c r="N101" s="142"/>
      <c r="O101" s="142"/>
      <c r="P101" s="142"/>
      <c r="Q101" s="142"/>
      <c r="R101" s="142"/>
      <c r="S101" s="142"/>
      <c r="T101" s="142"/>
      <c r="U101" s="142"/>
      <c r="V101" s="142"/>
      <c r="W101" s="142"/>
      <c r="X101" s="142"/>
      <c r="Y101" s="142"/>
      <c r="Z101" s="142"/>
      <c r="AA101" s="142"/>
      <c r="AB101" s="142"/>
      <c r="AC101" s="142"/>
      <c r="AD101" s="142"/>
      <c r="AE101" s="142"/>
      <c r="AF101" s="142"/>
      <c r="AG101" s="142"/>
      <c r="AH101" s="571"/>
    </row>
    <row r="102" spans="1:34" ht="12">
      <c r="A102" s="1383" t="s">
        <v>142</v>
      </c>
      <c r="B102" s="901" t="s">
        <v>143</v>
      </c>
      <c r="C102" s="572">
        <v>1</v>
      </c>
      <c r="D102" s="573">
        <v>2</v>
      </c>
      <c r="E102" s="573">
        <v>3</v>
      </c>
      <c r="F102" s="573">
        <v>4</v>
      </c>
      <c r="G102" s="573">
        <v>5</v>
      </c>
      <c r="H102" s="573">
        <v>6</v>
      </c>
      <c r="I102" s="573">
        <v>7</v>
      </c>
      <c r="J102" s="573">
        <v>8</v>
      </c>
      <c r="K102" s="573">
        <v>9</v>
      </c>
      <c r="L102" s="573">
        <v>10</v>
      </c>
      <c r="M102" s="573">
        <v>11</v>
      </c>
      <c r="N102" s="573">
        <v>12</v>
      </c>
      <c r="O102" s="573">
        <v>13</v>
      </c>
      <c r="P102" s="573">
        <v>14</v>
      </c>
      <c r="Q102" s="573">
        <v>15</v>
      </c>
      <c r="R102" s="573">
        <v>16</v>
      </c>
      <c r="S102" s="573">
        <v>17</v>
      </c>
      <c r="T102" s="573">
        <v>18</v>
      </c>
      <c r="U102" s="573">
        <v>19</v>
      </c>
      <c r="V102" s="573">
        <v>20</v>
      </c>
      <c r="W102" s="573">
        <v>21</v>
      </c>
      <c r="X102" s="573">
        <v>22</v>
      </c>
      <c r="Y102" s="573">
        <v>23</v>
      </c>
      <c r="Z102" s="573">
        <v>24</v>
      </c>
      <c r="AA102" s="573">
        <v>25</v>
      </c>
      <c r="AB102" s="573">
        <v>26</v>
      </c>
      <c r="AC102" s="573">
        <v>27</v>
      </c>
      <c r="AD102" s="573">
        <v>28</v>
      </c>
      <c r="AE102" s="573">
        <v>29</v>
      </c>
      <c r="AF102" s="573">
        <v>30</v>
      </c>
      <c r="AG102" s="573">
        <v>31</v>
      </c>
      <c r="AH102" s="572" t="s">
        <v>144</v>
      </c>
    </row>
    <row r="103" spans="1:34" ht="12">
      <c r="A103" s="603" t="s">
        <v>145</v>
      </c>
      <c r="B103" s="584">
        <f t="shared" ref="B103:B114" si="15">+AH103</f>
        <v>0</v>
      </c>
      <c r="C103" s="577"/>
      <c r="D103" s="480"/>
      <c r="E103" s="480"/>
      <c r="F103" s="480"/>
      <c r="G103" s="480"/>
      <c r="H103" s="480"/>
      <c r="I103" s="480"/>
      <c r="J103" s="480"/>
      <c r="K103" s="480"/>
      <c r="L103" s="480"/>
      <c r="M103" s="480"/>
      <c r="N103" s="480"/>
      <c r="O103" s="480"/>
      <c r="P103" s="480"/>
      <c r="Q103" s="480"/>
      <c r="R103" s="480"/>
      <c r="S103" s="480"/>
      <c r="T103" s="480"/>
      <c r="U103" s="480"/>
      <c r="V103" s="480"/>
      <c r="W103" s="480"/>
      <c r="X103" s="480"/>
      <c r="Y103" s="480"/>
      <c r="Z103" s="480"/>
      <c r="AA103" s="480"/>
      <c r="AB103" s="480"/>
      <c r="AC103" s="480"/>
      <c r="AD103" s="480"/>
      <c r="AE103" s="480"/>
      <c r="AF103" s="480"/>
      <c r="AG103" s="480"/>
      <c r="AH103" s="577">
        <f>SUM(C103:AG103)</f>
        <v>0</v>
      </c>
    </row>
    <row r="104" spans="1:34" ht="12">
      <c r="A104" s="603" t="s">
        <v>146</v>
      </c>
      <c r="B104" s="584">
        <f t="shared" si="15"/>
        <v>0</v>
      </c>
      <c r="C104" s="577"/>
      <c r="D104" s="480"/>
      <c r="E104" s="480"/>
      <c r="F104" s="480"/>
      <c r="G104" s="480"/>
      <c r="H104" s="480"/>
      <c r="I104" s="480"/>
      <c r="J104" s="480"/>
      <c r="K104" s="480"/>
      <c r="L104" s="480"/>
      <c r="M104" s="480"/>
      <c r="N104" s="480"/>
      <c r="O104" s="480"/>
      <c r="P104" s="480"/>
      <c r="Q104" s="480"/>
      <c r="R104" s="480"/>
      <c r="S104" s="480"/>
      <c r="T104" s="480"/>
      <c r="U104" s="480"/>
      <c r="V104" s="480"/>
      <c r="W104" s="480"/>
      <c r="X104" s="480"/>
      <c r="Y104" s="480"/>
      <c r="Z104" s="480"/>
      <c r="AA104" s="480"/>
      <c r="AB104" s="480"/>
      <c r="AC104" s="480"/>
      <c r="AD104" s="480"/>
      <c r="AE104" s="480"/>
      <c r="AF104" s="480"/>
      <c r="AG104" s="480"/>
      <c r="AH104" s="577">
        <f t="shared" ref="AH104:AH114" si="16">SUM(C104:AG104)</f>
        <v>0</v>
      </c>
    </row>
    <row r="105" spans="1:34" ht="12">
      <c r="A105" s="603" t="s">
        <v>147</v>
      </c>
      <c r="B105" s="584">
        <f t="shared" si="15"/>
        <v>0</v>
      </c>
      <c r="C105" s="577"/>
      <c r="D105" s="480"/>
      <c r="E105" s="480"/>
      <c r="F105" s="480"/>
      <c r="G105" s="480"/>
      <c r="H105" s="480"/>
      <c r="I105" s="480"/>
      <c r="J105" s="480"/>
      <c r="K105" s="480"/>
      <c r="L105" s="480"/>
      <c r="M105" s="480"/>
      <c r="N105" s="480"/>
      <c r="O105" s="480"/>
      <c r="P105" s="480"/>
      <c r="Q105" s="480"/>
      <c r="R105" s="480"/>
      <c r="S105" s="480"/>
      <c r="T105" s="480"/>
      <c r="U105" s="480"/>
      <c r="V105" s="480"/>
      <c r="W105" s="480"/>
      <c r="X105" s="480"/>
      <c r="Y105" s="480"/>
      <c r="Z105" s="480"/>
      <c r="AA105" s="480"/>
      <c r="AB105" s="480"/>
      <c r="AC105" s="480"/>
      <c r="AD105" s="480"/>
      <c r="AE105" s="480"/>
      <c r="AF105" s="480"/>
      <c r="AG105" s="480"/>
      <c r="AH105" s="577">
        <f t="shared" si="16"/>
        <v>0</v>
      </c>
    </row>
    <row r="106" spans="1:34" ht="12">
      <c r="A106" s="603" t="s">
        <v>148</v>
      </c>
      <c r="B106" s="584">
        <f t="shared" si="15"/>
        <v>0</v>
      </c>
      <c r="C106" s="577"/>
      <c r="D106" s="480"/>
      <c r="E106" s="480"/>
      <c r="F106" s="480"/>
      <c r="G106" s="480"/>
      <c r="H106" s="480"/>
      <c r="I106" s="480"/>
      <c r="J106" s="480"/>
      <c r="K106" s="480"/>
      <c r="L106" s="480"/>
      <c r="M106" s="480"/>
      <c r="N106" s="480"/>
      <c r="O106" s="480"/>
      <c r="P106" s="480"/>
      <c r="Q106" s="480"/>
      <c r="R106" s="480"/>
      <c r="S106" s="480"/>
      <c r="T106" s="480"/>
      <c r="U106" s="480"/>
      <c r="V106" s="480"/>
      <c r="W106" s="480"/>
      <c r="X106" s="480"/>
      <c r="Y106" s="480"/>
      <c r="Z106" s="480"/>
      <c r="AA106" s="480"/>
      <c r="AB106" s="480"/>
      <c r="AC106" s="480"/>
      <c r="AD106" s="480"/>
      <c r="AE106" s="480"/>
      <c r="AF106" s="480"/>
      <c r="AG106" s="480"/>
      <c r="AH106" s="577">
        <f t="shared" si="16"/>
        <v>0</v>
      </c>
    </row>
    <row r="107" spans="1:34" ht="12">
      <c r="A107" s="603" t="s">
        <v>149</v>
      </c>
      <c r="B107" s="584">
        <f t="shared" si="15"/>
        <v>0</v>
      </c>
      <c r="C107" s="577"/>
      <c r="D107" s="480"/>
      <c r="E107" s="480"/>
      <c r="F107" s="480"/>
      <c r="G107" s="480"/>
      <c r="H107" s="480"/>
      <c r="I107" s="480"/>
      <c r="J107" s="480"/>
      <c r="K107" s="480"/>
      <c r="L107" s="480"/>
      <c r="M107" s="480"/>
      <c r="N107" s="480"/>
      <c r="O107" s="480"/>
      <c r="P107" s="480"/>
      <c r="Q107" s="480"/>
      <c r="R107" s="480"/>
      <c r="S107" s="480"/>
      <c r="T107" s="480"/>
      <c r="U107" s="480"/>
      <c r="V107" s="480"/>
      <c r="W107" s="480"/>
      <c r="X107" s="480"/>
      <c r="Y107" s="480"/>
      <c r="Z107" s="480"/>
      <c r="AA107" s="480"/>
      <c r="AB107" s="480"/>
      <c r="AC107" s="480"/>
      <c r="AD107" s="480"/>
      <c r="AE107" s="480"/>
      <c r="AF107" s="480"/>
      <c r="AG107" s="480"/>
      <c r="AH107" s="577">
        <f t="shared" si="16"/>
        <v>0</v>
      </c>
    </row>
    <row r="108" spans="1:34" ht="12">
      <c r="A108" s="603" t="s">
        <v>150</v>
      </c>
      <c r="B108" s="584">
        <f t="shared" si="15"/>
        <v>0</v>
      </c>
      <c r="C108" s="577"/>
      <c r="D108" s="480"/>
      <c r="E108" s="480"/>
      <c r="F108" s="480"/>
      <c r="G108" s="480"/>
      <c r="H108" s="480"/>
      <c r="I108" s="480"/>
      <c r="J108" s="480"/>
      <c r="K108" s="480"/>
      <c r="L108" s="480"/>
      <c r="M108" s="480"/>
      <c r="N108" s="480"/>
      <c r="O108" s="480"/>
      <c r="P108" s="480"/>
      <c r="Q108" s="480"/>
      <c r="R108" s="480"/>
      <c r="S108" s="480"/>
      <c r="T108" s="480"/>
      <c r="U108" s="480"/>
      <c r="V108" s="480"/>
      <c r="W108" s="480"/>
      <c r="X108" s="480"/>
      <c r="Y108" s="480"/>
      <c r="Z108" s="480"/>
      <c r="AA108" s="480"/>
      <c r="AB108" s="480"/>
      <c r="AC108" s="480"/>
      <c r="AD108" s="480"/>
      <c r="AE108" s="480"/>
      <c r="AF108" s="480"/>
      <c r="AG108" s="480"/>
      <c r="AH108" s="577">
        <f t="shared" si="16"/>
        <v>0</v>
      </c>
    </row>
    <row r="109" spans="1:34" ht="12">
      <c r="A109" s="603" t="s">
        <v>151</v>
      </c>
      <c r="B109" s="584">
        <f t="shared" si="15"/>
        <v>0</v>
      </c>
      <c r="C109" s="577"/>
      <c r="D109" s="480"/>
      <c r="E109" s="480"/>
      <c r="F109" s="480"/>
      <c r="G109" s="480"/>
      <c r="H109" s="480"/>
      <c r="I109" s="480"/>
      <c r="J109" s="480"/>
      <c r="K109" s="480"/>
      <c r="L109" s="480"/>
      <c r="M109" s="480"/>
      <c r="N109" s="480"/>
      <c r="O109" s="480"/>
      <c r="P109" s="480"/>
      <c r="Q109" s="480"/>
      <c r="R109" s="480"/>
      <c r="S109" s="480"/>
      <c r="T109" s="480"/>
      <c r="U109" s="480"/>
      <c r="V109" s="480"/>
      <c r="W109" s="480"/>
      <c r="X109" s="480"/>
      <c r="Y109" s="480"/>
      <c r="Z109" s="480"/>
      <c r="AA109" s="480"/>
      <c r="AB109" s="480"/>
      <c r="AC109" s="480"/>
      <c r="AD109" s="480"/>
      <c r="AE109" s="480"/>
      <c r="AF109" s="480"/>
      <c r="AG109" s="480"/>
      <c r="AH109" s="577">
        <f t="shared" si="16"/>
        <v>0</v>
      </c>
    </row>
    <row r="110" spans="1:34" ht="12">
      <c r="A110" s="603" t="s">
        <v>152</v>
      </c>
      <c r="B110" s="584">
        <f t="shared" si="15"/>
        <v>0</v>
      </c>
      <c r="C110" s="577"/>
      <c r="D110" s="480"/>
      <c r="E110" s="480"/>
      <c r="F110" s="480"/>
      <c r="G110" s="480"/>
      <c r="H110" s="480"/>
      <c r="I110" s="480"/>
      <c r="J110" s="480"/>
      <c r="K110" s="480"/>
      <c r="L110" s="480"/>
      <c r="M110" s="480"/>
      <c r="N110" s="480"/>
      <c r="O110" s="480"/>
      <c r="P110" s="480"/>
      <c r="Q110" s="480"/>
      <c r="R110" s="480"/>
      <c r="S110" s="480"/>
      <c r="T110" s="480"/>
      <c r="U110" s="480"/>
      <c r="V110" s="480"/>
      <c r="W110" s="480"/>
      <c r="X110" s="480"/>
      <c r="Y110" s="480"/>
      <c r="Z110" s="480"/>
      <c r="AA110" s="480"/>
      <c r="AB110" s="480"/>
      <c r="AC110" s="480"/>
      <c r="AD110" s="480"/>
      <c r="AE110" s="480"/>
      <c r="AF110" s="480"/>
      <c r="AG110" s="480"/>
      <c r="AH110" s="577">
        <f t="shared" si="16"/>
        <v>0</v>
      </c>
    </row>
    <row r="111" spans="1:34" ht="12">
      <c r="A111" s="603" t="s">
        <v>153</v>
      </c>
      <c r="B111" s="584">
        <f t="shared" si="15"/>
        <v>0</v>
      </c>
      <c r="C111" s="577"/>
      <c r="D111" s="480"/>
      <c r="E111" s="480"/>
      <c r="F111" s="480"/>
      <c r="G111" s="480"/>
      <c r="H111" s="480"/>
      <c r="I111" s="480"/>
      <c r="J111" s="480"/>
      <c r="K111" s="480"/>
      <c r="L111" s="480"/>
      <c r="M111" s="480"/>
      <c r="N111" s="480"/>
      <c r="O111" s="480"/>
      <c r="P111" s="480"/>
      <c r="Q111" s="480"/>
      <c r="R111" s="480"/>
      <c r="S111" s="480"/>
      <c r="T111" s="480"/>
      <c r="U111" s="480"/>
      <c r="V111" s="480"/>
      <c r="W111" s="480"/>
      <c r="X111" s="480"/>
      <c r="Y111" s="480"/>
      <c r="Z111" s="480"/>
      <c r="AA111" s="480"/>
      <c r="AB111" s="480"/>
      <c r="AC111" s="480"/>
      <c r="AD111" s="480"/>
      <c r="AE111" s="480"/>
      <c r="AF111" s="480"/>
      <c r="AG111" s="480"/>
      <c r="AH111" s="577">
        <f t="shared" si="16"/>
        <v>0</v>
      </c>
    </row>
    <row r="112" spans="1:34" ht="12">
      <c r="A112" s="573" t="s">
        <v>154</v>
      </c>
      <c r="B112" s="584">
        <f t="shared" si="15"/>
        <v>0</v>
      </c>
      <c r="C112" s="577"/>
      <c r="D112" s="480"/>
      <c r="E112" s="480"/>
      <c r="F112" s="480"/>
      <c r="G112" s="480"/>
      <c r="H112" s="480"/>
      <c r="I112" s="480"/>
      <c r="J112" s="480"/>
      <c r="K112" s="480"/>
      <c r="L112" s="480"/>
      <c r="M112" s="480"/>
      <c r="N112" s="480"/>
      <c r="O112" s="480"/>
      <c r="P112" s="480"/>
      <c r="Q112" s="480"/>
      <c r="R112" s="480"/>
      <c r="S112" s="480"/>
      <c r="T112" s="480"/>
      <c r="U112" s="480"/>
      <c r="V112" s="480"/>
      <c r="W112" s="480"/>
      <c r="X112" s="480"/>
      <c r="Y112" s="480"/>
      <c r="Z112" s="480"/>
      <c r="AA112" s="480"/>
      <c r="AB112" s="480"/>
      <c r="AC112" s="480"/>
      <c r="AD112" s="480"/>
      <c r="AE112" s="480"/>
      <c r="AF112" s="480"/>
      <c r="AG112" s="480"/>
      <c r="AH112" s="577">
        <f t="shared" si="16"/>
        <v>0</v>
      </c>
    </row>
    <row r="113" spans="1:34" ht="12">
      <c r="A113" s="573" t="s">
        <v>155</v>
      </c>
      <c r="B113" s="584">
        <f t="shared" si="15"/>
        <v>0</v>
      </c>
      <c r="C113" s="577"/>
      <c r="D113" s="480"/>
      <c r="E113" s="480"/>
      <c r="F113" s="480"/>
      <c r="G113" s="480"/>
      <c r="H113" s="480"/>
      <c r="I113" s="480"/>
      <c r="J113" s="480"/>
      <c r="K113" s="480"/>
      <c r="L113" s="480"/>
      <c r="M113" s="480"/>
      <c r="N113" s="480"/>
      <c r="O113" s="480"/>
      <c r="P113" s="480"/>
      <c r="Q113" s="480"/>
      <c r="R113" s="480"/>
      <c r="S113" s="480"/>
      <c r="T113" s="480"/>
      <c r="U113" s="480"/>
      <c r="V113" s="480"/>
      <c r="W113" s="480"/>
      <c r="X113" s="480"/>
      <c r="Y113" s="480"/>
      <c r="Z113" s="480"/>
      <c r="AA113" s="480"/>
      <c r="AB113" s="480"/>
      <c r="AC113" s="480"/>
      <c r="AD113" s="480"/>
      <c r="AE113" s="480"/>
      <c r="AF113" s="480"/>
      <c r="AG113" s="480"/>
      <c r="AH113" s="577">
        <f t="shared" si="16"/>
        <v>0</v>
      </c>
    </row>
    <row r="114" spans="1:34" ht="12">
      <c r="A114" s="573" t="s">
        <v>156</v>
      </c>
      <c r="B114" s="584">
        <f t="shared" si="15"/>
        <v>0</v>
      </c>
      <c r="C114" s="577"/>
      <c r="D114" s="480"/>
      <c r="E114" s="480"/>
      <c r="F114" s="480"/>
      <c r="G114" s="480"/>
      <c r="H114" s="480"/>
      <c r="I114" s="480"/>
      <c r="J114" s="480"/>
      <c r="K114" s="480"/>
      <c r="L114" s="480"/>
      <c r="M114" s="480"/>
      <c r="N114" s="480"/>
      <c r="O114" s="480"/>
      <c r="P114" s="480"/>
      <c r="Q114" s="480"/>
      <c r="R114" s="480"/>
      <c r="S114" s="480"/>
      <c r="T114" s="480"/>
      <c r="U114" s="480"/>
      <c r="V114" s="480"/>
      <c r="W114" s="480"/>
      <c r="X114" s="480"/>
      <c r="Y114" s="480"/>
      <c r="Z114" s="480"/>
      <c r="AA114" s="480"/>
      <c r="AB114" s="480"/>
      <c r="AC114" s="480"/>
      <c r="AD114" s="480"/>
      <c r="AE114" s="480"/>
      <c r="AF114" s="480"/>
      <c r="AG114" s="480"/>
      <c r="AH114" s="577">
        <f t="shared" si="16"/>
        <v>0</v>
      </c>
    </row>
    <row r="115" spans="1:34" ht="12">
      <c r="A115" s="1432" t="s">
        <v>144</v>
      </c>
      <c r="B115" s="1433">
        <f t="shared" ref="B115:AH115" si="17">SUM(B103:B114)</f>
        <v>0</v>
      </c>
      <c r="C115" s="577">
        <f t="shared" si="17"/>
        <v>0</v>
      </c>
      <c r="D115" s="577">
        <f t="shared" si="17"/>
        <v>0</v>
      </c>
      <c r="E115" s="577">
        <f t="shared" si="17"/>
        <v>0</v>
      </c>
      <c r="F115" s="577">
        <f t="shared" si="17"/>
        <v>0</v>
      </c>
      <c r="G115" s="577">
        <f t="shared" si="17"/>
        <v>0</v>
      </c>
      <c r="H115" s="577">
        <f t="shared" si="17"/>
        <v>0</v>
      </c>
      <c r="I115" s="577">
        <f t="shared" si="17"/>
        <v>0</v>
      </c>
      <c r="J115" s="577">
        <f t="shared" si="17"/>
        <v>0</v>
      </c>
      <c r="K115" s="577">
        <f t="shared" si="17"/>
        <v>0</v>
      </c>
      <c r="L115" s="577">
        <f t="shared" si="17"/>
        <v>0</v>
      </c>
      <c r="M115" s="577">
        <f t="shared" si="17"/>
        <v>0</v>
      </c>
      <c r="N115" s="577">
        <f t="shared" si="17"/>
        <v>0</v>
      </c>
      <c r="O115" s="577">
        <f t="shared" si="17"/>
        <v>0</v>
      </c>
      <c r="P115" s="577">
        <f t="shared" si="17"/>
        <v>0</v>
      </c>
      <c r="Q115" s="577">
        <f t="shared" si="17"/>
        <v>0</v>
      </c>
      <c r="R115" s="577">
        <f t="shared" si="17"/>
        <v>0</v>
      </c>
      <c r="S115" s="577">
        <f t="shared" si="17"/>
        <v>0</v>
      </c>
      <c r="T115" s="577">
        <f t="shared" si="17"/>
        <v>0</v>
      </c>
      <c r="U115" s="577">
        <f t="shared" si="17"/>
        <v>0</v>
      </c>
      <c r="V115" s="577">
        <f t="shared" si="17"/>
        <v>0</v>
      </c>
      <c r="W115" s="577">
        <f t="shared" si="17"/>
        <v>0</v>
      </c>
      <c r="X115" s="577">
        <f t="shared" si="17"/>
        <v>0</v>
      </c>
      <c r="Y115" s="577">
        <f t="shared" si="17"/>
        <v>0</v>
      </c>
      <c r="Z115" s="577">
        <f t="shared" si="17"/>
        <v>0</v>
      </c>
      <c r="AA115" s="577">
        <f t="shared" si="17"/>
        <v>0</v>
      </c>
      <c r="AB115" s="577">
        <f t="shared" si="17"/>
        <v>0</v>
      </c>
      <c r="AC115" s="577">
        <f t="shared" si="17"/>
        <v>0</v>
      </c>
      <c r="AD115" s="577">
        <f t="shared" si="17"/>
        <v>0</v>
      </c>
      <c r="AE115" s="577">
        <f t="shared" si="17"/>
        <v>0</v>
      </c>
      <c r="AF115" s="577">
        <f t="shared" si="17"/>
        <v>0</v>
      </c>
      <c r="AG115" s="577">
        <f t="shared" si="17"/>
        <v>0</v>
      </c>
      <c r="AH115" s="577">
        <f t="shared" si="17"/>
        <v>0</v>
      </c>
    </row>
  </sheetData>
  <mergeCells count="8">
    <mergeCell ref="A101:C101"/>
    <mergeCell ref="A53:C53"/>
    <mergeCell ref="A69:C69"/>
    <mergeCell ref="A85:C85"/>
    <mergeCell ref="A2:T2"/>
    <mergeCell ref="A5:C5"/>
    <mergeCell ref="A21:C21"/>
    <mergeCell ref="A37:C37"/>
  </mergeCells>
  <phoneticPr fontId="0" type="noConversion"/>
  <pageMargins left="0.75" right="0.75" top="1" bottom="1" header="0" footer="0"/>
  <pageSetup paperSize="9" orientation="portrait" r:id="rId1"/>
  <headerFooter alignWithMargins="0"/>
  <legacyDrawing r:id="rId2"/>
  <oleObjects>
    <oleObject progId="MSPhotoEd.3" shapeId="14337" r:id="rId3"/>
  </oleObjects>
</worksheet>
</file>

<file path=xl/worksheets/sheet15.xml><?xml version="1.0" encoding="utf-8"?>
<worksheet xmlns="http://schemas.openxmlformats.org/spreadsheetml/2006/main" xmlns:r="http://schemas.openxmlformats.org/officeDocument/2006/relationships">
  <dimension ref="A2:AH51"/>
  <sheetViews>
    <sheetView topLeftCell="A22" zoomScale="90" zoomScaleNormal="90" zoomScaleSheetLayoutView="50" workbookViewId="0">
      <selection activeCell="E48" sqref="E48"/>
    </sheetView>
  </sheetViews>
  <sheetFormatPr baseColWidth="10" defaultColWidth="11.44140625" defaultRowHeight="10.199999999999999"/>
  <cols>
    <col min="1" max="2" width="11.44140625" style="510"/>
    <col min="3" max="3" width="12.6640625" style="510" customWidth="1"/>
    <col min="4" max="4" width="8.88671875" style="510" customWidth="1"/>
    <col min="5" max="16384" width="11.44140625" style="510"/>
  </cols>
  <sheetData>
    <row r="2" spans="1:34" ht="12">
      <c r="A2" s="3864" t="s">
        <v>390</v>
      </c>
      <c r="B2" s="3865"/>
      <c r="C2" s="3865"/>
      <c r="D2" s="3865"/>
      <c r="E2" s="3865"/>
      <c r="F2" s="3865"/>
      <c r="G2" s="3865"/>
      <c r="H2" s="3865"/>
      <c r="I2" s="3865"/>
      <c r="J2" s="3865"/>
      <c r="K2" s="3865"/>
      <c r="L2" s="3865"/>
      <c r="M2" s="3865"/>
      <c r="N2" s="3865"/>
      <c r="O2" s="3865"/>
      <c r="P2" s="3865"/>
      <c r="Q2" s="3865"/>
      <c r="R2" s="3865"/>
      <c r="S2" s="3865"/>
      <c r="T2" s="3866"/>
      <c r="U2" s="142"/>
      <c r="V2" s="142"/>
      <c r="W2" s="142"/>
      <c r="X2" s="142"/>
      <c r="Y2" s="142"/>
      <c r="Z2" s="142"/>
      <c r="AA2" s="142"/>
      <c r="AB2" s="142"/>
      <c r="AC2" s="142"/>
      <c r="AD2" s="142"/>
      <c r="AE2" s="142"/>
      <c r="AF2" s="142"/>
      <c r="AG2" s="142"/>
      <c r="AH2" s="571"/>
    </row>
    <row r="3" spans="1:34" s="1427" customFormat="1" ht="12">
      <c r="A3" s="1423"/>
      <c r="B3" s="1423"/>
      <c r="C3" s="1423"/>
      <c r="D3" s="1423"/>
      <c r="E3" s="1423"/>
      <c r="F3" s="1423"/>
      <c r="G3" s="1423"/>
      <c r="H3" s="1423"/>
      <c r="I3" s="1423"/>
      <c r="J3" s="1423"/>
      <c r="K3" s="1423"/>
      <c r="L3" s="1423"/>
      <c r="M3" s="1423"/>
      <c r="N3" s="1423"/>
      <c r="O3" s="1423"/>
      <c r="P3" s="1423"/>
      <c r="Q3" s="1423"/>
      <c r="R3" s="1423"/>
      <c r="S3" s="1423"/>
      <c r="T3" s="1423"/>
      <c r="U3" s="142"/>
      <c r="V3" s="142"/>
      <c r="W3" s="142"/>
      <c r="X3" s="142"/>
      <c r="Y3" s="142"/>
      <c r="Z3" s="142"/>
      <c r="AA3" s="142"/>
      <c r="AB3" s="142"/>
      <c r="AC3" s="142"/>
      <c r="AD3" s="142"/>
      <c r="AE3" s="142"/>
      <c r="AF3" s="142"/>
      <c r="AG3" s="142"/>
      <c r="AH3" s="142"/>
    </row>
    <row r="4" spans="1:34" ht="12">
      <c r="A4" s="571"/>
      <c r="B4" s="571"/>
      <c r="C4" s="571"/>
      <c r="D4" s="142"/>
      <c r="E4" s="142"/>
      <c r="F4" s="142"/>
      <c r="G4" s="142"/>
      <c r="H4" s="142"/>
      <c r="I4" s="142"/>
      <c r="J4" s="142"/>
      <c r="K4" s="142"/>
      <c r="L4" s="570"/>
      <c r="M4" s="142"/>
      <c r="N4" s="142"/>
      <c r="O4" s="142"/>
      <c r="P4" s="142"/>
      <c r="Q4" s="142"/>
      <c r="R4" s="142"/>
      <c r="S4" s="142"/>
      <c r="T4" s="142"/>
      <c r="U4" s="142"/>
      <c r="V4" s="142"/>
      <c r="W4" s="142"/>
      <c r="X4" s="142"/>
      <c r="Y4" s="142"/>
      <c r="Z4" s="142"/>
      <c r="AA4" s="142"/>
      <c r="AB4" s="142"/>
      <c r="AC4" s="142"/>
      <c r="AD4" s="142"/>
      <c r="AE4" s="142"/>
      <c r="AF4" s="142"/>
      <c r="AG4" s="142"/>
      <c r="AH4" s="571"/>
    </row>
    <row r="5" spans="1:34" ht="12">
      <c r="A5" s="3864" t="s">
        <v>141</v>
      </c>
      <c r="B5" s="3865"/>
      <c r="C5" s="3866"/>
      <c r="D5" s="142"/>
      <c r="E5" s="142"/>
      <c r="F5" s="142"/>
      <c r="G5" s="142"/>
      <c r="H5" s="142"/>
      <c r="I5" s="142"/>
      <c r="J5" s="142"/>
      <c r="K5" s="142"/>
      <c r="L5" s="142"/>
      <c r="M5" s="570"/>
      <c r="N5" s="142"/>
      <c r="O5" s="142"/>
      <c r="P5" s="142"/>
      <c r="Q5" s="142"/>
      <c r="R5" s="142"/>
      <c r="S5" s="142"/>
      <c r="T5" s="142"/>
      <c r="U5" s="142"/>
      <c r="V5" s="142"/>
      <c r="W5" s="142"/>
      <c r="X5" s="142"/>
      <c r="Y5" s="142"/>
      <c r="Z5" s="142"/>
      <c r="AA5" s="142"/>
      <c r="AB5" s="142"/>
      <c r="AC5" s="142"/>
      <c r="AD5" s="142"/>
      <c r="AE5" s="142"/>
      <c r="AF5" s="142"/>
      <c r="AG5" s="142"/>
      <c r="AH5" s="571"/>
    </row>
    <row r="6" spans="1:34" ht="12">
      <c r="A6" s="572" t="s">
        <v>142</v>
      </c>
      <c r="B6" s="572" t="s">
        <v>143</v>
      </c>
      <c r="C6" s="509">
        <v>1</v>
      </c>
      <c r="D6" s="573">
        <v>2</v>
      </c>
      <c r="E6" s="573">
        <v>3</v>
      </c>
      <c r="F6" s="573">
        <v>4</v>
      </c>
      <c r="G6" s="573">
        <v>5</v>
      </c>
      <c r="H6" s="573">
        <v>6</v>
      </c>
      <c r="I6" s="573">
        <v>7</v>
      </c>
      <c r="J6" s="573">
        <v>8</v>
      </c>
      <c r="K6" s="573">
        <v>9</v>
      </c>
      <c r="L6" s="573">
        <v>10</v>
      </c>
      <c r="M6" s="573">
        <v>11</v>
      </c>
      <c r="N6" s="573">
        <v>12</v>
      </c>
      <c r="O6" s="573">
        <v>13</v>
      </c>
      <c r="P6" s="573">
        <v>14</v>
      </c>
      <c r="Q6" s="573">
        <v>15</v>
      </c>
      <c r="R6" s="573">
        <v>16</v>
      </c>
      <c r="S6" s="573">
        <v>17</v>
      </c>
      <c r="T6" s="573">
        <v>18</v>
      </c>
      <c r="U6" s="573">
        <v>19</v>
      </c>
      <c r="V6" s="573">
        <v>20</v>
      </c>
      <c r="W6" s="573">
        <v>21</v>
      </c>
      <c r="X6" s="573">
        <v>22</v>
      </c>
      <c r="Y6" s="573">
        <v>23</v>
      </c>
      <c r="Z6" s="573">
        <v>24</v>
      </c>
      <c r="AA6" s="573">
        <v>25</v>
      </c>
      <c r="AB6" s="573">
        <v>26</v>
      </c>
      <c r="AC6" s="573">
        <v>27</v>
      </c>
      <c r="AD6" s="573">
        <v>28</v>
      </c>
      <c r="AE6" s="573">
        <v>29</v>
      </c>
      <c r="AF6" s="573">
        <v>30</v>
      </c>
      <c r="AG6" s="573">
        <v>31</v>
      </c>
      <c r="AH6" s="2035" t="s">
        <v>144</v>
      </c>
    </row>
    <row r="7" spans="1:34" ht="12">
      <c r="A7" s="573" t="s">
        <v>145</v>
      </c>
      <c r="B7" s="480">
        <f t="shared" ref="B7:B18" si="0">+AH7</f>
        <v>0</v>
      </c>
      <c r="C7" s="2722">
        <v>0</v>
      </c>
      <c r="D7" s="2722">
        <v>0</v>
      </c>
      <c r="E7" s="2722">
        <v>0</v>
      </c>
      <c r="F7" s="2722">
        <v>0</v>
      </c>
      <c r="G7" s="2722">
        <v>0</v>
      </c>
      <c r="H7" s="2722">
        <v>0</v>
      </c>
      <c r="I7" s="2722">
        <v>0</v>
      </c>
      <c r="J7" s="2722">
        <v>0</v>
      </c>
      <c r="K7" s="2722">
        <v>0</v>
      </c>
      <c r="L7" s="2722">
        <v>0</v>
      </c>
      <c r="M7" s="2722">
        <v>0</v>
      </c>
      <c r="N7" s="2722">
        <v>0</v>
      </c>
      <c r="O7" s="2722">
        <v>0</v>
      </c>
      <c r="P7" s="2722">
        <v>0</v>
      </c>
      <c r="Q7" s="2722">
        <v>0</v>
      </c>
      <c r="R7" s="2722">
        <v>0</v>
      </c>
      <c r="S7" s="2722">
        <v>0</v>
      </c>
      <c r="T7" s="2722">
        <v>0</v>
      </c>
      <c r="U7" s="2722">
        <v>0</v>
      </c>
      <c r="V7" s="2722">
        <v>0</v>
      </c>
      <c r="W7" s="2722">
        <v>0</v>
      </c>
      <c r="X7" s="2722">
        <v>0</v>
      </c>
      <c r="Y7" s="2722">
        <v>0</v>
      </c>
      <c r="Z7" s="2722">
        <v>0</v>
      </c>
      <c r="AA7" s="2722">
        <v>0</v>
      </c>
      <c r="AB7" s="2722">
        <v>0</v>
      </c>
      <c r="AC7" s="2722">
        <v>0</v>
      </c>
      <c r="AD7" s="2722">
        <v>0</v>
      </c>
      <c r="AE7" s="2722">
        <v>0</v>
      </c>
      <c r="AF7" s="2722">
        <v>0</v>
      </c>
      <c r="AG7" s="2722">
        <v>0</v>
      </c>
      <c r="AH7" s="581">
        <f>SUM(C7:AG7)</f>
        <v>0</v>
      </c>
    </row>
    <row r="8" spans="1:34" ht="12">
      <c r="A8" s="573" t="s">
        <v>146</v>
      </c>
      <c r="B8" s="480">
        <f t="shared" si="0"/>
        <v>0.5</v>
      </c>
      <c r="C8" s="2722">
        <v>0</v>
      </c>
      <c r="D8" s="2722">
        <v>0</v>
      </c>
      <c r="E8" s="2722">
        <v>0</v>
      </c>
      <c r="F8" s="2722">
        <v>0</v>
      </c>
      <c r="G8" s="2722">
        <v>0</v>
      </c>
      <c r="H8" s="2722">
        <v>0</v>
      </c>
      <c r="I8" s="2722">
        <v>0</v>
      </c>
      <c r="J8" s="2722">
        <v>0</v>
      </c>
      <c r="K8" s="2722">
        <v>0</v>
      </c>
      <c r="L8" s="2722">
        <v>0</v>
      </c>
      <c r="M8" s="2722">
        <v>0</v>
      </c>
      <c r="N8" s="2722">
        <v>0</v>
      </c>
      <c r="O8" s="2722">
        <v>0</v>
      </c>
      <c r="P8" s="2722">
        <v>0</v>
      </c>
      <c r="Q8" s="2722">
        <v>0.5</v>
      </c>
      <c r="R8" s="2722">
        <v>0</v>
      </c>
      <c r="S8" s="2722">
        <v>0</v>
      </c>
      <c r="T8" s="2722">
        <v>0</v>
      </c>
      <c r="U8" s="2722">
        <v>0</v>
      </c>
      <c r="V8" s="2722">
        <v>0</v>
      </c>
      <c r="W8" s="2722">
        <v>0</v>
      </c>
      <c r="X8" s="2722">
        <v>0</v>
      </c>
      <c r="Y8" s="2722">
        <v>0</v>
      </c>
      <c r="Z8" s="2722">
        <v>0</v>
      </c>
      <c r="AA8" s="2722">
        <v>0</v>
      </c>
      <c r="AB8" s="2722">
        <v>0</v>
      </c>
      <c r="AC8" s="2722">
        <v>0</v>
      </c>
      <c r="AD8" s="2722">
        <v>0</v>
      </c>
      <c r="AE8" s="2722">
        <v>0</v>
      </c>
      <c r="AF8" s="2722"/>
      <c r="AG8" s="2722"/>
      <c r="AH8" s="581">
        <f t="shared" ref="AH8:AH16" si="1">SUM(C8:AG8)</f>
        <v>0.5</v>
      </c>
    </row>
    <row r="9" spans="1:34" ht="12">
      <c r="A9" s="573" t="s">
        <v>147</v>
      </c>
      <c r="B9" s="480">
        <f t="shared" si="0"/>
        <v>7.4749999999999996</v>
      </c>
      <c r="C9" s="2722">
        <v>0</v>
      </c>
      <c r="D9" s="2722">
        <v>0</v>
      </c>
      <c r="E9" s="2722">
        <v>0</v>
      </c>
      <c r="F9" s="2722">
        <v>0</v>
      </c>
      <c r="G9" s="2722">
        <v>0</v>
      </c>
      <c r="H9" s="2722">
        <v>0</v>
      </c>
      <c r="I9" s="2722">
        <v>0</v>
      </c>
      <c r="J9" s="2722">
        <v>0</v>
      </c>
      <c r="K9" s="2722">
        <v>0</v>
      </c>
      <c r="L9" s="2722">
        <v>0</v>
      </c>
      <c r="M9" s="2722">
        <v>0</v>
      </c>
      <c r="N9" s="2722">
        <v>0</v>
      </c>
      <c r="O9" s="2722">
        <v>0</v>
      </c>
      <c r="P9" s="2722">
        <v>0</v>
      </c>
      <c r="Q9" s="2722">
        <v>0</v>
      </c>
      <c r="R9" s="2722">
        <v>0</v>
      </c>
      <c r="S9" s="2722">
        <v>7.4749999999999996</v>
      </c>
      <c r="T9" s="2722">
        <v>0</v>
      </c>
      <c r="U9" s="2722">
        <v>0</v>
      </c>
      <c r="V9" s="2722">
        <v>0</v>
      </c>
      <c r="W9" s="2722">
        <v>0</v>
      </c>
      <c r="X9" s="2722">
        <v>0</v>
      </c>
      <c r="Y9" s="2722">
        <v>0</v>
      </c>
      <c r="Z9" s="2722">
        <v>0</v>
      </c>
      <c r="AA9" s="2722">
        <v>0</v>
      </c>
      <c r="AB9" s="2722">
        <v>0</v>
      </c>
      <c r="AC9" s="2722">
        <v>0</v>
      </c>
      <c r="AD9" s="2722">
        <v>0</v>
      </c>
      <c r="AE9" s="2722">
        <v>0</v>
      </c>
      <c r="AF9" s="2722">
        <v>0</v>
      </c>
      <c r="AG9" s="2722">
        <v>0</v>
      </c>
      <c r="AH9" s="581">
        <f t="shared" si="1"/>
        <v>7.4749999999999996</v>
      </c>
    </row>
    <row r="10" spans="1:34" ht="12">
      <c r="A10" s="573" t="s">
        <v>148</v>
      </c>
      <c r="B10" s="480">
        <f t="shared" si="0"/>
        <v>0.42000000000000004</v>
      </c>
      <c r="C10" s="2722">
        <v>0</v>
      </c>
      <c r="D10" s="2722">
        <v>0</v>
      </c>
      <c r="E10" s="2722">
        <v>0</v>
      </c>
      <c r="F10" s="2722">
        <v>0.2</v>
      </c>
      <c r="G10" s="2722">
        <v>0</v>
      </c>
      <c r="H10" s="2722">
        <v>0</v>
      </c>
      <c r="I10" s="2722">
        <v>0</v>
      </c>
      <c r="J10" s="2722">
        <v>0</v>
      </c>
      <c r="K10" s="2722">
        <v>0</v>
      </c>
      <c r="L10" s="2722">
        <v>0</v>
      </c>
      <c r="M10" s="2722">
        <v>0</v>
      </c>
      <c r="N10" s="2722">
        <v>0</v>
      </c>
      <c r="O10" s="2722">
        <v>0</v>
      </c>
      <c r="P10" s="2722">
        <v>0</v>
      </c>
      <c r="Q10" s="2722">
        <v>0</v>
      </c>
      <c r="R10" s="2722">
        <v>0</v>
      </c>
      <c r="S10" s="2722">
        <v>0</v>
      </c>
      <c r="T10" s="2722">
        <v>0</v>
      </c>
      <c r="U10" s="2722">
        <v>0</v>
      </c>
      <c r="V10" s="2722">
        <v>0</v>
      </c>
      <c r="W10" s="2722">
        <v>0</v>
      </c>
      <c r="X10" s="2722">
        <v>0</v>
      </c>
      <c r="Y10" s="2722">
        <v>0.22</v>
      </c>
      <c r="Z10" s="2722">
        <v>0</v>
      </c>
      <c r="AA10" s="2722">
        <v>0</v>
      </c>
      <c r="AB10" s="2722">
        <v>0</v>
      </c>
      <c r="AC10" s="2722">
        <v>0</v>
      </c>
      <c r="AD10" s="2722">
        <v>0</v>
      </c>
      <c r="AE10" s="2722">
        <v>0</v>
      </c>
      <c r="AF10" s="2722"/>
      <c r="AG10" s="2722"/>
      <c r="AH10" s="581">
        <f t="shared" si="1"/>
        <v>0.42000000000000004</v>
      </c>
    </row>
    <row r="11" spans="1:34" ht="12">
      <c r="A11" s="573" t="s">
        <v>149</v>
      </c>
      <c r="B11" s="480">
        <f t="shared" si="0"/>
        <v>0.183</v>
      </c>
      <c r="C11" s="2722">
        <v>0</v>
      </c>
      <c r="D11" s="2722">
        <v>0</v>
      </c>
      <c r="E11" s="2722">
        <v>0</v>
      </c>
      <c r="F11" s="2722">
        <v>0</v>
      </c>
      <c r="G11" s="2722">
        <v>0</v>
      </c>
      <c r="H11" s="2722">
        <v>0</v>
      </c>
      <c r="I11" s="2722">
        <v>0</v>
      </c>
      <c r="J11" s="2722">
        <v>0</v>
      </c>
      <c r="K11" s="2722">
        <v>0</v>
      </c>
      <c r="L11" s="2722">
        <v>0</v>
      </c>
      <c r="M11" s="2722">
        <v>0.183</v>
      </c>
      <c r="N11" s="2722">
        <v>0</v>
      </c>
      <c r="O11" s="2722">
        <v>0</v>
      </c>
      <c r="P11" s="2722">
        <v>0</v>
      </c>
      <c r="Q11" s="2722">
        <v>0</v>
      </c>
      <c r="R11" s="2722">
        <v>0</v>
      </c>
      <c r="S11" s="2722">
        <v>0</v>
      </c>
      <c r="T11" s="2722">
        <v>0</v>
      </c>
      <c r="U11" s="2722">
        <v>0</v>
      </c>
      <c r="V11" s="2722">
        <v>0</v>
      </c>
      <c r="W11" s="2722">
        <v>0</v>
      </c>
      <c r="X11" s="2722">
        <v>0</v>
      </c>
      <c r="Y11" s="2722">
        <v>0</v>
      </c>
      <c r="Z11" s="2722">
        <v>0</v>
      </c>
      <c r="AA11" s="2722">
        <v>0</v>
      </c>
      <c r="AB11" s="2722">
        <v>0</v>
      </c>
      <c r="AC11" s="2722">
        <v>0</v>
      </c>
      <c r="AD11" s="2722">
        <v>0</v>
      </c>
      <c r="AE11" s="2722">
        <v>0</v>
      </c>
      <c r="AF11" s="2722">
        <v>0</v>
      </c>
      <c r="AG11" s="2722">
        <v>0</v>
      </c>
      <c r="AH11" s="581">
        <f t="shared" si="1"/>
        <v>0.183</v>
      </c>
    </row>
    <row r="12" spans="1:34" ht="12">
      <c r="A12" s="573" t="s">
        <v>150</v>
      </c>
      <c r="B12" s="480">
        <f t="shared" si="0"/>
        <v>0.75</v>
      </c>
      <c r="C12" s="2722">
        <v>0</v>
      </c>
      <c r="D12" s="2722">
        <v>0</v>
      </c>
      <c r="E12" s="2722">
        <v>0</v>
      </c>
      <c r="F12" s="2722">
        <v>0</v>
      </c>
      <c r="G12" s="2722">
        <v>0</v>
      </c>
      <c r="H12" s="2722">
        <v>0</v>
      </c>
      <c r="I12" s="2722">
        <v>0</v>
      </c>
      <c r="J12" s="2722">
        <v>0</v>
      </c>
      <c r="K12" s="2722">
        <v>0</v>
      </c>
      <c r="L12" s="2722">
        <v>0</v>
      </c>
      <c r="M12" s="2722">
        <v>0</v>
      </c>
      <c r="N12" s="2722">
        <v>0</v>
      </c>
      <c r="O12" s="2722">
        <v>0</v>
      </c>
      <c r="P12" s="2722">
        <v>0</v>
      </c>
      <c r="Q12" s="2722">
        <v>0</v>
      </c>
      <c r="R12" s="2722">
        <v>0</v>
      </c>
      <c r="S12" s="2722">
        <v>0</v>
      </c>
      <c r="T12" s="2722">
        <v>0</v>
      </c>
      <c r="U12" s="2722">
        <v>0</v>
      </c>
      <c r="V12" s="2722">
        <v>0</v>
      </c>
      <c r="W12" s="2722">
        <v>0</v>
      </c>
      <c r="X12" s="2722">
        <v>0.5</v>
      </c>
      <c r="Y12" s="2722">
        <v>0</v>
      </c>
      <c r="Z12" s="2722">
        <v>0</v>
      </c>
      <c r="AA12" s="2722">
        <v>0</v>
      </c>
      <c r="AB12" s="2722">
        <v>0</v>
      </c>
      <c r="AC12" s="2722">
        <v>0</v>
      </c>
      <c r="AD12" s="2722">
        <v>0.25</v>
      </c>
      <c r="AE12" s="2722">
        <v>0</v>
      </c>
      <c r="AF12" s="2722">
        <v>0</v>
      </c>
      <c r="AG12" s="2722"/>
      <c r="AH12" s="581">
        <f t="shared" si="1"/>
        <v>0.75</v>
      </c>
    </row>
    <row r="13" spans="1:34" ht="12">
      <c r="A13" s="573" t="s">
        <v>151</v>
      </c>
      <c r="B13" s="480">
        <f t="shared" si="0"/>
        <v>1.3</v>
      </c>
      <c r="C13" s="2722">
        <v>0</v>
      </c>
      <c r="D13" s="2722">
        <v>0</v>
      </c>
      <c r="E13" s="2722">
        <v>0</v>
      </c>
      <c r="F13" s="2722">
        <v>0</v>
      </c>
      <c r="G13" s="2722">
        <v>0</v>
      </c>
      <c r="H13" s="2722">
        <v>0</v>
      </c>
      <c r="I13" s="2722">
        <v>0</v>
      </c>
      <c r="J13" s="2722">
        <v>0</v>
      </c>
      <c r="K13" s="2722">
        <v>0</v>
      </c>
      <c r="L13" s="2722">
        <v>0</v>
      </c>
      <c r="M13" s="2722">
        <v>0</v>
      </c>
      <c r="N13" s="2722">
        <v>0</v>
      </c>
      <c r="O13" s="2722">
        <v>0</v>
      </c>
      <c r="P13" s="2722">
        <v>0</v>
      </c>
      <c r="Q13" s="2722">
        <v>0</v>
      </c>
      <c r="R13" s="2722">
        <v>0</v>
      </c>
      <c r="S13" s="2722">
        <v>0</v>
      </c>
      <c r="T13" s="2722">
        <v>0</v>
      </c>
      <c r="U13" s="2722">
        <v>0</v>
      </c>
      <c r="V13" s="2722">
        <v>0</v>
      </c>
      <c r="W13" s="2722">
        <v>0</v>
      </c>
      <c r="X13" s="2722">
        <v>0</v>
      </c>
      <c r="Y13" s="2722">
        <v>0</v>
      </c>
      <c r="Z13" s="2722">
        <v>0</v>
      </c>
      <c r="AA13" s="2722">
        <v>1.3</v>
      </c>
      <c r="AB13" s="2722">
        <v>0</v>
      </c>
      <c r="AC13" s="2722">
        <v>0</v>
      </c>
      <c r="AD13" s="2722">
        <v>0</v>
      </c>
      <c r="AE13" s="2722">
        <v>0</v>
      </c>
      <c r="AF13" s="2722">
        <v>0</v>
      </c>
      <c r="AG13" s="2722">
        <v>0</v>
      </c>
      <c r="AH13" s="581">
        <f t="shared" si="1"/>
        <v>1.3</v>
      </c>
    </row>
    <row r="14" spans="1:34" ht="12">
      <c r="A14" s="573" t="s">
        <v>152</v>
      </c>
      <c r="B14" s="480">
        <f t="shared" si="0"/>
        <v>1</v>
      </c>
      <c r="C14" s="2722">
        <v>0</v>
      </c>
      <c r="D14" s="2895">
        <v>0</v>
      </c>
      <c r="E14" s="2722">
        <v>0</v>
      </c>
      <c r="F14" s="2722">
        <v>0</v>
      </c>
      <c r="G14" s="2722">
        <v>0</v>
      </c>
      <c r="H14" s="2722">
        <v>0</v>
      </c>
      <c r="I14" s="2722">
        <v>0</v>
      </c>
      <c r="J14" s="2722">
        <v>0</v>
      </c>
      <c r="K14" s="2722">
        <v>0</v>
      </c>
      <c r="L14" s="2722">
        <v>0</v>
      </c>
      <c r="M14" s="2722">
        <v>1</v>
      </c>
      <c r="N14" s="2722">
        <v>0</v>
      </c>
      <c r="O14" s="2722">
        <v>0</v>
      </c>
      <c r="P14" s="2722">
        <v>0</v>
      </c>
      <c r="Q14" s="2722">
        <v>0</v>
      </c>
      <c r="R14" s="2722">
        <v>0</v>
      </c>
      <c r="S14" s="2722">
        <v>0</v>
      </c>
      <c r="T14" s="2722">
        <v>0</v>
      </c>
      <c r="U14" s="2722">
        <v>0</v>
      </c>
      <c r="V14" s="2722">
        <v>0</v>
      </c>
      <c r="W14" s="2722">
        <v>0</v>
      </c>
      <c r="X14" s="2722">
        <v>0</v>
      </c>
      <c r="Y14" s="2722">
        <v>0</v>
      </c>
      <c r="Z14" s="2722">
        <v>0</v>
      </c>
      <c r="AA14" s="2722">
        <v>0</v>
      </c>
      <c r="AB14" s="2722">
        <v>0</v>
      </c>
      <c r="AC14" s="2722">
        <v>0</v>
      </c>
      <c r="AD14" s="2722">
        <v>0</v>
      </c>
      <c r="AE14" s="2722">
        <v>0</v>
      </c>
      <c r="AF14" s="2722">
        <v>0</v>
      </c>
      <c r="AG14" s="2722">
        <v>0</v>
      </c>
      <c r="AH14" s="581">
        <f t="shared" si="1"/>
        <v>1</v>
      </c>
    </row>
    <row r="15" spans="1:34" ht="12">
      <c r="A15" s="573" t="s">
        <v>153</v>
      </c>
      <c r="B15" s="480">
        <f t="shared" si="0"/>
        <v>0</v>
      </c>
      <c r="C15" s="2722"/>
      <c r="D15" s="2722"/>
      <c r="E15" s="2722"/>
      <c r="F15" s="2722"/>
      <c r="G15" s="2722"/>
      <c r="H15" s="2722"/>
      <c r="I15" s="2722"/>
      <c r="J15" s="2722"/>
      <c r="K15" s="2722"/>
      <c r="L15" s="2722"/>
      <c r="M15" s="2722"/>
      <c r="N15" s="2722"/>
      <c r="O15" s="2722"/>
      <c r="P15" s="2722"/>
      <c r="Q15" s="2722"/>
      <c r="R15" s="2722"/>
      <c r="S15" s="2722"/>
      <c r="T15" s="2722"/>
      <c r="U15" s="2722"/>
      <c r="V15" s="2722"/>
      <c r="W15" s="2722"/>
      <c r="X15" s="2722"/>
      <c r="Y15" s="2722"/>
      <c r="Z15" s="2722"/>
      <c r="AA15" s="2722"/>
      <c r="AB15" s="2722"/>
      <c r="AC15" s="2722"/>
      <c r="AD15" s="2722"/>
      <c r="AE15" s="2722"/>
      <c r="AF15" s="2722"/>
      <c r="AG15" s="2896"/>
      <c r="AH15" s="581">
        <f t="shared" si="1"/>
        <v>0</v>
      </c>
    </row>
    <row r="16" spans="1:34" ht="12">
      <c r="A16" s="573" t="s">
        <v>154</v>
      </c>
      <c r="B16" s="480">
        <f t="shared" si="0"/>
        <v>0</v>
      </c>
      <c r="C16" s="2722"/>
      <c r="D16" s="2722"/>
      <c r="E16" s="2722"/>
      <c r="F16" s="2722"/>
      <c r="G16" s="2722"/>
      <c r="H16" s="2722"/>
      <c r="I16" s="2722"/>
      <c r="J16" s="2722"/>
      <c r="K16" s="2722"/>
      <c r="L16" s="2722"/>
      <c r="M16" s="2722"/>
      <c r="N16" s="2722"/>
      <c r="O16" s="2722"/>
      <c r="P16" s="2722"/>
      <c r="Q16" s="2722"/>
      <c r="R16" s="2722"/>
      <c r="S16" s="2722"/>
      <c r="T16" s="2722"/>
      <c r="U16" s="2722"/>
      <c r="V16" s="2722"/>
      <c r="W16" s="2722"/>
      <c r="X16" s="2722"/>
      <c r="Y16" s="2722"/>
      <c r="Z16" s="2722"/>
      <c r="AA16" s="2722"/>
      <c r="AB16" s="2722"/>
      <c r="AC16" s="2722"/>
      <c r="AD16" s="2722"/>
      <c r="AE16" s="2722"/>
      <c r="AF16" s="2722"/>
      <c r="AG16" s="2722"/>
      <c r="AH16" s="581">
        <f t="shared" si="1"/>
        <v>0</v>
      </c>
    </row>
    <row r="17" spans="1:34" ht="12">
      <c r="A17" s="573" t="s">
        <v>155</v>
      </c>
      <c r="B17" s="480">
        <f t="shared" si="0"/>
        <v>0</v>
      </c>
      <c r="C17" s="2722"/>
      <c r="D17" s="2722"/>
      <c r="E17" s="2722"/>
      <c r="F17" s="2722"/>
      <c r="G17" s="2722"/>
      <c r="H17" s="2722"/>
      <c r="I17" s="2722"/>
      <c r="J17" s="2722"/>
      <c r="K17" s="2722"/>
      <c r="L17" s="2722"/>
      <c r="M17" s="2722"/>
      <c r="N17" s="2722"/>
      <c r="O17" s="2722"/>
      <c r="P17" s="2722"/>
      <c r="Q17" s="2722"/>
      <c r="R17" s="2722"/>
      <c r="S17" s="2722"/>
      <c r="T17" s="2722"/>
      <c r="U17" s="2722"/>
      <c r="V17" s="2722"/>
      <c r="W17" s="2722"/>
      <c r="X17" s="2722"/>
      <c r="Y17" s="2722"/>
      <c r="Z17" s="2722"/>
      <c r="AA17" s="2722"/>
      <c r="AB17" s="2722"/>
      <c r="AC17" s="2722"/>
      <c r="AD17" s="2722"/>
      <c r="AE17" s="2722"/>
      <c r="AF17" s="2722"/>
      <c r="AG17" s="2722"/>
      <c r="AH17" s="581">
        <f>SUM(C17:AG17)</f>
        <v>0</v>
      </c>
    </row>
    <row r="18" spans="1:34" ht="12">
      <c r="A18" s="573" t="s">
        <v>156</v>
      </c>
      <c r="B18" s="480">
        <f t="shared" si="0"/>
        <v>0.5</v>
      </c>
      <c r="C18" s="2722"/>
      <c r="D18" s="2722"/>
      <c r="E18" s="2722"/>
      <c r="F18" s="2722"/>
      <c r="G18" s="2722">
        <v>0.5</v>
      </c>
      <c r="H18" s="2722"/>
      <c r="I18" s="2722"/>
      <c r="J18" s="2722"/>
      <c r="K18" s="2722"/>
      <c r="L18" s="2722"/>
      <c r="M18" s="2722"/>
      <c r="N18" s="2722"/>
      <c r="O18" s="2722"/>
      <c r="P18" s="2722"/>
      <c r="Q18" s="2722"/>
      <c r="R18" s="2722"/>
      <c r="S18" s="2722"/>
      <c r="T18" s="2722"/>
      <c r="U18" s="2722"/>
      <c r="V18" s="2722"/>
      <c r="W18" s="2722"/>
      <c r="X18" s="2722"/>
      <c r="Y18" s="2722"/>
      <c r="Z18" s="2722"/>
      <c r="AA18" s="2722"/>
      <c r="AB18" s="2722"/>
      <c r="AC18" s="2722"/>
      <c r="AD18" s="2722"/>
      <c r="AE18" s="2722"/>
      <c r="AF18" s="2722"/>
      <c r="AG18" s="2722"/>
      <c r="AH18" s="581">
        <f>SUM(C18:AG18)</f>
        <v>0.5</v>
      </c>
    </row>
    <row r="19" spans="1:34" ht="12">
      <c r="A19" s="1432" t="s">
        <v>144</v>
      </c>
      <c r="B19" s="1891">
        <f t="shared" ref="B19:AH19" si="2">SUM(B7:B18)</f>
        <v>12.128</v>
      </c>
      <c r="C19" s="581">
        <f t="shared" si="2"/>
        <v>0</v>
      </c>
      <c r="D19" s="581">
        <f t="shared" si="2"/>
        <v>0</v>
      </c>
      <c r="E19" s="581">
        <f t="shared" si="2"/>
        <v>0</v>
      </c>
      <c r="F19" s="581">
        <f t="shared" si="2"/>
        <v>0.2</v>
      </c>
      <c r="G19" s="581">
        <f t="shared" si="2"/>
        <v>0.5</v>
      </c>
      <c r="H19" s="581">
        <f t="shared" si="2"/>
        <v>0</v>
      </c>
      <c r="I19" s="581">
        <f t="shared" si="2"/>
        <v>0</v>
      </c>
      <c r="J19" s="581">
        <f t="shared" si="2"/>
        <v>0</v>
      </c>
      <c r="K19" s="581">
        <f t="shared" si="2"/>
        <v>0</v>
      </c>
      <c r="L19" s="581">
        <f t="shared" si="2"/>
        <v>0</v>
      </c>
      <c r="M19" s="581">
        <f t="shared" si="2"/>
        <v>1.1830000000000001</v>
      </c>
      <c r="N19" s="581">
        <f t="shared" si="2"/>
        <v>0</v>
      </c>
      <c r="O19" s="581">
        <f t="shared" si="2"/>
        <v>0</v>
      </c>
      <c r="P19" s="581">
        <f t="shared" si="2"/>
        <v>0</v>
      </c>
      <c r="Q19" s="581">
        <f t="shared" si="2"/>
        <v>0.5</v>
      </c>
      <c r="R19" s="581">
        <f t="shared" si="2"/>
        <v>0</v>
      </c>
      <c r="S19" s="581">
        <f t="shared" si="2"/>
        <v>7.4749999999999996</v>
      </c>
      <c r="T19" s="581">
        <f t="shared" si="2"/>
        <v>0</v>
      </c>
      <c r="U19" s="581">
        <f t="shared" si="2"/>
        <v>0</v>
      </c>
      <c r="V19" s="581">
        <f t="shared" si="2"/>
        <v>0</v>
      </c>
      <c r="W19" s="581">
        <f t="shared" si="2"/>
        <v>0</v>
      </c>
      <c r="X19" s="581">
        <f t="shared" si="2"/>
        <v>0.5</v>
      </c>
      <c r="Y19" s="581">
        <f t="shared" si="2"/>
        <v>0.22</v>
      </c>
      <c r="Z19" s="581">
        <f t="shared" si="2"/>
        <v>0</v>
      </c>
      <c r="AA19" s="581">
        <f t="shared" si="2"/>
        <v>1.3</v>
      </c>
      <c r="AB19" s="581">
        <f t="shared" si="2"/>
        <v>0</v>
      </c>
      <c r="AC19" s="581">
        <f t="shared" si="2"/>
        <v>0</v>
      </c>
      <c r="AD19" s="581">
        <f t="shared" si="2"/>
        <v>0.25</v>
      </c>
      <c r="AE19" s="581">
        <f t="shared" si="2"/>
        <v>0</v>
      </c>
      <c r="AF19" s="581">
        <f t="shared" si="2"/>
        <v>0</v>
      </c>
      <c r="AG19" s="581">
        <f t="shared" si="2"/>
        <v>0</v>
      </c>
      <c r="AH19" s="581">
        <f t="shared" si="2"/>
        <v>12.128</v>
      </c>
    </row>
    <row r="20" spans="1:34" ht="12">
      <c r="A20" s="571"/>
      <c r="B20" s="571"/>
      <c r="C20" s="571"/>
      <c r="D20" s="142"/>
      <c r="E20" s="142"/>
      <c r="F20" s="142"/>
      <c r="G20" s="142"/>
      <c r="H20" s="142"/>
      <c r="I20" s="142"/>
      <c r="J20" s="142"/>
      <c r="K20" s="142"/>
      <c r="L20" s="570"/>
      <c r="M20" s="142"/>
      <c r="N20" s="142"/>
      <c r="O20" s="142"/>
      <c r="P20" s="142"/>
      <c r="Q20" s="142"/>
      <c r="R20" s="142"/>
      <c r="S20" s="142"/>
      <c r="T20" s="142"/>
      <c r="U20" s="142"/>
      <c r="V20" s="142"/>
      <c r="W20" s="142"/>
      <c r="X20" s="142"/>
      <c r="Y20" s="142"/>
      <c r="Z20" s="142"/>
      <c r="AA20" s="142"/>
      <c r="AB20" s="142"/>
      <c r="AC20" s="142"/>
      <c r="AD20" s="142"/>
      <c r="AE20" s="142"/>
      <c r="AF20" s="142"/>
      <c r="AG20" s="142"/>
      <c r="AH20" s="571"/>
    </row>
    <row r="21" spans="1:34" ht="12">
      <c r="A21" s="3864" t="s">
        <v>157</v>
      </c>
      <c r="B21" s="3865"/>
      <c r="C21" s="3866"/>
      <c r="D21" s="142"/>
      <c r="E21" s="142"/>
      <c r="F21" s="142"/>
      <c r="G21" s="3280"/>
      <c r="H21" s="142"/>
      <c r="I21" s="142"/>
      <c r="J21" s="142"/>
      <c r="K21" s="142"/>
      <c r="L21" s="142"/>
      <c r="M21" s="570"/>
      <c r="N21" s="142"/>
      <c r="O21" s="142"/>
      <c r="P21" s="142"/>
      <c r="Q21" s="142"/>
      <c r="R21" s="142"/>
      <c r="S21" s="142"/>
      <c r="T21" s="142"/>
      <c r="U21" s="142"/>
      <c r="V21" s="142"/>
      <c r="W21" s="142"/>
      <c r="X21" s="142"/>
      <c r="Y21" s="142"/>
      <c r="Z21" s="142"/>
      <c r="AA21" s="142"/>
      <c r="AB21" s="142"/>
      <c r="AC21" s="142"/>
      <c r="AD21" s="142"/>
      <c r="AE21" s="142"/>
      <c r="AF21" s="142"/>
      <c r="AG21" s="142"/>
      <c r="AH21" s="571"/>
    </row>
    <row r="22" spans="1:34" ht="12">
      <c r="A22" s="572" t="s">
        <v>142</v>
      </c>
      <c r="B22" s="573" t="s">
        <v>143</v>
      </c>
      <c r="C22" s="572">
        <v>1</v>
      </c>
      <c r="D22" s="573">
        <v>2</v>
      </c>
      <c r="E22" s="573">
        <v>3</v>
      </c>
      <c r="F22" s="573">
        <v>4</v>
      </c>
      <c r="G22" s="573">
        <v>5</v>
      </c>
      <c r="H22" s="573">
        <v>6</v>
      </c>
      <c r="I22" s="573">
        <v>7</v>
      </c>
      <c r="J22" s="573">
        <v>8</v>
      </c>
      <c r="K22" s="573">
        <v>9</v>
      </c>
      <c r="L22" s="573">
        <v>10</v>
      </c>
      <c r="M22" s="573">
        <v>11</v>
      </c>
      <c r="N22" s="573">
        <v>12</v>
      </c>
      <c r="O22" s="573">
        <v>13</v>
      </c>
      <c r="P22" s="573">
        <v>14</v>
      </c>
      <c r="Q22" s="573">
        <v>15</v>
      </c>
      <c r="R22" s="573">
        <v>16</v>
      </c>
      <c r="S22" s="573">
        <v>17</v>
      </c>
      <c r="T22" s="573">
        <v>18</v>
      </c>
      <c r="U22" s="573">
        <v>19</v>
      </c>
      <c r="V22" s="573">
        <v>20</v>
      </c>
      <c r="W22" s="573">
        <v>21</v>
      </c>
      <c r="X22" s="573">
        <v>22</v>
      </c>
      <c r="Y22" s="573">
        <v>23</v>
      </c>
      <c r="Z22" s="573">
        <v>24</v>
      </c>
      <c r="AA22" s="573">
        <v>25</v>
      </c>
      <c r="AB22" s="573">
        <v>26</v>
      </c>
      <c r="AC22" s="573">
        <v>27</v>
      </c>
      <c r="AD22" s="573">
        <v>28</v>
      </c>
      <c r="AE22" s="573">
        <v>29</v>
      </c>
      <c r="AF22" s="573">
        <v>30</v>
      </c>
      <c r="AG22" s="573">
        <v>31</v>
      </c>
      <c r="AH22" s="2035" t="s">
        <v>144</v>
      </c>
    </row>
    <row r="23" spans="1:34" ht="12">
      <c r="A23" s="573" t="s">
        <v>145</v>
      </c>
      <c r="B23" s="480">
        <f t="shared" ref="B23:B34" si="3">+AH23</f>
        <v>0</v>
      </c>
      <c r="C23" s="579"/>
      <c r="D23" s="579"/>
      <c r="E23" s="579"/>
      <c r="F23" s="579"/>
      <c r="G23" s="579"/>
      <c r="H23" s="579"/>
      <c r="I23" s="579"/>
      <c r="J23" s="579"/>
      <c r="K23" s="579"/>
      <c r="L23" s="579"/>
      <c r="M23" s="579"/>
      <c r="N23" s="579"/>
      <c r="O23" s="579"/>
      <c r="P23" s="579"/>
      <c r="Q23" s="579"/>
      <c r="R23" s="579"/>
      <c r="S23" s="579"/>
      <c r="T23" s="579"/>
      <c r="U23" s="579"/>
      <c r="V23" s="579"/>
      <c r="W23" s="579"/>
      <c r="X23" s="579"/>
      <c r="Y23" s="579"/>
      <c r="Z23" s="579"/>
      <c r="AA23" s="579"/>
      <c r="AB23" s="579"/>
      <c r="AC23" s="579"/>
      <c r="AD23" s="579"/>
      <c r="AE23" s="579"/>
      <c r="AF23" s="579"/>
      <c r="AG23" s="579"/>
      <c r="AH23" s="581">
        <f>SUM(C23:AG23)</f>
        <v>0</v>
      </c>
    </row>
    <row r="24" spans="1:34" ht="12">
      <c r="A24" s="573" t="s">
        <v>146</v>
      </c>
      <c r="B24" s="480">
        <f t="shared" si="3"/>
        <v>7.52</v>
      </c>
      <c r="C24" s="579"/>
      <c r="D24" s="2897"/>
      <c r="E24" s="2897"/>
      <c r="F24" s="2897"/>
      <c r="G24" s="2897"/>
      <c r="H24" s="2897"/>
      <c r="I24" s="2897"/>
      <c r="J24" s="2897"/>
      <c r="K24" s="2897"/>
      <c r="L24" s="2897"/>
      <c r="M24" s="2897">
        <v>0.2</v>
      </c>
      <c r="N24" s="2897"/>
      <c r="O24" s="2897"/>
      <c r="P24" s="2897"/>
      <c r="Q24" s="2897">
        <v>4.8099999999999996</v>
      </c>
      <c r="R24" s="2897"/>
      <c r="S24" s="2897"/>
      <c r="T24" s="2897"/>
      <c r="U24" s="2897"/>
      <c r="V24" s="2897"/>
      <c r="W24" s="2897"/>
      <c r="X24" s="2897"/>
      <c r="Y24" s="579"/>
      <c r="Z24" s="579"/>
      <c r="AA24" s="579"/>
      <c r="AB24" s="579"/>
      <c r="AC24" s="579"/>
      <c r="AD24" s="579"/>
      <c r="AE24" s="579">
        <v>2.5099999999999998</v>
      </c>
      <c r="AF24" s="579"/>
      <c r="AG24" s="579"/>
      <c r="AH24" s="581">
        <f t="shared" ref="AH24:AH34" si="4">SUM(C24:AG24)</f>
        <v>7.52</v>
      </c>
    </row>
    <row r="25" spans="1:34" ht="12">
      <c r="A25" s="573" t="s">
        <v>147</v>
      </c>
      <c r="B25" s="480">
        <f t="shared" si="3"/>
        <v>37.424999999999997</v>
      </c>
      <c r="C25" s="1435"/>
      <c r="D25" s="1435"/>
      <c r="E25" s="2898">
        <v>2.9</v>
      </c>
      <c r="F25" s="2899"/>
      <c r="G25" s="2900"/>
      <c r="H25" s="1443"/>
      <c r="I25" s="1436"/>
      <c r="J25" s="1435"/>
      <c r="K25" s="1446"/>
      <c r="L25" s="1446"/>
      <c r="M25" s="1435"/>
      <c r="N25" s="1435"/>
      <c r="O25" s="1435">
        <v>4.12</v>
      </c>
      <c r="P25" s="1443"/>
      <c r="Q25" s="1443">
        <v>21.405000000000001</v>
      </c>
      <c r="R25" s="1443"/>
      <c r="S25" s="1443"/>
      <c r="T25" s="1443"/>
      <c r="U25" s="1436"/>
      <c r="V25" s="1443">
        <v>5.63</v>
      </c>
      <c r="W25" s="1443"/>
      <c r="X25" s="1436"/>
      <c r="Y25" s="1443"/>
      <c r="Z25" s="1436">
        <v>3.37</v>
      </c>
      <c r="AA25" s="1443"/>
      <c r="AB25" s="1443"/>
      <c r="AC25" s="1436"/>
      <c r="AD25" s="1436"/>
      <c r="AE25" s="2901"/>
      <c r="AF25" s="1446"/>
      <c r="AG25" s="1446"/>
      <c r="AH25" s="581">
        <f t="shared" si="4"/>
        <v>37.424999999999997</v>
      </c>
    </row>
    <row r="26" spans="1:34" ht="12">
      <c r="A26" s="573" t="s">
        <v>148</v>
      </c>
      <c r="B26" s="480">
        <f t="shared" si="3"/>
        <v>51.120000000000005</v>
      </c>
      <c r="C26" s="1440"/>
      <c r="E26" s="2902"/>
      <c r="F26" s="2903"/>
      <c r="G26" s="865"/>
      <c r="H26" s="2904"/>
      <c r="I26" s="1443"/>
      <c r="J26" s="1436"/>
      <c r="K26" s="1436"/>
      <c r="L26" s="1436">
        <v>1.87</v>
      </c>
      <c r="M26" s="1446">
        <v>8.5500000000000007</v>
      </c>
      <c r="N26" s="1435">
        <v>6.1300000000000008</v>
      </c>
      <c r="O26" s="1446"/>
      <c r="P26" s="1446"/>
      <c r="Q26" s="1436"/>
      <c r="R26" s="1436"/>
      <c r="S26" s="1443"/>
      <c r="T26" s="1443">
        <v>8.64</v>
      </c>
      <c r="U26" s="1435">
        <v>4.7799999999999994</v>
      </c>
      <c r="V26" s="1443">
        <v>6.8</v>
      </c>
      <c r="W26" s="1443"/>
      <c r="X26" s="1443"/>
      <c r="Y26" s="1443"/>
      <c r="Z26" s="1443">
        <v>7.0200000000000005</v>
      </c>
      <c r="AA26" s="1436">
        <v>7.33</v>
      </c>
      <c r="AB26" s="1436"/>
      <c r="AC26" s="1435"/>
      <c r="AD26" s="1436"/>
      <c r="AE26" s="1443"/>
      <c r="AF26" s="1446"/>
      <c r="AG26" s="1446"/>
      <c r="AH26" s="581">
        <f t="shared" si="4"/>
        <v>51.120000000000005</v>
      </c>
    </row>
    <row r="27" spans="1:34" ht="12">
      <c r="A27" s="573" t="s">
        <v>149</v>
      </c>
      <c r="B27" s="480">
        <f t="shared" si="3"/>
        <v>26.169999999999995</v>
      </c>
      <c r="C27" s="579"/>
      <c r="D27" s="579"/>
      <c r="E27" s="579"/>
      <c r="F27" s="579">
        <v>0.2</v>
      </c>
      <c r="G27" s="579"/>
      <c r="H27" s="579"/>
      <c r="I27" s="579"/>
      <c r="J27" s="579">
        <v>2.63</v>
      </c>
      <c r="K27" s="579"/>
      <c r="L27" s="579"/>
      <c r="M27" s="579"/>
      <c r="N27" s="579"/>
      <c r="O27" s="579"/>
      <c r="P27" s="579"/>
      <c r="Q27" s="579">
        <v>0.3</v>
      </c>
      <c r="R27" s="579"/>
      <c r="S27" s="579"/>
      <c r="T27" s="579"/>
      <c r="U27" s="579"/>
      <c r="V27" s="579"/>
      <c r="W27" s="579"/>
      <c r="X27" s="579"/>
      <c r="Y27" s="579">
        <v>12.91</v>
      </c>
      <c r="Z27" s="579">
        <v>10.01</v>
      </c>
      <c r="AA27" s="579"/>
      <c r="AB27" s="579"/>
      <c r="AC27" s="579"/>
      <c r="AD27" s="579"/>
      <c r="AE27" s="579">
        <v>0.08</v>
      </c>
      <c r="AF27" s="579"/>
      <c r="AG27" s="579">
        <v>0.04</v>
      </c>
      <c r="AH27" s="581">
        <f t="shared" si="4"/>
        <v>26.169999999999995</v>
      </c>
    </row>
    <row r="28" spans="1:34" ht="12">
      <c r="A28" s="573" t="s">
        <v>150</v>
      </c>
      <c r="B28" s="480">
        <f t="shared" si="3"/>
        <v>25.47</v>
      </c>
      <c r="C28" s="579">
        <v>5.49</v>
      </c>
      <c r="D28" s="579"/>
      <c r="E28" s="579"/>
      <c r="F28" s="579"/>
      <c r="G28" s="579"/>
      <c r="H28" s="579"/>
      <c r="I28" s="579"/>
      <c r="J28" s="579"/>
      <c r="K28" s="579"/>
      <c r="L28" s="579"/>
      <c r="M28" s="579"/>
      <c r="N28" s="579">
        <v>9.8800000000000008</v>
      </c>
      <c r="O28" s="579"/>
      <c r="P28" s="579">
        <v>10.1</v>
      </c>
      <c r="Q28" s="579"/>
      <c r="R28" s="579"/>
      <c r="S28" s="579"/>
      <c r="T28" s="579"/>
      <c r="U28" s="579"/>
      <c r="V28" s="579"/>
      <c r="W28" s="579"/>
      <c r="X28" s="579"/>
      <c r="Y28" s="579"/>
      <c r="Z28" s="579"/>
      <c r="AA28" s="579"/>
      <c r="AB28" s="579"/>
      <c r="AC28" s="579"/>
      <c r="AD28" s="579"/>
      <c r="AE28" s="579"/>
      <c r="AF28" s="579"/>
      <c r="AG28" s="579"/>
      <c r="AH28" s="581">
        <f t="shared" si="4"/>
        <v>25.47</v>
      </c>
    </row>
    <row r="29" spans="1:34" ht="12">
      <c r="A29" s="573" t="s">
        <v>151</v>
      </c>
      <c r="B29" s="480">
        <f t="shared" si="3"/>
        <v>2.605</v>
      </c>
      <c r="C29" s="579"/>
      <c r="D29" s="579">
        <v>0.7</v>
      </c>
      <c r="E29" s="579"/>
      <c r="F29" s="579"/>
      <c r="G29" s="579">
        <v>0.15</v>
      </c>
      <c r="H29" s="579"/>
      <c r="I29" s="579"/>
      <c r="J29" s="579"/>
      <c r="K29" s="579">
        <v>1.4999999999999999E-2</v>
      </c>
      <c r="L29" s="579"/>
      <c r="M29" s="579"/>
      <c r="N29" s="579"/>
      <c r="O29" s="579"/>
      <c r="P29" s="579"/>
      <c r="Q29" s="579"/>
      <c r="R29" s="579"/>
      <c r="S29" s="579"/>
      <c r="T29" s="579"/>
      <c r="U29" s="579"/>
      <c r="V29" s="579">
        <v>0.04</v>
      </c>
      <c r="W29" s="579"/>
      <c r="X29" s="579"/>
      <c r="Y29" s="579"/>
      <c r="Z29" s="579"/>
      <c r="AA29" s="579"/>
      <c r="AB29" s="579"/>
      <c r="AC29" s="579"/>
      <c r="AD29" s="579">
        <v>1.7</v>
      </c>
      <c r="AE29" s="579"/>
      <c r="AF29" s="579"/>
      <c r="AG29" s="579"/>
      <c r="AH29" s="581">
        <f t="shared" si="4"/>
        <v>2.605</v>
      </c>
    </row>
    <row r="30" spans="1:34" ht="12">
      <c r="A30" s="573" t="s">
        <v>152</v>
      </c>
      <c r="B30" s="480">
        <f t="shared" si="3"/>
        <v>4.08</v>
      </c>
      <c r="C30" s="579"/>
      <c r="D30" s="579"/>
      <c r="E30" s="579"/>
      <c r="F30" s="579"/>
      <c r="G30" s="579"/>
      <c r="H30" s="579"/>
      <c r="I30" s="579"/>
      <c r="J30" s="579"/>
      <c r="K30" s="579"/>
      <c r="L30" s="579"/>
      <c r="M30" s="579"/>
      <c r="N30" s="579"/>
      <c r="O30" s="579"/>
      <c r="P30" s="579"/>
      <c r="Q30" s="579"/>
      <c r="R30" s="579">
        <v>2.0099999999999998</v>
      </c>
      <c r="S30" s="579"/>
      <c r="T30" s="579"/>
      <c r="U30" s="579"/>
      <c r="V30" s="579"/>
      <c r="W30" s="579">
        <v>1.87</v>
      </c>
      <c r="X30" s="579"/>
      <c r="Y30" s="579"/>
      <c r="Z30" s="579"/>
      <c r="AA30" s="579"/>
      <c r="AB30" s="579"/>
      <c r="AC30" s="579"/>
      <c r="AD30" s="579"/>
      <c r="AE30" s="579">
        <v>0.2</v>
      </c>
      <c r="AF30" s="579"/>
      <c r="AG30" s="579"/>
      <c r="AH30" s="581">
        <f t="shared" si="4"/>
        <v>4.08</v>
      </c>
    </row>
    <row r="31" spans="1:34" ht="12">
      <c r="A31" s="573" t="s">
        <v>153</v>
      </c>
      <c r="B31" s="480">
        <f t="shared" si="3"/>
        <v>0.08</v>
      </c>
      <c r="C31" s="579"/>
      <c r="D31" s="579"/>
      <c r="E31" s="579"/>
      <c r="F31" s="579"/>
      <c r="G31" s="579"/>
      <c r="H31" s="579"/>
      <c r="I31" s="579"/>
      <c r="J31" s="579"/>
      <c r="K31" s="579"/>
      <c r="L31" s="579"/>
      <c r="M31" s="579"/>
      <c r="N31" s="579"/>
      <c r="O31" s="579"/>
      <c r="P31" s="579"/>
      <c r="Q31" s="579"/>
      <c r="R31" s="579"/>
      <c r="S31" s="579"/>
      <c r="T31" s="579"/>
      <c r="U31" s="579"/>
      <c r="V31" s="579"/>
      <c r="W31" s="579"/>
      <c r="X31" s="579"/>
      <c r="Y31" s="579"/>
      <c r="Z31" s="579"/>
      <c r="AA31" s="579"/>
      <c r="AB31" s="579"/>
      <c r="AC31" s="579"/>
      <c r="AD31" s="579">
        <v>0.08</v>
      </c>
      <c r="AE31" s="579"/>
      <c r="AF31" s="579"/>
      <c r="AG31" s="579"/>
      <c r="AH31" s="581">
        <f t="shared" si="4"/>
        <v>0.08</v>
      </c>
    </row>
    <row r="32" spans="1:34" ht="12">
      <c r="A32" s="573" t="s">
        <v>154</v>
      </c>
      <c r="B32" s="480">
        <f t="shared" si="3"/>
        <v>14.280000000000001</v>
      </c>
      <c r="C32" s="579"/>
      <c r="D32" s="579">
        <v>2.08</v>
      </c>
      <c r="E32" s="579"/>
      <c r="F32" s="579">
        <v>6.07</v>
      </c>
      <c r="G32" s="579"/>
      <c r="H32" s="579">
        <v>0.23</v>
      </c>
      <c r="I32" s="579"/>
      <c r="J32" s="579"/>
      <c r="K32" s="579"/>
      <c r="L32" s="579"/>
      <c r="M32" s="579"/>
      <c r="N32" s="579"/>
      <c r="O32" s="579"/>
      <c r="P32" s="579"/>
      <c r="Q32" s="579"/>
      <c r="R32" s="2035"/>
      <c r="S32" s="2035"/>
      <c r="T32" s="2035"/>
      <c r="U32" s="2035"/>
      <c r="V32" s="2035">
        <v>4.67</v>
      </c>
      <c r="W32" s="2035"/>
      <c r="X32" s="2035"/>
      <c r="Y32" s="2035"/>
      <c r="Z32" s="2035"/>
      <c r="AA32" s="2035"/>
      <c r="AB32" s="2035">
        <v>0.16</v>
      </c>
      <c r="AC32" s="2035">
        <v>7.0000000000000007E-2</v>
      </c>
      <c r="AD32" s="2035"/>
      <c r="AE32" s="2035">
        <v>1</v>
      </c>
      <c r="AF32" s="2035"/>
      <c r="AG32" s="2035"/>
      <c r="AH32" s="581">
        <f t="shared" si="4"/>
        <v>14.280000000000001</v>
      </c>
    </row>
    <row r="33" spans="1:34" ht="12">
      <c r="A33" s="573" t="s">
        <v>155</v>
      </c>
      <c r="B33" s="480">
        <f t="shared" si="3"/>
        <v>3.9720000000000004</v>
      </c>
      <c r="C33" s="579"/>
      <c r="D33" s="2035"/>
      <c r="E33" s="2035"/>
      <c r="F33" s="2035"/>
      <c r="G33" s="2035"/>
      <c r="H33" s="2035"/>
      <c r="I33" s="2035"/>
      <c r="J33" s="2035"/>
      <c r="K33" s="2035">
        <v>2.06</v>
      </c>
      <c r="L33" s="2035"/>
      <c r="M33" s="2035"/>
      <c r="N33" s="2035"/>
      <c r="O33" s="2035">
        <v>0.91</v>
      </c>
      <c r="P33" s="2035"/>
      <c r="Q33" s="2035"/>
      <c r="R33" s="2905"/>
      <c r="S33" s="2905">
        <v>0.6</v>
      </c>
      <c r="T33" s="2905"/>
      <c r="U33" s="2905"/>
      <c r="V33" s="2905"/>
      <c r="W33" s="2905"/>
      <c r="X33" s="2905"/>
      <c r="Y33" s="2905"/>
      <c r="Z33" s="2905"/>
      <c r="AA33" s="2905"/>
      <c r="AB33" s="2905">
        <v>1.2E-2</v>
      </c>
      <c r="AC33" s="2905"/>
      <c r="AD33" s="2905">
        <v>0.39</v>
      </c>
      <c r="AE33" s="2905"/>
      <c r="AF33" s="2905"/>
      <c r="AG33" s="579"/>
      <c r="AH33" s="581">
        <f>SUM(C33:AG33)</f>
        <v>3.9720000000000004</v>
      </c>
    </row>
    <row r="34" spans="1:34" ht="12">
      <c r="A34" s="573" t="s">
        <v>156</v>
      </c>
      <c r="B34" s="480">
        <f t="shared" si="3"/>
        <v>0.2</v>
      </c>
      <c r="C34" s="579"/>
      <c r="D34" s="2905"/>
      <c r="E34" s="2905"/>
      <c r="F34" s="2905"/>
      <c r="G34" s="579"/>
      <c r="H34" s="579"/>
      <c r="I34" s="579"/>
      <c r="J34" s="579"/>
      <c r="K34" s="579"/>
      <c r="L34" s="579"/>
      <c r="M34" s="579"/>
      <c r="N34" s="579"/>
      <c r="O34" s="579"/>
      <c r="P34" s="579"/>
      <c r="Q34" s="579"/>
      <c r="R34" s="579"/>
      <c r="S34" s="579"/>
      <c r="T34" s="579"/>
      <c r="U34" s="579"/>
      <c r="V34" s="579"/>
      <c r="W34" s="579"/>
      <c r="X34" s="579"/>
      <c r="Y34" s="579">
        <v>0.2</v>
      </c>
      <c r="Z34" s="579"/>
      <c r="AA34" s="579"/>
      <c r="AB34" s="579"/>
      <c r="AC34" s="579"/>
      <c r="AD34" s="579"/>
      <c r="AE34" s="579"/>
      <c r="AF34" s="579"/>
      <c r="AG34" s="579"/>
      <c r="AH34" s="581">
        <f t="shared" si="4"/>
        <v>0.2</v>
      </c>
    </row>
    <row r="35" spans="1:34" ht="12">
      <c r="A35" s="1432" t="s">
        <v>144</v>
      </c>
      <c r="B35" s="580">
        <f>SUM(B23:B34)</f>
        <v>172.922</v>
      </c>
      <c r="C35" s="581"/>
      <c r="D35" s="581"/>
      <c r="E35" s="581"/>
      <c r="F35" s="581"/>
      <c r="G35" s="581"/>
      <c r="H35" s="581"/>
      <c r="I35" s="581"/>
      <c r="J35" s="581"/>
      <c r="K35" s="581"/>
      <c r="L35" s="581"/>
      <c r="M35" s="581"/>
      <c r="N35" s="581"/>
      <c r="O35" s="581"/>
      <c r="P35" s="581"/>
      <c r="Q35" s="581" t="s">
        <v>1126</v>
      </c>
      <c r="R35" s="581"/>
      <c r="S35" s="581"/>
      <c r="T35" s="581"/>
      <c r="U35" s="581"/>
      <c r="V35" s="581"/>
      <c r="W35" s="581"/>
      <c r="X35" s="581"/>
      <c r="Y35" s="581"/>
      <c r="Z35" s="581"/>
      <c r="AA35" s="581"/>
      <c r="AB35" s="581"/>
      <c r="AC35" s="581"/>
      <c r="AD35" s="581"/>
      <c r="AE35" s="581"/>
      <c r="AF35" s="581"/>
      <c r="AG35" s="581"/>
      <c r="AH35" s="581">
        <f>SUM(AH23:AH34)</f>
        <v>172.922</v>
      </c>
    </row>
    <row r="36" spans="1:34" ht="12">
      <c r="A36" s="1448"/>
      <c r="B36" s="1448"/>
      <c r="C36" s="571"/>
      <c r="D36" s="142"/>
      <c r="E36" s="142"/>
      <c r="F36" s="142"/>
      <c r="G36" s="142"/>
      <c r="H36" s="142"/>
      <c r="I36" s="142"/>
      <c r="J36" s="142"/>
      <c r="K36" s="142"/>
      <c r="L36" s="142"/>
      <c r="M36" s="142"/>
      <c r="N36" s="142"/>
      <c r="O36" s="142"/>
      <c r="P36" s="142"/>
      <c r="Q36" s="142"/>
      <c r="R36" s="142"/>
      <c r="S36" s="142"/>
      <c r="T36" s="142"/>
      <c r="U36" s="142"/>
      <c r="V36" s="142"/>
      <c r="W36" s="142"/>
      <c r="X36" s="142"/>
      <c r="Y36" s="142"/>
      <c r="Z36" s="142"/>
      <c r="AA36" s="142"/>
      <c r="AB36" s="142"/>
      <c r="AC36" s="142"/>
      <c r="AD36" s="142"/>
      <c r="AE36" s="142"/>
      <c r="AF36" s="142"/>
      <c r="AG36" s="142"/>
      <c r="AH36" s="571"/>
    </row>
    <row r="37" spans="1:34" ht="12">
      <c r="A37" s="3864" t="s">
        <v>225</v>
      </c>
      <c r="B37" s="3865"/>
      <c r="C37" s="3865"/>
      <c r="D37" s="3866"/>
      <c r="E37" s="142"/>
      <c r="F37" s="142"/>
      <c r="G37" s="142"/>
      <c r="H37" s="142"/>
      <c r="I37" s="142"/>
      <c r="J37" s="142"/>
      <c r="K37" s="142"/>
      <c r="L37" s="142"/>
      <c r="M37" s="142"/>
      <c r="N37" s="142"/>
      <c r="O37" s="142"/>
      <c r="P37" s="142"/>
      <c r="Q37" s="142"/>
      <c r="R37" s="142"/>
      <c r="S37" s="142"/>
      <c r="T37" s="142"/>
      <c r="U37" s="142"/>
      <c r="V37" s="142"/>
      <c r="W37" s="142"/>
      <c r="X37" s="142"/>
      <c r="Y37" s="142"/>
      <c r="Z37" s="142"/>
      <c r="AA37" s="142"/>
      <c r="AB37" s="142"/>
      <c r="AC37" s="142"/>
      <c r="AD37" s="142"/>
      <c r="AE37" s="142"/>
      <c r="AF37" s="142"/>
      <c r="AG37" s="142"/>
      <c r="AH37" s="571"/>
    </row>
    <row r="38" spans="1:34" ht="12">
      <c r="A38" s="572" t="s">
        <v>142</v>
      </c>
      <c r="B38" s="573" t="s">
        <v>143</v>
      </c>
      <c r="C38" s="572">
        <v>1</v>
      </c>
      <c r="D38" s="573">
        <v>2</v>
      </c>
      <c r="E38" s="573">
        <v>3</v>
      </c>
      <c r="F38" s="573">
        <v>4</v>
      </c>
      <c r="G38" s="573">
        <v>5</v>
      </c>
      <c r="H38" s="573">
        <v>6</v>
      </c>
      <c r="I38" s="573">
        <v>7</v>
      </c>
      <c r="J38" s="573">
        <v>8</v>
      </c>
      <c r="K38" s="573">
        <v>9</v>
      </c>
      <c r="L38" s="573">
        <v>10</v>
      </c>
      <c r="M38" s="573">
        <v>11</v>
      </c>
      <c r="N38" s="573">
        <v>12</v>
      </c>
      <c r="O38" s="573">
        <v>13</v>
      </c>
      <c r="P38" s="573">
        <v>14</v>
      </c>
      <c r="Q38" s="573">
        <v>15</v>
      </c>
      <c r="R38" s="573">
        <v>16</v>
      </c>
      <c r="S38" s="573">
        <v>17</v>
      </c>
      <c r="T38" s="573">
        <v>18</v>
      </c>
      <c r="U38" s="573">
        <v>19</v>
      </c>
      <c r="V38" s="573">
        <v>20</v>
      </c>
      <c r="W38" s="573">
        <v>21</v>
      </c>
      <c r="X38" s="573">
        <v>22</v>
      </c>
      <c r="Y38" s="573">
        <v>23</v>
      </c>
      <c r="Z38" s="573">
        <v>24</v>
      </c>
      <c r="AA38" s="573">
        <v>25</v>
      </c>
      <c r="AB38" s="573">
        <v>26</v>
      </c>
      <c r="AC38" s="573">
        <v>27</v>
      </c>
      <c r="AD38" s="573">
        <v>28</v>
      </c>
      <c r="AE38" s="573">
        <v>29</v>
      </c>
      <c r="AF38" s="573">
        <v>30</v>
      </c>
      <c r="AG38" s="573">
        <v>31</v>
      </c>
      <c r="AH38" s="572" t="s">
        <v>144</v>
      </c>
    </row>
    <row r="39" spans="1:34" ht="12">
      <c r="A39" s="573" t="s">
        <v>145</v>
      </c>
      <c r="B39" s="480">
        <f t="shared" ref="B39:B50" si="5">+AH39</f>
        <v>0.47500000000000003</v>
      </c>
      <c r="C39" s="577"/>
      <c r="D39" s="480"/>
      <c r="E39" s="480"/>
      <c r="F39" s="480"/>
      <c r="G39" s="480"/>
      <c r="H39" s="480">
        <v>0.18</v>
      </c>
      <c r="I39" s="480"/>
      <c r="J39" s="480"/>
      <c r="K39" s="480"/>
      <c r="L39" s="480"/>
      <c r="M39" s="480"/>
      <c r="N39" s="480"/>
      <c r="O39" s="480"/>
      <c r="P39" s="480"/>
      <c r="Q39" s="480"/>
      <c r="R39" s="480"/>
      <c r="S39" s="480"/>
      <c r="T39" s="480"/>
      <c r="U39" s="480"/>
      <c r="V39" s="480"/>
      <c r="W39" s="480"/>
      <c r="X39" s="480"/>
      <c r="Y39" s="480"/>
      <c r="Z39" s="480"/>
      <c r="AA39" s="480"/>
      <c r="AB39" s="480">
        <v>0.1</v>
      </c>
      <c r="AC39" s="480"/>
      <c r="AD39" s="480"/>
      <c r="AE39" s="480">
        <v>0.19500000000000001</v>
      </c>
      <c r="AF39" s="480"/>
      <c r="AG39" s="480"/>
      <c r="AH39" s="577">
        <f>SUM(C39:AG39)</f>
        <v>0.47500000000000003</v>
      </c>
    </row>
    <row r="40" spans="1:34" ht="12">
      <c r="A40" s="573" t="s">
        <v>146</v>
      </c>
      <c r="B40" s="480">
        <f t="shared" si="5"/>
        <v>1</v>
      </c>
      <c r="C40" s="577"/>
      <c r="D40" s="480"/>
      <c r="E40" s="480"/>
      <c r="F40" s="480"/>
      <c r="G40" s="480"/>
      <c r="H40" s="480"/>
      <c r="I40" s="480"/>
      <c r="J40" s="480"/>
      <c r="K40" s="480"/>
      <c r="L40" s="480"/>
      <c r="M40" s="480"/>
      <c r="N40" s="480"/>
      <c r="O40" s="480"/>
      <c r="P40" s="480"/>
      <c r="Q40" s="480"/>
      <c r="R40" s="480"/>
      <c r="S40" s="480"/>
      <c r="T40" s="480"/>
      <c r="U40" s="480"/>
      <c r="V40" s="480"/>
      <c r="W40" s="480">
        <v>1</v>
      </c>
      <c r="X40" s="480"/>
      <c r="Y40" s="480"/>
      <c r="Z40" s="480"/>
      <c r="AA40" s="480"/>
      <c r="AB40" s="480"/>
      <c r="AC40" s="480"/>
      <c r="AD40" s="480"/>
      <c r="AE40" s="480"/>
      <c r="AF40" s="480"/>
      <c r="AG40" s="480"/>
      <c r="AH40" s="577">
        <f t="shared" ref="AH40:AH50" si="6">SUM(C40:AG40)</f>
        <v>1</v>
      </c>
    </row>
    <row r="41" spans="1:34" ht="12">
      <c r="A41" s="573" t="s">
        <v>147</v>
      </c>
      <c r="B41" s="480">
        <f t="shared" si="5"/>
        <v>0.15</v>
      </c>
      <c r="C41" s="577">
        <v>0.15</v>
      </c>
      <c r="D41" s="480"/>
      <c r="E41" s="480"/>
      <c r="F41" s="480"/>
      <c r="G41" s="480"/>
      <c r="H41" s="480"/>
      <c r="I41" s="480"/>
      <c r="J41" s="480"/>
      <c r="K41" s="480"/>
      <c r="L41" s="480"/>
      <c r="M41" s="480"/>
      <c r="N41" s="480"/>
      <c r="O41" s="480"/>
      <c r="P41" s="480"/>
      <c r="Q41" s="480"/>
      <c r="R41" s="480"/>
      <c r="S41" s="480"/>
      <c r="T41" s="480"/>
      <c r="U41" s="480"/>
      <c r="V41" s="480"/>
      <c r="W41" s="480"/>
      <c r="X41" s="480"/>
      <c r="Y41" s="480"/>
      <c r="Z41" s="480"/>
      <c r="AA41" s="480"/>
      <c r="AB41" s="480"/>
      <c r="AC41" s="480"/>
      <c r="AD41" s="480"/>
      <c r="AE41" s="480"/>
      <c r="AF41" s="480"/>
      <c r="AG41" s="480"/>
      <c r="AH41" s="577">
        <f t="shared" si="6"/>
        <v>0.15</v>
      </c>
    </row>
    <row r="42" spans="1:34" ht="12">
      <c r="A42" s="573" t="s">
        <v>148</v>
      </c>
      <c r="B42" s="480">
        <f t="shared" si="5"/>
        <v>0.03</v>
      </c>
      <c r="C42" s="577"/>
      <c r="D42" s="2906"/>
      <c r="E42" s="480"/>
      <c r="F42" s="480"/>
      <c r="G42" s="480"/>
      <c r="H42" s="480"/>
      <c r="I42" s="480"/>
      <c r="J42" s="480"/>
      <c r="K42" s="480">
        <v>0.03</v>
      </c>
      <c r="L42" s="480"/>
      <c r="M42" s="480"/>
      <c r="N42" s="480"/>
      <c r="O42" s="480"/>
      <c r="P42" s="480"/>
      <c r="Q42" s="480"/>
      <c r="R42" s="480"/>
      <c r="S42" s="480"/>
      <c r="T42" s="480"/>
      <c r="U42" s="480"/>
      <c r="V42" s="480"/>
      <c r="W42" s="480"/>
      <c r="X42" s="480"/>
      <c r="Y42" s="480"/>
      <c r="Z42" s="480"/>
      <c r="AA42" s="480"/>
      <c r="AB42" s="480"/>
      <c r="AC42" s="480"/>
      <c r="AD42" s="480"/>
      <c r="AE42" s="480"/>
      <c r="AF42" s="480"/>
      <c r="AG42" s="480"/>
      <c r="AH42" s="577">
        <f t="shared" si="6"/>
        <v>0.03</v>
      </c>
    </row>
    <row r="43" spans="1:34" ht="12">
      <c r="A43" s="573" t="s">
        <v>149</v>
      </c>
      <c r="B43" s="480">
        <f t="shared" si="5"/>
        <v>0.09</v>
      </c>
      <c r="C43" s="577"/>
      <c r="D43" s="480">
        <v>0.09</v>
      </c>
      <c r="E43" s="480"/>
      <c r="F43" s="480"/>
      <c r="G43" s="480"/>
      <c r="H43" s="480"/>
      <c r="I43" s="480"/>
      <c r="J43" s="480"/>
      <c r="K43" s="480"/>
      <c r="L43" s="480"/>
      <c r="M43" s="480"/>
      <c r="N43" s="480"/>
      <c r="O43" s="480"/>
      <c r="P43" s="480"/>
      <c r="Q43" s="480"/>
      <c r="R43" s="480"/>
      <c r="S43" s="480"/>
      <c r="T43" s="480"/>
      <c r="U43" s="480"/>
      <c r="V43" s="480"/>
      <c r="W43" s="480"/>
      <c r="X43" s="480"/>
      <c r="Y43" s="480"/>
      <c r="Z43" s="480"/>
      <c r="AA43" s="480"/>
      <c r="AB43" s="480"/>
      <c r="AC43" s="480"/>
      <c r="AD43" s="480"/>
      <c r="AE43" s="480"/>
      <c r="AF43" s="480"/>
      <c r="AG43" s="480"/>
      <c r="AH43" s="577">
        <f t="shared" si="6"/>
        <v>0.09</v>
      </c>
    </row>
    <row r="44" spans="1:34" ht="12">
      <c r="A44" s="573" t="s">
        <v>150</v>
      </c>
      <c r="B44" s="480">
        <f t="shared" si="5"/>
        <v>4.3559999999999999</v>
      </c>
      <c r="C44" s="577"/>
      <c r="D44" s="480"/>
      <c r="E44" s="480"/>
      <c r="F44" s="480"/>
      <c r="G44" s="480"/>
      <c r="H44" s="480"/>
      <c r="I44" s="480"/>
      <c r="J44" s="480"/>
      <c r="K44" s="480"/>
      <c r="L44" s="480"/>
      <c r="M44" s="480"/>
      <c r="N44" s="480"/>
      <c r="O44" s="480"/>
      <c r="P44" s="480"/>
      <c r="Q44" s="480"/>
      <c r="R44" s="480"/>
      <c r="S44" s="480"/>
      <c r="T44" s="480"/>
      <c r="U44" s="480"/>
      <c r="V44" s="480"/>
      <c r="W44" s="480"/>
      <c r="X44" s="480"/>
      <c r="Y44" s="480"/>
      <c r="Z44" s="480"/>
      <c r="AA44" s="480"/>
      <c r="AB44" s="480"/>
      <c r="AC44" s="480"/>
      <c r="AD44" s="480"/>
      <c r="AE44" s="480"/>
      <c r="AF44" s="480">
        <v>4.3559999999999999</v>
      </c>
      <c r="AG44" s="480"/>
      <c r="AH44" s="577">
        <f t="shared" si="6"/>
        <v>4.3559999999999999</v>
      </c>
    </row>
    <row r="45" spans="1:34" ht="12">
      <c r="A45" s="573" t="s">
        <v>151</v>
      </c>
      <c r="B45" s="480">
        <f t="shared" si="5"/>
        <v>0.69500000000000006</v>
      </c>
      <c r="C45" s="577"/>
      <c r="D45" s="480"/>
      <c r="E45" s="480"/>
      <c r="F45" s="480"/>
      <c r="G45" s="480"/>
      <c r="H45" s="480"/>
      <c r="I45" s="480"/>
      <c r="J45" s="480"/>
      <c r="K45" s="480"/>
      <c r="L45" s="480">
        <v>0.12</v>
      </c>
      <c r="M45" s="480"/>
      <c r="N45" s="480"/>
      <c r="O45" s="480"/>
      <c r="P45" s="480"/>
      <c r="Q45" s="480"/>
      <c r="R45" s="480"/>
      <c r="S45" s="480"/>
      <c r="T45" s="480"/>
      <c r="U45" s="480">
        <v>0.04</v>
      </c>
      <c r="V45" s="480">
        <v>3.5000000000000003E-2</v>
      </c>
      <c r="W45" s="480">
        <v>0.5</v>
      </c>
      <c r="X45" s="480"/>
      <c r="Y45" s="480"/>
      <c r="Z45" s="480"/>
      <c r="AA45" s="480"/>
      <c r="AB45" s="480"/>
      <c r="AC45" s="480"/>
      <c r="AD45" s="480"/>
      <c r="AE45" s="480"/>
      <c r="AF45" s="480"/>
      <c r="AG45" s="480"/>
      <c r="AH45" s="577">
        <f t="shared" si="6"/>
        <v>0.69500000000000006</v>
      </c>
    </row>
    <row r="46" spans="1:34" ht="12">
      <c r="A46" s="573" t="s">
        <v>152</v>
      </c>
      <c r="B46" s="480">
        <f t="shared" si="5"/>
        <v>0</v>
      </c>
      <c r="C46" s="577"/>
      <c r="D46" s="480"/>
      <c r="E46" s="480"/>
      <c r="F46" s="480"/>
      <c r="G46" s="480"/>
      <c r="H46" s="480"/>
      <c r="I46" s="480"/>
      <c r="J46" s="480"/>
      <c r="K46" s="480"/>
      <c r="L46" s="480"/>
      <c r="M46" s="480"/>
      <c r="N46" s="480"/>
      <c r="O46" s="480"/>
      <c r="P46" s="480"/>
      <c r="Q46" s="480"/>
      <c r="R46" s="480"/>
      <c r="S46" s="480"/>
      <c r="T46" s="480"/>
      <c r="U46" s="480"/>
      <c r="V46" s="480"/>
      <c r="W46" s="480"/>
      <c r="X46" s="480"/>
      <c r="Y46" s="480"/>
      <c r="Z46" s="480"/>
      <c r="AA46" s="480"/>
      <c r="AB46" s="480"/>
      <c r="AC46" s="480"/>
      <c r="AD46" s="480"/>
      <c r="AE46" s="480"/>
      <c r="AF46" s="480"/>
      <c r="AG46" s="480"/>
      <c r="AH46" s="577">
        <f t="shared" si="6"/>
        <v>0</v>
      </c>
    </row>
    <row r="47" spans="1:34" ht="12">
      <c r="A47" s="573" t="s">
        <v>153</v>
      </c>
      <c r="B47" s="480">
        <f t="shared" si="5"/>
        <v>0</v>
      </c>
      <c r="C47" s="577"/>
      <c r="D47" s="480"/>
      <c r="E47" s="480"/>
      <c r="F47" s="480"/>
      <c r="G47" s="480"/>
      <c r="H47" s="480"/>
      <c r="I47" s="480"/>
      <c r="J47" s="480"/>
      <c r="K47" s="480"/>
      <c r="L47" s="480"/>
      <c r="M47" s="480"/>
      <c r="N47" s="480"/>
      <c r="O47" s="480"/>
      <c r="P47" s="480"/>
      <c r="Q47" s="480"/>
      <c r="R47" s="480"/>
      <c r="S47" s="480"/>
      <c r="T47" s="480"/>
      <c r="U47" s="480"/>
      <c r="V47" s="480"/>
      <c r="W47" s="480"/>
      <c r="X47" s="480"/>
      <c r="Y47" s="480"/>
      <c r="Z47" s="480"/>
      <c r="AA47" s="480"/>
      <c r="AB47" s="480"/>
      <c r="AC47" s="480"/>
      <c r="AD47" s="480"/>
      <c r="AE47" s="480"/>
      <c r="AF47" s="480"/>
      <c r="AG47" s="480"/>
      <c r="AH47" s="577">
        <f t="shared" si="6"/>
        <v>0</v>
      </c>
    </row>
    <row r="48" spans="1:34" ht="12">
      <c r="A48" s="573" t="s">
        <v>154</v>
      </c>
      <c r="B48" s="480">
        <f t="shared" si="5"/>
        <v>0.5</v>
      </c>
      <c r="C48" s="577"/>
      <c r="D48" s="480"/>
      <c r="E48" s="480"/>
      <c r="F48" s="480"/>
      <c r="G48" s="480"/>
      <c r="H48" s="480"/>
      <c r="I48" s="480"/>
      <c r="J48" s="480"/>
      <c r="K48" s="480"/>
      <c r="L48" s="480"/>
      <c r="M48" s="480"/>
      <c r="N48" s="480"/>
      <c r="O48" s="480"/>
      <c r="P48" s="480"/>
      <c r="Q48" s="480"/>
      <c r="R48" s="480"/>
      <c r="S48" s="480"/>
      <c r="T48" s="480"/>
      <c r="U48" s="480"/>
      <c r="V48" s="480"/>
      <c r="W48" s="480"/>
      <c r="X48" s="480"/>
      <c r="Y48" s="480"/>
      <c r="Z48" s="480"/>
      <c r="AA48" s="480"/>
      <c r="AB48" s="480">
        <v>0.5</v>
      </c>
      <c r="AC48" s="480"/>
      <c r="AD48" s="480"/>
      <c r="AE48" s="480"/>
      <c r="AF48" s="480"/>
      <c r="AG48" s="480"/>
      <c r="AH48" s="577">
        <f t="shared" si="6"/>
        <v>0.5</v>
      </c>
    </row>
    <row r="49" spans="1:34" ht="12">
      <c r="A49" s="573" t="s">
        <v>155</v>
      </c>
      <c r="B49" s="480">
        <f t="shared" si="5"/>
        <v>1.1000000000000001</v>
      </c>
      <c r="C49" s="577"/>
      <c r="D49" s="480"/>
      <c r="E49" s="480"/>
      <c r="F49" s="480"/>
      <c r="G49" s="480"/>
      <c r="H49" s="480"/>
      <c r="I49" s="480"/>
      <c r="J49" s="480"/>
      <c r="K49" s="480">
        <v>0.3</v>
      </c>
      <c r="L49" s="480"/>
      <c r="M49" s="480"/>
      <c r="N49" s="480"/>
      <c r="O49" s="480"/>
      <c r="P49" s="480"/>
      <c r="Q49" s="480"/>
      <c r="R49" s="480"/>
      <c r="S49" s="480"/>
      <c r="T49" s="480"/>
      <c r="U49" s="480">
        <v>0.8</v>
      </c>
      <c r="V49" s="480"/>
      <c r="W49" s="480"/>
      <c r="X49" s="480"/>
      <c r="Y49" s="480"/>
      <c r="Z49" s="480"/>
      <c r="AA49" s="480"/>
      <c r="AB49" s="480"/>
      <c r="AC49" s="480"/>
      <c r="AD49" s="480"/>
      <c r="AE49" s="480"/>
      <c r="AF49" s="480"/>
      <c r="AG49" s="480"/>
      <c r="AH49" s="577">
        <f t="shared" si="6"/>
        <v>1.1000000000000001</v>
      </c>
    </row>
    <row r="50" spans="1:34" ht="12">
      <c r="A50" s="573" t="s">
        <v>156</v>
      </c>
      <c r="B50" s="480">
        <f t="shared" si="5"/>
        <v>0.03</v>
      </c>
      <c r="C50" s="577">
        <v>0.01</v>
      </c>
      <c r="D50" s="480"/>
      <c r="E50" s="480"/>
      <c r="F50" s="480"/>
      <c r="G50" s="480"/>
      <c r="H50" s="480"/>
      <c r="I50" s="480"/>
      <c r="J50" s="480"/>
      <c r="K50" s="480"/>
      <c r="L50" s="480"/>
      <c r="M50" s="480">
        <v>0.02</v>
      </c>
      <c r="N50" s="480"/>
      <c r="O50" s="480"/>
      <c r="P50" s="480"/>
      <c r="Q50" s="480"/>
      <c r="R50" s="480"/>
      <c r="S50" s="480"/>
      <c r="T50" s="480"/>
      <c r="U50" s="480"/>
      <c r="V50" s="480"/>
      <c r="W50" s="480"/>
      <c r="X50" s="480"/>
      <c r="Y50" s="480"/>
      <c r="Z50" s="480"/>
      <c r="AA50" s="480"/>
      <c r="AB50" s="480"/>
      <c r="AC50" s="480"/>
      <c r="AD50" s="480"/>
      <c r="AE50" s="480"/>
      <c r="AF50" s="480"/>
      <c r="AG50" s="480"/>
      <c r="AH50" s="577">
        <f t="shared" si="6"/>
        <v>0.03</v>
      </c>
    </row>
    <row r="51" spans="1:34" ht="12">
      <c r="A51" s="1432" t="s">
        <v>144</v>
      </c>
      <c r="B51" s="1891">
        <f>SUM(B39:B50)</f>
        <v>8.4260000000000002</v>
      </c>
      <c r="C51" s="577">
        <f t="shared" ref="C51:AH51" si="7">SUM(C39:C50)</f>
        <v>0.16</v>
      </c>
      <c r="D51" s="577">
        <f t="shared" si="7"/>
        <v>0.09</v>
      </c>
      <c r="E51" s="577">
        <f t="shared" si="7"/>
        <v>0</v>
      </c>
      <c r="F51" s="577">
        <f t="shared" si="7"/>
        <v>0</v>
      </c>
      <c r="G51" s="577">
        <f t="shared" si="7"/>
        <v>0</v>
      </c>
      <c r="H51" s="577">
        <f t="shared" si="7"/>
        <v>0.18</v>
      </c>
      <c r="I51" s="577">
        <f t="shared" si="7"/>
        <v>0</v>
      </c>
      <c r="J51" s="577">
        <f t="shared" si="7"/>
        <v>0</v>
      </c>
      <c r="K51" s="577">
        <f t="shared" si="7"/>
        <v>0.32999999999999996</v>
      </c>
      <c r="L51" s="577">
        <f t="shared" si="7"/>
        <v>0.12</v>
      </c>
      <c r="M51" s="577">
        <f t="shared" si="7"/>
        <v>0.02</v>
      </c>
      <c r="N51" s="577">
        <f t="shared" si="7"/>
        <v>0</v>
      </c>
      <c r="O51" s="577">
        <f t="shared" si="7"/>
        <v>0</v>
      </c>
      <c r="P51" s="577">
        <f t="shared" si="7"/>
        <v>0</v>
      </c>
      <c r="Q51" s="577">
        <f t="shared" si="7"/>
        <v>0</v>
      </c>
      <c r="R51" s="577">
        <f t="shared" si="7"/>
        <v>0</v>
      </c>
      <c r="S51" s="577">
        <f t="shared" si="7"/>
        <v>0</v>
      </c>
      <c r="T51" s="577">
        <f t="shared" si="7"/>
        <v>0</v>
      </c>
      <c r="U51" s="577">
        <f t="shared" si="7"/>
        <v>0.84000000000000008</v>
      </c>
      <c r="V51" s="577">
        <f t="shared" si="7"/>
        <v>3.5000000000000003E-2</v>
      </c>
      <c r="W51" s="577">
        <f t="shared" si="7"/>
        <v>1.5</v>
      </c>
      <c r="X51" s="577">
        <f t="shared" si="7"/>
        <v>0</v>
      </c>
      <c r="Y51" s="577">
        <f t="shared" si="7"/>
        <v>0</v>
      </c>
      <c r="Z51" s="577">
        <f t="shared" si="7"/>
        <v>0</v>
      </c>
      <c r="AA51" s="577">
        <f t="shared" si="7"/>
        <v>0</v>
      </c>
      <c r="AB51" s="577">
        <f t="shared" si="7"/>
        <v>0.6</v>
      </c>
      <c r="AC51" s="577">
        <f t="shared" si="7"/>
        <v>0</v>
      </c>
      <c r="AD51" s="577">
        <f t="shared" si="7"/>
        <v>0</v>
      </c>
      <c r="AE51" s="577">
        <f t="shared" si="7"/>
        <v>0.19500000000000001</v>
      </c>
      <c r="AF51" s="577">
        <f t="shared" si="7"/>
        <v>4.3559999999999999</v>
      </c>
      <c r="AG51" s="577">
        <f t="shared" si="7"/>
        <v>0</v>
      </c>
      <c r="AH51" s="577">
        <f t="shared" si="7"/>
        <v>8.4260000000000002</v>
      </c>
    </row>
  </sheetData>
  <mergeCells count="4">
    <mergeCell ref="A2:T2"/>
    <mergeCell ref="A5:C5"/>
    <mergeCell ref="A21:C21"/>
    <mergeCell ref="A37:D37"/>
  </mergeCells>
  <phoneticPr fontId="0" type="noConversion"/>
  <pageMargins left="0.75" right="0.75" top="1" bottom="1" header="0" footer="0"/>
  <pageSetup orientation="portrait" r:id="rId1"/>
  <headerFooter alignWithMargins="0"/>
  <legacyDrawing r:id="rId2"/>
  <oleObjects>
    <oleObject progId="MSPhotoEd.3" shapeId="21505" r:id="rId3"/>
  </oleObjects>
</worksheet>
</file>

<file path=xl/worksheets/sheet16.xml><?xml version="1.0" encoding="utf-8"?>
<worksheet xmlns="http://schemas.openxmlformats.org/spreadsheetml/2006/main" xmlns:r="http://schemas.openxmlformats.org/officeDocument/2006/relationships">
  <dimension ref="A1:AH46"/>
  <sheetViews>
    <sheetView zoomScale="85" zoomScaleNormal="85" workbookViewId="0">
      <selection activeCell="I9" sqref="I9"/>
    </sheetView>
  </sheetViews>
  <sheetFormatPr baseColWidth="10" defaultRowHeight="13.2"/>
  <cols>
    <col min="2" max="2" width="10" bestFit="1" customWidth="1"/>
    <col min="3" max="9" width="7.44140625" customWidth="1"/>
    <col min="10" max="13" width="7.88671875" customWidth="1"/>
    <col min="14" max="19" width="7.6640625" bestFit="1" customWidth="1"/>
    <col min="20" max="20" width="5.88671875" bestFit="1" customWidth="1"/>
    <col min="21" max="23" width="6.6640625" bestFit="1" customWidth="1"/>
    <col min="24" max="24" width="5.88671875" bestFit="1" customWidth="1"/>
  </cols>
  <sheetData>
    <row r="1" spans="1:34" ht="15">
      <c r="A1" s="3854" t="s">
        <v>837</v>
      </c>
      <c r="B1" s="3855"/>
      <c r="C1" s="3855"/>
      <c r="D1" s="3855"/>
      <c r="E1" s="3855"/>
      <c r="F1" s="3855"/>
      <c r="G1" s="3855"/>
      <c r="H1" s="3855"/>
      <c r="I1" s="3855"/>
      <c r="J1" s="3855"/>
      <c r="K1" s="3855"/>
      <c r="L1" s="3855"/>
      <c r="M1" s="3855"/>
      <c r="N1" s="3855"/>
      <c r="O1" s="3855"/>
      <c r="P1" s="3855"/>
      <c r="Q1" s="3855"/>
      <c r="R1" s="3855"/>
      <c r="S1" s="3855"/>
      <c r="T1" s="3856"/>
    </row>
    <row r="3" spans="1:34" ht="15">
      <c r="A3" s="3900" t="s">
        <v>836</v>
      </c>
      <c r="B3" s="3901"/>
      <c r="C3" s="3902"/>
      <c r="D3" s="3203" t="s">
        <v>1074</v>
      </c>
      <c r="E3" s="14"/>
      <c r="F3" s="14"/>
      <c r="G3" s="14"/>
      <c r="H3" s="14"/>
      <c r="I3" s="14"/>
      <c r="J3" s="14"/>
      <c r="K3" s="14"/>
      <c r="L3" s="14"/>
      <c r="M3" s="98"/>
      <c r="N3" s="1657"/>
      <c r="O3" s="14"/>
      <c r="P3" s="14"/>
      <c r="Q3" s="14"/>
      <c r="R3" s="14"/>
      <c r="S3" s="14"/>
      <c r="T3" s="14"/>
      <c r="U3" s="14"/>
      <c r="V3" s="14"/>
      <c r="W3" s="14"/>
      <c r="X3" s="14"/>
      <c r="Y3" s="14"/>
      <c r="Z3" s="14"/>
      <c r="AA3" s="14"/>
      <c r="AB3" s="14"/>
      <c r="AC3" s="14"/>
      <c r="AD3" s="14"/>
      <c r="AE3" s="14"/>
      <c r="AF3" s="14"/>
      <c r="AG3" s="14"/>
      <c r="AH3" s="1"/>
    </row>
    <row r="4" spans="1:34" ht="15">
      <c r="A4" s="8" t="s">
        <v>142</v>
      </c>
      <c r="B4" s="8" t="s">
        <v>143</v>
      </c>
      <c r="C4" s="314">
        <v>1</v>
      </c>
      <c r="D4" s="73">
        <v>2</v>
      </c>
      <c r="E4" s="73">
        <v>3</v>
      </c>
      <c r="F4" s="73">
        <v>4</v>
      </c>
      <c r="G4" s="73">
        <v>5</v>
      </c>
      <c r="H4" s="73">
        <v>6</v>
      </c>
      <c r="I4" s="73">
        <v>7</v>
      </c>
      <c r="J4" s="73">
        <v>8</v>
      </c>
      <c r="K4" s="73">
        <v>9</v>
      </c>
      <c r="L4" s="73">
        <v>10</v>
      </c>
      <c r="M4" s="73">
        <v>11</v>
      </c>
      <c r="N4" s="375">
        <v>12</v>
      </c>
      <c r="O4" s="73">
        <v>13</v>
      </c>
      <c r="P4" s="73">
        <v>14</v>
      </c>
      <c r="Q4" s="73">
        <v>15</v>
      </c>
      <c r="R4" s="73">
        <v>16</v>
      </c>
      <c r="S4" s="73">
        <v>17</v>
      </c>
      <c r="T4" s="73">
        <v>18</v>
      </c>
      <c r="U4" s="73">
        <v>19</v>
      </c>
      <c r="V4" s="73">
        <v>20</v>
      </c>
      <c r="W4" s="73">
        <v>21</v>
      </c>
      <c r="X4" s="73">
        <v>22</v>
      </c>
      <c r="Y4" s="73">
        <v>23</v>
      </c>
      <c r="Z4" s="73">
        <v>24</v>
      </c>
      <c r="AA4" s="73">
        <v>25</v>
      </c>
      <c r="AB4" s="73">
        <v>26</v>
      </c>
      <c r="AC4" s="73">
        <v>27</v>
      </c>
      <c r="AD4" s="73">
        <v>28</v>
      </c>
      <c r="AE4" s="73">
        <v>29</v>
      </c>
      <c r="AF4" s="73">
        <v>30</v>
      </c>
      <c r="AG4" s="73">
        <v>31</v>
      </c>
      <c r="AH4" s="88" t="s">
        <v>144</v>
      </c>
    </row>
    <row r="5" spans="1:34" ht="15">
      <c r="A5" s="73" t="s">
        <v>145</v>
      </c>
      <c r="B5" s="53">
        <f t="shared" ref="B5:B16" si="0">+AH5</f>
        <v>0</v>
      </c>
      <c r="C5" s="1487"/>
      <c r="D5" s="1487"/>
      <c r="E5" s="1487"/>
      <c r="F5" s="1487"/>
      <c r="G5" s="1487"/>
      <c r="H5" s="1487"/>
      <c r="I5" s="1487"/>
      <c r="J5" s="1487"/>
      <c r="K5" s="1487"/>
      <c r="L5" s="1487"/>
      <c r="M5" s="1487"/>
      <c r="N5" s="1487"/>
      <c r="O5" s="1487"/>
      <c r="P5" s="1487"/>
      <c r="Q5" s="1487"/>
      <c r="R5" s="1487"/>
      <c r="S5" s="1487"/>
      <c r="T5" s="1487"/>
      <c r="U5" s="1487"/>
      <c r="V5" s="1487"/>
      <c r="W5" s="1487"/>
      <c r="X5" s="1487"/>
      <c r="Y5" s="1487"/>
      <c r="Z5" s="1487"/>
      <c r="AA5" s="1487"/>
      <c r="AB5" s="1487"/>
      <c r="AC5" s="1487"/>
      <c r="AD5" s="1487"/>
      <c r="AE5" s="1487"/>
      <c r="AF5" s="1487"/>
      <c r="AG5" s="1487"/>
      <c r="AH5" s="100">
        <f>SUM(C5:AG5)</f>
        <v>0</v>
      </c>
    </row>
    <row r="6" spans="1:34" ht="15">
      <c r="A6" s="73" t="s">
        <v>146</v>
      </c>
      <c r="B6" s="53">
        <f t="shared" si="0"/>
        <v>0</v>
      </c>
      <c r="C6" s="1487"/>
      <c r="D6" s="1487"/>
      <c r="E6" s="1487"/>
      <c r="F6" s="1487"/>
      <c r="G6" s="1487"/>
      <c r="H6" s="1487"/>
      <c r="I6" s="1487"/>
      <c r="J6" s="1487"/>
      <c r="K6" s="1487"/>
      <c r="L6" s="1487"/>
      <c r="M6" s="1487"/>
      <c r="N6" s="1487"/>
      <c r="O6" s="1487"/>
      <c r="P6" s="1487"/>
      <c r="Q6" s="1487"/>
      <c r="R6" s="1487"/>
      <c r="S6" s="1487"/>
      <c r="T6" s="1487"/>
      <c r="U6" s="1487"/>
      <c r="V6" s="1487"/>
      <c r="W6" s="1487"/>
      <c r="X6" s="1487"/>
      <c r="Y6" s="1487"/>
      <c r="Z6" s="1487"/>
      <c r="AA6" s="1487"/>
      <c r="AB6" s="1487"/>
      <c r="AC6" s="1487"/>
      <c r="AD6" s="1487"/>
      <c r="AE6" s="1487"/>
      <c r="AF6" s="1487"/>
      <c r="AG6" s="1487"/>
      <c r="AH6" s="100">
        <f t="shared" ref="AH6:AH14" si="1">SUM(C6:AG6)</f>
        <v>0</v>
      </c>
    </row>
    <row r="7" spans="1:34" ht="15">
      <c r="A7" s="73" t="s">
        <v>147</v>
      </c>
      <c r="B7" s="53">
        <f t="shared" si="0"/>
        <v>0</v>
      </c>
      <c r="C7" s="1487"/>
      <c r="D7" s="1487"/>
      <c r="E7" s="1487"/>
      <c r="F7" s="1487"/>
      <c r="G7" s="1487"/>
      <c r="H7" s="1487"/>
      <c r="I7" s="1487"/>
      <c r="J7" s="1487"/>
      <c r="K7" s="1487"/>
      <c r="L7" s="1487"/>
      <c r="M7" s="1487"/>
      <c r="N7" s="1487"/>
      <c r="O7" s="1487"/>
      <c r="P7" s="1487"/>
      <c r="Q7" s="1487"/>
      <c r="R7" s="1487"/>
      <c r="S7" s="1487"/>
      <c r="T7" s="1487"/>
      <c r="U7" s="1487"/>
      <c r="V7" s="1487"/>
      <c r="W7" s="1487"/>
      <c r="X7" s="1487"/>
      <c r="Y7" s="1487"/>
      <c r="Z7" s="1487"/>
      <c r="AA7" s="1487"/>
      <c r="AB7" s="1487"/>
      <c r="AC7" s="1487"/>
      <c r="AD7" s="1487"/>
      <c r="AE7" s="1487"/>
      <c r="AF7" s="1487"/>
      <c r="AG7" s="1487"/>
      <c r="AH7" s="100">
        <f t="shared" si="1"/>
        <v>0</v>
      </c>
    </row>
    <row r="8" spans="1:34" ht="15">
      <c r="A8" s="73" t="s">
        <v>148</v>
      </c>
      <c r="B8" s="53">
        <f t="shared" si="0"/>
        <v>0</v>
      </c>
      <c r="C8" s="1488"/>
      <c r="D8" s="1488"/>
      <c r="E8" s="1488"/>
      <c r="F8" s="1488"/>
      <c r="G8" s="1488"/>
      <c r="H8" s="1488"/>
      <c r="I8" s="1488"/>
      <c r="J8" s="1488"/>
      <c r="K8" s="1488"/>
      <c r="L8" s="1488"/>
      <c r="M8" s="1487"/>
      <c r="N8" s="1487"/>
      <c r="O8" s="1487"/>
      <c r="P8" s="1487"/>
      <c r="Q8" s="1487"/>
      <c r="R8" s="1487"/>
      <c r="S8" s="1487"/>
      <c r="T8" s="1487"/>
      <c r="U8" s="1487"/>
      <c r="V8" s="1487"/>
      <c r="W8" s="1487"/>
      <c r="X8" s="1487"/>
      <c r="Y8" s="1487"/>
      <c r="Z8" s="1487"/>
      <c r="AA8" s="1487"/>
      <c r="AB8" s="1487"/>
      <c r="AC8" s="1487"/>
      <c r="AD8" s="1487"/>
      <c r="AE8" s="1487"/>
      <c r="AF8" s="1487"/>
      <c r="AG8" s="1488"/>
      <c r="AH8" s="100">
        <f t="shared" si="1"/>
        <v>0</v>
      </c>
    </row>
    <row r="9" spans="1:34" ht="15">
      <c r="A9" s="73" t="s">
        <v>149</v>
      </c>
      <c r="B9" s="53">
        <f t="shared" si="0"/>
        <v>0</v>
      </c>
      <c r="C9" s="1488"/>
      <c r="D9" s="1488"/>
      <c r="E9" s="1488"/>
      <c r="F9" s="1487"/>
      <c r="G9" s="1488"/>
      <c r="H9" s="1487"/>
      <c r="I9" s="1488"/>
      <c r="J9" s="1487"/>
      <c r="K9" s="1488"/>
      <c r="L9" s="1488"/>
      <c r="M9" s="1488"/>
      <c r="N9" s="1488"/>
      <c r="O9" s="1488"/>
      <c r="P9" s="1488"/>
      <c r="Q9" s="1488"/>
      <c r="R9" s="1488"/>
      <c r="S9" s="1487"/>
      <c r="T9" s="1488"/>
      <c r="U9" s="1488"/>
      <c r="V9" s="1487"/>
      <c r="W9" s="1488"/>
      <c r="X9" s="1488"/>
      <c r="Y9" s="1487"/>
      <c r="Z9" s="1488"/>
      <c r="AA9" s="1488"/>
      <c r="AB9" s="1487"/>
      <c r="AC9" s="1488"/>
      <c r="AD9" s="1488"/>
      <c r="AE9" s="1487"/>
      <c r="AF9" s="1488"/>
      <c r="AG9" s="1488"/>
      <c r="AH9" s="100">
        <f t="shared" si="1"/>
        <v>0</v>
      </c>
    </row>
    <row r="10" spans="1:34" ht="15">
      <c r="A10" s="73" t="s">
        <v>150</v>
      </c>
      <c r="B10" s="53">
        <f t="shared" si="0"/>
        <v>0</v>
      </c>
      <c r="C10" s="1488"/>
      <c r="D10" s="1488"/>
      <c r="E10" s="1488"/>
      <c r="F10" s="1488"/>
      <c r="G10" s="1488"/>
      <c r="H10" s="1488"/>
      <c r="I10" s="1488"/>
      <c r="J10" s="1488"/>
      <c r="K10" s="1488"/>
      <c r="L10" s="1488"/>
      <c r="M10" s="1488"/>
      <c r="N10" s="1487"/>
      <c r="O10" s="1488"/>
      <c r="P10" s="1487"/>
      <c r="Q10" s="1488"/>
      <c r="R10" s="1487"/>
      <c r="S10" s="1488"/>
      <c r="T10" s="1487"/>
      <c r="U10" s="1488"/>
      <c r="V10" s="1487"/>
      <c r="W10" s="1488"/>
      <c r="X10" s="1487"/>
      <c r="Y10" s="1488"/>
      <c r="Z10" s="1487"/>
      <c r="AA10" s="1488"/>
      <c r="AB10" s="1487"/>
      <c r="AC10" s="1488"/>
      <c r="AD10" s="1487"/>
      <c r="AE10" s="1488"/>
      <c r="AF10" s="1487"/>
      <c r="AG10" s="1488"/>
      <c r="AH10" s="100">
        <f t="shared" si="1"/>
        <v>0</v>
      </c>
    </row>
    <row r="11" spans="1:34" ht="15">
      <c r="A11" s="375" t="s">
        <v>151</v>
      </c>
      <c r="B11" s="53">
        <f t="shared" si="0"/>
        <v>2459.86</v>
      </c>
      <c r="C11" s="1488"/>
      <c r="D11" s="1488"/>
      <c r="E11" s="1488"/>
      <c r="F11" s="1488"/>
      <c r="G11" s="1488"/>
      <c r="H11" s="1488"/>
      <c r="I11" s="1488"/>
      <c r="J11" s="1488"/>
      <c r="K11" s="1488"/>
      <c r="L11" s="1488"/>
      <c r="M11" s="1488"/>
      <c r="N11" s="324">
        <v>251.09</v>
      </c>
      <c r="O11" s="324">
        <v>384.52</v>
      </c>
      <c r="P11" s="324">
        <v>889.68</v>
      </c>
      <c r="Q11" s="324">
        <v>407.71</v>
      </c>
      <c r="R11" s="324">
        <v>526.86</v>
      </c>
      <c r="S11" s="324"/>
      <c r="T11" s="324"/>
      <c r="U11" s="324"/>
      <c r="V11" s="324"/>
      <c r="W11" s="324"/>
      <c r="X11" s="324"/>
      <c r="Y11" s="324"/>
      <c r="Z11" s="324"/>
      <c r="AA11" s="324"/>
      <c r="AB11" s="324"/>
      <c r="AC11" s="324"/>
      <c r="AD11" s="324"/>
      <c r="AE11" s="324"/>
      <c r="AF11" s="324"/>
      <c r="AG11" s="324"/>
      <c r="AH11" s="100">
        <f t="shared" si="1"/>
        <v>2459.86</v>
      </c>
    </row>
    <row r="12" spans="1:34" ht="15">
      <c r="A12" s="375" t="s">
        <v>152</v>
      </c>
      <c r="B12" s="53">
        <f t="shared" si="0"/>
        <v>0</v>
      </c>
      <c r="C12" s="323"/>
      <c r="D12" s="325"/>
      <c r="E12" s="323"/>
      <c r="F12" s="323"/>
      <c r="G12" s="323"/>
      <c r="H12" s="323"/>
      <c r="I12" s="323"/>
      <c r="J12" s="323"/>
      <c r="K12" s="323"/>
      <c r="L12" s="323"/>
      <c r="M12" s="323"/>
      <c r="N12" s="323"/>
      <c r="O12" s="323"/>
      <c r="P12" s="323"/>
      <c r="Q12" s="323"/>
      <c r="R12" s="323"/>
      <c r="S12" s="323"/>
      <c r="T12" s="323"/>
      <c r="U12" s="323"/>
      <c r="V12" s="323"/>
      <c r="W12" s="323"/>
      <c r="X12" s="323"/>
      <c r="Y12" s="323"/>
      <c r="Z12" s="323"/>
      <c r="AA12" s="323"/>
      <c r="AB12" s="323"/>
      <c r="AC12" s="323"/>
      <c r="AD12" s="323"/>
      <c r="AE12" s="323"/>
      <c r="AF12" s="323"/>
      <c r="AG12" s="323"/>
      <c r="AH12" s="100">
        <f t="shared" si="1"/>
        <v>0</v>
      </c>
    </row>
    <row r="13" spans="1:34" ht="15">
      <c r="A13" s="375" t="s">
        <v>153</v>
      </c>
      <c r="B13" s="53">
        <f t="shared" si="0"/>
        <v>0</v>
      </c>
      <c r="C13" s="323"/>
      <c r="D13" s="323"/>
      <c r="E13" s="323"/>
      <c r="F13" s="323"/>
      <c r="G13" s="323"/>
      <c r="H13" s="323"/>
      <c r="I13" s="323"/>
      <c r="J13" s="323"/>
      <c r="K13" s="323"/>
      <c r="L13" s="323"/>
      <c r="M13" s="323"/>
      <c r="N13" s="323"/>
      <c r="O13" s="323"/>
      <c r="P13" s="323"/>
      <c r="Q13" s="1487" t="s">
        <v>318</v>
      </c>
      <c r="R13" s="1487" t="s">
        <v>318</v>
      </c>
      <c r="S13" s="1487" t="s">
        <v>318</v>
      </c>
      <c r="T13" s="1487" t="s">
        <v>318</v>
      </c>
      <c r="U13" s="1487" t="s">
        <v>318</v>
      </c>
      <c r="V13" s="1487" t="s">
        <v>318</v>
      </c>
      <c r="W13" s="1487" t="s">
        <v>318</v>
      </c>
      <c r="X13" s="1487" t="s">
        <v>318</v>
      </c>
      <c r="Y13" s="1487" t="s">
        <v>318</v>
      </c>
      <c r="Z13" s="1487" t="s">
        <v>318</v>
      </c>
      <c r="AA13" s="1487" t="s">
        <v>318</v>
      </c>
      <c r="AB13" s="1487" t="s">
        <v>318</v>
      </c>
      <c r="AC13" s="1487" t="s">
        <v>318</v>
      </c>
      <c r="AD13" s="1487" t="s">
        <v>318</v>
      </c>
      <c r="AE13" s="1487" t="s">
        <v>318</v>
      </c>
      <c r="AF13" s="1487" t="s">
        <v>318</v>
      </c>
      <c r="AG13" s="1487" t="s">
        <v>318</v>
      </c>
      <c r="AH13" s="100">
        <f t="shared" si="1"/>
        <v>0</v>
      </c>
    </row>
    <row r="14" spans="1:34" ht="15">
      <c r="A14" s="363" t="s">
        <v>154</v>
      </c>
      <c r="B14" s="53">
        <f t="shared" si="0"/>
        <v>0</v>
      </c>
      <c r="C14" s="1487" t="s">
        <v>318</v>
      </c>
      <c r="D14" s="2306" t="s">
        <v>318</v>
      </c>
      <c r="E14" s="1487" t="s">
        <v>318</v>
      </c>
      <c r="F14" s="1487" t="s">
        <v>318</v>
      </c>
      <c r="G14" s="1487" t="s">
        <v>318</v>
      </c>
      <c r="H14" s="1487" t="s">
        <v>318</v>
      </c>
      <c r="I14" s="1487" t="s">
        <v>318</v>
      </c>
      <c r="J14" s="1487" t="s">
        <v>318</v>
      </c>
      <c r="K14" s="1487" t="s">
        <v>318</v>
      </c>
      <c r="L14" s="1487" t="s">
        <v>318</v>
      </c>
      <c r="M14" s="1487" t="s">
        <v>318</v>
      </c>
      <c r="N14" s="1487" t="s">
        <v>318</v>
      </c>
      <c r="O14" s="1487" t="s">
        <v>318</v>
      </c>
      <c r="P14" s="1487" t="s">
        <v>318</v>
      </c>
      <c r="Q14" s="1487" t="s">
        <v>318</v>
      </c>
      <c r="R14" s="323"/>
      <c r="S14" s="323"/>
      <c r="T14" s="323"/>
      <c r="U14" s="323"/>
      <c r="V14" s="323"/>
      <c r="W14" s="323"/>
      <c r="X14" s="323"/>
      <c r="Y14" s="323"/>
      <c r="Z14" s="323"/>
      <c r="AA14" s="323"/>
      <c r="AB14" s="323"/>
      <c r="AC14" s="323"/>
      <c r="AD14" s="323"/>
      <c r="AE14" s="323"/>
      <c r="AF14" s="323"/>
      <c r="AG14" s="323"/>
      <c r="AH14" s="100">
        <f t="shared" si="1"/>
        <v>0</v>
      </c>
    </row>
    <row r="15" spans="1:34" ht="15">
      <c r="A15" s="363" t="s">
        <v>155</v>
      </c>
      <c r="B15" s="53">
        <f t="shared" si="0"/>
        <v>0</v>
      </c>
      <c r="C15" s="323"/>
      <c r="D15" s="323"/>
      <c r="E15" s="323"/>
      <c r="F15" s="323"/>
      <c r="G15" s="323"/>
      <c r="H15" s="323"/>
      <c r="I15" s="323"/>
      <c r="J15" s="323"/>
      <c r="K15" s="323"/>
      <c r="L15" s="323"/>
      <c r="M15" s="323"/>
      <c r="N15" s="323"/>
      <c r="O15" s="323"/>
      <c r="P15" s="323"/>
      <c r="Q15" s="323"/>
      <c r="R15" s="323"/>
      <c r="S15" s="323"/>
      <c r="T15" s="323"/>
      <c r="U15" s="323"/>
      <c r="V15" s="323"/>
      <c r="W15" s="323"/>
      <c r="X15" s="323"/>
      <c r="Y15" s="323"/>
      <c r="Z15" s="323"/>
      <c r="AA15" s="323"/>
      <c r="AB15" s="323"/>
      <c r="AC15" s="323"/>
      <c r="AD15" s="323"/>
      <c r="AE15" s="323"/>
      <c r="AF15" s="323"/>
      <c r="AG15" s="324"/>
      <c r="AH15" s="100">
        <f>SUM(C15:AG15)</f>
        <v>0</v>
      </c>
    </row>
    <row r="16" spans="1:34" ht="15">
      <c r="A16" s="363" t="s">
        <v>156</v>
      </c>
      <c r="B16" s="53">
        <f t="shared" si="0"/>
        <v>0</v>
      </c>
      <c r="C16" s="323"/>
      <c r="D16" s="323"/>
      <c r="E16" s="323"/>
      <c r="F16" s="323"/>
      <c r="G16" s="323"/>
      <c r="H16" s="323"/>
      <c r="I16" s="323"/>
      <c r="J16" s="323"/>
      <c r="K16" s="323"/>
      <c r="L16" s="323"/>
      <c r="M16" s="323"/>
      <c r="N16" s="323"/>
      <c r="O16" s="323"/>
      <c r="P16" s="323"/>
      <c r="Q16" s="323"/>
      <c r="R16" s="323"/>
      <c r="S16" s="323"/>
      <c r="T16" s="323"/>
      <c r="U16" s="323"/>
      <c r="V16" s="323"/>
      <c r="W16" s="323"/>
      <c r="X16" s="323"/>
      <c r="Y16" s="323"/>
      <c r="Z16" s="323"/>
      <c r="AA16" s="323"/>
      <c r="AB16" s="323"/>
      <c r="AC16" s="323"/>
      <c r="AD16" s="323"/>
      <c r="AE16" s="323"/>
      <c r="AF16" s="323"/>
      <c r="AG16" s="323"/>
      <c r="AH16" s="100">
        <f>SUM(C16:AG16)</f>
        <v>0</v>
      </c>
    </row>
    <row r="17" spans="1:34" ht="15">
      <c r="A17" s="199" t="s">
        <v>144</v>
      </c>
      <c r="B17" s="232">
        <f t="shared" ref="B17:AH17" si="2">SUM(B5:B16)</f>
        <v>2459.86</v>
      </c>
      <c r="C17" s="100">
        <f t="shared" si="2"/>
        <v>0</v>
      </c>
      <c r="D17" s="100">
        <f t="shared" si="2"/>
        <v>0</v>
      </c>
      <c r="E17" s="100">
        <f t="shared" si="2"/>
        <v>0</v>
      </c>
      <c r="F17" s="100">
        <f t="shared" si="2"/>
        <v>0</v>
      </c>
      <c r="G17" s="100">
        <f t="shared" si="2"/>
        <v>0</v>
      </c>
      <c r="H17" s="100">
        <f t="shared" si="2"/>
        <v>0</v>
      </c>
      <c r="I17" s="100">
        <f t="shared" si="2"/>
        <v>0</v>
      </c>
      <c r="J17" s="100">
        <f t="shared" si="2"/>
        <v>0</v>
      </c>
      <c r="K17" s="100">
        <f t="shared" si="2"/>
        <v>0</v>
      </c>
      <c r="L17" s="100">
        <f t="shared" si="2"/>
        <v>0</v>
      </c>
      <c r="M17" s="100">
        <f t="shared" si="2"/>
        <v>0</v>
      </c>
      <c r="N17" s="100">
        <f t="shared" si="2"/>
        <v>251.09</v>
      </c>
      <c r="O17" s="100">
        <f t="shared" si="2"/>
        <v>384.52</v>
      </c>
      <c r="P17" s="100">
        <f t="shared" si="2"/>
        <v>889.68</v>
      </c>
      <c r="Q17" s="100">
        <f t="shared" si="2"/>
        <v>407.71</v>
      </c>
      <c r="R17" s="100">
        <f t="shared" si="2"/>
        <v>526.86</v>
      </c>
      <c r="S17" s="100">
        <f t="shared" si="2"/>
        <v>0</v>
      </c>
      <c r="T17" s="100">
        <f t="shared" si="2"/>
        <v>0</v>
      </c>
      <c r="U17" s="100">
        <f t="shared" si="2"/>
        <v>0</v>
      </c>
      <c r="V17" s="100">
        <f t="shared" si="2"/>
        <v>0</v>
      </c>
      <c r="W17" s="100">
        <f t="shared" si="2"/>
        <v>0</v>
      </c>
      <c r="X17" s="100">
        <f t="shared" si="2"/>
        <v>0</v>
      </c>
      <c r="Y17" s="100">
        <f t="shared" si="2"/>
        <v>0</v>
      </c>
      <c r="Z17" s="100">
        <f t="shared" si="2"/>
        <v>0</v>
      </c>
      <c r="AA17" s="100">
        <f t="shared" si="2"/>
        <v>0</v>
      </c>
      <c r="AB17" s="100">
        <f t="shared" si="2"/>
        <v>0</v>
      </c>
      <c r="AC17" s="100">
        <f t="shared" si="2"/>
        <v>0</v>
      </c>
      <c r="AD17" s="100">
        <f t="shared" si="2"/>
        <v>0</v>
      </c>
      <c r="AE17" s="100">
        <f t="shared" si="2"/>
        <v>0</v>
      </c>
      <c r="AF17" s="100">
        <f t="shared" si="2"/>
        <v>0</v>
      </c>
      <c r="AG17" s="100">
        <f t="shared" si="2"/>
        <v>0</v>
      </c>
      <c r="AH17" s="100">
        <f t="shared" si="2"/>
        <v>2459.86</v>
      </c>
    </row>
    <row r="18" spans="1:34" ht="15.6" thickBot="1">
      <c r="A18" s="387"/>
      <c r="B18" s="1508"/>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34" s="1509" customFormat="1" ht="17.25" customHeight="1" thickBot="1">
      <c r="A19" s="3903" t="s">
        <v>937</v>
      </c>
      <c r="B19" s="3904"/>
      <c r="C19" s="3904"/>
      <c r="D19" s="3904"/>
      <c r="E19" s="3904"/>
      <c r="F19" s="3904"/>
      <c r="G19" s="3905"/>
      <c r="H19" s="1510"/>
      <c r="N19" s="1511"/>
      <c r="O19" s="1511"/>
      <c r="P19" s="1511"/>
      <c r="Q19" s="1511"/>
      <c r="R19" s="1511"/>
      <c r="S19" s="1511"/>
      <c r="T19" s="1511"/>
      <c r="U19" s="1511"/>
      <c r="V19" s="1511"/>
      <c r="W19" s="1511"/>
      <c r="X19" s="1511"/>
      <c r="Y19" s="1511"/>
      <c r="Z19" s="1511"/>
      <c r="AA19" s="1511"/>
      <c r="AB19" s="1511"/>
      <c r="AC19" s="1511"/>
      <c r="AD19" s="1511"/>
      <c r="AE19" s="1511"/>
      <c r="AF19" s="1511"/>
      <c r="AG19" s="1511"/>
      <c r="AH19" s="1511"/>
    </row>
    <row r="20" spans="1:34" ht="15">
      <c r="B20" s="169" t="s">
        <v>839</v>
      </c>
      <c r="N20" s="16"/>
      <c r="O20" s="16"/>
      <c r="P20" s="16"/>
      <c r="Q20" s="16"/>
      <c r="R20" s="16"/>
      <c r="S20" s="16"/>
      <c r="T20" s="16"/>
      <c r="U20" s="16"/>
      <c r="V20" s="16"/>
      <c r="W20" s="16"/>
      <c r="X20" s="16"/>
      <c r="Y20" s="16"/>
      <c r="Z20" s="16"/>
      <c r="AA20" s="16"/>
      <c r="AB20" s="16"/>
      <c r="AC20" s="16"/>
      <c r="AD20" s="16"/>
      <c r="AE20" s="16"/>
      <c r="AF20" s="16"/>
      <c r="AG20" s="16"/>
      <c r="AH20" s="16"/>
    </row>
    <row r="21" spans="1:34" ht="15">
      <c r="A21" s="1500" t="s">
        <v>142</v>
      </c>
      <c r="B21" s="1500" t="s">
        <v>143</v>
      </c>
      <c r="C21" s="1501">
        <v>1</v>
      </c>
      <c r="D21" s="1502">
        <v>2</v>
      </c>
      <c r="E21" s="1502">
        <v>3</v>
      </c>
      <c r="F21" s="1502">
        <v>4</v>
      </c>
      <c r="G21" s="1502">
        <v>5</v>
      </c>
      <c r="H21" s="1502">
        <v>6</v>
      </c>
      <c r="I21" s="1502">
        <v>7</v>
      </c>
      <c r="J21" s="1502">
        <v>8</v>
      </c>
      <c r="K21" s="1502">
        <v>9</v>
      </c>
      <c r="L21" s="1502">
        <v>10</v>
      </c>
      <c r="M21" s="1502">
        <v>11</v>
      </c>
      <c r="N21" s="16"/>
      <c r="O21" s="16"/>
      <c r="P21" s="16"/>
      <c r="Q21" s="16"/>
      <c r="R21" s="16"/>
      <c r="S21" s="16"/>
      <c r="T21" s="16"/>
      <c r="U21" s="16"/>
      <c r="V21" s="16"/>
      <c r="W21" s="16"/>
      <c r="X21" s="16"/>
      <c r="Y21" s="16"/>
      <c r="Z21" s="16"/>
      <c r="AA21" s="16"/>
      <c r="AB21" s="16"/>
      <c r="AC21" s="16"/>
      <c r="AD21" s="16"/>
      <c r="AE21" s="16"/>
      <c r="AF21" s="16"/>
      <c r="AG21" s="16"/>
      <c r="AH21" s="16"/>
    </row>
    <row r="22" spans="1:34" ht="15">
      <c r="A22" s="1503" t="s">
        <v>151</v>
      </c>
      <c r="B22" s="1504">
        <f>SUM(C22:M22)</f>
        <v>4055.8530000000001</v>
      </c>
      <c r="C22" s="1562"/>
      <c r="D22" s="1562"/>
      <c r="E22" s="1562">
        <v>198.32599999999999</v>
      </c>
      <c r="F22" s="1562">
        <v>128.41</v>
      </c>
      <c r="G22" s="1562">
        <v>526.39099999999996</v>
      </c>
      <c r="H22" s="1562">
        <v>689.78899999999999</v>
      </c>
      <c r="I22" s="1562">
        <v>377.46</v>
      </c>
      <c r="J22" s="1562">
        <v>364.69400000000002</v>
      </c>
      <c r="K22" s="1562">
        <v>741.62300000000005</v>
      </c>
      <c r="L22" s="1562">
        <v>312.92</v>
      </c>
      <c r="M22" s="1562">
        <v>716.24</v>
      </c>
      <c r="N22" s="16"/>
      <c r="O22" s="16"/>
      <c r="P22" s="16"/>
      <c r="Q22" s="16"/>
      <c r="R22" s="16"/>
      <c r="S22" s="16"/>
      <c r="T22" s="16"/>
      <c r="U22" s="16"/>
      <c r="V22" s="16"/>
      <c r="W22" s="16"/>
      <c r="X22" s="16"/>
      <c r="Y22" s="16"/>
      <c r="Z22" s="16"/>
      <c r="AA22" s="16"/>
      <c r="AB22" s="16"/>
      <c r="AC22" s="16"/>
      <c r="AD22" s="16"/>
      <c r="AE22" s="16"/>
      <c r="AF22" s="16"/>
      <c r="AG22" s="16"/>
      <c r="AH22" s="16"/>
    </row>
    <row r="23" spans="1:34" ht="15">
      <c r="A23" s="1505" t="s">
        <v>144</v>
      </c>
      <c r="B23" s="1506">
        <f>SUM(B22:B22)</f>
        <v>4055.8530000000001</v>
      </c>
      <c r="C23" s="1507">
        <v>0</v>
      </c>
      <c r="D23" s="1507">
        <v>0</v>
      </c>
      <c r="E23" s="1507">
        <v>0</v>
      </c>
      <c r="F23" s="1507">
        <v>0</v>
      </c>
      <c r="G23" s="1507">
        <v>0</v>
      </c>
      <c r="H23" s="1507">
        <v>0</v>
      </c>
      <c r="I23" s="1507">
        <v>0</v>
      </c>
      <c r="J23" s="1507">
        <v>0</v>
      </c>
      <c r="K23" s="1507">
        <v>0</v>
      </c>
      <c r="L23" s="1507">
        <v>0</v>
      </c>
      <c r="M23" s="1507">
        <v>0</v>
      </c>
      <c r="N23" s="16"/>
      <c r="O23" s="16"/>
      <c r="P23" s="16"/>
      <c r="Q23" s="16"/>
      <c r="R23" s="16"/>
      <c r="S23" s="16"/>
      <c r="T23" s="16"/>
      <c r="U23" s="16"/>
      <c r="V23" s="16"/>
      <c r="W23" s="16"/>
      <c r="X23" s="16"/>
      <c r="Y23" s="16"/>
      <c r="Z23" s="16"/>
      <c r="AA23" s="16"/>
      <c r="AB23" s="16"/>
      <c r="AC23" s="16"/>
      <c r="AD23" s="16"/>
      <c r="AE23" s="16"/>
      <c r="AF23" s="16"/>
      <c r="AG23" s="16"/>
      <c r="AH23" s="16"/>
    </row>
    <row r="24" spans="1:34" ht="15">
      <c r="A24" s="1513"/>
      <c r="B24" s="1514"/>
      <c r="C24" s="1512"/>
      <c r="D24" s="1512"/>
      <c r="E24" s="1512"/>
      <c r="F24" s="1512"/>
      <c r="G24" s="1512"/>
      <c r="H24" s="1512"/>
      <c r="I24" s="1512"/>
      <c r="J24" s="1512"/>
      <c r="K24" s="1512"/>
      <c r="L24" s="1512"/>
      <c r="M24" s="1512"/>
      <c r="N24" s="16"/>
      <c r="O24" s="16"/>
      <c r="P24" s="16"/>
      <c r="Q24" s="16"/>
      <c r="R24" s="16"/>
      <c r="S24" s="16"/>
      <c r="T24" s="16"/>
      <c r="U24" s="16"/>
      <c r="V24" s="16"/>
      <c r="W24" s="16"/>
      <c r="X24" s="16"/>
      <c r="Y24" s="16"/>
      <c r="Z24" s="16"/>
      <c r="AA24" s="16"/>
      <c r="AB24" s="16"/>
      <c r="AC24" s="16"/>
      <c r="AD24" s="16"/>
      <c r="AE24" s="16"/>
      <c r="AF24" s="16"/>
      <c r="AG24" s="16"/>
      <c r="AH24" s="16"/>
    </row>
    <row r="25" spans="1:34" ht="15">
      <c r="A25" s="1"/>
      <c r="B25" s="1"/>
      <c r="C25" s="1"/>
      <c r="D25" s="14"/>
      <c r="E25" s="14"/>
      <c r="F25" s="14"/>
      <c r="G25" s="14"/>
      <c r="H25" s="14"/>
      <c r="I25" s="14"/>
      <c r="J25" s="14"/>
      <c r="K25" s="14"/>
      <c r="L25" s="98"/>
      <c r="M25" s="14"/>
      <c r="N25" s="14"/>
      <c r="O25" s="14"/>
      <c r="P25" s="14"/>
      <c r="Q25" s="14"/>
      <c r="R25" s="14"/>
      <c r="S25" s="14"/>
      <c r="T25" s="14"/>
      <c r="U25" s="14"/>
      <c r="V25" s="14"/>
      <c r="W25" s="14"/>
      <c r="X25" s="14"/>
      <c r="Y25" s="14"/>
      <c r="Z25" s="14"/>
      <c r="AA25" s="14"/>
      <c r="AB25" s="14"/>
      <c r="AC25" s="14"/>
      <c r="AD25" s="14"/>
      <c r="AE25" s="14"/>
      <c r="AF25" s="14"/>
      <c r="AG25" s="14"/>
      <c r="AH25" s="1"/>
    </row>
    <row r="26" spans="1:34" ht="15">
      <c r="A26" s="3854" t="s">
        <v>835</v>
      </c>
      <c r="B26" s="3855"/>
      <c r="C26" s="3856"/>
      <c r="D26" s="14"/>
      <c r="E26" s="14"/>
      <c r="F26" s="14"/>
      <c r="G26" s="14"/>
      <c r="H26" s="14"/>
      <c r="I26" s="14"/>
      <c r="J26" s="14"/>
      <c r="K26" s="14"/>
      <c r="L26" s="14"/>
      <c r="M26" s="98"/>
      <c r="N26" s="14"/>
      <c r="O26" s="14"/>
      <c r="P26" s="14"/>
      <c r="Q26" s="14"/>
      <c r="R26" s="14"/>
      <c r="S26" s="14"/>
      <c r="T26" s="14"/>
      <c r="U26" s="14"/>
      <c r="V26" s="14"/>
      <c r="W26" s="14"/>
      <c r="X26" s="14"/>
      <c r="Y26" s="14"/>
      <c r="Z26" s="14"/>
      <c r="AA26" s="14"/>
      <c r="AB26" s="14"/>
      <c r="AC26" s="14"/>
      <c r="AD26" s="14"/>
      <c r="AE26" s="14"/>
      <c r="AF26" s="14"/>
      <c r="AG26" s="14"/>
      <c r="AH26" s="1"/>
    </row>
    <row r="27" spans="1:34" ht="15">
      <c r="A27" s="8" t="s">
        <v>142</v>
      </c>
      <c r="B27" s="73" t="s">
        <v>143</v>
      </c>
      <c r="C27" s="8">
        <v>1</v>
      </c>
      <c r="D27" s="73">
        <v>2</v>
      </c>
      <c r="E27" s="73">
        <v>3</v>
      </c>
      <c r="F27" s="73">
        <v>4</v>
      </c>
      <c r="G27" s="73">
        <v>5</v>
      </c>
      <c r="H27" s="73">
        <v>6</v>
      </c>
      <c r="I27" s="73">
        <v>7</v>
      </c>
      <c r="J27" s="73">
        <v>8</v>
      </c>
      <c r="K27" s="73">
        <v>9</v>
      </c>
      <c r="L27" s="73">
        <v>10</v>
      </c>
      <c r="M27" s="73">
        <v>11</v>
      </c>
      <c r="N27" s="73">
        <v>12</v>
      </c>
      <c r="O27" s="73">
        <v>13</v>
      </c>
      <c r="P27" s="73">
        <v>14</v>
      </c>
      <c r="Q27" s="73">
        <v>15</v>
      </c>
      <c r="R27" s="73">
        <v>16</v>
      </c>
      <c r="S27" s="73">
        <v>17</v>
      </c>
      <c r="T27" s="73">
        <v>18</v>
      </c>
      <c r="U27" s="73">
        <v>19</v>
      </c>
      <c r="V27" s="73">
        <v>20</v>
      </c>
      <c r="W27" s="73">
        <v>21</v>
      </c>
      <c r="X27" s="73">
        <v>22</v>
      </c>
      <c r="Y27" s="73">
        <v>23</v>
      </c>
      <c r="Z27" s="73">
        <v>24</v>
      </c>
      <c r="AA27" s="73">
        <v>25</v>
      </c>
      <c r="AB27" s="73">
        <v>26</v>
      </c>
      <c r="AC27" s="73">
        <v>27</v>
      </c>
      <c r="AD27" s="73">
        <v>28</v>
      </c>
      <c r="AE27" s="73">
        <v>29</v>
      </c>
      <c r="AF27" s="73">
        <v>30</v>
      </c>
      <c r="AG27" s="73">
        <v>31</v>
      </c>
      <c r="AH27" s="88" t="s">
        <v>144</v>
      </c>
    </row>
    <row r="28" spans="1:34" ht="15">
      <c r="A28" s="73" t="s">
        <v>145</v>
      </c>
      <c r="B28" s="53">
        <f t="shared" ref="B28:B39" si="3">+AH28</f>
        <v>0</v>
      </c>
      <c r="C28" s="384"/>
      <c r="D28" s="384"/>
      <c r="E28" s="384"/>
      <c r="F28" s="384"/>
      <c r="G28" s="384"/>
      <c r="H28" s="384"/>
      <c r="I28" s="384"/>
      <c r="J28" s="384"/>
      <c r="K28" s="384"/>
      <c r="L28" s="384"/>
      <c r="M28" s="384"/>
      <c r="N28" s="384"/>
      <c r="O28" s="384"/>
      <c r="P28" s="384"/>
      <c r="Q28" s="384"/>
      <c r="R28" s="384"/>
      <c r="S28" s="384"/>
      <c r="T28" s="384"/>
      <c r="U28" s="384"/>
      <c r="V28" s="384"/>
      <c r="W28" s="384"/>
      <c r="X28" s="384"/>
      <c r="Y28" s="384"/>
      <c r="Z28" s="384"/>
      <c r="AA28" s="384"/>
      <c r="AB28" s="384"/>
      <c r="AC28" s="384"/>
      <c r="AD28" s="384"/>
      <c r="AE28" s="384"/>
      <c r="AF28" s="384"/>
      <c r="AG28" s="384"/>
      <c r="AH28" s="100">
        <f>SUM(C28:AG28)</f>
        <v>0</v>
      </c>
    </row>
    <row r="29" spans="1:34" ht="15">
      <c r="A29" s="73" t="s">
        <v>146</v>
      </c>
      <c r="B29" s="53">
        <f t="shared" si="3"/>
        <v>0</v>
      </c>
      <c r="C29" s="384"/>
      <c r="D29" s="1489"/>
      <c r="E29" s="1489"/>
      <c r="F29" s="1489"/>
      <c r="G29" s="1489"/>
      <c r="H29" s="1489"/>
      <c r="I29" s="1489"/>
      <c r="J29" s="1489"/>
      <c r="K29" s="1489"/>
      <c r="L29" s="1489"/>
      <c r="M29" s="1489"/>
      <c r="N29" s="1489"/>
      <c r="O29" s="1489"/>
      <c r="P29" s="1489"/>
      <c r="Q29" s="1489"/>
      <c r="R29" s="1489"/>
      <c r="S29" s="1489"/>
      <c r="T29" s="1489"/>
      <c r="U29" s="1489"/>
      <c r="V29" s="1489"/>
      <c r="W29" s="1489"/>
      <c r="X29" s="1489"/>
      <c r="Y29" s="384"/>
      <c r="Z29" s="384"/>
      <c r="AA29" s="384"/>
      <c r="AB29" s="384"/>
      <c r="AC29" s="384"/>
      <c r="AD29" s="384"/>
      <c r="AE29" s="384"/>
      <c r="AF29" s="384"/>
      <c r="AG29" s="384"/>
      <c r="AH29" s="100">
        <f t="shared" ref="AH29:AH39" si="4">SUM(C29:AG29)</f>
        <v>0</v>
      </c>
    </row>
    <row r="30" spans="1:34" ht="15">
      <c r="A30" s="73" t="s">
        <v>147</v>
      </c>
      <c r="B30" s="53">
        <f t="shared" si="3"/>
        <v>0</v>
      </c>
      <c r="C30" s="1490"/>
      <c r="D30" s="1490"/>
      <c r="E30" s="1491"/>
      <c r="F30" s="1492"/>
      <c r="G30" s="1493"/>
      <c r="H30" s="1494"/>
      <c r="I30" s="1494"/>
      <c r="J30" s="1490"/>
      <c r="K30" s="1490"/>
      <c r="L30" s="1490"/>
      <c r="M30" s="1490"/>
      <c r="N30" s="1490"/>
      <c r="O30" s="1490"/>
      <c r="P30" s="1494"/>
      <c r="Q30" s="1494"/>
      <c r="R30" s="1494"/>
      <c r="S30" s="1494"/>
      <c r="T30" s="1494"/>
      <c r="U30" s="1494"/>
      <c r="V30" s="1494"/>
      <c r="W30" s="1494"/>
      <c r="X30" s="1494"/>
      <c r="Y30" s="1494"/>
      <c r="Z30" s="1494"/>
      <c r="AA30" s="1494"/>
      <c r="AB30" s="1494"/>
      <c r="AC30" s="1494"/>
      <c r="AD30" s="1494"/>
      <c r="AE30" s="1495"/>
      <c r="AF30" s="1490"/>
      <c r="AG30" s="1490"/>
      <c r="AH30" s="100">
        <f t="shared" si="4"/>
        <v>0</v>
      </c>
    </row>
    <row r="31" spans="1:34" ht="15">
      <c r="A31" s="73" t="s">
        <v>148</v>
      </c>
      <c r="B31" s="53">
        <f t="shared" si="3"/>
        <v>0</v>
      </c>
      <c r="C31" s="1496"/>
      <c r="D31" s="712"/>
      <c r="E31" s="1497"/>
      <c r="F31" s="1498"/>
      <c r="G31" s="954"/>
      <c r="H31" s="1499"/>
      <c r="I31" s="1494"/>
      <c r="J31" s="1494"/>
      <c r="K31" s="1494"/>
      <c r="L31" s="1494"/>
      <c r="M31" s="1490"/>
      <c r="N31" s="1490"/>
      <c r="O31" s="1490"/>
      <c r="P31" s="1490"/>
      <c r="Q31" s="1494"/>
      <c r="R31" s="1494"/>
      <c r="S31" s="1494"/>
      <c r="T31" s="1494"/>
      <c r="U31" s="1490"/>
      <c r="V31" s="1494"/>
      <c r="W31" s="1494"/>
      <c r="X31" s="1494"/>
      <c r="Y31" s="1494"/>
      <c r="Z31" s="1494"/>
      <c r="AA31" s="1494"/>
      <c r="AB31" s="1494"/>
      <c r="AC31" s="1490"/>
      <c r="AD31" s="1494"/>
      <c r="AE31" s="1494"/>
      <c r="AF31" s="1490"/>
      <c r="AG31" s="1490"/>
      <c r="AH31" s="100">
        <f t="shared" si="4"/>
        <v>0</v>
      </c>
    </row>
    <row r="32" spans="1:34" ht="15">
      <c r="A32" s="73" t="s">
        <v>149</v>
      </c>
      <c r="B32" s="53">
        <f t="shared" si="3"/>
        <v>0</v>
      </c>
      <c r="C32" s="384"/>
      <c r="D32" s="384"/>
      <c r="E32" s="384"/>
      <c r="F32" s="384"/>
      <c r="G32" s="384"/>
      <c r="H32" s="384"/>
      <c r="I32" s="384"/>
      <c r="J32" s="384"/>
      <c r="K32" s="384"/>
      <c r="L32" s="384"/>
      <c r="M32" s="384"/>
      <c r="N32" s="384"/>
      <c r="O32" s="384"/>
      <c r="P32" s="384"/>
      <c r="Q32" s="384"/>
      <c r="R32" s="384"/>
      <c r="S32" s="384"/>
      <c r="T32" s="384"/>
      <c r="U32" s="384"/>
      <c r="V32" s="384"/>
      <c r="W32" s="384"/>
      <c r="X32" s="384"/>
      <c r="Y32" s="384"/>
      <c r="Z32" s="384"/>
      <c r="AA32" s="384"/>
      <c r="AB32" s="384"/>
      <c r="AC32" s="384"/>
      <c r="AD32" s="384"/>
      <c r="AE32" s="384"/>
      <c r="AF32" s="384"/>
      <c r="AG32" s="384"/>
      <c r="AH32" s="100">
        <f t="shared" si="4"/>
        <v>0</v>
      </c>
    </row>
    <row r="33" spans="1:34" ht="15">
      <c r="A33" s="73" t="s">
        <v>150</v>
      </c>
      <c r="B33" s="53">
        <f t="shared" si="3"/>
        <v>0</v>
      </c>
      <c r="C33" s="384"/>
      <c r="D33" s="384"/>
      <c r="E33" s="384"/>
      <c r="F33" s="384"/>
      <c r="G33" s="384"/>
      <c r="H33" s="384"/>
      <c r="I33" s="384"/>
      <c r="J33" s="384"/>
      <c r="K33" s="384"/>
      <c r="L33" s="384"/>
      <c r="M33" s="384"/>
      <c r="N33" s="384"/>
      <c r="O33" s="384"/>
      <c r="P33" s="384"/>
      <c r="Q33" s="384"/>
      <c r="R33" s="384"/>
      <c r="S33" s="384"/>
      <c r="T33" s="384"/>
      <c r="U33" s="384"/>
      <c r="V33" s="384"/>
      <c r="W33" s="384"/>
      <c r="X33" s="384"/>
      <c r="Y33" s="384"/>
      <c r="Z33" s="384"/>
      <c r="AA33" s="384"/>
      <c r="AB33" s="384"/>
      <c r="AC33" s="384"/>
      <c r="AD33" s="384"/>
      <c r="AE33" s="384"/>
      <c r="AF33" s="384"/>
      <c r="AG33" s="384"/>
      <c r="AH33" s="100">
        <f t="shared" si="4"/>
        <v>0</v>
      </c>
    </row>
    <row r="34" spans="1:34" ht="15">
      <c r="A34" s="73" t="s">
        <v>151</v>
      </c>
      <c r="B34" s="53">
        <f t="shared" si="3"/>
        <v>707.80000000000007</v>
      </c>
      <c r="C34" s="384"/>
      <c r="D34" s="384"/>
      <c r="E34" s="384"/>
      <c r="F34" s="384"/>
      <c r="G34" s="384"/>
      <c r="H34" s="384"/>
      <c r="I34" s="384"/>
      <c r="J34" s="384"/>
      <c r="K34" s="384"/>
      <c r="L34" s="384"/>
      <c r="M34" s="384"/>
      <c r="N34" s="99"/>
      <c r="O34" s="99"/>
      <c r="P34" s="99"/>
      <c r="Q34" s="99">
        <v>65.849999999999994</v>
      </c>
      <c r="R34" s="99">
        <v>25.8</v>
      </c>
      <c r="S34" s="99">
        <v>39.799999999999997</v>
      </c>
      <c r="T34" s="99">
        <v>58.31</v>
      </c>
      <c r="U34" s="99"/>
      <c r="V34" s="99"/>
      <c r="W34" s="99">
        <v>92.84</v>
      </c>
      <c r="X34" s="99"/>
      <c r="Y34" s="99">
        <v>181.86</v>
      </c>
      <c r="Z34" s="99">
        <v>43.64</v>
      </c>
      <c r="AA34" s="99"/>
      <c r="AB34" s="99">
        <v>86.95</v>
      </c>
      <c r="AC34" s="99">
        <v>23.47</v>
      </c>
      <c r="AD34" s="99"/>
      <c r="AE34" s="99">
        <v>46.43</v>
      </c>
      <c r="AF34" s="99"/>
      <c r="AG34" s="99">
        <v>42.85</v>
      </c>
      <c r="AH34" s="100">
        <f t="shared" si="4"/>
        <v>707.80000000000007</v>
      </c>
    </row>
    <row r="35" spans="1:34" ht="15">
      <c r="A35" s="73" t="s">
        <v>152</v>
      </c>
      <c r="B35" s="53">
        <f t="shared" si="3"/>
        <v>57.78</v>
      </c>
      <c r="C35" s="99"/>
      <c r="D35" s="99"/>
      <c r="E35" s="99"/>
      <c r="F35" s="99"/>
      <c r="G35" s="99"/>
      <c r="H35" s="99"/>
      <c r="I35" s="99"/>
      <c r="J35" s="99"/>
      <c r="K35" s="99"/>
      <c r="L35" s="99"/>
      <c r="M35" s="99"/>
      <c r="N35" s="99"/>
      <c r="O35" s="99"/>
      <c r="P35" s="99"/>
      <c r="Q35" s="99"/>
      <c r="R35" s="99">
        <v>15.17</v>
      </c>
      <c r="S35" s="99"/>
      <c r="T35" s="99"/>
      <c r="U35" s="99"/>
      <c r="V35" s="99">
        <v>26.93</v>
      </c>
      <c r="W35" s="99"/>
      <c r="X35" s="99"/>
      <c r="Y35" s="99"/>
      <c r="Z35" s="99"/>
      <c r="AA35" s="99"/>
      <c r="AB35" s="99"/>
      <c r="AC35" s="99">
        <v>15.68</v>
      </c>
      <c r="AD35" s="99"/>
      <c r="AE35" s="99"/>
      <c r="AF35" s="99"/>
      <c r="AG35" s="99"/>
      <c r="AH35" s="100">
        <f t="shared" si="4"/>
        <v>57.78</v>
      </c>
    </row>
    <row r="36" spans="1:34" ht="15">
      <c r="A36" s="73" t="s">
        <v>153</v>
      </c>
      <c r="B36" s="53">
        <f t="shared" si="3"/>
        <v>0</v>
      </c>
      <c r="C36" s="99"/>
      <c r="D36" s="99"/>
      <c r="E36" s="99"/>
      <c r="F36" s="99"/>
      <c r="G36" s="99"/>
      <c r="H36" s="99"/>
      <c r="I36" s="99"/>
      <c r="J36" s="99"/>
      <c r="K36" s="99"/>
      <c r="L36" s="99"/>
      <c r="M36" s="99"/>
      <c r="N36" s="99"/>
      <c r="O36" s="99"/>
      <c r="P36" s="99"/>
      <c r="Q36" s="384" t="s">
        <v>1015</v>
      </c>
      <c r="R36" s="384" t="s">
        <v>1015</v>
      </c>
      <c r="S36" s="384" t="s">
        <v>1015</v>
      </c>
      <c r="T36" s="384" t="s">
        <v>1015</v>
      </c>
      <c r="U36" s="384" t="s">
        <v>1015</v>
      </c>
      <c r="V36" s="384" t="s">
        <v>1015</v>
      </c>
      <c r="W36" s="384" t="s">
        <v>1015</v>
      </c>
      <c r="X36" s="384" t="s">
        <v>1015</v>
      </c>
      <c r="Y36" s="384" t="s">
        <v>1015</v>
      </c>
      <c r="Z36" s="384" t="s">
        <v>1015</v>
      </c>
      <c r="AA36" s="384" t="s">
        <v>1015</v>
      </c>
      <c r="AB36" s="384" t="s">
        <v>1015</v>
      </c>
      <c r="AC36" s="384" t="s">
        <v>1015</v>
      </c>
      <c r="AD36" s="384" t="s">
        <v>1015</v>
      </c>
      <c r="AE36" s="384" t="s">
        <v>1015</v>
      </c>
      <c r="AF36" s="384" t="s">
        <v>1015</v>
      </c>
      <c r="AG36" s="384" t="s">
        <v>1015</v>
      </c>
      <c r="AH36" s="100">
        <f t="shared" si="4"/>
        <v>0</v>
      </c>
    </row>
    <row r="37" spans="1:34" ht="15">
      <c r="A37" s="73" t="s">
        <v>154</v>
      </c>
      <c r="B37" s="53">
        <f t="shared" si="3"/>
        <v>0</v>
      </c>
      <c r="C37" s="384" t="s">
        <v>318</v>
      </c>
      <c r="D37" s="2307" t="s">
        <v>318</v>
      </c>
      <c r="E37" s="384" t="s">
        <v>318</v>
      </c>
      <c r="F37" s="384" t="s">
        <v>318</v>
      </c>
      <c r="G37" s="384" t="s">
        <v>318</v>
      </c>
      <c r="H37" s="384" t="s">
        <v>318</v>
      </c>
      <c r="I37" s="384" t="s">
        <v>318</v>
      </c>
      <c r="J37" s="384" t="s">
        <v>318</v>
      </c>
      <c r="K37" s="384" t="s">
        <v>318</v>
      </c>
      <c r="L37" s="384" t="s">
        <v>318</v>
      </c>
      <c r="M37" s="384" t="s">
        <v>318</v>
      </c>
      <c r="N37" s="384" t="s">
        <v>318</v>
      </c>
      <c r="O37" s="384" t="s">
        <v>318</v>
      </c>
      <c r="P37" s="384" t="s">
        <v>318</v>
      </c>
      <c r="Q37" s="384" t="s">
        <v>318</v>
      </c>
      <c r="R37" s="88"/>
      <c r="S37" s="88"/>
      <c r="T37" s="88"/>
      <c r="U37" s="88"/>
      <c r="V37" s="88"/>
      <c r="W37" s="88"/>
      <c r="X37" s="88"/>
      <c r="Y37" s="88"/>
      <c r="Z37" s="88"/>
      <c r="AA37" s="88"/>
      <c r="AB37" s="88"/>
      <c r="AC37" s="88"/>
      <c r="AD37" s="88"/>
      <c r="AE37" s="88"/>
      <c r="AF37" s="88"/>
      <c r="AG37" s="88"/>
      <c r="AH37" s="100">
        <f t="shared" si="4"/>
        <v>0</v>
      </c>
    </row>
    <row r="38" spans="1:34" ht="15">
      <c r="A38" s="73" t="s">
        <v>155</v>
      </c>
      <c r="B38" s="53">
        <f t="shared" si="3"/>
        <v>374.67</v>
      </c>
      <c r="C38" s="99"/>
      <c r="D38" s="88"/>
      <c r="E38" s="88"/>
      <c r="F38" s="88"/>
      <c r="G38" s="88"/>
      <c r="H38" s="88"/>
      <c r="I38" s="88"/>
      <c r="J38" s="88"/>
      <c r="K38" s="88"/>
      <c r="L38" s="88"/>
      <c r="M38" s="88"/>
      <c r="N38" s="88"/>
      <c r="O38" s="88"/>
      <c r="P38" s="88"/>
      <c r="Q38" s="88"/>
      <c r="R38" s="102">
        <v>41.67</v>
      </c>
      <c r="S38" s="102">
        <v>126.98</v>
      </c>
      <c r="T38" s="102"/>
      <c r="U38" s="102">
        <v>44.78</v>
      </c>
      <c r="V38" s="102">
        <v>40.57</v>
      </c>
      <c r="W38" s="102">
        <v>64.569999999999993</v>
      </c>
      <c r="X38" s="102"/>
      <c r="Y38" s="102"/>
      <c r="Z38" s="102">
        <v>33.299999999999997</v>
      </c>
      <c r="AA38" s="102"/>
      <c r="AB38" s="102">
        <v>22.8</v>
      </c>
      <c r="AC38" s="102"/>
      <c r="AD38" s="102"/>
      <c r="AE38" s="102"/>
      <c r="AF38" s="102"/>
      <c r="AG38" s="99"/>
      <c r="AH38" s="100">
        <f>SUM(C38:AG38)</f>
        <v>374.67</v>
      </c>
    </row>
    <row r="39" spans="1:34" ht="15">
      <c r="A39" s="73" t="s">
        <v>156</v>
      </c>
      <c r="B39" s="53">
        <f t="shared" si="3"/>
        <v>445.8599999999999</v>
      </c>
      <c r="C39" s="99"/>
      <c r="D39" s="102"/>
      <c r="E39" s="102"/>
      <c r="F39" s="102"/>
      <c r="G39" s="99"/>
      <c r="H39" s="99">
        <v>64.509999999999991</v>
      </c>
      <c r="I39" s="99"/>
      <c r="J39" s="99">
        <v>68.77</v>
      </c>
      <c r="K39" s="99"/>
      <c r="L39" s="99">
        <v>48.38</v>
      </c>
      <c r="M39" s="99">
        <v>36.19</v>
      </c>
      <c r="N39" s="99"/>
      <c r="O39" s="99"/>
      <c r="P39" s="99">
        <v>90.55</v>
      </c>
      <c r="Q39" s="99">
        <v>52.14</v>
      </c>
      <c r="R39" s="99"/>
      <c r="S39" s="99">
        <v>26.33</v>
      </c>
      <c r="T39" s="99">
        <v>14.65</v>
      </c>
      <c r="U39" s="99"/>
      <c r="V39" s="99"/>
      <c r="W39" s="99">
        <v>44.34</v>
      </c>
      <c r="X39" s="99"/>
      <c r="Y39" s="99"/>
      <c r="Z39" s="99"/>
      <c r="AA39" s="99"/>
      <c r="AB39" s="99"/>
      <c r="AC39" s="99"/>
      <c r="AD39" s="99"/>
      <c r="AE39" s="99"/>
      <c r="AF39" s="99"/>
      <c r="AG39" s="99"/>
      <c r="AH39" s="100">
        <f t="shared" si="4"/>
        <v>445.8599999999999</v>
      </c>
    </row>
    <row r="40" spans="1:34" ht="15">
      <c r="A40" s="199" t="s">
        <v>144</v>
      </c>
      <c r="B40" s="200">
        <f>SUM(B28:B39)</f>
        <v>1586.11</v>
      </c>
      <c r="C40" s="100"/>
      <c r="D40" s="100"/>
      <c r="E40" s="100"/>
      <c r="F40" s="100"/>
      <c r="G40" s="100"/>
      <c r="H40" s="100"/>
      <c r="I40" s="100"/>
      <c r="J40" s="100"/>
      <c r="K40" s="100"/>
      <c r="L40" s="100"/>
      <c r="M40" s="100"/>
      <c r="N40" s="100"/>
      <c r="O40" s="100"/>
      <c r="P40" s="100"/>
      <c r="Q40" s="100"/>
      <c r="R40" s="100"/>
      <c r="S40" s="100"/>
      <c r="T40" s="100"/>
      <c r="U40" s="100"/>
      <c r="V40" s="100"/>
      <c r="W40" s="100"/>
      <c r="X40" s="100"/>
      <c r="Y40" s="100"/>
      <c r="Z40" s="100"/>
      <c r="AA40" s="100"/>
      <c r="AB40" s="100"/>
      <c r="AC40" s="100"/>
      <c r="AD40" s="100"/>
      <c r="AE40" s="100"/>
      <c r="AF40" s="100"/>
      <c r="AG40" s="100"/>
      <c r="AH40" s="100">
        <f>SUM(AH28:AH39)</f>
        <v>1586.11</v>
      </c>
    </row>
    <row r="42" spans="1:34" ht="13.8" thickBot="1"/>
    <row r="43" spans="1:34" ht="16.2" thickBot="1">
      <c r="A43" s="3906" t="s">
        <v>1304</v>
      </c>
      <c r="B43" s="3907"/>
      <c r="C43" s="3907"/>
      <c r="D43" s="3907"/>
      <c r="E43" s="3907"/>
      <c r="F43" s="3907"/>
      <c r="G43" s="3907"/>
      <c r="H43" s="3907"/>
      <c r="I43" s="3907"/>
      <c r="J43" s="3907"/>
      <c r="K43" s="3907"/>
      <c r="L43" s="3908"/>
      <c r="M43" s="169"/>
    </row>
    <row r="44" spans="1:34" ht="15">
      <c r="A44" s="1648" t="s">
        <v>142</v>
      </c>
      <c r="B44" s="1648" t="s">
        <v>143</v>
      </c>
      <c r="C44" s="3580">
        <v>1</v>
      </c>
      <c r="D44" s="1649">
        <v>2</v>
      </c>
      <c r="E44" s="1649">
        <v>3</v>
      </c>
      <c r="F44" s="1649">
        <v>4</v>
      </c>
      <c r="G44" s="1649">
        <v>5</v>
      </c>
      <c r="H44" s="1649">
        <v>6</v>
      </c>
      <c r="I44" s="1649">
        <v>7</v>
      </c>
      <c r="J44" s="1649">
        <v>8</v>
      </c>
      <c r="K44" s="1649">
        <v>9</v>
      </c>
      <c r="L44" s="1649">
        <v>10</v>
      </c>
      <c r="M44" s="1502">
        <v>11</v>
      </c>
      <c r="N44" s="1501">
        <v>12</v>
      </c>
      <c r="O44" s="1502">
        <v>13</v>
      </c>
      <c r="P44" s="1502">
        <v>14</v>
      </c>
      <c r="Q44" s="1502">
        <v>15</v>
      </c>
      <c r="R44" s="1502">
        <v>16</v>
      </c>
      <c r="S44" s="1502">
        <v>17</v>
      </c>
      <c r="T44" s="1502">
        <v>18</v>
      </c>
      <c r="U44" s="1502">
        <v>19</v>
      </c>
      <c r="V44" s="1502">
        <v>20</v>
      </c>
      <c r="W44" s="1502">
        <v>21</v>
      </c>
      <c r="X44" s="1502">
        <v>22</v>
      </c>
      <c r="Y44" s="1501">
        <v>23</v>
      </c>
      <c r="Z44" s="1502">
        <v>24</v>
      </c>
      <c r="AA44" s="1502">
        <v>25</v>
      </c>
      <c r="AB44" s="1502">
        <v>26</v>
      </c>
      <c r="AC44" s="1502">
        <v>27</v>
      </c>
      <c r="AD44" s="1502">
        <v>28</v>
      </c>
      <c r="AE44" s="1502">
        <v>29</v>
      </c>
      <c r="AF44" s="1502">
        <v>30</v>
      </c>
      <c r="AG44" s="1502">
        <v>31</v>
      </c>
      <c r="AH44" s="1502" t="s">
        <v>563</v>
      </c>
    </row>
    <row r="45" spans="1:34" ht="15">
      <c r="A45" s="1503" t="s">
        <v>156</v>
      </c>
      <c r="B45" s="1504">
        <f>+AH45</f>
        <v>0</v>
      </c>
      <c r="C45" s="1562">
        <v>0</v>
      </c>
      <c r="D45" s="1562">
        <v>0</v>
      </c>
      <c r="E45" s="1562">
        <v>0</v>
      </c>
      <c r="F45" s="1562">
        <v>0</v>
      </c>
      <c r="G45" s="1562">
        <v>0</v>
      </c>
      <c r="H45" s="1562">
        <v>0</v>
      </c>
      <c r="I45" s="1562">
        <v>0</v>
      </c>
      <c r="J45" s="1562">
        <v>0</v>
      </c>
      <c r="K45" s="1562">
        <v>0</v>
      </c>
      <c r="L45" s="1562">
        <v>0</v>
      </c>
      <c r="M45" s="1562">
        <v>0</v>
      </c>
      <c r="N45" s="1562">
        <v>0</v>
      </c>
      <c r="O45" s="1562">
        <v>0</v>
      </c>
      <c r="P45" s="1562">
        <v>0</v>
      </c>
      <c r="Q45" s="1562">
        <v>0</v>
      </c>
      <c r="R45" s="1562">
        <v>0</v>
      </c>
      <c r="S45" s="1562">
        <v>0</v>
      </c>
      <c r="T45" s="1562">
        <v>0</v>
      </c>
      <c r="U45" s="1562">
        <v>0</v>
      </c>
      <c r="V45" s="1562">
        <v>0</v>
      </c>
      <c r="W45" s="1562">
        <v>0</v>
      </c>
      <c r="X45" s="1562">
        <v>0</v>
      </c>
      <c r="Y45" s="1562">
        <v>0</v>
      </c>
      <c r="Z45" s="1562">
        <v>0</v>
      </c>
      <c r="AA45" s="1562">
        <v>0</v>
      </c>
      <c r="AB45" s="1562">
        <v>0</v>
      </c>
      <c r="AC45" s="1562">
        <v>0</v>
      </c>
      <c r="AD45" s="1562">
        <v>0</v>
      </c>
      <c r="AE45" s="1562">
        <v>0</v>
      </c>
      <c r="AF45" s="1562">
        <v>0</v>
      </c>
      <c r="AG45" s="1562">
        <v>0</v>
      </c>
      <c r="AH45" s="1562">
        <f>SUM(C45:AG45)</f>
        <v>0</v>
      </c>
    </row>
    <row r="46" spans="1:34" ht="15">
      <c r="A46" s="1505" t="s">
        <v>144</v>
      </c>
      <c r="B46" s="1506">
        <f>SUM(B45:B45)</f>
        <v>0</v>
      </c>
      <c r="C46" s="1507">
        <v>0</v>
      </c>
      <c r="D46" s="1507">
        <v>0</v>
      </c>
      <c r="E46" s="1507">
        <v>0</v>
      </c>
      <c r="F46" s="1507">
        <v>0</v>
      </c>
      <c r="G46" s="1507">
        <v>0</v>
      </c>
      <c r="H46" s="1507">
        <v>0</v>
      </c>
      <c r="I46" s="1507">
        <v>0</v>
      </c>
      <c r="J46" s="1507">
        <v>0</v>
      </c>
      <c r="K46" s="1507">
        <v>0</v>
      </c>
      <c r="L46" s="1507">
        <v>0</v>
      </c>
      <c r="M46" s="1507">
        <v>0</v>
      </c>
      <c r="N46" s="1507">
        <v>0</v>
      </c>
      <c r="O46" s="1507">
        <v>0</v>
      </c>
      <c r="P46" s="1507">
        <v>0</v>
      </c>
      <c r="Q46" s="1507">
        <v>0</v>
      </c>
      <c r="R46" s="1507">
        <v>0</v>
      </c>
      <c r="S46" s="1507">
        <v>0</v>
      </c>
      <c r="T46" s="1507">
        <v>0</v>
      </c>
      <c r="U46" s="1507">
        <v>0</v>
      </c>
      <c r="V46" s="1507">
        <v>0</v>
      </c>
      <c r="W46" s="1507">
        <v>0</v>
      </c>
      <c r="X46" s="1507">
        <v>0</v>
      </c>
      <c r="Y46" s="1507">
        <v>0</v>
      </c>
      <c r="Z46" s="1507">
        <v>0</v>
      </c>
      <c r="AA46" s="1507">
        <v>0</v>
      </c>
      <c r="AB46" s="1507">
        <v>0</v>
      </c>
      <c r="AC46" s="1507">
        <v>0</v>
      </c>
      <c r="AD46" s="1507">
        <v>0</v>
      </c>
      <c r="AE46" s="1507">
        <v>0</v>
      </c>
      <c r="AF46" s="1507">
        <v>0</v>
      </c>
      <c r="AG46" s="1507">
        <v>0</v>
      </c>
      <c r="AH46" s="1507">
        <v>0</v>
      </c>
    </row>
  </sheetData>
  <mergeCells count="5">
    <mergeCell ref="A3:C3"/>
    <mergeCell ref="A26:C26"/>
    <mergeCell ref="A1:T1"/>
    <mergeCell ref="A19:G19"/>
    <mergeCell ref="A43:L43"/>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dimension ref="A2:IT81"/>
  <sheetViews>
    <sheetView zoomScaleSheetLayoutView="50" workbookViewId="0">
      <selection activeCell="I36" sqref="I36"/>
    </sheetView>
  </sheetViews>
  <sheetFormatPr baseColWidth="10" defaultColWidth="11.44140625" defaultRowHeight="13.2"/>
  <cols>
    <col min="1" max="1" width="14.33203125" style="189" customWidth="1"/>
    <col min="2" max="2" width="14.44140625" style="189" bestFit="1" customWidth="1"/>
    <col min="3" max="3" width="15.5546875" style="189" customWidth="1"/>
    <col min="4" max="4" width="12.88671875" style="189" customWidth="1"/>
    <col min="5" max="5" width="11.6640625" style="189" customWidth="1"/>
    <col min="6" max="6" width="12.44140625" style="189" customWidth="1"/>
    <col min="7" max="7" width="13.5546875" style="189" customWidth="1"/>
    <col min="8" max="9" width="11.44140625" style="189"/>
    <col min="10" max="10" width="12.44140625" style="189" customWidth="1"/>
    <col min="11" max="14" width="11.44140625" style="189"/>
    <col min="15" max="15" width="15.109375" style="189" customWidth="1"/>
    <col min="16" max="28" width="11.44140625" style="189"/>
    <col min="29" max="29" width="19.33203125" style="189" bestFit="1" customWidth="1"/>
    <col min="30" max="16384" width="11.44140625" style="189"/>
  </cols>
  <sheetData>
    <row r="2" spans="1:254" ht="15">
      <c r="B2" s="3854" t="s">
        <v>388</v>
      </c>
      <c r="C2" s="3855"/>
      <c r="D2" s="3855"/>
      <c r="E2" s="3855"/>
      <c r="F2" s="3855"/>
      <c r="G2" s="3855"/>
      <c r="H2" s="3855"/>
      <c r="I2" s="3855"/>
      <c r="J2" s="3855"/>
      <c r="K2" s="3855"/>
      <c r="L2" s="3855"/>
      <c r="M2" s="3855"/>
      <c r="N2" s="3856"/>
    </row>
    <row r="3" spans="1:254" ht="15">
      <c r="B3" s="1"/>
      <c r="C3" s="1"/>
      <c r="D3" s="14"/>
      <c r="E3" s="14"/>
    </row>
    <row r="4" spans="1:254">
      <c r="F4" s="377"/>
      <c r="G4" s="3910"/>
      <c r="H4" s="3910"/>
      <c r="I4" s="3910"/>
      <c r="J4" s="3910"/>
    </row>
    <row r="5" spans="1:254" ht="15">
      <c r="A5" s="3854" t="s">
        <v>280</v>
      </c>
      <c r="B5" s="3855"/>
      <c r="C5" s="3856"/>
      <c r="D5" s="81"/>
      <c r="E5" s="81"/>
      <c r="F5" s="376"/>
      <c r="G5" s="3909"/>
      <c r="H5" s="3909"/>
      <c r="I5" s="3909"/>
      <c r="J5" s="3909"/>
      <c r="K5" s="81"/>
      <c r="L5" s="81"/>
      <c r="M5" s="81"/>
      <c r="N5" s="81"/>
      <c r="O5" s="81"/>
      <c r="P5" s="81"/>
      <c r="Q5" s="81"/>
      <c r="R5" s="81"/>
      <c r="S5" s="81"/>
      <c r="T5" s="81"/>
      <c r="U5" s="81"/>
      <c r="V5" s="81"/>
      <c r="W5" s="81"/>
      <c r="X5" s="81"/>
      <c r="Y5" s="81"/>
      <c r="Z5" s="81"/>
      <c r="AA5" s="81"/>
      <c r="AB5" s="81"/>
      <c r="AC5" s="81"/>
      <c r="AD5" s="81"/>
      <c r="AE5" s="81"/>
      <c r="AF5" s="81"/>
      <c r="AG5" s="81"/>
      <c r="AH5" s="170"/>
      <c r="AI5" s="191"/>
      <c r="AJ5" s="191"/>
      <c r="AK5" s="191"/>
      <c r="AL5" s="191"/>
      <c r="AM5" s="191"/>
      <c r="AN5" s="191"/>
      <c r="AO5" s="191"/>
      <c r="AP5" s="191"/>
      <c r="AQ5" s="191"/>
      <c r="AR5" s="191"/>
      <c r="AS5" s="191"/>
      <c r="AT5" s="191"/>
      <c r="AU5" s="191"/>
      <c r="AV5" s="191"/>
      <c r="AW5" s="191"/>
      <c r="AX5" s="191"/>
      <c r="AY5" s="191"/>
      <c r="AZ5" s="191"/>
      <c r="BA5" s="191"/>
      <c r="BB5" s="191"/>
      <c r="BC5" s="191"/>
      <c r="BD5" s="191"/>
      <c r="BE5" s="191"/>
      <c r="BF5" s="191"/>
      <c r="BG5" s="191"/>
      <c r="BH5" s="191"/>
      <c r="BI5" s="191"/>
      <c r="BJ5" s="191"/>
      <c r="BK5" s="191"/>
      <c r="BL5" s="191"/>
      <c r="BM5" s="191"/>
      <c r="BN5" s="191"/>
      <c r="BO5" s="191"/>
      <c r="BP5" s="191"/>
      <c r="BQ5" s="191"/>
      <c r="BR5" s="191"/>
      <c r="BS5" s="191"/>
      <c r="BT5" s="191"/>
      <c r="BU5" s="191"/>
      <c r="BV5" s="191"/>
      <c r="BW5" s="191"/>
      <c r="BX5" s="191"/>
      <c r="BY5" s="191"/>
      <c r="BZ5" s="191"/>
      <c r="CA5" s="191"/>
      <c r="CB5" s="191"/>
      <c r="CC5" s="191"/>
      <c r="CD5" s="191"/>
      <c r="CE5" s="191"/>
      <c r="CF5" s="191"/>
      <c r="CG5" s="191"/>
      <c r="CH5" s="191"/>
      <c r="CI5" s="191"/>
      <c r="CJ5" s="191"/>
      <c r="CK5" s="191"/>
      <c r="CL5" s="191"/>
      <c r="CM5" s="191"/>
      <c r="CN5" s="191"/>
      <c r="CO5" s="191"/>
      <c r="CP5" s="191"/>
      <c r="CQ5" s="191"/>
      <c r="CR5" s="191"/>
      <c r="CS5" s="191"/>
      <c r="CT5" s="191"/>
      <c r="CU5" s="191"/>
      <c r="CV5" s="191"/>
      <c r="CW5" s="191"/>
      <c r="CX5" s="191"/>
      <c r="CY5" s="191"/>
      <c r="CZ5" s="191"/>
      <c r="DA5" s="191"/>
      <c r="DB5" s="191"/>
      <c r="DC5" s="191"/>
      <c r="DD5" s="191"/>
      <c r="DE5" s="191"/>
      <c r="DF5" s="191"/>
      <c r="DG5" s="191"/>
      <c r="DH5" s="191"/>
      <c r="DI5" s="191"/>
      <c r="DJ5" s="191"/>
      <c r="DK5" s="191"/>
      <c r="DL5" s="191"/>
      <c r="DM5" s="191"/>
      <c r="DN5" s="191"/>
      <c r="DO5" s="191"/>
      <c r="DP5" s="191"/>
      <c r="DQ5" s="191"/>
      <c r="DR5" s="191"/>
      <c r="DS5" s="191"/>
      <c r="DT5" s="191"/>
      <c r="DU5" s="191"/>
      <c r="DV5" s="191"/>
      <c r="DW5" s="191"/>
      <c r="DX5" s="191"/>
      <c r="DY5" s="191"/>
      <c r="DZ5" s="191"/>
      <c r="EA5" s="191"/>
      <c r="EB5" s="191"/>
      <c r="EC5" s="191"/>
      <c r="ED5" s="191"/>
      <c r="EE5" s="191"/>
      <c r="EF5" s="191"/>
      <c r="EG5" s="191"/>
      <c r="EH5" s="191"/>
      <c r="EI5" s="191"/>
      <c r="EJ5" s="191"/>
      <c r="EK5" s="191"/>
      <c r="EL5" s="191"/>
      <c r="EM5" s="191"/>
      <c r="EN5" s="191"/>
      <c r="EO5" s="191"/>
      <c r="EP5" s="191"/>
      <c r="EQ5" s="191"/>
      <c r="ER5" s="191"/>
      <c r="ES5" s="191"/>
      <c r="ET5" s="191"/>
      <c r="EU5" s="191"/>
      <c r="EV5" s="191"/>
      <c r="EW5" s="191"/>
      <c r="EX5" s="191"/>
      <c r="EY5" s="191"/>
      <c r="EZ5" s="191"/>
      <c r="FA5" s="191"/>
      <c r="FB5" s="191"/>
      <c r="FC5" s="191"/>
      <c r="FD5" s="191"/>
      <c r="FE5" s="191"/>
      <c r="FF5" s="191"/>
      <c r="FG5" s="191"/>
      <c r="FH5" s="191"/>
      <c r="FI5" s="191"/>
      <c r="FJ5" s="191"/>
      <c r="FK5" s="191"/>
      <c r="FL5" s="191"/>
      <c r="FM5" s="191"/>
      <c r="FN5" s="191"/>
      <c r="FO5" s="191"/>
      <c r="FP5" s="191"/>
      <c r="FQ5" s="191"/>
      <c r="FR5" s="191"/>
      <c r="FS5" s="191"/>
      <c r="FT5" s="191"/>
      <c r="FU5" s="191"/>
      <c r="FV5" s="191"/>
      <c r="FW5" s="191"/>
      <c r="FX5" s="191"/>
      <c r="FY5" s="191"/>
      <c r="FZ5" s="191"/>
      <c r="GA5" s="191"/>
      <c r="GB5" s="191"/>
      <c r="GC5" s="191"/>
      <c r="GD5" s="191"/>
      <c r="GE5" s="191"/>
      <c r="GF5" s="191"/>
      <c r="GG5" s="191"/>
      <c r="GH5" s="191"/>
      <c r="GI5" s="191"/>
      <c r="GJ5" s="191"/>
      <c r="GK5" s="191"/>
      <c r="GL5" s="191"/>
      <c r="GM5" s="191"/>
      <c r="GN5" s="191"/>
      <c r="GO5" s="191"/>
      <c r="GP5" s="191"/>
      <c r="GQ5" s="191"/>
      <c r="GR5" s="191"/>
      <c r="GS5" s="191"/>
      <c r="GT5" s="191"/>
      <c r="GU5" s="191"/>
      <c r="GV5" s="191"/>
      <c r="GW5" s="191"/>
      <c r="GX5" s="191"/>
      <c r="GY5" s="191"/>
      <c r="GZ5" s="191"/>
      <c r="HA5" s="191"/>
      <c r="HB5" s="191"/>
      <c r="HC5" s="191"/>
      <c r="HD5" s="191"/>
      <c r="HE5" s="191"/>
      <c r="HF5" s="191"/>
      <c r="HG5" s="191"/>
      <c r="HH5" s="191"/>
      <c r="HI5" s="191"/>
      <c r="HJ5" s="191"/>
      <c r="HK5" s="191"/>
      <c r="HL5" s="191"/>
      <c r="HM5" s="191"/>
      <c r="HN5" s="191"/>
      <c r="HO5" s="191"/>
      <c r="HP5" s="191"/>
      <c r="HQ5" s="191"/>
      <c r="HR5" s="191"/>
      <c r="HS5" s="191"/>
      <c r="HT5" s="191"/>
      <c r="HU5" s="191"/>
      <c r="HV5" s="191"/>
      <c r="HW5" s="191"/>
      <c r="HX5" s="191"/>
      <c r="HY5" s="191"/>
      <c r="HZ5" s="191"/>
      <c r="IA5" s="191"/>
      <c r="IB5" s="192"/>
      <c r="IC5" s="192"/>
      <c r="ID5" s="192"/>
      <c r="IE5" s="192"/>
      <c r="IF5" s="192"/>
      <c r="IG5" s="192"/>
      <c r="IH5" s="192"/>
      <c r="II5" s="192"/>
      <c r="IJ5" s="192"/>
      <c r="IK5" s="192"/>
      <c r="IL5" s="192"/>
      <c r="IM5" s="192"/>
      <c r="IN5" s="192"/>
      <c r="IO5" s="192"/>
      <c r="IP5" s="192"/>
      <c r="IQ5" s="192"/>
      <c r="IR5" s="192"/>
      <c r="IS5" s="192"/>
      <c r="IT5" s="192"/>
    </row>
    <row r="6" spans="1:254" ht="15">
      <c r="A6" s="8" t="s">
        <v>142</v>
      </c>
      <c r="B6" s="172" t="s">
        <v>143</v>
      </c>
      <c r="C6" s="514">
        <v>1</v>
      </c>
      <c r="D6" s="82">
        <v>2</v>
      </c>
      <c r="E6" s="82">
        <v>3</v>
      </c>
      <c r="F6" s="82">
        <v>4</v>
      </c>
      <c r="G6" s="82">
        <v>5</v>
      </c>
      <c r="H6" s="82">
        <v>6</v>
      </c>
      <c r="I6" s="82">
        <v>7</v>
      </c>
      <c r="J6" s="82">
        <v>8</v>
      </c>
      <c r="K6" s="82">
        <v>9</v>
      </c>
      <c r="L6" s="82">
        <v>10</v>
      </c>
      <c r="M6" s="82">
        <v>11</v>
      </c>
      <c r="N6" s="82">
        <v>12</v>
      </c>
      <c r="O6" s="82">
        <v>13</v>
      </c>
      <c r="P6" s="82">
        <v>14</v>
      </c>
      <c r="Q6" s="82">
        <v>15</v>
      </c>
      <c r="R6" s="82">
        <v>16</v>
      </c>
      <c r="S6" s="82">
        <v>17</v>
      </c>
      <c r="T6" s="82">
        <v>18</v>
      </c>
      <c r="U6" s="82">
        <v>19</v>
      </c>
      <c r="V6" s="82">
        <v>20</v>
      </c>
      <c r="W6" s="82">
        <v>21</v>
      </c>
      <c r="X6" s="82">
        <v>22</v>
      </c>
      <c r="Y6" s="82">
        <v>23</v>
      </c>
      <c r="Z6" s="82">
        <v>24</v>
      </c>
      <c r="AA6" s="82">
        <v>25</v>
      </c>
      <c r="AB6" s="82">
        <v>26</v>
      </c>
      <c r="AC6" s="82">
        <v>27</v>
      </c>
      <c r="AD6" s="82">
        <v>28</v>
      </c>
      <c r="AE6" s="82">
        <v>29</v>
      </c>
      <c r="AF6" s="82">
        <v>30</v>
      </c>
      <c r="AG6" s="82">
        <v>31</v>
      </c>
      <c r="AH6" s="172" t="s">
        <v>144</v>
      </c>
      <c r="AI6" s="191"/>
      <c r="AJ6" s="191"/>
      <c r="AK6" s="191"/>
      <c r="AL6" s="191"/>
      <c r="AM6" s="191"/>
      <c r="AN6" s="191"/>
      <c r="AO6" s="191"/>
      <c r="AP6" s="191"/>
      <c r="AQ6" s="191"/>
      <c r="AR6" s="191"/>
      <c r="AS6" s="191"/>
      <c r="AT6" s="191"/>
      <c r="AU6" s="191"/>
      <c r="AV6" s="191"/>
      <c r="AW6" s="191"/>
      <c r="AX6" s="191"/>
      <c r="AY6" s="191"/>
      <c r="AZ6" s="191"/>
      <c r="BA6" s="191"/>
      <c r="BB6" s="191"/>
      <c r="BC6" s="191"/>
      <c r="BD6" s="191"/>
      <c r="BE6" s="191"/>
      <c r="BF6" s="191"/>
      <c r="BG6" s="191"/>
      <c r="BH6" s="191"/>
      <c r="BI6" s="191"/>
      <c r="BJ6" s="191"/>
      <c r="BK6" s="191"/>
      <c r="BL6" s="191"/>
      <c r="BM6" s="191"/>
      <c r="BN6" s="191"/>
      <c r="BO6" s="191"/>
      <c r="BP6" s="191"/>
      <c r="BQ6" s="191"/>
      <c r="BR6" s="191"/>
      <c r="BS6" s="191"/>
      <c r="BT6" s="191"/>
      <c r="BU6" s="191"/>
      <c r="BV6" s="191"/>
      <c r="BW6" s="191"/>
      <c r="BX6" s="191"/>
      <c r="BY6" s="191"/>
      <c r="BZ6" s="191"/>
      <c r="CA6" s="191"/>
      <c r="CB6" s="191"/>
      <c r="CC6" s="191"/>
      <c r="CD6" s="191"/>
      <c r="CE6" s="191"/>
      <c r="CF6" s="191"/>
      <c r="CG6" s="191"/>
      <c r="CH6" s="191"/>
      <c r="CI6" s="191"/>
      <c r="CJ6" s="191"/>
      <c r="CK6" s="191"/>
      <c r="CL6" s="191"/>
      <c r="CM6" s="191"/>
      <c r="CN6" s="191"/>
      <c r="CO6" s="191"/>
      <c r="CP6" s="191"/>
      <c r="CQ6" s="191"/>
      <c r="CR6" s="191"/>
      <c r="CS6" s="191"/>
      <c r="CT6" s="191"/>
      <c r="CU6" s="191"/>
      <c r="CV6" s="191"/>
      <c r="CW6" s="191"/>
      <c r="CX6" s="191"/>
      <c r="CY6" s="191"/>
      <c r="CZ6" s="191"/>
      <c r="DA6" s="191"/>
      <c r="DB6" s="191"/>
      <c r="DC6" s="191"/>
      <c r="DD6" s="191"/>
      <c r="DE6" s="191"/>
      <c r="DF6" s="191"/>
      <c r="DG6" s="191"/>
      <c r="DH6" s="191"/>
      <c r="DI6" s="191"/>
      <c r="DJ6" s="191"/>
      <c r="DK6" s="191"/>
      <c r="DL6" s="191"/>
      <c r="DM6" s="191"/>
      <c r="DN6" s="191"/>
      <c r="DO6" s="191"/>
      <c r="DP6" s="191"/>
      <c r="DQ6" s="191"/>
      <c r="DR6" s="191"/>
      <c r="DS6" s="191"/>
      <c r="DT6" s="191"/>
      <c r="DU6" s="191"/>
      <c r="DV6" s="191"/>
      <c r="DW6" s="191"/>
      <c r="DX6" s="191"/>
      <c r="DY6" s="191"/>
      <c r="DZ6" s="191"/>
      <c r="EA6" s="191"/>
      <c r="EB6" s="191"/>
      <c r="EC6" s="191"/>
      <c r="ED6" s="191"/>
      <c r="EE6" s="191"/>
      <c r="EF6" s="191"/>
      <c r="EG6" s="191"/>
      <c r="EH6" s="191"/>
      <c r="EI6" s="191"/>
      <c r="EJ6" s="191"/>
      <c r="EK6" s="191"/>
      <c r="EL6" s="191"/>
      <c r="EM6" s="191"/>
      <c r="EN6" s="191"/>
      <c r="EO6" s="191"/>
      <c r="EP6" s="191"/>
      <c r="EQ6" s="191"/>
      <c r="ER6" s="191"/>
      <c r="ES6" s="191"/>
      <c r="ET6" s="191"/>
      <c r="EU6" s="191"/>
      <c r="EV6" s="191"/>
      <c r="EW6" s="191"/>
      <c r="EX6" s="191"/>
      <c r="EY6" s="191"/>
      <c r="EZ6" s="191"/>
      <c r="FA6" s="191"/>
      <c r="FB6" s="191"/>
      <c r="FC6" s="191"/>
      <c r="FD6" s="191"/>
      <c r="FE6" s="191"/>
      <c r="FF6" s="191"/>
      <c r="FG6" s="191"/>
      <c r="FH6" s="191"/>
      <c r="FI6" s="191"/>
      <c r="FJ6" s="191"/>
      <c r="FK6" s="191"/>
      <c r="FL6" s="191"/>
      <c r="FM6" s="191"/>
      <c r="FN6" s="191"/>
      <c r="FO6" s="191"/>
      <c r="FP6" s="191"/>
      <c r="FQ6" s="191"/>
      <c r="FR6" s="191"/>
      <c r="FS6" s="191"/>
      <c r="FT6" s="191"/>
      <c r="FU6" s="191"/>
      <c r="FV6" s="191"/>
      <c r="FW6" s="191"/>
      <c r="FX6" s="191"/>
      <c r="FY6" s="191"/>
      <c r="FZ6" s="191"/>
      <c r="GA6" s="191"/>
      <c r="GB6" s="191"/>
      <c r="GC6" s="191"/>
      <c r="GD6" s="191"/>
      <c r="GE6" s="191"/>
      <c r="GF6" s="191"/>
      <c r="GG6" s="191"/>
      <c r="GH6" s="191"/>
      <c r="GI6" s="191"/>
      <c r="GJ6" s="191"/>
      <c r="GK6" s="191"/>
      <c r="GL6" s="191"/>
      <c r="GM6" s="191"/>
      <c r="GN6" s="191"/>
      <c r="GO6" s="191"/>
      <c r="GP6" s="191"/>
      <c r="GQ6" s="191"/>
      <c r="GR6" s="191"/>
      <c r="GS6" s="191"/>
      <c r="GT6" s="191"/>
      <c r="GU6" s="191"/>
      <c r="GV6" s="191"/>
      <c r="GW6" s="191"/>
      <c r="GX6" s="191"/>
      <c r="GY6" s="191"/>
      <c r="GZ6" s="191"/>
      <c r="HA6" s="191"/>
      <c r="HB6" s="191"/>
      <c r="HC6" s="191"/>
      <c r="HD6" s="191"/>
      <c r="HE6" s="191"/>
      <c r="HF6" s="191"/>
      <c r="HG6" s="191"/>
      <c r="HH6" s="191"/>
      <c r="HI6" s="191"/>
      <c r="HJ6" s="191"/>
      <c r="HK6" s="191"/>
      <c r="HL6" s="191"/>
      <c r="HM6" s="191"/>
      <c r="HN6" s="191"/>
      <c r="HO6" s="191"/>
      <c r="HP6" s="191"/>
      <c r="HQ6" s="191"/>
      <c r="HR6" s="191"/>
      <c r="HS6" s="191"/>
      <c r="HT6" s="191"/>
      <c r="HU6" s="191"/>
      <c r="HV6" s="191"/>
      <c r="HW6" s="191"/>
      <c r="HX6" s="191"/>
      <c r="HY6" s="191"/>
      <c r="HZ6" s="191"/>
      <c r="IA6" s="191"/>
      <c r="IB6" s="192"/>
      <c r="IC6" s="192"/>
      <c r="ID6" s="192"/>
      <c r="IE6" s="192"/>
      <c r="IF6" s="192"/>
      <c r="IG6" s="192"/>
      <c r="IH6" s="192"/>
      <c r="II6" s="192"/>
      <c r="IJ6" s="192"/>
      <c r="IK6" s="192"/>
      <c r="IL6" s="192"/>
      <c r="IM6" s="192"/>
      <c r="IN6" s="192"/>
      <c r="IO6" s="192"/>
      <c r="IP6" s="192"/>
      <c r="IQ6" s="192"/>
      <c r="IR6" s="192"/>
      <c r="IS6" s="192"/>
      <c r="IT6" s="192"/>
    </row>
    <row r="7" spans="1:254" ht="15">
      <c r="A7" s="363" t="s">
        <v>145</v>
      </c>
      <c r="B7" s="552">
        <f>SUM(AH7)</f>
        <v>180.81276111111112</v>
      </c>
      <c r="C7" s="53"/>
      <c r="D7" s="53"/>
      <c r="E7" s="162"/>
      <c r="F7" s="162"/>
      <c r="G7" s="162"/>
      <c r="H7" s="162"/>
      <c r="I7" s="162"/>
      <c r="J7" s="162"/>
      <c r="K7" s="162"/>
      <c r="L7" s="162"/>
      <c r="M7" s="162"/>
      <c r="N7" s="162"/>
      <c r="O7" s="162"/>
      <c r="P7" s="162"/>
      <c r="Q7" s="162"/>
      <c r="R7" s="162"/>
      <c r="S7" s="162"/>
      <c r="T7" s="481">
        <v>11.112</v>
      </c>
      <c r="U7" s="481">
        <v>5.0233299999999996</v>
      </c>
      <c r="V7" s="481">
        <v>3.7869999999999999</v>
      </c>
      <c r="W7" s="481">
        <v>22.841100000000001</v>
      </c>
      <c r="X7" s="481">
        <v>13.87222</v>
      </c>
      <c r="Y7" s="481">
        <v>29.671111111111109</v>
      </c>
      <c r="Z7" s="481">
        <v>3.9</v>
      </c>
      <c r="AA7" s="481">
        <v>31.317111111111114</v>
      </c>
      <c r="AB7" s="481">
        <v>12.444444444444443</v>
      </c>
      <c r="AC7" s="481">
        <v>4.2222222222222214</v>
      </c>
      <c r="AD7" s="481">
        <v>28.182222222222222</v>
      </c>
      <c r="AE7" s="481"/>
      <c r="AF7" s="481"/>
      <c r="AG7" s="481">
        <v>14.44</v>
      </c>
      <c r="AH7" s="172">
        <f>SUM(C7:AG7)</f>
        <v>180.81276111111112</v>
      </c>
      <c r="AI7" s="191"/>
      <c r="AJ7" s="191"/>
      <c r="AK7" s="191"/>
      <c r="AL7" s="191"/>
      <c r="AM7" s="191"/>
      <c r="AN7" s="191"/>
      <c r="AO7" s="191"/>
      <c r="AP7" s="191"/>
      <c r="AQ7" s="191"/>
      <c r="AR7" s="191"/>
      <c r="AS7" s="191"/>
      <c r="AT7" s="191"/>
      <c r="AU7" s="191"/>
      <c r="AV7" s="191"/>
      <c r="AW7" s="191"/>
      <c r="AX7" s="191"/>
      <c r="AY7" s="191"/>
      <c r="AZ7" s="191"/>
      <c r="BA7" s="191"/>
      <c r="BB7" s="191"/>
      <c r="BC7" s="191"/>
      <c r="BD7" s="191"/>
      <c r="BE7" s="191"/>
      <c r="BF7" s="191"/>
      <c r="BG7" s="191"/>
      <c r="BH7" s="191"/>
      <c r="BI7" s="191"/>
      <c r="BJ7" s="191"/>
      <c r="BK7" s="191"/>
      <c r="BL7" s="191"/>
      <c r="BM7" s="191"/>
      <c r="BN7" s="191"/>
      <c r="BO7" s="191"/>
      <c r="BP7" s="191"/>
      <c r="BQ7" s="191"/>
      <c r="BR7" s="191"/>
      <c r="BS7" s="191"/>
      <c r="BT7" s="191"/>
      <c r="BU7" s="191"/>
      <c r="BV7" s="191"/>
      <c r="BW7" s="191"/>
      <c r="BX7" s="191"/>
      <c r="BY7" s="191"/>
      <c r="BZ7" s="191"/>
      <c r="CA7" s="191"/>
      <c r="CB7" s="191"/>
      <c r="CC7" s="191"/>
      <c r="CD7" s="191"/>
      <c r="CE7" s="191"/>
      <c r="CF7" s="191"/>
      <c r="CG7" s="191"/>
      <c r="CH7" s="191"/>
      <c r="CI7" s="191"/>
      <c r="CJ7" s="191"/>
      <c r="CK7" s="191"/>
      <c r="CL7" s="191"/>
      <c r="CM7" s="191"/>
      <c r="CN7" s="191"/>
      <c r="CO7" s="191"/>
      <c r="CP7" s="191"/>
      <c r="CQ7" s="191"/>
      <c r="CR7" s="191"/>
      <c r="CS7" s="191"/>
      <c r="CT7" s="191"/>
      <c r="CU7" s="191"/>
      <c r="CV7" s="191"/>
      <c r="CW7" s="191"/>
      <c r="CX7" s="191"/>
      <c r="CY7" s="191"/>
      <c r="CZ7" s="191"/>
      <c r="DA7" s="191"/>
      <c r="DB7" s="191"/>
      <c r="DC7" s="191"/>
      <c r="DD7" s="191"/>
      <c r="DE7" s="191"/>
      <c r="DF7" s="191"/>
      <c r="DG7" s="191"/>
      <c r="DH7" s="191"/>
      <c r="DI7" s="191"/>
      <c r="DJ7" s="191"/>
      <c r="DK7" s="191"/>
      <c r="DL7" s="191"/>
      <c r="DM7" s="191"/>
      <c r="DN7" s="191"/>
      <c r="DO7" s="191"/>
      <c r="DP7" s="191"/>
      <c r="DQ7" s="191"/>
      <c r="DR7" s="191"/>
      <c r="DS7" s="191"/>
      <c r="DT7" s="191"/>
      <c r="DU7" s="191"/>
      <c r="DV7" s="191"/>
      <c r="DW7" s="191"/>
      <c r="DX7" s="191"/>
      <c r="DY7" s="191"/>
      <c r="DZ7" s="191"/>
      <c r="EA7" s="191"/>
      <c r="EB7" s="191"/>
      <c r="EC7" s="191"/>
      <c r="ED7" s="191"/>
      <c r="EE7" s="191"/>
      <c r="EF7" s="191"/>
      <c r="EG7" s="191"/>
      <c r="EH7" s="191"/>
      <c r="EI7" s="191"/>
      <c r="EJ7" s="191"/>
      <c r="EK7" s="191"/>
      <c r="EL7" s="191"/>
      <c r="EM7" s="191"/>
      <c r="EN7" s="191"/>
      <c r="EO7" s="191"/>
      <c r="EP7" s="191"/>
      <c r="EQ7" s="191"/>
      <c r="ER7" s="191"/>
      <c r="ES7" s="191"/>
      <c r="ET7" s="191"/>
      <c r="EU7" s="191"/>
      <c r="EV7" s="191"/>
      <c r="EW7" s="191"/>
      <c r="EX7" s="191"/>
      <c r="EY7" s="191"/>
      <c r="EZ7" s="191"/>
      <c r="FA7" s="191"/>
      <c r="FB7" s="191"/>
      <c r="FC7" s="191"/>
      <c r="FD7" s="191"/>
      <c r="FE7" s="191"/>
      <c r="FF7" s="191"/>
      <c r="FG7" s="191"/>
      <c r="FH7" s="191"/>
      <c r="FI7" s="191"/>
      <c r="FJ7" s="191"/>
      <c r="FK7" s="191"/>
      <c r="FL7" s="191"/>
      <c r="FM7" s="191"/>
      <c r="FN7" s="191"/>
      <c r="FO7" s="191"/>
      <c r="FP7" s="191"/>
      <c r="FQ7" s="191"/>
      <c r="FR7" s="191"/>
      <c r="FS7" s="191"/>
      <c r="FT7" s="191"/>
      <c r="FU7" s="191"/>
      <c r="FV7" s="191"/>
      <c r="FW7" s="191"/>
      <c r="FX7" s="191"/>
      <c r="FY7" s="191"/>
      <c r="FZ7" s="191"/>
      <c r="GA7" s="191"/>
      <c r="GB7" s="191"/>
      <c r="GC7" s="191"/>
      <c r="GD7" s="191"/>
      <c r="GE7" s="191"/>
      <c r="GF7" s="191"/>
      <c r="GG7" s="191"/>
      <c r="GH7" s="191"/>
      <c r="GI7" s="191"/>
      <c r="GJ7" s="191"/>
      <c r="GK7" s="191"/>
      <c r="GL7" s="191"/>
      <c r="GM7" s="191"/>
      <c r="GN7" s="191"/>
      <c r="GO7" s="191"/>
      <c r="GP7" s="191"/>
      <c r="GQ7" s="191"/>
      <c r="GR7" s="191"/>
      <c r="GS7" s="191"/>
      <c r="GT7" s="191"/>
      <c r="GU7" s="191"/>
      <c r="GV7" s="191"/>
      <c r="GW7" s="191"/>
      <c r="GX7" s="191"/>
      <c r="GY7" s="191"/>
      <c r="GZ7" s="191"/>
      <c r="HA7" s="191"/>
      <c r="HB7" s="191"/>
      <c r="HC7" s="191"/>
      <c r="HD7" s="191"/>
      <c r="HE7" s="191"/>
      <c r="HF7" s="191"/>
      <c r="HG7" s="191"/>
      <c r="HH7" s="191"/>
      <c r="HI7" s="191"/>
      <c r="HJ7" s="191"/>
      <c r="HK7" s="191"/>
      <c r="HL7" s="191"/>
      <c r="HM7" s="191"/>
      <c r="HN7" s="191"/>
      <c r="HO7" s="191"/>
      <c r="HP7" s="191"/>
      <c r="HQ7" s="191"/>
      <c r="HR7" s="191"/>
      <c r="HS7" s="191"/>
      <c r="HT7" s="191"/>
      <c r="HU7" s="191"/>
      <c r="HV7" s="191"/>
      <c r="HW7" s="191"/>
      <c r="HX7" s="191"/>
      <c r="HY7" s="191"/>
      <c r="HZ7" s="191"/>
      <c r="IA7" s="191"/>
      <c r="IB7" s="192"/>
      <c r="IC7" s="192"/>
      <c r="ID7" s="192"/>
      <c r="IE7" s="192"/>
      <c r="IF7" s="192"/>
      <c r="IG7" s="192"/>
      <c r="IH7" s="192"/>
      <c r="II7" s="192"/>
      <c r="IJ7" s="192"/>
      <c r="IK7" s="192"/>
      <c r="IL7" s="192"/>
      <c r="IM7" s="192"/>
      <c r="IN7" s="192"/>
      <c r="IO7" s="192"/>
      <c r="IP7" s="192"/>
      <c r="IQ7" s="192"/>
      <c r="IR7" s="192"/>
      <c r="IS7" s="192"/>
      <c r="IT7" s="192"/>
    </row>
    <row r="8" spans="1:254" ht="15">
      <c r="A8" s="363" t="s">
        <v>146</v>
      </c>
      <c r="B8" s="552">
        <f>SUM(AH8)</f>
        <v>7.9886699999999999</v>
      </c>
      <c r="C8" s="53"/>
      <c r="D8" s="53"/>
      <c r="E8" s="162">
        <v>1.1666700000000001</v>
      </c>
      <c r="F8" s="644">
        <v>6.8220000000000001</v>
      </c>
      <c r="G8" s="162"/>
      <c r="H8" s="162"/>
      <c r="I8" s="162"/>
      <c r="J8" s="162"/>
      <c r="K8" s="162"/>
      <c r="L8" s="645"/>
      <c r="M8" s="645"/>
      <c r="N8" s="645"/>
      <c r="O8" s="645"/>
      <c r="P8" s="645"/>
      <c r="Q8" s="645"/>
      <c r="R8" s="645"/>
      <c r="S8" s="645"/>
      <c r="T8" s="645"/>
      <c r="U8" s="645"/>
      <c r="V8" s="645"/>
      <c r="W8" s="645"/>
      <c r="X8" s="645"/>
      <c r="Y8" s="162"/>
      <c r="Z8" s="162"/>
      <c r="AA8" s="162"/>
      <c r="AB8" s="162"/>
      <c r="AC8" s="162"/>
      <c r="AD8" s="162"/>
      <c r="AE8" s="162"/>
      <c r="AF8" s="162"/>
      <c r="AG8" s="162"/>
      <c r="AH8" s="172">
        <f t="shared" ref="AH8:AH18" si="0">SUM(C8:AG8)</f>
        <v>7.9886699999999999</v>
      </c>
      <c r="AI8" s="191"/>
      <c r="AJ8" s="191"/>
      <c r="AK8" s="191"/>
      <c r="AL8" s="191"/>
      <c r="AM8" s="191"/>
      <c r="AN8" s="191"/>
      <c r="AO8" s="191"/>
      <c r="AP8" s="191"/>
      <c r="AQ8" s="191"/>
      <c r="AR8" s="191"/>
      <c r="AS8" s="191"/>
      <c r="AT8" s="191"/>
      <c r="AU8" s="191"/>
      <c r="AV8" s="191"/>
      <c r="AW8" s="191"/>
      <c r="AX8" s="191"/>
      <c r="AY8" s="191"/>
      <c r="AZ8" s="191"/>
      <c r="BA8" s="191"/>
      <c r="BB8" s="191"/>
      <c r="BC8" s="191"/>
      <c r="BD8" s="191"/>
      <c r="BE8" s="191"/>
      <c r="BF8" s="191"/>
      <c r="BG8" s="191"/>
      <c r="BH8" s="191"/>
      <c r="BI8" s="191"/>
      <c r="BJ8" s="191"/>
      <c r="BK8" s="191"/>
      <c r="BL8" s="191"/>
      <c r="BM8" s="191"/>
      <c r="BN8" s="191"/>
      <c r="BO8" s="191"/>
      <c r="BP8" s="191"/>
      <c r="BQ8" s="191"/>
      <c r="BR8" s="191"/>
      <c r="BS8" s="191"/>
      <c r="BT8" s="191"/>
      <c r="BU8" s="191"/>
      <c r="BV8" s="191"/>
      <c r="BW8" s="191"/>
      <c r="BX8" s="191"/>
      <c r="BY8" s="191"/>
      <c r="BZ8" s="191"/>
      <c r="CA8" s="191"/>
      <c r="CB8" s="191"/>
      <c r="CC8" s="191"/>
      <c r="CD8" s="191"/>
      <c r="CE8" s="191"/>
      <c r="CF8" s="191"/>
      <c r="CG8" s="191"/>
      <c r="CH8" s="191"/>
      <c r="CI8" s="191"/>
      <c r="CJ8" s="191"/>
      <c r="CK8" s="191"/>
      <c r="CL8" s="191"/>
      <c r="CM8" s="191"/>
      <c r="CN8" s="191"/>
      <c r="CO8" s="191"/>
      <c r="CP8" s="191"/>
      <c r="CQ8" s="191"/>
      <c r="CR8" s="191"/>
      <c r="CS8" s="191"/>
      <c r="CT8" s="191"/>
      <c r="CU8" s="191"/>
      <c r="CV8" s="191"/>
      <c r="CW8" s="191"/>
      <c r="CX8" s="191"/>
      <c r="CY8" s="191"/>
      <c r="CZ8" s="191"/>
      <c r="DA8" s="191"/>
      <c r="DB8" s="191"/>
      <c r="DC8" s="191"/>
      <c r="DD8" s="191"/>
      <c r="DE8" s="191"/>
      <c r="DF8" s="191"/>
      <c r="DG8" s="191"/>
      <c r="DH8" s="191"/>
      <c r="DI8" s="191"/>
      <c r="DJ8" s="191"/>
      <c r="DK8" s="191"/>
      <c r="DL8" s="191"/>
      <c r="DM8" s="191"/>
      <c r="DN8" s="191"/>
      <c r="DO8" s="191"/>
      <c r="DP8" s="191"/>
      <c r="DQ8" s="191"/>
      <c r="DR8" s="191"/>
      <c r="DS8" s="191"/>
      <c r="DT8" s="191"/>
      <c r="DU8" s="191"/>
      <c r="DV8" s="191"/>
      <c r="DW8" s="191"/>
      <c r="DX8" s="191"/>
      <c r="DY8" s="191"/>
      <c r="DZ8" s="191"/>
      <c r="EA8" s="191"/>
      <c r="EB8" s="191"/>
      <c r="EC8" s="191"/>
      <c r="ED8" s="191"/>
      <c r="EE8" s="191"/>
      <c r="EF8" s="191"/>
      <c r="EG8" s="191"/>
      <c r="EH8" s="191"/>
      <c r="EI8" s="191"/>
      <c r="EJ8" s="191"/>
      <c r="EK8" s="191"/>
      <c r="EL8" s="191"/>
      <c r="EM8" s="191"/>
      <c r="EN8" s="191"/>
      <c r="EO8" s="191"/>
      <c r="EP8" s="191"/>
      <c r="EQ8" s="191"/>
      <c r="ER8" s="191"/>
      <c r="ES8" s="191"/>
      <c r="ET8" s="191"/>
      <c r="EU8" s="191"/>
      <c r="EV8" s="191"/>
      <c r="EW8" s="191"/>
      <c r="EX8" s="191"/>
      <c r="EY8" s="191"/>
      <c r="EZ8" s="191"/>
      <c r="FA8" s="191"/>
      <c r="FB8" s="191"/>
      <c r="FC8" s="191"/>
      <c r="FD8" s="191"/>
      <c r="FE8" s="191"/>
      <c r="FF8" s="191"/>
      <c r="FG8" s="191"/>
      <c r="FH8" s="191"/>
      <c r="FI8" s="191"/>
      <c r="FJ8" s="191"/>
      <c r="FK8" s="191"/>
      <c r="FL8" s="191"/>
      <c r="FM8" s="191"/>
      <c r="FN8" s="191"/>
      <c r="FO8" s="191"/>
      <c r="FP8" s="191"/>
      <c r="FQ8" s="191"/>
      <c r="FR8" s="191"/>
      <c r="FS8" s="191"/>
      <c r="FT8" s="191"/>
      <c r="FU8" s="191"/>
      <c r="FV8" s="191"/>
      <c r="FW8" s="191"/>
      <c r="FX8" s="191"/>
      <c r="FY8" s="191"/>
      <c r="FZ8" s="191"/>
      <c r="GA8" s="191"/>
      <c r="GB8" s="191"/>
      <c r="GC8" s="191"/>
      <c r="GD8" s="191"/>
      <c r="GE8" s="191"/>
      <c r="GF8" s="191"/>
      <c r="GG8" s="191"/>
      <c r="GH8" s="191"/>
      <c r="GI8" s="191"/>
      <c r="GJ8" s="191"/>
      <c r="GK8" s="191"/>
      <c r="GL8" s="191"/>
      <c r="GM8" s="191"/>
      <c r="GN8" s="191"/>
      <c r="GO8" s="191"/>
      <c r="GP8" s="191"/>
      <c r="GQ8" s="191"/>
      <c r="GR8" s="191"/>
      <c r="GS8" s="191"/>
      <c r="GT8" s="191"/>
      <c r="GU8" s="191"/>
      <c r="GV8" s="191"/>
      <c r="GW8" s="191"/>
      <c r="GX8" s="191"/>
      <c r="GY8" s="191"/>
      <c r="GZ8" s="191"/>
      <c r="HA8" s="191"/>
      <c r="HB8" s="191"/>
      <c r="HC8" s="191"/>
      <c r="HD8" s="191"/>
      <c r="HE8" s="191"/>
      <c r="HF8" s="191"/>
      <c r="HG8" s="191"/>
      <c r="HH8" s="191"/>
      <c r="HI8" s="191"/>
      <c r="HJ8" s="191"/>
      <c r="HK8" s="191"/>
      <c r="HL8" s="191"/>
      <c r="HM8" s="191"/>
      <c r="HN8" s="191"/>
      <c r="HO8" s="191"/>
      <c r="HP8" s="191"/>
      <c r="HQ8" s="191"/>
      <c r="HR8" s="191"/>
      <c r="HS8" s="191"/>
      <c r="HT8" s="191"/>
      <c r="HU8" s="191"/>
      <c r="HV8" s="191"/>
      <c r="HW8" s="191"/>
      <c r="HX8" s="191"/>
      <c r="HY8" s="191"/>
      <c r="HZ8" s="191"/>
      <c r="IA8" s="191"/>
      <c r="IB8" s="192"/>
      <c r="IC8" s="192"/>
      <c r="ID8" s="192"/>
      <c r="IE8" s="192"/>
      <c r="IF8" s="192"/>
      <c r="IG8" s="192"/>
      <c r="IH8" s="192"/>
      <c r="II8" s="192"/>
      <c r="IJ8" s="192"/>
      <c r="IK8" s="192"/>
      <c r="IL8" s="192"/>
      <c r="IM8" s="192"/>
      <c r="IN8" s="192"/>
      <c r="IO8" s="192"/>
      <c r="IP8" s="192"/>
      <c r="IQ8" s="192"/>
      <c r="IR8" s="192"/>
      <c r="IS8" s="192"/>
      <c r="IT8" s="192"/>
    </row>
    <row r="9" spans="1:254" ht="15">
      <c r="A9" s="375" t="s">
        <v>147</v>
      </c>
      <c r="B9" s="552">
        <f t="shared" ref="B9:B18" si="1">SUM(AH9)</f>
        <v>34.566600000000001</v>
      </c>
      <c r="C9" s="53"/>
      <c r="D9" s="53"/>
      <c r="E9" s="53"/>
      <c r="F9" s="53"/>
      <c r="G9" s="53"/>
      <c r="H9" s="53"/>
      <c r="I9" s="53"/>
      <c r="J9" s="53"/>
      <c r="K9" s="53"/>
      <c r="L9" s="53"/>
      <c r="M9" s="53"/>
      <c r="N9" s="53"/>
      <c r="O9" s="53"/>
      <c r="P9" s="53"/>
      <c r="Q9" s="53"/>
      <c r="R9" s="53"/>
      <c r="S9" s="53"/>
      <c r="T9" s="53"/>
      <c r="U9" s="53"/>
      <c r="V9" s="53"/>
      <c r="W9" s="53"/>
      <c r="X9" s="53"/>
      <c r="Y9" s="53"/>
      <c r="Z9" s="53"/>
      <c r="AA9" s="53"/>
      <c r="AB9" s="53"/>
      <c r="AC9" s="53"/>
      <c r="AD9" s="53"/>
      <c r="AE9" s="53">
        <v>27.122199999999999</v>
      </c>
      <c r="AF9" s="53">
        <v>7.4443999999999999</v>
      </c>
      <c r="AG9" s="53"/>
      <c r="AH9" s="172">
        <f t="shared" si="0"/>
        <v>34.566600000000001</v>
      </c>
      <c r="AI9" s="191"/>
      <c r="AJ9" s="191"/>
      <c r="AK9" s="191"/>
      <c r="AL9" s="191"/>
      <c r="AM9" s="191"/>
      <c r="AN9" s="191"/>
      <c r="AO9" s="191"/>
      <c r="AP9" s="191"/>
      <c r="AQ9" s="191"/>
      <c r="AR9" s="191"/>
      <c r="AS9" s="191"/>
      <c r="AT9" s="191"/>
      <c r="AU9" s="191"/>
      <c r="AV9" s="191"/>
      <c r="AW9" s="191"/>
      <c r="AX9" s="191"/>
      <c r="AY9" s="191"/>
      <c r="AZ9" s="191"/>
      <c r="BA9" s="191"/>
      <c r="BB9" s="191"/>
      <c r="BC9" s="191"/>
      <c r="BD9" s="191"/>
      <c r="BE9" s="191"/>
      <c r="BF9" s="191"/>
      <c r="BG9" s="191"/>
      <c r="BH9" s="191"/>
      <c r="BI9" s="191"/>
      <c r="BJ9" s="191"/>
      <c r="BK9" s="191"/>
      <c r="BL9" s="191"/>
      <c r="BM9" s="191"/>
      <c r="BN9" s="191"/>
      <c r="BO9" s="191"/>
      <c r="BP9" s="191"/>
      <c r="BQ9" s="191"/>
      <c r="BR9" s="191"/>
      <c r="BS9" s="191"/>
      <c r="BT9" s="191"/>
      <c r="BU9" s="191"/>
      <c r="BV9" s="191"/>
      <c r="BW9" s="191"/>
      <c r="BX9" s="191"/>
      <c r="BY9" s="191"/>
      <c r="BZ9" s="191"/>
      <c r="CA9" s="191"/>
      <c r="CB9" s="191"/>
      <c r="CC9" s="191"/>
      <c r="CD9" s="191"/>
      <c r="CE9" s="191"/>
      <c r="CF9" s="191"/>
      <c r="CG9" s="191"/>
      <c r="CH9" s="191"/>
      <c r="CI9" s="191"/>
      <c r="CJ9" s="191"/>
      <c r="CK9" s="191"/>
      <c r="CL9" s="191"/>
      <c r="CM9" s="191"/>
      <c r="CN9" s="191"/>
      <c r="CO9" s="191"/>
      <c r="CP9" s="191"/>
      <c r="CQ9" s="191"/>
      <c r="CR9" s="191"/>
      <c r="CS9" s="191"/>
      <c r="CT9" s="191"/>
      <c r="CU9" s="191"/>
      <c r="CV9" s="191"/>
      <c r="CW9" s="191"/>
      <c r="CX9" s="191"/>
      <c r="CY9" s="191"/>
      <c r="CZ9" s="191"/>
      <c r="DA9" s="191"/>
      <c r="DB9" s="191"/>
      <c r="DC9" s="191"/>
      <c r="DD9" s="191"/>
      <c r="DE9" s="191"/>
      <c r="DF9" s="191"/>
      <c r="DG9" s="191"/>
      <c r="DH9" s="191"/>
      <c r="DI9" s="191"/>
      <c r="DJ9" s="191"/>
      <c r="DK9" s="191"/>
      <c r="DL9" s="191"/>
      <c r="DM9" s="191"/>
      <c r="DN9" s="191"/>
      <c r="DO9" s="191"/>
      <c r="DP9" s="191"/>
      <c r="DQ9" s="191"/>
      <c r="DR9" s="191"/>
      <c r="DS9" s="191"/>
      <c r="DT9" s="191"/>
      <c r="DU9" s="191"/>
      <c r="DV9" s="191"/>
      <c r="DW9" s="191"/>
      <c r="DX9" s="191"/>
      <c r="DY9" s="191"/>
      <c r="DZ9" s="191"/>
      <c r="EA9" s="191"/>
      <c r="EB9" s="191"/>
      <c r="EC9" s="191"/>
      <c r="ED9" s="191"/>
      <c r="EE9" s="191"/>
      <c r="EF9" s="191"/>
      <c r="EG9" s="191"/>
      <c r="EH9" s="191"/>
      <c r="EI9" s="191"/>
      <c r="EJ9" s="191"/>
      <c r="EK9" s="191"/>
      <c r="EL9" s="191"/>
      <c r="EM9" s="191"/>
      <c r="EN9" s="191"/>
      <c r="EO9" s="191"/>
      <c r="EP9" s="191"/>
      <c r="EQ9" s="191"/>
      <c r="ER9" s="191"/>
      <c r="ES9" s="191"/>
      <c r="ET9" s="191"/>
      <c r="EU9" s="191"/>
      <c r="EV9" s="191"/>
      <c r="EW9" s="191"/>
      <c r="EX9" s="191"/>
      <c r="EY9" s="191"/>
      <c r="EZ9" s="191"/>
      <c r="FA9" s="191"/>
      <c r="FB9" s="191"/>
      <c r="FC9" s="191"/>
      <c r="FD9" s="191"/>
      <c r="FE9" s="191"/>
      <c r="FF9" s="191"/>
      <c r="FG9" s="191"/>
      <c r="FH9" s="191"/>
      <c r="FI9" s="191"/>
      <c r="FJ9" s="191"/>
      <c r="FK9" s="191"/>
      <c r="FL9" s="191"/>
      <c r="FM9" s="191"/>
      <c r="FN9" s="191"/>
      <c r="FO9" s="191"/>
      <c r="FP9" s="191"/>
      <c r="FQ9" s="191"/>
      <c r="FR9" s="191"/>
      <c r="FS9" s="191"/>
      <c r="FT9" s="191"/>
      <c r="FU9" s="191"/>
      <c r="FV9" s="191"/>
      <c r="FW9" s="191"/>
      <c r="FX9" s="191"/>
      <c r="FY9" s="191"/>
      <c r="FZ9" s="191"/>
      <c r="GA9" s="191"/>
      <c r="GB9" s="191"/>
      <c r="GC9" s="191"/>
      <c r="GD9" s="191"/>
      <c r="GE9" s="191"/>
      <c r="GF9" s="191"/>
      <c r="GG9" s="191"/>
      <c r="GH9" s="191"/>
      <c r="GI9" s="191"/>
      <c r="GJ9" s="191"/>
      <c r="GK9" s="191"/>
      <c r="GL9" s="191"/>
      <c r="GM9" s="191"/>
      <c r="GN9" s="191"/>
      <c r="GO9" s="191"/>
      <c r="GP9" s="191"/>
      <c r="GQ9" s="191"/>
      <c r="GR9" s="191"/>
      <c r="GS9" s="191"/>
      <c r="GT9" s="191"/>
      <c r="GU9" s="191"/>
      <c r="GV9" s="191"/>
      <c r="GW9" s="191"/>
      <c r="GX9" s="191"/>
      <c r="GY9" s="191"/>
      <c r="GZ9" s="191"/>
      <c r="HA9" s="191"/>
      <c r="HB9" s="191"/>
      <c r="HC9" s="191"/>
      <c r="HD9" s="191"/>
      <c r="HE9" s="191"/>
      <c r="HF9" s="191"/>
      <c r="HG9" s="191"/>
      <c r="HH9" s="191"/>
      <c r="HI9" s="191"/>
      <c r="HJ9" s="191"/>
      <c r="HK9" s="191"/>
      <c r="HL9" s="191"/>
      <c r="HM9" s="191"/>
      <c r="HN9" s="191"/>
      <c r="HO9" s="191"/>
      <c r="HP9" s="191"/>
      <c r="HQ9" s="191"/>
      <c r="HR9" s="191"/>
      <c r="HS9" s="191"/>
      <c r="HT9" s="191"/>
      <c r="HU9" s="191"/>
      <c r="HV9" s="191"/>
      <c r="HW9" s="191"/>
      <c r="HX9" s="191"/>
      <c r="HY9" s="191"/>
      <c r="HZ9" s="191"/>
      <c r="IA9" s="191"/>
      <c r="IB9" s="192"/>
      <c r="IC9" s="192"/>
      <c r="ID9" s="192"/>
      <c r="IE9" s="192"/>
      <c r="IF9" s="192"/>
      <c r="IG9" s="192"/>
      <c r="IH9" s="192"/>
      <c r="II9" s="192"/>
      <c r="IJ9" s="192"/>
      <c r="IK9" s="192"/>
      <c r="IL9" s="192"/>
      <c r="IM9" s="192"/>
      <c r="IN9" s="192"/>
      <c r="IO9" s="192"/>
      <c r="IP9" s="192"/>
      <c r="IQ9" s="192"/>
      <c r="IR9" s="192"/>
      <c r="IS9" s="192"/>
      <c r="IT9" s="192"/>
    </row>
    <row r="10" spans="1:254" ht="15">
      <c r="A10" s="375" t="s">
        <v>148</v>
      </c>
      <c r="B10" s="552">
        <f t="shared" si="1"/>
        <v>29.27778</v>
      </c>
      <c r="C10" s="53"/>
      <c r="D10" s="53">
        <v>10.16667</v>
      </c>
      <c r="E10" s="53">
        <v>4.1222200000000004</v>
      </c>
      <c r="F10" s="53">
        <v>11.3</v>
      </c>
      <c r="G10" s="53"/>
      <c r="H10" s="53"/>
      <c r="I10" s="53"/>
      <c r="J10" s="53"/>
      <c r="K10" s="53"/>
      <c r="L10" s="53"/>
      <c r="M10" s="53"/>
      <c r="N10" s="53"/>
      <c r="O10" s="53"/>
      <c r="P10" s="53"/>
      <c r="Q10" s="53"/>
      <c r="R10" s="53">
        <v>0.48888999999999999</v>
      </c>
      <c r="S10" s="53"/>
      <c r="T10" s="53"/>
      <c r="U10" s="53"/>
      <c r="V10" s="53"/>
      <c r="W10" s="53">
        <v>0.31109999999999999</v>
      </c>
      <c r="X10" s="53"/>
      <c r="Y10" s="53">
        <v>0.23330000000000001</v>
      </c>
      <c r="Z10" s="53"/>
      <c r="AA10" s="53">
        <v>2.5556000000000001</v>
      </c>
      <c r="AB10" s="53"/>
      <c r="AC10" s="53"/>
      <c r="AD10" s="53"/>
      <c r="AE10" s="53">
        <v>0.1</v>
      </c>
      <c r="AF10" s="53"/>
      <c r="AG10" s="53"/>
      <c r="AH10" s="172">
        <f t="shared" si="0"/>
        <v>29.27778</v>
      </c>
      <c r="AI10" s="191"/>
      <c r="AJ10" s="191"/>
      <c r="AK10" s="191"/>
      <c r="AL10" s="191"/>
      <c r="AM10" s="191"/>
      <c r="AN10" s="191"/>
      <c r="AO10" s="191"/>
      <c r="AP10" s="191"/>
      <c r="AQ10" s="191"/>
      <c r="AR10" s="191"/>
      <c r="AS10" s="191"/>
      <c r="AT10" s="191"/>
      <c r="AU10" s="191"/>
      <c r="AV10" s="191"/>
      <c r="AW10" s="191"/>
      <c r="AX10" s="191"/>
      <c r="AY10" s="191"/>
      <c r="AZ10" s="191"/>
      <c r="BA10" s="191"/>
      <c r="BB10" s="191"/>
      <c r="BC10" s="191"/>
      <c r="BD10" s="191"/>
      <c r="BE10" s="191"/>
      <c r="BF10" s="191"/>
      <c r="BG10" s="191"/>
      <c r="BH10" s="191"/>
      <c r="BI10" s="191"/>
      <c r="BJ10" s="191"/>
      <c r="BK10" s="191"/>
      <c r="BL10" s="191"/>
      <c r="BM10" s="191"/>
      <c r="BN10" s="191"/>
      <c r="BO10" s="191"/>
      <c r="BP10" s="191"/>
      <c r="BQ10" s="191"/>
      <c r="BR10" s="191"/>
      <c r="BS10" s="191"/>
      <c r="BT10" s="191"/>
      <c r="BU10" s="191"/>
      <c r="BV10" s="191"/>
      <c r="BW10" s="191"/>
      <c r="BX10" s="191"/>
      <c r="BY10" s="191"/>
      <c r="BZ10" s="191"/>
      <c r="CA10" s="191"/>
      <c r="CB10" s="191"/>
      <c r="CC10" s="191"/>
      <c r="CD10" s="191"/>
      <c r="CE10" s="191"/>
      <c r="CF10" s="191"/>
      <c r="CG10" s="191"/>
      <c r="CH10" s="191"/>
      <c r="CI10" s="191"/>
      <c r="CJ10" s="191"/>
      <c r="CK10" s="191"/>
      <c r="CL10" s="191"/>
      <c r="CM10" s="191"/>
      <c r="CN10" s="191"/>
      <c r="CO10" s="191"/>
      <c r="CP10" s="191"/>
      <c r="CQ10" s="191"/>
      <c r="CR10" s="191"/>
      <c r="CS10" s="191"/>
      <c r="CT10" s="191"/>
      <c r="CU10" s="191"/>
      <c r="CV10" s="191"/>
      <c r="CW10" s="191"/>
      <c r="CX10" s="191"/>
      <c r="CY10" s="191"/>
      <c r="CZ10" s="191"/>
      <c r="DA10" s="191"/>
      <c r="DB10" s="191"/>
      <c r="DC10" s="191"/>
      <c r="DD10" s="191"/>
      <c r="DE10" s="191"/>
      <c r="DF10" s="191"/>
      <c r="DG10" s="191"/>
      <c r="DH10" s="191"/>
      <c r="DI10" s="191"/>
      <c r="DJ10" s="191"/>
      <c r="DK10" s="191"/>
      <c r="DL10" s="191"/>
      <c r="DM10" s="191"/>
      <c r="DN10" s="191"/>
      <c r="DO10" s="191"/>
      <c r="DP10" s="191"/>
      <c r="DQ10" s="191"/>
      <c r="DR10" s="191"/>
      <c r="DS10" s="191"/>
      <c r="DT10" s="191"/>
      <c r="DU10" s="191"/>
      <c r="DV10" s="191"/>
      <c r="DW10" s="191"/>
      <c r="DX10" s="191"/>
      <c r="DY10" s="191"/>
      <c r="DZ10" s="191"/>
      <c r="EA10" s="191"/>
      <c r="EB10" s="191"/>
      <c r="EC10" s="191"/>
      <c r="ED10" s="191"/>
      <c r="EE10" s="191"/>
      <c r="EF10" s="191"/>
      <c r="EG10" s="191"/>
      <c r="EH10" s="191"/>
      <c r="EI10" s="191"/>
      <c r="EJ10" s="191"/>
      <c r="EK10" s="191"/>
      <c r="EL10" s="191"/>
      <c r="EM10" s="191"/>
      <c r="EN10" s="191"/>
      <c r="EO10" s="191"/>
      <c r="EP10" s="191"/>
      <c r="EQ10" s="191"/>
      <c r="ER10" s="191"/>
      <c r="ES10" s="191"/>
      <c r="ET10" s="191"/>
      <c r="EU10" s="191"/>
      <c r="EV10" s="191"/>
      <c r="EW10" s="191"/>
      <c r="EX10" s="191"/>
      <c r="EY10" s="191"/>
      <c r="EZ10" s="191"/>
      <c r="FA10" s="191"/>
      <c r="FB10" s="191"/>
      <c r="FC10" s="191"/>
      <c r="FD10" s="191"/>
      <c r="FE10" s="191"/>
      <c r="FF10" s="191"/>
      <c r="FG10" s="191"/>
      <c r="FH10" s="191"/>
      <c r="FI10" s="191"/>
      <c r="FJ10" s="191"/>
      <c r="FK10" s="191"/>
      <c r="FL10" s="191"/>
      <c r="FM10" s="191"/>
      <c r="FN10" s="191"/>
      <c r="FO10" s="191"/>
      <c r="FP10" s="191"/>
      <c r="FQ10" s="191"/>
      <c r="FR10" s="191"/>
      <c r="FS10" s="191"/>
      <c r="FT10" s="191"/>
      <c r="FU10" s="191"/>
      <c r="FV10" s="191"/>
      <c r="FW10" s="191"/>
      <c r="FX10" s="191"/>
      <c r="FY10" s="191"/>
      <c r="FZ10" s="191"/>
      <c r="GA10" s="191"/>
      <c r="GB10" s="191"/>
      <c r="GC10" s="191"/>
      <c r="GD10" s="191"/>
      <c r="GE10" s="191"/>
      <c r="GF10" s="191"/>
      <c r="GG10" s="191"/>
      <c r="GH10" s="191"/>
      <c r="GI10" s="191"/>
      <c r="GJ10" s="191"/>
      <c r="GK10" s="191"/>
      <c r="GL10" s="191"/>
      <c r="GM10" s="191"/>
      <c r="GN10" s="191"/>
      <c r="GO10" s="191"/>
      <c r="GP10" s="191"/>
      <c r="GQ10" s="191"/>
      <c r="GR10" s="191"/>
      <c r="GS10" s="191"/>
      <c r="GT10" s="191"/>
      <c r="GU10" s="191"/>
      <c r="GV10" s="191"/>
      <c r="GW10" s="191"/>
      <c r="GX10" s="191"/>
      <c r="GY10" s="191"/>
      <c r="GZ10" s="191"/>
      <c r="HA10" s="191"/>
      <c r="HB10" s="191"/>
      <c r="HC10" s="191"/>
      <c r="HD10" s="191"/>
      <c r="HE10" s="191"/>
      <c r="HF10" s="191"/>
      <c r="HG10" s="191"/>
      <c r="HH10" s="191"/>
      <c r="HI10" s="191"/>
      <c r="HJ10" s="191"/>
      <c r="HK10" s="191"/>
      <c r="HL10" s="191"/>
      <c r="HM10" s="191"/>
      <c r="HN10" s="191"/>
      <c r="HO10" s="191"/>
      <c r="HP10" s="191"/>
      <c r="HQ10" s="191"/>
      <c r="HR10" s="191"/>
      <c r="HS10" s="191"/>
      <c r="HT10" s="191"/>
      <c r="HU10" s="191"/>
      <c r="HV10" s="191"/>
      <c r="HW10" s="191"/>
      <c r="HX10" s="191"/>
      <c r="HY10" s="191"/>
      <c r="HZ10" s="191"/>
      <c r="IA10" s="191"/>
      <c r="IB10" s="192"/>
      <c r="IC10" s="192"/>
      <c r="ID10" s="192"/>
      <c r="IE10" s="192"/>
      <c r="IF10" s="192"/>
      <c r="IG10" s="192"/>
      <c r="IH10" s="192"/>
      <c r="II10" s="192"/>
      <c r="IJ10" s="192"/>
      <c r="IK10" s="192"/>
      <c r="IL10" s="192"/>
      <c r="IM10" s="192"/>
      <c r="IN10" s="192"/>
      <c r="IO10" s="192"/>
      <c r="IP10" s="192"/>
      <c r="IQ10" s="192"/>
      <c r="IR10" s="192"/>
      <c r="IS10" s="192"/>
      <c r="IT10" s="192"/>
    </row>
    <row r="11" spans="1:254" ht="15">
      <c r="A11" s="375" t="s">
        <v>149</v>
      </c>
      <c r="B11" s="552">
        <f t="shared" si="1"/>
        <v>2.3333333333333295</v>
      </c>
      <c r="C11" s="53">
        <v>0.22666666666666699</v>
      </c>
      <c r="D11" s="53"/>
      <c r="E11" s="53"/>
      <c r="F11" s="53"/>
      <c r="G11" s="53"/>
      <c r="H11" s="53"/>
      <c r="I11" s="53"/>
      <c r="J11" s="53"/>
      <c r="K11" s="53">
        <v>0.26222222222222202</v>
      </c>
      <c r="L11" s="53">
        <v>0.194444444444444</v>
      </c>
      <c r="M11" s="53"/>
      <c r="N11" s="53"/>
      <c r="O11" s="636">
        <v>0.62222222222222201</v>
      </c>
      <c r="P11" s="53"/>
      <c r="Q11" s="53"/>
      <c r="R11" s="53"/>
      <c r="S11" s="53"/>
      <c r="T11" s="53"/>
      <c r="U11" s="53"/>
      <c r="V11" s="53"/>
      <c r="W11" s="53"/>
      <c r="X11" s="53"/>
      <c r="Y11" s="53">
        <v>0.38333333333332997</v>
      </c>
      <c r="Z11" s="53">
        <v>0.35555555555555601</v>
      </c>
      <c r="AA11" s="53"/>
      <c r="AB11" s="53"/>
      <c r="AC11" s="53">
        <v>0.28888888888888897</v>
      </c>
      <c r="AD11" s="53"/>
      <c r="AE11" s="53"/>
      <c r="AF11" s="53"/>
      <c r="AG11" s="53"/>
      <c r="AH11" s="172">
        <f t="shared" si="0"/>
        <v>2.3333333333333295</v>
      </c>
      <c r="AI11" s="191"/>
      <c r="AJ11" s="191"/>
      <c r="AK11" s="191"/>
      <c r="AL11" s="191"/>
      <c r="AM11" s="191"/>
      <c r="AN11" s="191"/>
      <c r="AO11" s="191"/>
      <c r="AP11" s="191"/>
      <c r="AQ11" s="191"/>
      <c r="AR11" s="191"/>
      <c r="AS11" s="191"/>
      <c r="AT11" s="191"/>
      <c r="AU11" s="191"/>
      <c r="AV11" s="191"/>
      <c r="AW11" s="191"/>
      <c r="AX11" s="191"/>
      <c r="AY11" s="191"/>
      <c r="AZ11" s="191"/>
      <c r="BA11" s="191"/>
      <c r="BB11" s="191"/>
      <c r="BC11" s="191"/>
      <c r="BD11" s="191"/>
      <c r="BE11" s="191"/>
      <c r="BF11" s="191"/>
      <c r="BG11" s="191"/>
      <c r="BH11" s="191"/>
      <c r="BI11" s="191"/>
      <c r="BJ11" s="191"/>
      <c r="BK11" s="191"/>
      <c r="BL11" s="191"/>
      <c r="BM11" s="191"/>
      <c r="BN11" s="191"/>
      <c r="BO11" s="191"/>
      <c r="BP11" s="191"/>
      <c r="BQ11" s="191"/>
      <c r="BR11" s="191"/>
      <c r="BS11" s="191"/>
      <c r="BT11" s="191"/>
      <c r="BU11" s="191"/>
      <c r="BV11" s="191"/>
      <c r="BW11" s="191"/>
      <c r="BX11" s="191"/>
      <c r="BY11" s="191"/>
      <c r="BZ11" s="191"/>
      <c r="CA11" s="191"/>
      <c r="CB11" s="191"/>
      <c r="CC11" s="191"/>
      <c r="CD11" s="191"/>
      <c r="CE11" s="191"/>
      <c r="CF11" s="191"/>
      <c r="CG11" s="191"/>
      <c r="CH11" s="191"/>
      <c r="CI11" s="191"/>
      <c r="CJ11" s="191"/>
      <c r="CK11" s="191"/>
      <c r="CL11" s="191"/>
      <c r="CM11" s="191"/>
      <c r="CN11" s="191"/>
      <c r="CO11" s="191"/>
      <c r="CP11" s="191"/>
      <c r="CQ11" s="191"/>
      <c r="CR11" s="191"/>
      <c r="CS11" s="191"/>
      <c r="CT11" s="191"/>
      <c r="CU11" s="191"/>
      <c r="CV11" s="191"/>
      <c r="CW11" s="191"/>
      <c r="CX11" s="191"/>
      <c r="CY11" s="191"/>
      <c r="CZ11" s="191"/>
      <c r="DA11" s="191"/>
      <c r="DB11" s="191"/>
      <c r="DC11" s="191"/>
      <c r="DD11" s="191"/>
      <c r="DE11" s="191"/>
      <c r="DF11" s="191"/>
      <c r="DG11" s="191"/>
      <c r="DH11" s="191"/>
      <c r="DI11" s="191"/>
      <c r="DJ11" s="191"/>
      <c r="DK11" s="191"/>
      <c r="DL11" s="191"/>
      <c r="DM11" s="191"/>
      <c r="DN11" s="191"/>
      <c r="DO11" s="191"/>
      <c r="DP11" s="191"/>
      <c r="DQ11" s="191"/>
      <c r="DR11" s="191"/>
      <c r="DS11" s="191"/>
      <c r="DT11" s="191"/>
      <c r="DU11" s="191"/>
      <c r="DV11" s="191"/>
      <c r="DW11" s="191"/>
      <c r="DX11" s="191"/>
      <c r="DY11" s="191"/>
      <c r="DZ11" s="191"/>
      <c r="EA11" s="191"/>
      <c r="EB11" s="191"/>
      <c r="EC11" s="191"/>
      <c r="ED11" s="191"/>
      <c r="EE11" s="191"/>
      <c r="EF11" s="191"/>
      <c r="EG11" s="191"/>
      <c r="EH11" s="191"/>
      <c r="EI11" s="191"/>
      <c r="EJ11" s="191"/>
      <c r="EK11" s="191"/>
      <c r="EL11" s="191"/>
      <c r="EM11" s="191"/>
      <c r="EN11" s="191"/>
      <c r="EO11" s="191"/>
      <c r="EP11" s="191"/>
      <c r="EQ11" s="191"/>
      <c r="ER11" s="191"/>
      <c r="ES11" s="191"/>
      <c r="ET11" s="191"/>
      <c r="EU11" s="191"/>
      <c r="EV11" s="191"/>
      <c r="EW11" s="191"/>
      <c r="EX11" s="191"/>
      <c r="EY11" s="191"/>
      <c r="EZ11" s="191"/>
      <c r="FA11" s="191"/>
      <c r="FB11" s="191"/>
      <c r="FC11" s="191"/>
      <c r="FD11" s="191"/>
      <c r="FE11" s="191"/>
      <c r="FF11" s="191"/>
      <c r="FG11" s="191"/>
      <c r="FH11" s="191"/>
      <c r="FI11" s="191"/>
      <c r="FJ11" s="191"/>
      <c r="FK11" s="191"/>
      <c r="FL11" s="191"/>
      <c r="FM11" s="191"/>
      <c r="FN11" s="191"/>
      <c r="FO11" s="191"/>
      <c r="FP11" s="191"/>
      <c r="FQ11" s="191"/>
      <c r="FR11" s="191"/>
      <c r="FS11" s="191"/>
      <c r="FT11" s="191"/>
      <c r="FU11" s="191"/>
      <c r="FV11" s="191"/>
      <c r="FW11" s="191"/>
      <c r="FX11" s="191"/>
      <c r="FY11" s="191"/>
      <c r="FZ11" s="191"/>
      <c r="GA11" s="191"/>
      <c r="GB11" s="191"/>
      <c r="GC11" s="191"/>
      <c r="GD11" s="191"/>
      <c r="GE11" s="191"/>
      <c r="GF11" s="191"/>
      <c r="GG11" s="191"/>
      <c r="GH11" s="191"/>
      <c r="GI11" s="191"/>
      <c r="GJ11" s="191"/>
      <c r="GK11" s="191"/>
      <c r="GL11" s="191"/>
      <c r="GM11" s="191"/>
      <c r="GN11" s="191"/>
      <c r="GO11" s="191"/>
      <c r="GP11" s="191"/>
      <c r="GQ11" s="191"/>
      <c r="GR11" s="191"/>
      <c r="GS11" s="191"/>
      <c r="GT11" s="191"/>
      <c r="GU11" s="191"/>
      <c r="GV11" s="191"/>
      <c r="GW11" s="191"/>
      <c r="GX11" s="191"/>
      <c r="GY11" s="191"/>
      <c r="GZ11" s="191"/>
      <c r="HA11" s="191"/>
      <c r="HB11" s="191"/>
      <c r="HC11" s="191"/>
      <c r="HD11" s="191"/>
      <c r="HE11" s="191"/>
      <c r="HF11" s="191"/>
      <c r="HG11" s="191"/>
      <c r="HH11" s="191"/>
      <c r="HI11" s="191"/>
      <c r="HJ11" s="191"/>
      <c r="HK11" s="191"/>
      <c r="HL11" s="191"/>
      <c r="HM11" s="191"/>
      <c r="HN11" s="191"/>
      <c r="HO11" s="191"/>
      <c r="HP11" s="191"/>
      <c r="HQ11" s="191"/>
      <c r="HR11" s="191"/>
      <c r="HS11" s="191"/>
      <c r="HT11" s="191"/>
      <c r="HU11" s="191"/>
      <c r="HV11" s="191"/>
      <c r="HW11" s="191"/>
      <c r="HX11" s="191"/>
      <c r="HY11" s="191"/>
      <c r="HZ11" s="191"/>
      <c r="IA11" s="191"/>
      <c r="IB11" s="192"/>
      <c r="IC11" s="192"/>
      <c r="ID11" s="192"/>
      <c r="IE11" s="192"/>
      <c r="IF11" s="192"/>
      <c r="IG11" s="192"/>
      <c r="IH11" s="192"/>
      <c r="II11" s="192"/>
      <c r="IJ11" s="192"/>
      <c r="IK11" s="192"/>
      <c r="IL11" s="192"/>
      <c r="IM11" s="192"/>
      <c r="IN11" s="192"/>
      <c r="IO11" s="192"/>
      <c r="IP11" s="192"/>
      <c r="IQ11" s="192"/>
      <c r="IR11" s="192"/>
      <c r="IS11" s="192"/>
      <c r="IT11" s="192"/>
    </row>
    <row r="12" spans="1:254" ht="15">
      <c r="A12" s="375" t="s">
        <v>150</v>
      </c>
      <c r="B12" s="552">
        <f t="shared" si="1"/>
        <v>1.4999800000000001</v>
      </c>
      <c r="C12" s="53"/>
      <c r="D12" s="53"/>
      <c r="E12" s="53"/>
      <c r="F12" s="53"/>
      <c r="G12" s="53">
        <v>0.11778</v>
      </c>
      <c r="H12" s="53"/>
      <c r="I12" s="53">
        <v>8.3330000000000001E-2</v>
      </c>
      <c r="J12" s="53"/>
      <c r="K12" s="53"/>
      <c r="L12" s="53">
        <v>0.23333000000000001</v>
      </c>
      <c r="M12" s="53"/>
      <c r="N12" s="53">
        <v>0.24332999999999999</v>
      </c>
      <c r="O12" s="53"/>
      <c r="P12" s="53">
        <v>0.31444</v>
      </c>
      <c r="Q12" s="53">
        <v>0.1111</v>
      </c>
      <c r="R12" s="53"/>
      <c r="S12" s="53"/>
      <c r="T12" s="53">
        <v>0.33556000000000002</v>
      </c>
      <c r="U12" s="53"/>
      <c r="V12" s="53"/>
      <c r="W12" s="53"/>
      <c r="X12" s="53"/>
      <c r="Y12" s="53"/>
      <c r="Z12" s="53"/>
      <c r="AA12" s="53"/>
      <c r="AB12" s="53"/>
      <c r="AC12" s="53">
        <v>6.1109999999999998E-2</v>
      </c>
      <c r="AD12" s="53"/>
      <c r="AE12" s="53"/>
      <c r="AF12" s="53"/>
      <c r="AG12" s="53"/>
      <c r="AH12" s="172">
        <f t="shared" si="0"/>
        <v>1.4999800000000001</v>
      </c>
      <c r="AI12" s="191"/>
      <c r="AJ12" s="191"/>
      <c r="AK12" s="191"/>
      <c r="AL12" s="191"/>
      <c r="AM12" s="191"/>
      <c r="AN12" s="191"/>
      <c r="AO12" s="191"/>
      <c r="AP12" s="191"/>
      <c r="AQ12" s="191"/>
      <c r="AR12" s="191"/>
      <c r="AS12" s="191"/>
      <c r="AT12" s="191"/>
      <c r="AU12" s="191"/>
      <c r="AV12" s="191"/>
      <c r="AW12" s="191"/>
      <c r="AX12" s="191"/>
      <c r="AY12" s="191"/>
      <c r="AZ12" s="191"/>
      <c r="BA12" s="191"/>
      <c r="BB12" s="191"/>
      <c r="BC12" s="191"/>
      <c r="BD12" s="191"/>
      <c r="BE12" s="191"/>
      <c r="BF12" s="191"/>
      <c r="BG12" s="191"/>
      <c r="BH12" s="191"/>
      <c r="BI12" s="191"/>
      <c r="BJ12" s="191"/>
      <c r="BK12" s="191"/>
      <c r="BL12" s="191"/>
      <c r="BM12" s="191"/>
      <c r="BN12" s="191"/>
      <c r="BO12" s="191"/>
      <c r="BP12" s="191"/>
      <c r="BQ12" s="191"/>
      <c r="BR12" s="191"/>
      <c r="BS12" s="191"/>
      <c r="BT12" s="191"/>
      <c r="BU12" s="191"/>
      <c r="BV12" s="191"/>
      <c r="BW12" s="191"/>
      <c r="BX12" s="191"/>
      <c r="BY12" s="191"/>
      <c r="BZ12" s="191"/>
      <c r="CA12" s="191"/>
      <c r="CB12" s="191"/>
      <c r="CC12" s="191"/>
      <c r="CD12" s="191"/>
      <c r="CE12" s="191"/>
      <c r="CF12" s="191"/>
      <c r="CG12" s="191"/>
      <c r="CH12" s="191"/>
      <c r="CI12" s="191"/>
      <c r="CJ12" s="191"/>
      <c r="CK12" s="191"/>
      <c r="CL12" s="191"/>
      <c r="CM12" s="191"/>
      <c r="CN12" s="191"/>
      <c r="CO12" s="191"/>
      <c r="CP12" s="191"/>
      <c r="CQ12" s="191"/>
      <c r="CR12" s="191"/>
      <c r="CS12" s="191"/>
      <c r="CT12" s="191"/>
      <c r="CU12" s="191"/>
      <c r="CV12" s="191"/>
      <c r="CW12" s="191"/>
      <c r="CX12" s="191"/>
      <c r="CY12" s="191"/>
      <c r="CZ12" s="191"/>
      <c r="DA12" s="191"/>
      <c r="DB12" s="191"/>
      <c r="DC12" s="191"/>
      <c r="DD12" s="191"/>
      <c r="DE12" s="191"/>
      <c r="DF12" s="191"/>
      <c r="DG12" s="191"/>
      <c r="DH12" s="191"/>
      <c r="DI12" s="191"/>
      <c r="DJ12" s="191"/>
      <c r="DK12" s="191"/>
      <c r="DL12" s="191"/>
      <c r="DM12" s="191"/>
      <c r="DN12" s="191"/>
      <c r="DO12" s="191"/>
      <c r="DP12" s="191"/>
      <c r="DQ12" s="191"/>
      <c r="DR12" s="191"/>
      <c r="DS12" s="191"/>
      <c r="DT12" s="191"/>
      <c r="DU12" s="191"/>
      <c r="DV12" s="191"/>
      <c r="DW12" s="191"/>
      <c r="DX12" s="191"/>
      <c r="DY12" s="191"/>
      <c r="DZ12" s="191"/>
      <c r="EA12" s="191"/>
      <c r="EB12" s="191"/>
      <c r="EC12" s="191"/>
      <c r="ED12" s="191"/>
      <c r="EE12" s="191"/>
      <c r="EF12" s="191"/>
      <c r="EG12" s="191"/>
      <c r="EH12" s="191"/>
      <c r="EI12" s="191"/>
      <c r="EJ12" s="191"/>
      <c r="EK12" s="191"/>
      <c r="EL12" s="191"/>
      <c r="EM12" s="191"/>
      <c r="EN12" s="191"/>
      <c r="EO12" s="191"/>
      <c r="EP12" s="191"/>
      <c r="EQ12" s="191"/>
      <c r="ER12" s="191"/>
      <c r="ES12" s="191"/>
      <c r="ET12" s="191"/>
      <c r="EU12" s="191"/>
      <c r="EV12" s="191"/>
      <c r="EW12" s="191"/>
      <c r="EX12" s="191"/>
      <c r="EY12" s="191"/>
      <c r="EZ12" s="191"/>
      <c r="FA12" s="191"/>
      <c r="FB12" s="191"/>
      <c r="FC12" s="191"/>
      <c r="FD12" s="191"/>
      <c r="FE12" s="191"/>
      <c r="FF12" s="191"/>
      <c r="FG12" s="191"/>
      <c r="FH12" s="191"/>
      <c r="FI12" s="191"/>
      <c r="FJ12" s="191"/>
      <c r="FK12" s="191"/>
      <c r="FL12" s="191"/>
      <c r="FM12" s="191"/>
      <c r="FN12" s="191"/>
      <c r="FO12" s="191"/>
      <c r="FP12" s="191"/>
      <c r="FQ12" s="191"/>
      <c r="FR12" s="191"/>
      <c r="FS12" s="191"/>
      <c r="FT12" s="191"/>
      <c r="FU12" s="191"/>
      <c r="FV12" s="191"/>
      <c r="FW12" s="191"/>
      <c r="FX12" s="191"/>
      <c r="FY12" s="191"/>
      <c r="FZ12" s="191"/>
      <c r="GA12" s="191"/>
      <c r="GB12" s="191"/>
      <c r="GC12" s="191"/>
      <c r="GD12" s="191"/>
      <c r="GE12" s="191"/>
      <c r="GF12" s="191"/>
      <c r="GG12" s="191"/>
      <c r="GH12" s="191"/>
      <c r="GI12" s="191"/>
      <c r="GJ12" s="191"/>
      <c r="GK12" s="191"/>
      <c r="GL12" s="191"/>
      <c r="GM12" s="191"/>
      <c r="GN12" s="191"/>
      <c r="GO12" s="191"/>
      <c r="GP12" s="191"/>
      <c r="GQ12" s="191"/>
      <c r="GR12" s="191"/>
      <c r="GS12" s="191"/>
      <c r="GT12" s="191"/>
      <c r="GU12" s="191"/>
      <c r="GV12" s="191"/>
      <c r="GW12" s="191"/>
      <c r="GX12" s="191"/>
      <c r="GY12" s="191"/>
      <c r="GZ12" s="191"/>
      <c r="HA12" s="191"/>
      <c r="HB12" s="191"/>
      <c r="HC12" s="191"/>
      <c r="HD12" s="191"/>
      <c r="HE12" s="191"/>
      <c r="HF12" s="191"/>
      <c r="HG12" s="191"/>
      <c r="HH12" s="191"/>
      <c r="HI12" s="191"/>
      <c r="HJ12" s="191"/>
      <c r="HK12" s="191"/>
      <c r="HL12" s="191"/>
      <c r="HM12" s="191"/>
      <c r="HN12" s="191"/>
      <c r="HO12" s="191"/>
      <c r="HP12" s="191"/>
      <c r="HQ12" s="191"/>
      <c r="HR12" s="191"/>
      <c r="HS12" s="191"/>
      <c r="HT12" s="191"/>
      <c r="HU12" s="191"/>
      <c r="HV12" s="191"/>
      <c r="HW12" s="191"/>
      <c r="HX12" s="191"/>
      <c r="HY12" s="191"/>
      <c r="HZ12" s="191"/>
      <c r="IA12" s="191"/>
      <c r="IB12" s="192"/>
      <c r="IC12" s="192"/>
      <c r="ID12" s="192"/>
      <c r="IE12" s="192"/>
      <c r="IF12" s="192"/>
      <c r="IG12" s="192"/>
      <c r="IH12" s="192"/>
      <c r="II12" s="192"/>
      <c r="IJ12" s="192"/>
      <c r="IK12" s="192"/>
      <c r="IL12" s="192"/>
      <c r="IM12" s="192"/>
      <c r="IN12" s="192"/>
      <c r="IO12" s="192"/>
      <c r="IP12" s="192"/>
      <c r="IQ12" s="192"/>
      <c r="IR12" s="192"/>
      <c r="IS12" s="192"/>
      <c r="IT12" s="192"/>
    </row>
    <row r="13" spans="1:254" ht="15">
      <c r="A13" s="375" t="s">
        <v>151</v>
      </c>
      <c r="B13" s="552">
        <f t="shared" si="1"/>
        <v>0.2611</v>
      </c>
      <c r="C13" s="53"/>
      <c r="D13" s="53"/>
      <c r="E13" s="53"/>
      <c r="F13" s="53"/>
      <c r="G13" s="53"/>
      <c r="H13" s="53"/>
      <c r="I13" s="53"/>
      <c r="J13" s="53"/>
      <c r="K13" s="53"/>
      <c r="L13" s="53"/>
      <c r="M13" s="53"/>
      <c r="N13" s="53"/>
      <c r="O13" s="53"/>
      <c r="P13" s="53"/>
      <c r="Q13" s="53"/>
      <c r="R13" s="53"/>
      <c r="S13" s="53"/>
      <c r="T13" s="53">
        <v>0.15</v>
      </c>
      <c r="U13" s="53"/>
      <c r="V13" s="53"/>
      <c r="W13" s="53"/>
      <c r="X13" s="53"/>
      <c r="Y13" s="53"/>
      <c r="Z13" s="53"/>
      <c r="AA13" s="53"/>
      <c r="AB13" s="53"/>
      <c r="AC13" s="53">
        <v>0.1111</v>
      </c>
      <c r="AD13" s="53"/>
      <c r="AE13" s="53"/>
      <c r="AF13" s="53"/>
      <c r="AG13" s="53"/>
      <c r="AH13" s="172">
        <f t="shared" si="0"/>
        <v>0.2611</v>
      </c>
      <c r="AI13" s="191"/>
      <c r="AJ13" s="191"/>
      <c r="AK13" s="191"/>
      <c r="AL13" s="191"/>
      <c r="AM13" s="191"/>
      <c r="AN13" s="191"/>
      <c r="AO13" s="191"/>
      <c r="AP13" s="191"/>
      <c r="AQ13" s="191"/>
      <c r="AR13" s="191"/>
      <c r="AS13" s="191"/>
      <c r="AT13" s="191"/>
      <c r="AU13" s="191"/>
      <c r="AV13" s="191"/>
      <c r="AW13" s="191"/>
      <c r="AX13" s="191"/>
      <c r="AY13" s="191"/>
      <c r="AZ13" s="191"/>
      <c r="BA13" s="191"/>
      <c r="BB13" s="191"/>
      <c r="BC13" s="191"/>
      <c r="BD13" s="191"/>
      <c r="BE13" s="191"/>
      <c r="BF13" s="191"/>
      <c r="BG13" s="191"/>
      <c r="BH13" s="191"/>
      <c r="BI13" s="191"/>
      <c r="BJ13" s="191"/>
      <c r="BK13" s="191"/>
      <c r="BL13" s="191"/>
      <c r="BM13" s="191"/>
      <c r="BN13" s="191"/>
      <c r="BO13" s="191"/>
      <c r="BP13" s="191"/>
      <c r="BQ13" s="191"/>
      <c r="BR13" s="191"/>
      <c r="BS13" s="191"/>
      <c r="BT13" s="191"/>
      <c r="BU13" s="191"/>
      <c r="BV13" s="191"/>
      <c r="BW13" s="191"/>
      <c r="BX13" s="191"/>
      <c r="BY13" s="191"/>
      <c r="BZ13" s="191"/>
      <c r="CA13" s="191"/>
      <c r="CB13" s="191"/>
      <c r="CC13" s="191"/>
      <c r="CD13" s="191"/>
      <c r="CE13" s="191"/>
      <c r="CF13" s="191"/>
      <c r="CG13" s="191"/>
      <c r="CH13" s="191"/>
      <c r="CI13" s="191"/>
      <c r="CJ13" s="191"/>
      <c r="CK13" s="191"/>
      <c r="CL13" s="191"/>
      <c r="CM13" s="191"/>
      <c r="CN13" s="191"/>
      <c r="CO13" s="191"/>
      <c r="CP13" s="191"/>
      <c r="CQ13" s="191"/>
      <c r="CR13" s="191"/>
      <c r="CS13" s="191"/>
      <c r="CT13" s="191"/>
      <c r="CU13" s="191"/>
      <c r="CV13" s="191"/>
      <c r="CW13" s="191"/>
      <c r="CX13" s="191"/>
      <c r="CY13" s="191"/>
      <c r="CZ13" s="191"/>
      <c r="DA13" s="191"/>
      <c r="DB13" s="191"/>
      <c r="DC13" s="191"/>
      <c r="DD13" s="191"/>
      <c r="DE13" s="191"/>
      <c r="DF13" s="191"/>
      <c r="DG13" s="191"/>
      <c r="DH13" s="191"/>
      <c r="DI13" s="191"/>
      <c r="DJ13" s="191"/>
      <c r="DK13" s="191"/>
      <c r="DL13" s="191"/>
      <c r="DM13" s="191"/>
      <c r="DN13" s="191"/>
      <c r="DO13" s="191"/>
      <c r="DP13" s="191"/>
      <c r="DQ13" s="191"/>
      <c r="DR13" s="191"/>
      <c r="DS13" s="191"/>
      <c r="DT13" s="191"/>
      <c r="DU13" s="191"/>
      <c r="DV13" s="191"/>
      <c r="DW13" s="191"/>
      <c r="DX13" s="191"/>
      <c r="DY13" s="191"/>
      <c r="DZ13" s="191"/>
      <c r="EA13" s="191"/>
      <c r="EB13" s="191"/>
      <c r="EC13" s="191"/>
      <c r="ED13" s="191"/>
      <c r="EE13" s="191"/>
      <c r="EF13" s="191"/>
      <c r="EG13" s="191"/>
      <c r="EH13" s="191"/>
      <c r="EI13" s="191"/>
      <c r="EJ13" s="191"/>
      <c r="EK13" s="191"/>
      <c r="EL13" s="191"/>
      <c r="EM13" s="191"/>
      <c r="EN13" s="191"/>
      <c r="EO13" s="191"/>
      <c r="EP13" s="191"/>
      <c r="EQ13" s="191"/>
      <c r="ER13" s="191"/>
      <c r="ES13" s="191"/>
      <c r="ET13" s="191"/>
      <c r="EU13" s="191"/>
      <c r="EV13" s="191"/>
      <c r="EW13" s="191"/>
      <c r="EX13" s="191"/>
      <c r="EY13" s="191"/>
      <c r="EZ13" s="191"/>
      <c r="FA13" s="191"/>
      <c r="FB13" s="191"/>
      <c r="FC13" s="191"/>
      <c r="FD13" s="191"/>
      <c r="FE13" s="191"/>
      <c r="FF13" s="191"/>
      <c r="FG13" s="191"/>
      <c r="FH13" s="191"/>
      <c r="FI13" s="191"/>
      <c r="FJ13" s="191"/>
      <c r="FK13" s="191"/>
      <c r="FL13" s="191"/>
      <c r="FM13" s="191"/>
      <c r="FN13" s="191"/>
      <c r="FO13" s="191"/>
      <c r="FP13" s="191"/>
      <c r="FQ13" s="191"/>
      <c r="FR13" s="191"/>
      <c r="FS13" s="191"/>
      <c r="FT13" s="191"/>
      <c r="FU13" s="191"/>
      <c r="FV13" s="191"/>
      <c r="FW13" s="191"/>
      <c r="FX13" s="191"/>
      <c r="FY13" s="191"/>
      <c r="FZ13" s="191"/>
      <c r="GA13" s="191"/>
      <c r="GB13" s="191"/>
      <c r="GC13" s="191"/>
      <c r="GD13" s="191"/>
      <c r="GE13" s="191"/>
      <c r="GF13" s="191"/>
      <c r="GG13" s="191"/>
      <c r="GH13" s="191"/>
      <c r="GI13" s="191"/>
      <c r="GJ13" s="191"/>
      <c r="GK13" s="191"/>
      <c r="GL13" s="191"/>
      <c r="GM13" s="191"/>
      <c r="GN13" s="191"/>
      <c r="GO13" s="191"/>
      <c r="GP13" s="191"/>
      <c r="GQ13" s="191"/>
      <c r="GR13" s="191"/>
      <c r="GS13" s="191"/>
      <c r="GT13" s="191"/>
      <c r="GU13" s="191"/>
      <c r="GV13" s="191"/>
      <c r="GW13" s="191"/>
      <c r="GX13" s="191"/>
      <c r="GY13" s="191"/>
      <c r="GZ13" s="191"/>
      <c r="HA13" s="191"/>
      <c r="HB13" s="191"/>
      <c r="HC13" s="191"/>
      <c r="HD13" s="191"/>
      <c r="HE13" s="191"/>
      <c r="HF13" s="191"/>
      <c r="HG13" s="191"/>
      <c r="HH13" s="191"/>
      <c r="HI13" s="191"/>
      <c r="HJ13" s="191"/>
      <c r="HK13" s="191"/>
      <c r="HL13" s="191"/>
      <c r="HM13" s="191"/>
      <c r="HN13" s="191"/>
      <c r="HO13" s="191"/>
      <c r="HP13" s="191"/>
      <c r="HQ13" s="191"/>
      <c r="HR13" s="191"/>
      <c r="HS13" s="191"/>
      <c r="HT13" s="191"/>
      <c r="HU13" s="191"/>
      <c r="HV13" s="191"/>
      <c r="HW13" s="191"/>
      <c r="HX13" s="191"/>
      <c r="HY13" s="191"/>
      <c r="HZ13" s="191"/>
      <c r="IA13" s="191"/>
      <c r="IB13" s="192"/>
      <c r="IC13" s="192"/>
      <c r="ID13" s="192"/>
      <c r="IE13" s="192"/>
      <c r="IF13" s="192"/>
      <c r="IG13" s="192"/>
      <c r="IH13" s="192"/>
      <c r="II13" s="192"/>
      <c r="IJ13" s="192"/>
      <c r="IK13" s="192"/>
      <c r="IL13" s="192"/>
      <c r="IM13" s="192"/>
      <c r="IN13" s="192"/>
      <c r="IO13" s="192"/>
      <c r="IP13" s="192"/>
      <c r="IQ13" s="192"/>
      <c r="IR13" s="192"/>
      <c r="IS13" s="192"/>
      <c r="IT13" s="192"/>
    </row>
    <row r="14" spans="1:254" ht="15">
      <c r="A14" s="375" t="s">
        <v>152</v>
      </c>
      <c r="B14" s="552">
        <f t="shared" si="1"/>
        <v>1.02779</v>
      </c>
      <c r="C14" s="53"/>
      <c r="D14" s="53"/>
      <c r="E14" s="53"/>
      <c r="F14" s="53"/>
      <c r="G14" s="53"/>
      <c r="H14" s="53"/>
      <c r="I14" s="53"/>
      <c r="J14" s="53">
        <v>0.15556</v>
      </c>
      <c r="K14" s="53"/>
      <c r="L14" s="53"/>
      <c r="M14" s="53"/>
      <c r="N14" s="53"/>
      <c r="O14" s="53">
        <v>0.11111</v>
      </c>
      <c r="P14" s="53"/>
      <c r="Q14" s="53"/>
      <c r="R14" s="53"/>
      <c r="S14" s="53"/>
      <c r="T14" s="53"/>
      <c r="U14" s="53"/>
      <c r="V14" s="53"/>
      <c r="W14" s="53"/>
      <c r="X14" s="53"/>
      <c r="Y14" s="53"/>
      <c r="Z14" s="53"/>
      <c r="AA14" s="53"/>
      <c r="AB14" s="53">
        <v>0.26667000000000002</v>
      </c>
      <c r="AC14" s="53"/>
      <c r="AD14" s="53">
        <v>0.27778000000000003</v>
      </c>
      <c r="AE14" s="53"/>
      <c r="AF14" s="53">
        <v>0.21667</v>
      </c>
      <c r="AG14" s="53"/>
      <c r="AH14" s="172">
        <f t="shared" si="0"/>
        <v>1.02779</v>
      </c>
      <c r="AI14" s="191"/>
      <c r="AJ14" s="191"/>
      <c r="AK14" s="191"/>
      <c r="AL14" s="191"/>
      <c r="AM14" s="191"/>
      <c r="AN14" s="191"/>
      <c r="AO14" s="191"/>
      <c r="AP14" s="191"/>
      <c r="AQ14" s="191"/>
      <c r="AR14" s="191"/>
      <c r="AS14" s="191"/>
      <c r="AT14" s="191"/>
      <c r="AU14" s="191"/>
      <c r="AV14" s="191"/>
      <c r="AW14" s="191"/>
      <c r="AX14" s="191"/>
      <c r="AY14" s="191"/>
      <c r="AZ14" s="191"/>
      <c r="BA14" s="191"/>
      <c r="BB14" s="191"/>
      <c r="BC14" s="191"/>
      <c r="BD14" s="191"/>
      <c r="BE14" s="191"/>
      <c r="BF14" s="191"/>
      <c r="BG14" s="191"/>
      <c r="BH14" s="191"/>
      <c r="BI14" s="191"/>
      <c r="BJ14" s="191"/>
      <c r="BK14" s="191"/>
      <c r="BL14" s="191"/>
      <c r="BM14" s="191"/>
      <c r="BN14" s="191"/>
      <c r="BO14" s="191"/>
      <c r="BP14" s="191"/>
      <c r="BQ14" s="191"/>
      <c r="BR14" s="191"/>
      <c r="BS14" s="191"/>
      <c r="BT14" s="191"/>
      <c r="BU14" s="191"/>
      <c r="BV14" s="191"/>
      <c r="BW14" s="191"/>
      <c r="BX14" s="191"/>
      <c r="BY14" s="191"/>
      <c r="BZ14" s="191"/>
      <c r="CA14" s="191"/>
      <c r="CB14" s="191"/>
      <c r="CC14" s="191"/>
      <c r="CD14" s="191"/>
      <c r="CE14" s="191"/>
      <c r="CF14" s="191"/>
      <c r="CG14" s="191"/>
      <c r="CH14" s="191"/>
      <c r="CI14" s="191"/>
      <c r="CJ14" s="191"/>
      <c r="CK14" s="191"/>
      <c r="CL14" s="191"/>
      <c r="CM14" s="191"/>
      <c r="CN14" s="191"/>
      <c r="CO14" s="191"/>
      <c r="CP14" s="191"/>
      <c r="CQ14" s="191"/>
      <c r="CR14" s="191"/>
      <c r="CS14" s="191"/>
      <c r="CT14" s="191"/>
      <c r="CU14" s="191"/>
      <c r="CV14" s="191"/>
      <c r="CW14" s="191"/>
      <c r="CX14" s="191"/>
      <c r="CY14" s="191"/>
      <c r="CZ14" s="191"/>
      <c r="DA14" s="191"/>
      <c r="DB14" s="191"/>
      <c r="DC14" s="191"/>
      <c r="DD14" s="191"/>
      <c r="DE14" s="191"/>
      <c r="DF14" s="191"/>
      <c r="DG14" s="191"/>
      <c r="DH14" s="191"/>
      <c r="DI14" s="191"/>
      <c r="DJ14" s="191"/>
      <c r="DK14" s="191"/>
      <c r="DL14" s="191"/>
      <c r="DM14" s="191"/>
      <c r="DN14" s="191"/>
      <c r="DO14" s="191"/>
      <c r="DP14" s="191"/>
      <c r="DQ14" s="191"/>
      <c r="DR14" s="191"/>
      <c r="DS14" s="191"/>
      <c r="DT14" s="191"/>
      <c r="DU14" s="191"/>
      <c r="DV14" s="191"/>
      <c r="DW14" s="191"/>
      <c r="DX14" s="191"/>
      <c r="DY14" s="191"/>
      <c r="DZ14" s="191"/>
      <c r="EA14" s="191"/>
      <c r="EB14" s="191"/>
      <c r="EC14" s="191"/>
      <c r="ED14" s="191"/>
      <c r="EE14" s="191"/>
      <c r="EF14" s="191"/>
      <c r="EG14" s="191"/>
      <c r="EH14" s="191"/>
      <c r="EI14" s="191"/>
      <c r="EJ14" s="191"/>
      <c r="EK14" s="191"/>
      <c r="EL14" s="191"/>
      <c r="EM14" s="191"/>
      <c r="EN14" s="191"/>
      <c r="EO14" s="191"/>
      <c r="EP14" s="191"/>
      <c r="EQ14" s="191"/>
      <c r="ER14" s="191"/>
      <c r="ES14" s="191"/>
      <c r="ET14" s="191"/>
      <c r="EU14" s="191"/>
      <c r="EV14" s="191"/>
      <c r="EW14" s="191"/>
      <c r="EX14" s="191"/>
      <c r="EY14" s="191"/>
      <c r="EZ14" s="191"/>
      <c r="FA14" s="191"/>
      <c r="FB14" s="191"/>
      <c r="FC14" s="191"/>
      <c r="FD14" s="191"/>
      <c r="FE14" s="191"/>
      <c r="FF14" s="191"/>
      <c r="FG14" s="191"/>
      <c r="FH14" s="191"/>
      <c r="FI14" s="191"/>
      <c r="FJ14" s="191"/>
      <c r="FK14" s="191"/>
      <c r="FL14" s="191"/>
      <c r="FM14" s="191"/>
      <c r="FN14" s="191"/>
      <c r="FO14" s="191"/>
      <c r="FP14" s="191"/>
      <c r="FQ14" s="191"/>
      <c r="FR14" s="191"/>
      <c r="FS14" s="191"/>
      <c r="FT14" s="191"/>
      <c r="FU14" s="191"/>
      <c r="FV14" s="191"/>
      <c r="FW14" s="191"/>
      <c r="FX14" s="191"/>
      <c r="FY14" s="191"/>
      <c r="FZ14" s="191"/>
      <c r="GA14" s="191"/>
      <c r="GB14" s="191"/>
      <c r="GC14" s="191"/>
      <c r="GD14" s="191"/>
      <c r="GE14" s="191"/>
      <c r="GF14" s="191"/>
      <c r="GG14" s="191"/>
      <c r="GH14" s="191"/>
      <c r="GI14" s="191"/>
      <c r="GJ14" s="191"/>
      <c r="GK14" s="191"/>
      <c r="GL14" s="191"/>
      <c r="GM14" s="191"/>
      <c r="GN14" s="191"/>
      <c r="GO14" s="191"/>
      <c r="GP14" s="191"/>
      <c r="GQ14" s="191"/>
      <c r="GR14" s="191"/>
      <c r="GS14" s="191"/>
      <c r="GT14" s="191"/>
      <c r="GU14" s="191"/>
      <c r="GV14" s="191"/>
      <c r="GW14" s="191"/>
      <c r="GX14" s="191"/>
      <c r="GY14" s="191"/>
      <c r="GZ14" s="191"/>
      <c r="HA14" s="191"/>
      <c r="HB14" s="191"/>
      <c r="HC14" s="191"/>
      <c r="HD14" s="191"/>
      <c r="HE14" s="191"/>
      <c r="HF14" s="191"/>
      <c r="HG14" s="191"/>
      <c r="HH14" s="191"/>
      <c r="HI14" s="191"/>
      <c r="HJ14" s="191"/>
      <c r="HK14" s="191"/>
      <c r="HL14" s="191"/>
      <c r="HM14" s="191"/>
      <c r="HN14" s="191"/>
      <c r="HO14" s="191"/>
      <c r="HP14" s="191"/>
      <c r="HQ14" s="191"/>
      <c r="HR14" s="191"/>
      <c r="HS14" s="191"/>
      <c r="HT14" s="191"/>
      <c r="HU14" s="191"/>
      <c r="HV14" s="191"/>
      <c r="HW14" s="191"/>
      <c r="HX14" s="191"/>
      <c r="HY14" s="191"/>
      <c r="HZ14" s="191"/>
      <c r="IA14" s="191"/>
      <c r="IB14" s="192"/>
      <c r="IC14" s="192"/>
      <c r="ID14" s="192"/>
      <c r="IE14" s="192"/>
      <c r="IF14" s="192"/>
      <c r="IG14" s="192"/>
      <c r="IH14" s="192"/>
      <c r="II14" s="192"/>
      <c r="IJ14" s="192"/>
      <c r="IK14" s="192"/>
      <c r="IL14" s="192"/>
      <c r="IM14" s="192"/>
      <c r="IN14" s="192"/>
      <c r="IO14" s="192"/>
      <c r="IP14" s="192"/>
      <c r="IQ14" s="192"/>
      <c r="IR14" s="192"/>
      <c r="IS14" s="192"/>
      <c r="IT14" s="192"/>
    </row>
    <row r="15" spans="1:254" ht="15">
      <c r="A15" s="427" t="s">
        <v>153</v>
      </c>
      <c r="B15" s="552">
        <f>+AH15</f>
        <v>4.0688800000000001</v>
      </c>
      <c r="C15" s="53"/>
      <c r="D15" s="53"/>
      <c r="E15" s="53"/>
      <c r="F15" s="53"/>
      <c r="G15" s="53"/>
      <c r="H15" s="53">
        <v>0.28110000000000002</v>
      </c>
      <c r="I15" s="53">
        <v>0.15221999999999999</v>
      </c>
      <c r="J15" s="53"/>
      <c r="K15" s="53">
        <v>0.34444000000000002</v>
      </c>
      <c r="L15" s="53"/>
      <c r="M15" s="53"/>
      <c r="N15" s="53"/>
      <c r="O15" s="53">
        <v>0.75556000000000001</v>
      </c>
      <c r="P15" s="53"/>
      <c r="Q15" s="53"/>
      <c r="R15" s="53"/>
      <c r="S15" s="53"/>
      <c r="T15" s="53"/>
      <c r="U15" s="53"/>
      <c r="V15" s="53"/>
      <c r="W15" s="53"/>
      <c r="X15" s="53"/>
      <c r="Y15" s="53"/>
      <c r="Z15" s="53"/>
      <c r="AA15" s="53">
        <v>0</v>
      </c>
      <c r="AB15" s="53">
        <v>0.75556000000000001</v>
      </c>
      <c r="AC15" s="53"/>
      <c r="AD15" s="53">
        <v>0.62222</v>
      </c>
      <c r="AE15" s="53"/>
      <c r="AF15" s="3013">
        <v>1.15778</v>
      </c>
      <c r="AG15" s="53">
        <v>0</v>
      </c>
      <c r="AH15" s="672">
        <f>SUM(C15:AF15)</f>
        <v>4.0688800000000001</v>
      </c>
      <c r="AI15" s="191"/>
      <c r="AJ15" s="191"/>
      <c r="AK15" s="191"/>
      <c r="AL15" s="191"/>
      <c r="AM15" s="191"/>
      <c r="AN15" s="191"/>
      <c r="AO15" s="191"/>
      <c r="AP15" s="191"/>
      <c r="AQ15" s="191"/>
      <c r="AR15" s="191"/>
      <c r="AS15" s="191"/>
      <c r="AT15" s="191"/>
      <c r="AU15" s="191"/>
      <c r="AV15" s="191"/>
      <c r="AW15" s="191"/>
      <c r="AX15" s="191"/>
      <c r="AY15" s="191"/>
      <c r="AZ15" s="191"/>
      <c r="BA15" s="191"/>
      <c r="BB15" s="191"/>
      <c r="BC15" s="191"/>
      <c r="BD15" s="191"/>
      <c r="BE15" s="191"/>
      <c r="BF15" s="191"/>
      <c r="BG15" s="191"/>
      <c r="BH15" s="191"/>
      <c r="BI15" s="191"/>
      <c r="BJ15" s="191"/>
      <c r="BK15" s="191"/>
      <c r="BL15" s="191"/>
      <c r="BM15" s="191"/>
      <c r="BN15" s="191"/>
      <c r="BO15" s="191"/>
      <c r="BP15" s="191"/>
      <c r="BQ15" s="191"/>
      <c r="BR15" s="191"/>
      <c r="BS15" s="191"/>
      <c r="BT15" s="191"/>
      <c r="BU15" s="191"/>
      <c r="BV15" s="191"/>
      <c r="BW15" s="191"/>
      <c r="BX15" s="191"/>
      <c r="BY15" s="191"/>
      <c r="BZ15" s="191"/>
      <c r="CA15" s="191"/>
      <c r="CB15" s="191"/>
      <c r="CC15" s="191"/>
      <c r="CD15" s="191"/>
      <c r="CE15" s="191"/>
      <c r="CF15" s="191"/>
      <c r="CG15" s="191"/>
      <c r="CH15" s="191"/>
      <c r="CI15" s="191"/>
      <c r="CJ15" s="191"/>
      <c r="CK15" s="191"/>
      <c r="CL15" s="191"/>
      <c r="CM15" s="191"/>
      <c r="CN15" s="191"/>
      <c r="CO15" s="191"/>
      <c r="CP15" s="191"/>
      <c r="CQ15" s="191"/>
      <c r="CR15" s="191"/>
      <c r="CS15" s="191"/>
      <c r="CT15" s="191"/>
      <c r="CU15" s="191"/>
      <c r="CV15" s="191"/>
      <c r="CW15" s="191"/>
      <c r="CX15" s="191"/>
      <c r="CY15" s="191"/>
      <c r="CZ15" s="191"/>
      <c r="DA15" s="191"/>
      <c r="DB15" s="191"/>
      <c r="DC15" s="191"/>
      <c r="DD15" s="191"/>
      <c r="DE15" s="191"/>
      <c r="DF15" s="191"/>
      <c r="DG15" s="191"/>
      <c r="DH15" s="191"/>
      <c r="DI15" s="191"/>
      <c r="DJ15" s="191"/>
      <c r="DK15" s="191"/>
      <c r="DL15" s="191"/>
      <c r="DM15" s="191"/>
      <c r="DN15" s="191"/>
      <c r="DO15" s="191"/>
      <c r="DP15" s="191"/>
      <c r="DQ15" s="191"/>
      <c r="DR15" s="191"/>
      <c r="DS15" s="191"/>
      <c r="DT15" s="191"/>
      <c r="DU15" s="191"/>
      <c r="DV15" s="191"/>
      <c r="DW15" s="191"/>
      <c r="DX15" s="191"/>
      <c r="DY15" s="191"/>
      <c r="DZ15" s="191"/>
      <c r="EA15" s="191"/>
      <c r="EB15" s="191"/>
      <c r="EC15" s="191"/>
      <c r="ED15" s="191"/>
      <c r="EE15" s="191"/>
      <c r="EF15" s="191"/>
      <c r="EG15" s="191"/>
      <c r="EH15" s="191"/>
      <c r="EI15" s="191"/>
      <c r="EJ15" s="191"/>
      <c r="EK15" s="191"/>
      <c r="EL15" s="191"/>
      <c r="EM15" s="191"/>
      <c r="EN15" s="191"/>
      <c r="EO15" s="191"/>
      <c r="EP15" s="191"/>
      <c r="EQ15" s="191"/>
      <c r="ER15" s="191"/>
      <c r="ES15" s="191"/>
      <c r="ET15" s="191"/>
      <c r="EU15" s="191"/>
      <c r="EV15" s="191"/>
      <c r="EW15" s="191"/>
      <c r="EX15" s="191"/>
      <c r="EY15" s="191"/>
      <c r="EZ15" s="191"/>
      <c r="FA15" s="191"/>
      <c r="FB15" s="191"/>
      <c r="FC15" s="191"/>
      <c r="FD15" s="191"/>
      <c r="FE15" s="191"/>
      <c r="FF15" s="191"/>
      <c r="FG15" s="191"/>
      <c r="FH15" s="191"/>
      <c r="FI15" s="191"/>
      <c r="FJ15" s="191"/>
      <c r="FK15" s="191"/>
      <c r="FL15" s="191"/>
      <c r="FM15" s="191"/>
      <c r="FN15" s="191"/>
      <c r="FO15" s="191"/>
      <c r="FP15" s="191"/>
      <c r="FQ15" s="191"/>
      <c r="FR15" s="191"/>
      <c r="FS15" s="191"/>
      <c r="FT15" s="191"/>
      <c r="FU15" s="191"/>
      <c r="FV15" s="191"/>
      <c r="FW15" s="191"/>
      <c r="FX15" s="191"/>
      <c r="FY15" s="191"/>
      <c r="FZ15" s="191"/>
      <c r="GA15" s="191"/>
      <c r="GB15" s="191"/>
      <c r="GC15" s="191"/>
      <c r="GD15" s="191"/>
      <c r="GE15" s="191"/>
      <c r="GF15" s="191"/>
      <c r="GG15" s="191"/>
      <c r="GH15" s="191"/>
      <c r="GI15" s="191"/>
      <c r="GJ15" s="191"/>
      <c r="GK15" s="191"/>
      <c r="GL15" s="191"/>
      <c r="GM15" s="191"/>
      <c r="GN15" s="191"/>
      <c r="GO15" s="191"/>
      <c r="GP15" s="191"/>
      <c r="GQ15" s="191"/>
      <c r="GR15" s="191"/>
      <c r="GS15" s="191"/>
      <c r="GT15" s="191"/>
      <c r="GU15" s="191"/>
      <c r="GV15" s="191"/>
      <c r="GW15" s="191"/>
      <c r="GX15" s="191"/>
      <c r="GY15" s="191"/>
      <c r="GZ15" s="191"/>
      <c r="HA15" s="191"/>
      <c r="HB15" s="191"/>
      <c r="HC15" s="191"/>
      <c r="HD15" s="191"/>
      <c r="HE15" s="191"/>
      <c r="HF15" s="191"/>
      <c r="HG15" s="191"/>
      <c r="HH15" s="191"/>
      <c r="HI15" s="191"/>
      <c r="HJ15" s="191"/>
      <c r="HK15" s="191"/>
      <c r="HL15" s="191"/>
      <c r="HM15" s="191"/>
      <c r="HN15" s="191"/>
      <c r="HO15" s="191"/>
      <c r="HP15" s="191"/>
      <c r="HQ15" s="191"/>
      <c r="HR15" s="191"/>
      <c r="HS15" s="191"/>
      <c r="HT15" s="191"/>
      <c r="HU15" s="191"/>
      <c r="HV15" s="191"/>
      <c r="HW15" s="191"/>
      <c r="HX15" s="191"/>
      <c r="HY15" s="191"/>
      <c r="HZ15" s="191"/>
      <c r="IA15" s="191"/>
      <c r="IB15" s="192"/>
      <c r="IC15" s="192"/>
      <c r="ID15" s="192"/>
      <c r="IE15" s="192"/>
      <c r="IF15" s="192"/>
      <c r="IG15" s="192"/>
      <c r="IH15" s="192"/>
      <c r="II15" s="192"/>
      <c r="IJ15" s="192"/>
      <c r="IK15" s="192"/>
      <c r="IL15" s="192"/>
      <c r="IM15" s="192"/>
      <c r="IN15" s="192"/>
      <c r="IO15" s="192"/>
      <c r="IP15" s="192"/>
      <c r="IQ15" s="192"/>
      <c r="IR15" s="192"/>
      <c r="IS15" s="192"/>
      <c r="IT15" s="192"/>
    </row>
    <row r="16" spans="1:254" ht="15">
      <c r="A16" s="375" t="s">
        <v>154</v>
      </c>
      <c r="B16" s="83">
        <f t="shared" si="1"/>
        <v>0</v>
      </c>
      <c r="C16" s="53"/>
      <c r="D16" s="53"/>
      <c r="E16" s="53"/>
      <c r="F16" s="53"/>
      <c r="G16" s="53"/>
      <c r="H16" s="53"/>
      <c r="I16" s="53"/>
      <c r="J16" s="53"/>
      <c r="K16" s="53"/>
      <c r="L16" s="53"/>
      <c r="M16" s="53"/>
      <c r="N16" s="53"/>
      <c r="O16" s="53"/>
      <c r="P16" s="53"/>
      <c r="Q16" s="53"/>
      <c r="R16" s="103"/>
      <c r="S16" s="103"/>
      <c r="T16" s="103"/>
      <c r="U16" s="103"/>
      <c r="V16" s="103"/>
      <c r="W16" s="103"/>
      <c r="X16" s="103"/>
      <c r="Y16" s="103"/>
      <c r="Z16" s="103"/>
      <c r="AA16" s="103"/>
      <c r="AB16" s="103"/>
      <c r="AC16" s="103"/>
      <c r="AD16" s="103"/>
      <c r="AE16" s="103"/>
      <c r="AF16" s="103"/>
      <c r="AG16" s="103"/>
      <c r="AH16" s="172">
        <f t="shared" si="0"/>
        <v>0</v>
      </c>
      <c r="AI16" s="191"/>
      <c r="AJ16" s="191"/>
      <c r="AK16" s="191"/>
      <c r="AL16" s="191"/>
      <c r="AM16" s="191"/>
      <c r="AN16" s="191"/>
      <c r="AO16" s="191"/>
      <c r="AP16" s="191"/>
      <c r="AQ16" s="191"/>
      <c r="AR16" s="191"/>
      <c r="AS16" s="191"/>
      <c r="AT16" s="191"/>
      <c r="AU16" s="191"/>
      <c r="AV16" s="191"/>
      <c r="AW16" s="191"/>
      <c r="AX16" s="191"/>
      <c r="AY16" s="191"/>
      <c r="AZ16" s="191"/>
      <c r="BA16" s="191"/>
      <c r="BB16" s="191"/>
      <c r="BC16" s="191"/>
      <c r="BD16" s="191"/>
      <c r="BE16" s="191"/>
      <c r="BF16" s="191"/>
      <c r="BG16" s="191"/>
      <c r="BH16" s="191"/>
      <c r="BI16" s="191"/>
      <c r="BJ16" s="191"/>
      <c r="BK16" s="191"/>
      <c r="BL16" s="191"/>
      <c r="BM16" s="191"/>
      <c r="BN16" s="191"/>
      <c r="BO16" s="191"/>
      <c r="BP16" s="191"/>
      <c r="BQ16" s="191"/>
      <c r="BR16" s="191"/>
      <c r="BS16" s="191"/>
      <c r="BT16" s="191"/>
      <c r="BU16" s="191"/>
      <c r="BV16" s="191"/>
      <c r="BW16" s="191"/>
      <c r="BX16" s="191"/>
      <c r="BY16" s="191"/>
      <c r="BZ16" s="191"/>
      <c r="CA16" s="191"/>
      <c r="CB16" s="191"/>
      <c r="CC16" s="191"/>
      <c r="CD16" s="191"/>
      <c r="CE16" s="191"/>
      <c r="CF16" s="191"/>
      <c r="CG16" s="191"/>
      <c r="CH16" s="191"/>
      <c r="CI16" s="191"/>
      <c r="CJ16" s="191"/>
      <c r="CK16" s="191"/>
      <c r="CL16" s="191"/>
      <c r="CM16" s="191"/>
      <c r="CN16" s="191"/>
      <c r="CO16" s="191"/>
      <c r="CP16" s="191"/>
      <c r="CQ16" s="191"/>
      <c r="CR16" s="191"/>
      <c r="CS16" s="191"/>
      <c r="CT16" s="191"/>
      <c r="CU16" s="191"/>
      <c r="CV16" s="191"/>
      <c r="CW16" s="191"/>
      <c r="CX16" s="191"/>
      <c r="CY16" s="191"/>
      <c r="CZ16" s="191"/>
      <c r="DA16" s="191"/>
      <c r="DB16" s="191"/>
      <c r="DC16" s="191"/>
      <c r="DD16" s="191"/>
      <c r="DE16" s="191"/>
      <c r="DF16" s="191"/>
      <c r="DG16" s="191"/>
      <c r="DH16" s="191"/>
      <c r="DI16" s="191"/>
      <c r="DJ16" s="191"/>
      <c r="DK16" s="191"/>
      <c r="DL16" s="191"/>
      <c r="DM16" s="191"/>
      <c r="DN16" s="191"/>
      <c r="DO16" s="191"/>
      <c r="DP16" s="191"/>
      <c r="DQ16" s="191"/>
      <c r="DR16" s="191"/>
      <c r="DS16" s="191"/>
      <c r="DT16" s="191"/>
      <c r="DU16" s="191"/>
      <c r="DV16" s="191"/>
      <c r="DW16" s="191"/>
      <c r="DX16" s="191"/>
      <c r="DY16" s="191"/>
      <c r="DZ16" s="191"/>
      <c r="EA16" s="191"/>
      <c r="EB16" s="191"/>
      <c r="EC16" s="191"/>
      <c r="ED16" s="191"/>
      <c r="EE16" s="191"/>
      <c r="EF16" s="191"/>
      <c r="EG16" s="191"/>
      <c r="EH16" s="191"/>
      <c r="EI16" s="191"/>
      <c r="EJ16" s="191"/>
      <c r="EK16" s="191"/>
      <c r="EL16" s="191"/>
      <c r="EM16" s="191"/>
      <c r="EN16" s="191"/>
      <c r="EO16" s="191"/>
      <c r="EP16" s="191"/>
      <c r="EQ16" s="191"/>
      <c r="ER16" s="191"/>
      <c r="ES16" s="191"/>
      <c r="ET16" s="191"/>
      <c r="EU16" s="191"/>
      <c r="EV16" s="191"/>
      <c r="EW16" s="191"/>
      <c r="EX16" s="191"/>
      <c r="EY16" s="191"/>
      <c r="EZ16" s="191"/>
      <c r="FA16" s="191"/>
      <c r="FB16" s="191"/>
      <c r="FC16" s="191"/>
      <c r="FD16" s="191"/>
      <c r="FE16" s="191"/>
      <c r="FF16" s="191"/>
      <c r="FG16" s="191"/>
      <c r="FH16" s="191"/>
      <c r="FI16" s="191"/>
      <c r="FJ16" s="191"/>
      <c r="FK16" s="191"/>
      <c r="FL16" s="191"/>
      <c r="FM16" s="191"/>
      <c r="FN16" s="191"/>
      <c r="FO16" s="191"/>
      <c r="FP16" s="191"/>
      <c r="FQ16" s="191"/>
      <c r="FR16" s="191"/>
      <c r="FS16" s="191"/>
      <c r="FT16" s="191"/>
      <c r="FU16" s="191"/>
      <c r="FV16" s="191"/>
      <c r="FW16" s="191"/>
      <c r="FX16" s="191"/>
      <c r="FY16" s="191"/>
      <c r="FZ16" s="191"/>
      <c r="GA16" s="191"/>
      <c r="GB16" s="191"/>
      <c r="GC16" s="191"/>
      <c r="GD16" s="191"/>
      <c r="GE16" s="191"/>
      <c r="GF16" s="191"/>
      <c r="GG16" s="191"/>
      <c r="GH16" s="191"/>
      <c r="GI16" s="191"/>
      <c r="GJ16" s="191"/>
      <c r="GK16" s="191"/>
      <c r="GL16" s="191"/>
      <c r="GM16" s="191"/>
      <c r="GN16" s="191"/>
      <c r="GO16" s="191"/>
      <c r="GP16" s="191"/>
      <c r="GQ16" s="191"/>
      <c r="GR16" s="191"/>
      <c r="GS16" s="191"/>
      <c r="GT16" s="191"/>
      <c r="GU16" s="191"/>
      <c r="GV16" s="191"/>
      <c r="GW16" s="191"/>
      <c r="GX16" s="191"/>
      <c r="GY16" s="191"/>
      <c r="GZ16" s="191"/>
      <c r="HA16" s="191"/>
      <c r="HB16" s="191"/>
      <c r="HC16" s="191"/>
      <c r="HD16" s="191"/>
      <c r="HE16" s="191"/>
      <c r="HF16" s="191"/>
      <c r="HG16" s="191"/>
      <c r="HH16" s="191"/>
      <c r="HI16" s="191"/>
      <c r="HJ16" s="191"/>
      <c r="HK16" s="191"/>
      <c r="HL16" s="191"/>
      <c r="HM16" s="191"/>
      <c r="HN16" s="191"/>
      <c r="HO16" s="191"/>
      <c r="HP16" s="191"/>
      <c r="HQ16" s="191"/>
      <c r="HR16" s="191"/>
      <c r="HS16" s="191"/>
      <c r="HT16" s="191"/>
      <c r="HU16" s="191"/>
      <c r="HV16" s="191"/>
      <c r="HW16" s="191"/>
      <c r="HX16" s="191"/>
      <c r="HY16" s="191"/>
      <c r="HZ16" s="191"/>
      <c r="IA16" s="191"/>
      <c r="IB16" s="192"/>
      <c r="IC16" s="192"/>
      <c r="ID16" s="192"/>
      <c r="IE16" s="192"/>
      <c r="IF16" s="192"/>
      <c r="IG16" s="192"/>
      <c r="IH16" s="192"/>
      <c r="II16" s="192"/>
      <c r="IJ16" s="192"/>
      <c r="IK16" s="192"/>
      <c r="IL16" s="192"/>
      <c r="IM16" s="192"/>
      <c r="IN16" s="192"/>
      <c r="IO16" s="192"/>
      <c r="IP16" s="192"/>
      <c r="IQ16" s="192"/>
      <c r="IR16" s="192"/>
      <c r="IS16" s="192"/>
      <c r="IT16" s="192"/>
    </row>
    <row r="17" spans="1:254" ht="15">
      <c r="A17" s="375" t="s">
        <v>155</v>
      </c>
      <c r="B17" s="83">
        <f t="shared" si="1"/>
        <v>0</v>
      </c>
      <c r="C17" s="53"/>
      <c r="D17" s="103"/>
      <c r="E17" s="103"/>
      <c r="F17" s="103"/>
      <c r="G17" s="103"/>
      <c r="H17" s="103"/>
      <c r="I17" s="103"/>
      <c r="J17" s="103"/>
      <c r="K17" s="103"/>
      <c r="L17" s="103"/>
      <c r="M17" s="103"/>
      <c r="N17" s="103"/>
      <c r="O17" s="103"/>
      <c r="P17" s="103"/>
      <c r="Q17" s="103"/>
      <c r="R17" s="53"/>
      <c r="S17" s="53"/>
      <c r="T17" s="53"/>
      <c r="U17" s="53"/>
      <c r="V17" s="53"/>
      <c r="W17" s="53"/>
      <c r="X17" s="53"/>
      <c r="Y17" s="53"/>
      <c r="Z17" s="53"/>
      <c r="AA17" s="53"/>
      <c r="AB17" s="53"/>
      <c r="AC17" s="53"/>
      <c r="AD17" s="53"/>
      <c r="AE17" s="53"/>
      <c r="AF17" s="53"/>
      <c r="AG17" s="53"/>
      <c r="AH17" s="172">
        <f t="shared" si="0"/>
        <v>0</v>
      </c>
      <c r="AI17" s="191"/>
      <c r="AJ17" s="191"/>
      <c r="AK17" s="191"/>
      <c r="AL17" s="191"/>
      <c r="AM17" s="191"/>
      <c r="AN17" s="191"/>
      <c r="AO17" s="191"/>
      <c r="AP17" s="191"/>
      <c r="AQ17" s="191"/>
      <c r="AR17" s="191"/>
      <c r="AS17" s="191"/>
      <c r="AT17" s="191"/>
      <c r="AU17" s="191"/>
      <c r="AV17" s="191"/>
      <c r="AW17" s="191"/>
      <c r="AX17" s="191"/>
      <c r="AY17" s="191"/>
      <c r="AZ17" s="191"/>
      <c r="BA17" s="191"/>
      <c r="BB17" s="191"/>
      <c r="BC17" s="191"/>
      <c r="BD17" s="191"/>
      <c r="BE17" s="191"/>
      <c r="BF17" s="191"/>
      <c r="BG17" s="191"/>
      <c r="BH17" s="191"/>
      <c r="BI17" s="191"/>
      <c r="BJ17" s="191"/>
      <c r="BK17" s="191"/>
      <c r="BL17" s="191"/>
      <c r="BM17" s="191"/>
      <c r="BN17" s="191"/>
      <c r="BO17" s="191"/>
      <c r="BP17" s="191"/>
      <c r="BQ17" s="191"/>
      <c r="BR17" s="191"/>
      <c r="BS17" s="191"/>
      <c r="BT17" s="191"/>
      <c r="BU17" s="191"/>
      <c r="BV17" s="191"/>
      <c r="BW17" s="191"/>
      <c r="BX17" s="191"/>
      <c r="BY17" s="191"/>
      <c r="BZ17" s="191"/>
      <c r="CA17" s="191"/>
      <c r="CB17" s="191"/>
      <c r="CC17" s="191"/>
      <c r="CD17" s="191"/>
      <c r="CE17" s="191"/>
      <c r="CF17" s="191"/>
      <c r="CG17" s="191"/>
      <c r="CH17" s="191"/>
      <c r="CI17" s="191"/>
      <c r="CJ17" s="191"/>
      <c r="CK17" s="191"/>
      <c r="CL17" s="191"/>
      <c r="CM17" s="191"/>
      <c r="CN17" s="191"/>
      <c r="CO17" s="191"/>
      <c r="CP17" s="191"/>
      <c r="CQ17" s="191"/>
      <c r="CR17" s="191"/>
      <c r="CS17" s="191"/>
      <c r="CT17" s="191"/>
      <c r="CU17" s="191"/>
      <c r="CV17" s="191"/>
      <c r="CW17" s="191"/>
      <c r="CX17" s="191"/>
      <c r="CY17" s="191"/>
      <c r="CZ17" s="191"/>
      <c r="DA17" s="191"/>
      <c r="DB17" s="191"/>
      <c r="DC17" s="191"/>
      <c r="DD17" s="191"/>
      <c r="DE17" s="191"/>
      <c r="DF17" s="191"/>
      <c r="DG17" s="191"/>
      <c r="DH17" s="191"/>
      <c r="DI17" s="191"/>
      <c r="DJ17" s="191"/>
      <c r="DK17" s="191"/>
      <c r="DL17" s="191"/>
      <c r="DM17" s="191"/>
      <c r="DN17" s="191"/>
      <c r="DO17" s="191"/>
      <c r="DP17" s="191"/>
      <c r="DQ17" s="191"/>
      <c r="DR17" s="191"/>
      <c r="DS17" s="191"/>
      <c r="DT17" s="191"/>
      <c r="DU17" s="191"/>
      <c r="DV17" s="191"/>
      <c r="DW17" s="191"/>
      <c r="DX17" s="191"/>
      <c r="DY17" s="191"/>
      <c r="DZ17" s="191"/>
      <c r="EA17" s="191"/>
      <c r="EB17" s="191"/>
      <c r="EC17" s="191"/>
      <c r="ED17" s="191"/>
      <c r="EE17" s="191"/>
      <c r="EF17" s="191"/>
      <c r="EG17" s="191"/>
      <c r="EH17" s="191"/>
      <c r="EI17" s="191"/>
      <c r="EJ17" s="191"/>
      <c r="EK17" s="191"/>
      <c r="EL17" s="191"/>
      <c r="EM17" s="191"/>
      <c r="EN17" s="191"/>
      <c r="EO17" s="191"/>
      <c r="EP17" s="191"/>
      <c r="EQ17" s="191"/>
      <c r="ER17" s="191"/>
      <c r="ES17" s="191"/>
      <c r="ET17" s="191"/>
      <c r="EU17" s="191"/>
      <c r="EV17" s="191"/>
      <c r="EW17" s="191"/>
      <c r="EX17" s="191"/>
      <c r="EY17" s="191"/>
      <c r="EZ17" s="191"/>
      <c r="FA17" s="191"/>
      <c r="FB17" s="191"/>
      <c r="FC17" s="191"/>
      <c r="FD17" s="191"/>
      <c r="FE17" s="191"/>
      <c r="FF17" s="191"/>
      <c r="FG17" s="191"/>
      <c r="FH17" s="191"/>
      <c r="FI17" s="191"/>
      <c r="FJ17" s="191"/>
      <c r="FK17" s="191"/>
      <c r="FL17" s="191"/>
      <c r="FM17" s="191"/>
      <c r="FN17" s="191"/>
      <c r="FO17" s="191"/>
      <c r="FP17" s="191"/>
      <c r="FQ17" s="191"/>
      <c r="FR17" s="191"/>
      <c r="FS17" s="191"/>
      <c r="FT17" s="191"/>
      <c r="FU17" s="191"/>
      <c r="FV17" s="191"/>
      <c r="FW17" s="191"/>
      <c r="FX17" s="191"/>
      <c r="FY17" s="191"/>
      <c r="FZ17" s="191"/>
      <c r="GA17" s="191"/>
      <c r="GB17" s="191"/>
      <c r="GC17" s="191"/>
      <c r="GD17" s="191"/>
      <c r="GE17" s="191"/>
      <c r="GF17" s="191"/>
      <c r="GG17" s="191"/>
      <c r="GH17" s="191"/>
      <c r="GI17" s="191"/>
      <c r="GJ17" s="191"/>
      <c r="GK17" s="191"/>
      <c r="GL17" s="191"/>
      <c r="GM17" s="191"/>
      <c r="GN17" s="191"/>
      <c r="GO17" s="191"/>
      <c r="GP17" s="191"/>
      <c r="GQ17" s="191"/>
      <c r="GR17" s="191"/>
      <c r="GS17" s="191"/>
      <c r="GT17" s="191"/>
      <c r="GU17" s="191"/>
      <c r="GV17" s="191"/>
      <c r="GW17" s="191"/>
      <c r="GX17" s="191"/>
      <c r="GY17" s="191"/>
      <c r="GZ17" s="191"/>
      <c r="HA17" s="191"/>
      <c r="HB17" s="191"/>
      <c r="HC17" s="191"/>
      <c r="HD17" s="191"/>
      <c r="HE17" s="191"/>
      <c r="HF17" s="191"/>
      <c r="HG17" s="191"/>
      <c r="HH17" s="191"/>
      <c r="HI17" s="191"/>
      <c r="HJ17" s="191"/>
      <c r="HK17" s="191"/>
      <c r="HL17" s="191"/>
      <c r="HM17" s="191"/>
      <c r="HN17" s="191"/>
      <c r="HO17" s="191"/>
      <c r="HP17" s="191"/>
      <c r="HQ17" s="191"/>
      <c r="HR17" s="191"/>
      <c r="HS17" s="191"/>
      <c r="HT17" s="191"/>
      <c r="HU17" s="191"/>
      <c r="HV17" s="191"/>
      <c r="HW17" s="191"/>
      <c r="HX17" s="191"/>
      <c r="HY17" s="191"/>
      <c r="HZ17" s="191"/>
      <c r="IA17" s="191"/>
      <c r="IB17" s="192"/>
      <c r="IC17" s="192"/>
      <c r="ID17" s="192"/>
      <c r="IE17" s="192"/>
      <c r="IF17" s="192"/>
      <c r="IG17" s="192"/>
      <c r="IH17" s="192"/>
      <c r="II17" s="192"/>
      <c r="IJ17" s="192"/>
      <c r="IK17" s="192"/>
      <c r="IL17" s="192"/>
      <c r="IM17" s="192"/>
      <c r="IN17" s="192"/>
      <c r="IO17" s="192"/>
      <c r="IP17" s="192"/>
      <c r="IQ17" s="192"/>
      <c r="IR17" s="192"/>
      <c r="IS17" s="192"/>
      <c r="IT17" s="192"/>
    </row>
    <row r="18" spans="1:254" ht="15">
      <c r="A18" s="375" t="s">
        <v>156</v>
      </c>
      <c r="B18" s="83">
        <f t="shared" si="1"/>
        <v>0</v>
      </c>
      <c r="C18" s="53"/>
      <c r="D18" s="53"/>
      <c r="E18" s="53"/>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c r="AH18" s="172">
        <f t="shared" si="0"/>
        <v>0</v>
      </c>
      <c r="AI18" s="191"/>
      <c r="AJ18" s="191"/>
      <c r="AK18" s="191"/>
      <c r="AL18" s="191"/>
      <c r="AM18" s="191"/>
      <c r="AN18" s="191"/>
      <c r="AO18" s="191"/>
      <c r="AP18" s="191"/>
      <c r="AQ18" s="191"/>
      <c r="AR18" s="191"/>
      <c r="AS18" s="191"/>
      <c r="AT18" s="191"/>
      <c r="AU18" s="191"/>
      <c r="AV18" s="191"/>
      <c r="AW18" s="191"/>
      <c r="AX18" s="191"/>
      <c r="AY18" s="191"/>
      <c r="AZ18" s="191"/>
      <c r="BA18" s="191"/>
      <c r="BB18" s="191"/>
      <c r="BC18" s="191"/>
      <c r="BD18" s="191"/>
      <c r="BE18" s="191"/>
      <c r="BF18" s="191"/>
      <c r="BG18" s="191"/>
      <c r="BH18" s="191"/>
      <c r="BI18" s="191"/>
      <c r="BJ18" s="191"/>
      <c r="BK18" s="191"/>
      <c r="BL18" s="191"/>
      <c r="BM18" s="191"/>
      <c r="BN18" s="191"/>
      <c r="BO18" s="191"/>
      <c r="BP18" s="191"/>
      <c r="BQ18" s="191"/>
      <c r="BR18" s="191"/>
      <c r="BS18" s="191"/>
      <c r="BT18" s="191"/>
      <c r="BU18" s="191"/>
      <c r="BV18" s="191"/>
      <c r="BW18" s="191"/>
      <c r="BX18" s="191"/>
      <c r="BY18" s="191"/>
      <c r="BZ18" s="191"/>
      <c r="CA18" s="191"/>
      <c r="CB18" s="191"/>
      <c r="CC18" s="191"/>
      <c r="CD18" s="191"/>
      <c r="CE18" s="191"/>
      <c r="CF18" s="191"/>
      <c r="CG18" s="191"/>
      <c r="CH18" s="191"/>
      <c r="CI18" s="191"/>
      <c r="CJ18" s="191"/>
      <c r="CK18" s="191"/>
      <c r="CL18" s="191"/>
      <c r="CM18" s="191"/>
      <c r="CN18" s="191"/>
      <c r="CO18" s="191"/>
      <c r="CP18" s="191"/>
      <c r="CQ18" s="191"/>
      <c r="CR18" s="191"/>
      <c r="CS18" s="191"/>
      <c r="CT18" s="191"/>
      <c r="CU18" s="191"/>
      <c r="CV18" s="191"/>
      <c r="CW18" s="191"/>
      <c r="CX18" s="191"/>
      <c r="CY18" s="191"/>
      <c r="CZ18" s="191"/>
      <c r="DA18" s="191"/>
      <c r="DB18" s="191"/>
      <c r="DC18" s="191"/>
      <c r="DD18" s="191"/>
      <c r="DE18" s="191"/>
      <c r="DF18" s="191"/>
      <c r="DG18" s="191"/>
      <c r="DH18" s="191"/>
      <c r="DI18" s="191"/>
      <c r="DJ18" s="191"/>
      <c r="DK18" s="191"/>
      <c r="DL18" s="191"/>
      <c r="DM18" s="191"/>
      <c r="DN18" s="191"/>
      <c r="DO18" s="191"/>
      <c r="DP18" s="191"/>
      <c r="DQ18" s="191"/>
      <c r="DR18" s="191"/>
      <c r="DS18" s="191"/>
      <c r="DT18" s="191"/>
      <c r="DU18" s="191"/>
      <c r="DV18" s="191"/>
      <c r="DW18" s="191"/>
      <c r="DX18" s="191"/>
      <c r="DY18" s="191"/>
      <c r="DZ18" s="191"/>
      <c r="EA18" s="191"/>
      <c r="EB18" s="191"/>
      <c r="EC18" s="191"/>
      <c r="ED18" s="191"/>
      <c r="EE18" s="191"/>
      <c r="EF18" s="191"/>
      <c r="EG18" s="191"/>
      <c r="EH18" s="191"/>
      <c r="EI18" s="191"/>
      <c r="EJ18" s="191"/>
      <c r="EK18" s="191"/>
      <c r="EL18" s="191"/>
      <c r="EM18" s="191"/>
      <c r="EN18" s="191"/>
      <c r="EO18" s="191"/>
      <c r="EP18" s="191"/>
      <c r="EQ18" s="191"/>
      <c r="ER18" s="191"/>
      <c r="ES18" s="191"/>
      <c r="ET18" s="191"/>
      <c r="EU18" s="191"/>
      <c r="EV18" s="191"/>
      <c r="EW18" s="191"/>
      <c r="EX18" s="191"/>
      <c r="EY18" s="191"/>
      <c r="EZ18" s="191"/>
      <c r="FA18" s="191"/>
      <c r="FB18" s="191"/>
      <c r="FC18" s="191"/>
      <c r="FD18" s="191"/>
      <c r="FE18" s="191"/>
      <c r="FF18" s="191"/>
      <c r="FG18" s="191"/>
      <c r="FH18" s="191"/>
      <c r="FI18" s="191"/>
      <c r="FJ18" s="191"/>
      <c r="FK18" s="191"/>
      <c r="FL18" s="191"/>
      <c r="FM18" s="191"/>
      <c r="FN18" s="191"/>
      <c r="FO18" s="191"/>
      <c r="FP18" s="191"/>
      <c r="FQ18" s="191"/>
      <c r="FR18" s="191"/>
      <c r="FS18" s="191"/>
      <c r="FT18" s="191"/>
      <c r="FU18" s="191"/>
      <c r="FV18" s="191"/>
      <c r="FW18" s="191"/>
      <c r="FX18" s="191"/>
      <c r="FY18" s="191"/>
      <c r="FZ18" s="191"/>
      <c r="GA18" s="191"/>
      <c r="GB18" s="191"/>
      <c r="GC18" s="191"/>
      <c r="GD18" s="191"/>
      <c r="GE18" s="191"/>
      <c r="GF18" s="191"/>
      <c r="GG18" s="191"/>
      <c r="GH18" s="191"/>
      <c r="GI18" s="191"/>
      <c r="GJ18" s="191"/>
      <c r="GK18" s="191"/>
      <c r="GL18" s="191"/>
      <c r="GM18" s="191"/>
      <c r="GN18" s="191"/>
      <c r="GO18" s="191"/>
      <c r="GP18" s="191"/>
      <c r="GQ18" s="191"/>
      <c r="GR18" s="191"/>
      <c r="GS18" s="191"/>
      <c r="GT18" s="191"/>
      <c r="GU18" s="191"/>
      <c r="GV18" s="191"/>
      <c r="GW18" s="191"/>
      <c r="GX18" s="191"/>
      <c r="GY18" s="191"/>
      <c r="GZ18" s="191"/>
      <c r="HA18" s="191"/>
      <c r="HB18" s="191"/>
      <c r="HC18" s="191"/>
      <c r="HD18" s="191"/>
      <c r="HE18" s="191"/>
      <c r="HF18" s="191"/>
      <c r="HG18" s="191"/>
      <c r="HH18" s="191"/>
      <c r="HI18" s="191"/>
      <c r="HJ18" s="191"/>
      <c r="HK18" s="191"/>
      <c r="HL18" s="191"/>
      <c r="HM18" s="191"/>
      <c r="HN18" s="191"/>
      <c r="HO18" s="191"/>
      <c r="HP18" s="191"/>
      <c r="HQ18" s="191"/>
      <c r="HR18" s="191"/>
      <c r="HS18" s="191"/>
      <c r="HT18" s="191"/>
      <c r="HU18" s="191"/>
      <c r="HV18" s="191"/>
      <c r="HW18" s="191"/>
      <c r="HX18" s="191"/>
      <c r="HY18" s="191"/>
      <c r="HZ18" s="191"/>
      <c r="IA18" s="191"/>
      <c r="IB18" s="192"/>
      <c r="IC18" s="192"/>
      <c r="ID18" s="192"/>
      <c r="IE18" s="192"/>
      <c r="IF18" s="192"/>
      <c r="IG18" s="192"/>
      <c r="IH18" s="192"/>
      <c r="II18" s="192"/>
      <c r="IJ18" s="192"/>
      <c r="IK18" s="192"/>
      <c r="IL18" s="192"/>
      <c r="IM18" s="192"/>
      <c r="IN18" s="192"/>
      <c r="IO18" s="192"/>
      <c r="IP18" s="192"/>
      <c r="IQ18" s="192"/>
      <c r="IR18" s="192"/>
      <c r="IS18" s="192"/>
      <c r="IT18" s="192"/>
    </row>
    <row r="19" spans="1:254" ht="15">
      <c r="A19" s="199" t="s">
        <v>144</v>
      </c>
      <c r="B19" s="229">
        <f t="shared" ref="B19:AH19" si="2">SUM(B7:B18)</f>
        <v>261.83689444444445</v>
      </c>
      <c r="C19" s="172">
        <f t="shared" si="2"/>
        <v>0.22666666666666699</v>
      </c>
      <c r="D19" s="172">
        <f t="shared" si="2"/>
        <v>10.16667</v>
      </c>
      <c r="E19" s="172">
        <f t="shared" si="2"/>
        <v>5.2888900000000003</v>
      </c>
      <c r="F19" s="172">
        <f t="shared" si="2"/>
        <v>18.122</v>
      </c>
      <c r="G19" s="172">
        <f t="shared" si="2"/>
        <v>0.11778</v>
      </c>
      <c r="H19" s="172">
        <f t="shared" si="2"/>
        <v>0.28110000000000002</v>
      </c>
      <c r="I19" s="172">
        <f t="shared" si="2"/>
        <v>0.23554999999999998</v>
      </c>
      <c r="J19" s="172">
        <f t="shared" si="2"/>
        <v>0.15556</v>
      </c>
      <c r="K19" s="172">
        <f t="shared" si="2"/>
        <v>0.60666222222222199</v>
      </c>
      <c r="L19" s="172">
        <f t="shared" si="2"/>
        <v>0.42777444444444401</v>
      </c>
      <c r="M19" s="172">
        <f t="shared" si="2"/>
        <v>0</v>
      </c>
      <c r="N19" s="172">
        <f t="shared" si="2"/>
        <v>0.24332999999999999</v>
      </c>
      <c r="O19" s="172">
        <f t="shared" si="2"/>
        <v>1.4888922222222221</v>
      </c>
      <c r="P19" s="172">
        <f t="shared" si="2"/>
        <v>0.31444</v>
      </c>
      <c r="Q19" s="172">
        <f t="shared" si="2"/>
        <v>0.1111</v>
      </c>
      <c r="R19" s="172">
        <f t="shared" si="2"/>
        <v>0.48888999999999999</v>
      </c>
      <c r="S19" s="172">
        <f t="shared" si="2"/>
        <v>0</v>
      </c>
      <c r="T19" s="172">
        <f t="shared" si="2"/>
        <v>11.59756</v>
      </c>
      <c r="U19" s="172">
        <f>SUM(U7:U18)</f>
        <v>5.0233299999999996</v>
      </c>
      <c r="V19" s="172">
        <f t="shared" si="2"/>
        <v>3.7869999999999999</v>
      </c>
      <c r="W19" s="172">
        <f t="shared" si="2"/>
        <v>23.152200000000001</v>
      </c>
      <c r="X19" s="172">
        <f t="shared" si="2"/>
        <v>13.87222</v>
      </c>
      <c r="Y19" s="172">
        <f t="shared" si="2"/>
        <v>30.287744444444439</v>
      </c>
      <c r="Z19" s="172">
        <f t="shared" si="2"/>
        <v>4.2555555555555555</v>
      </c>
      <c r="AA19" s="172">
        <f t="shared" si="2"/>
        <v>33.872711111111116</v>
      </c>
      <c r="AB19" s="172">
        <f t="shared" si="2"/>
        <v>13.466674444444443</v>
      </c>
      <c r="AC19" s="172">
        <f t="shared" si="2"/>
        <v>4.6833211111111108</v>
      </c>
      <c r="AD19" s="172">
        <f t="shared" si="2"/>
        <v>29.082222222222221</v>
      </c>
      <c r="AE19" s="172">
        <f t="shared" si="2"/>
        <v>27.222200000000001</v>
      </c>
      <c r="AF19" s="172">
        <f t="shared" si="2"/>
        <v>8.8188499999999994</v>
      </c>
      <c r="AG19" s="172">
        <f t="shared" si="2"/>
        <v>14.44</v>
      </c>
      <c r="AH19" s="672">
        <f t="shared" si="2"/>
        <v>261.83689444444445</v>
      </c>
      <c r="AI19" s="191"/>
      <c r="AJ19" s="191"/>
      <c r="AK19" s="191"/>
      <c r="AL19" s="191"/>
      <c r="AM19" s="191"/>
      <c r="AN19" s="191"/>
      <c r="AO19" s="191"/>
      <c r="AP19" s="191"/>
      <c r="AQ19" s="191"/>
      <c r="AR19" s="191"/>
      <c r="AS19" s="191"/>
      <c r="AT19" s="191"/>
      <c r="AU19" s="191"/>
      <c r="AV19" s="191"/>
      <c r="AW19" s="191"/>
      <c r="AX19" s="191"/>
      <c r="AY19" s="191"/>
      <c r="AZ19" s="191"/>
      <c r="BA19" s="191"/>
      <c r="BB19" s="191"/>
      <c r="BC19" s="191"/>
      <c r="BD19" s="191"/>
      <c r="BE19" s="191"/>
      <c r="BF19" s="191"/>
      <c r="BG19" s="191"/>
      <c r="BH19" s="191"/>
      <c r="BI19" s="191"/>
      <c r="BJ19" s="191"/>
      <c r="BK19" s="191"/>
      <c r="BL19" s="191"/>
      <c r="BM19" s="191"/>
      <c r="BN19" s="191"/>
      <c r="BO19" s="191"/>
      <c r="BP19" s="191"/>
      <c r="BQ19" s="191"/>
      <c r="BR19" s="191"/>
      <c r="BS19" s="191"/>
      <c r="BT19" s="191"/>
      <c r="BU19" s="191"/>
      <c r="BV19" s="191"/>
      <c r="BW19" s="191"/>
      <c r="BX19" s="191"/>
      <c r="BY19" s="191"/>
      <c r="BZ19" s="191"/>
      <c r="CA19" s="191"/>
      <c r="CB19" s="191"/>
      <c r="CC19" s="191"/>
      <c r="CD19" s="191"/>
      <c r="CE19" s="191"/>
      <c r="CF19" s="191"/>
      <c r="CG19" s="191"/>
      <c r="CH19" s="191"/>
      <c r="CI19" s="191"/>
      <c r="CJ19" s="191"/>
      <c r="CK19" s="191"/>
      <c r="CL19" s="191"/>
      <c r="CM19" s="191"/>
      <c r="CN19" s="191"/>
      <c r="CO19" s="191"/>
      <c r="CP19" s="191"/>
      <c r="CQ19" s="191"/>
      <c r="CR19" s="191"/>
      <c r="CS19" s="191"/>
      <c r="CT19" s="191"/>
      <c r="CU19" s="191"/>
      <c r="CV19" s="191"/>
      <c r="CW19" s="191"/>
      <c r="CX19" s="191"/>
      <c r="CY19" s="191"/>
      <c r="CZ19" s="191"/>
      <c r="DA19" s="191"/>
      <c r="DB19" s="191"/>
      <c r="DC19" s="191"/>
      <c r="DD19" s="191"/>
      <c r="DE19" s="191"/>
      <c r="DF19" s="191"/>
      <c r="DG19" s="191"/>
      <c r="DH19" s="191"/>
      <c r="DI19" s="191"/>
      <c r="DJ19" s="191"/>
      <c r="DK19" s="191"/>
      <c r="DL19" s="191"/>
      <c r="DM19" s="191"/>
      <c r="DN19" s="191"/>
      <c r="DO19" s="191"/>
      <c r="DP19" s="191"/>
      <c r="DQ19" s="191"/>
      <c r="DR19" s="191"/>
      <c r="DS19" s="191"/>
      <c r="DT19" s="191"/>
      <c r="DU19" s="191"/>
      <c r="DV19" s="191"/>
      <c r="DW19" s="191"/>
      <c r="DX19" s="191"/>
      <c r="DY19" s="191"/>
      <c r="DZ19" s="191"/>
      <c r="EA19" s="191"/>
      <c r="EB19" s="191"/>
      <c r="EC19" s="191"/>
      <c r="ED19" s="191"/>
      <c r="EE19" s="191"/>
      <c r="EF19" s="191"/>
      <c r="EG19" s="191"/>
      <c r="EH19" s="191"/>
      <c r="EI19" s="191"/>
      <c r="EJ19" s="191"/>
      <c r="EK19" s="191"/>
      <c r="EL19" s="191"/>
      <c r="EM19" s="191"/>
      <c r="EN19" s="191"/>
      <c r="EO19" s="191"/>
      <c r="EP19" s="191"/>
      <c r="EQ19" s="191"/>
      <c r="ER19" s="191"/>
      <c r="ES19" s="191"/>
      <c r="ET19" s="191"/>
      <c r="EU19" s="191"/>
      <c r="EV19" s="191"/>
      <c r="EW19" s="191"/>
      <c r="EX19" s="191"/>
      <c r="EY19" s="191"/>
      <c r="EZ19" s="191"/>
      <c r="FA19" s="191"/>
      <c r="FB19" s="191"/>
      <c r="FC19" s="191"/>
      <c r="FD19" s="191"/>
      <c r="FE19" s="191"/>
      <c r="FF19" s="191"/>
      <c r="FG19" s="191"/>
      <c r="FH19" s="191"/>
      <c r="FI19" s="191"/>
      <c r="FJ19" s="191"/>
      <c r="FK19" s="191"/>
      <c r="FL19" s="191"/>
      <c r="FM19" s="191"/>
      <c r="FN19" s="191"/>
      <c r="FO19" s="191"/>
      <c r="FP19" s="191"/>
      <c r="FQ19" s="191"/>
      <c r="FR19" s="191"/>
      <c r="FS19" s="191"/>
      <c r="FT19" s="191"/>
      <c r="FU19" s="191"/>
      <c r="FV19" s="191"/>
      <c r="FW19" s="191"/>
      <c r="FX19" s="191"/>
      <c r="FY19" s="191"/>
      <c r="FZ19" s="191"/>
      <c r="GA19" s="191"/>
      <c r="GB19" s="191"/>
      <c r="GC19" s="191"/>
      <c r="GD19" s="191"/>
      <c r="GE19" s="191"/>
      <c r="GF19" s="191"/>
      <c r="GG19" s="191"/>
      <c r="GH19" s="191"/>
      <c r="GI19" s="191"/>
      <c r="GJ19" s="191"/>
      <c r="GK19" s="191"/>
      <c r="GL19" s="191"/>
      <c r="GM19" s="191"/>
      <c r="GN19" s="191"/>
      <c r="GO19" s="191"/>
      <c r="GP19" s="191"/>
      <c r="GQ19" s="191"/>
      <c r="GR19" s="191"/>
      <c r="GS19" s="191"/>
      <c r="GT19" s="191"/>
      <c r="GU19" s="191"/>
      <c r="GV19" s="191"/>
      <c r="GW19" s="191"/>
      <c r="GX19" s="191"/>
      <c r="GY19" s="191"/>
      <c r="GZ19" s="191"/>
      <c r="HA19" s="191"/>
      <c r="HB19" s="191"/>
      <c r="HC19" s="191"/>
      <c r="HD19" s="191"/>
      <c r="HE19" s="191"/>
      <c r="HF19" s="191"/>
      <c r="HG19" s="191"/>
      <c r="HH19" s="191"/>
      <c r="HI19" s="191"/>
      <c r="HJ19" s="191"/>
      <c r="HK19" s="191"/>
      <c r="HL19" s="191"/>
      <c r="HM19" s="191"/>
      <c r="HN19" s="191"/>
      <c r="HO19" s="191"/>
      <c r="HP19" s="191"/>
      <c r="HQ19" s="191"/>
      <c r="HR19" s="191"/>
      <c r="HS19" s="191"/>
      <c r="HT19" s="191"/>
      <c r="HU19" s="191"/>
      <c r="HV19" s="191"/>
      <c r="HW19" s="191"/>
      <c r="HX19" s="191"/>
      <c r="HY19" s="191"/>
      <c r="HZ19" s="191"/>
      <c r="IA19" s="191"/>
      <c r="IB19" s="192"/>
      <c r="IC19" s="192"/>
      <c r="ID19" s="192"/>
      <c r="IE19" s="192"/>
      <c r="IF19" s="192"/>
      <c r="IG19" s="192"/>
      <c r="IH19" s="192"/>
      <c r="II19" s="192"/>
      <c r="IJ19" s="192"/>
      <c r="IK19" s="192"/>
      <c r="IL19" s="192"/>
      <c r="IM19" s="192"/>
      <c r="IN19" s="192"/>
      <c r="IO19" s="192"/>
      <c r="IP19" s="192"/>
      <c r="IQ19" s="192"/>
      <c r="IR19" s="192"/>
      <c r="IS19" s="192"/>
      <c r="IT19" s="192"/>
    </row>
    <row r="20" spans="1:254" ht="15">
      <c r="A20" s="1"/>
      <c r="B20" s="171"/>
      <c r="C20" s="170"/>
      <c r="D20" s="81"/>
      <c r="E20" s="81"/>
      <c r="F20" s="81"/>
      <c r="G20" s="81"/>
      <c r="H20" s="81"/>
      <c r="I20" s="81"/>
      <c r="J20" s="81"/>
      <c r="K20" s="81"/>
      <c r="L20" s="81"/>
      <c r="M20" s="81"/>
      <c r="N20" s="81"/>
      <c r="O20" s="81"/>
      <c r="P20" s="81"/>
      <c r="Q20" s="81"/>
      <c r="R20" s="81"/>
      <c r="S20" s="81"/>
      <c r="T20" s="81"/>
      <c r="U20" s="81"/>
      <c r="V20" s="81"/>
      <c r="W20" s="81"/>
      <c r="X20" s="81"/>
      <c r="Y20" s="81"/>
      <c r="Z20" s="81"/>
      <c r="AA20" s="81"/>
      <c r="AB20" s="81"/>
      <c r="AC20" s="81"/>
      <c r="AD20" s="81"/>
      <c r="AE20" s="81"/>
      <c r="AF20" s="81"/>
      <c r="AG20" s="81"/>
      <c r="AH20" s="170"/>
      <c r="AI20" s="191"/>
      <c r="AJ20" s="191"/>
      <c r="AK20" s="191"/>
      <c r="AL20" s="191"/>
      <c r="AM20" s="191"/>
      <c r="AN20" s="191"/>
      <c r="AO20" s="191"/>
      <c r="AP20" s="191"/>
      <c r="AQ20" s="191"/>
      <c r="AR20" s="191"/>
      <c r="AS20" s="191"/>
      <c r="AT20" s="191"/>
      <c r="AU20" s="191"/>
      <c r="AV20" s="191"/>
      <c r="AW20" s="191"/>
      <c r="AX20" s="191"/>
      <c r="AY20" s="191"/>
      <c r="AZ20" s="191"/>
      <c r="BA20" s="191"/>
      <c r="BB20" s="191"/>
      <c r="BC20" s="191"/>
      <c r="BD20" s="191"/>
      <c r="BE20" s="191"/>
      <c r="BF20" s="191"/>
      <c r="BG20" s="191"/>
      <c r="BH20" s="191"/>
      <c r="BI20" s="191"/>
      <c r="BJ20" s="191"/>
      <c r="BK20" s="191"/>
      <c r="BL20" s="191"/>
      <c r="BM20" s="191"/>
      <c r="BN20" s="191"/>
      <c r="BO20" s="191"/>
      <c r="BP20" s="191"/>
      <c r="BQ20" s="191"/>
      <c r="BR20" s="191"/>
      <c r="BS20" s="191"/>
      <c r="BT20" s="191"/>
      <c r="BU20" s="191"/>
      <c r="BV20" s="191"/>
      <c r="BW20" s="191"/>
      <c r="BX20" s="191"/>
      <c r="BY20" s="191"/>
      <c r="BZ20" s="191"/>
      <c r="CA20" s="191"/>
      <c r="CB20" s="191"/>
      <c r="CC20" s="191"/>
      <c r="CD20" s="191"/>
      <c r="CE20" s="191"/>
      <c r="CF20" s="191"/>
      <c r="CG20" s="191"/>
      <c r="CH20" s="191"/>
      <c r="CI20" s="191"/>
      <c r="CJ20" s="191"/>
      <c r="CK20" s="191"/>
      <c r="CL20" s="191"/>
      <c r="CM20" s="191"/>
      <c r="CN20" s="191"/>
      <c r="CO20" s="191"/>
      <c r="CP20" s="191"/>
      <c r="CQ20" s="191"/>
      <c r="CR20" s="191"/>
      <c r="CS20" s="191"/>
      <c r="CT20" s="191"/>
      <c r="CU20" s="191"/>
      <c r="CV20" s="191"/>
      <c r="CW20" s="191"/>
      <c r="CX20" s="191"/>
      <c r="CY20" s="191"/>
      <c r="CZ20" s="191"/>
      <c r="DA20" s="191"/>
      <c r="DB20" s="191"/>
      <c r="DC20" s="191"/>
      <c r="DD20" s="191"/>
      <c r="DE20" s="191"/>
      <c r="DF20" s="191"/>
      <c r="DG20" s="191"/>
      <c r="DH20" s="191"/>
      <c r="DI20" s="191"/>
      <c r="DJ20" s="191"/>
      <c r="DK20" s="191"/>
      <c r="DL20" s="191"/>
      <c r="DM20" s="191"/>
      <c r="DN20" s="191"/>
      <c r="DO20" s="191"/>
      <c r="DP20" s="191"/>
      <c r="DQ20" s="191"/>
      <c r="DR20" s="191"/>
      <c r="DS20" s="191"/>
      <c r="DT20" s="191"/>
      <c r="DU20" s="191"/>
      <c r="DV20" s="191"/>
      <c r="DW20" s="191"/>
      <c r="DX20" s="191"/>
      <c r="DY20" s="191"/>
      <c r="DZ20" s="191"/>
      <c r="EA20" s="191"/>
      <c r="EB20" s="191"/>
      <c r="EC20" s="191"/>
      <c r="ED20" s="191"/>
      <c r="EE20" s="191"/>
      <c r="EF20" s="191"/>
      <c r="EG20" s="191"/>
      <c r="EH20" s="191"/>
      <c r="EI20" s="191"/>
      <c r="EJ20" s="191"/>
      <c r="EK20" s="191"/>
      <c r="EL20" s="191"/>
      <c r="EM20" s="191"/>
      <c r="EN20" s="191"/>
      <c r="EO20" s="191"/>
      <c r="EP20" s="191"/>
      <c r="EQ20" s="191"/>
      <c r="ER20" s="191"/>
      <c r="ES20" s="191"/>
      <c r="ET20" s="191"/>
      <c r="EU20" s="191"/>
      <c r="EV20" s="191"/>
      <c r="EW20" s="191"/>
      <c r="EX20" s="191"/>
      <c r="EY20" s="191"/>
      <c r="EZ20" s="191"/>
      <c r="FA20" s="191"/>
      <c r="FB20" s="191"/>
      <c r="FC20" s="191"/>
      <c r="FD20" s="191"/>
      <c r="FE20" s="191"/>
      <c r="FF20" s="191"/>
      <c r="FG20" s="191"/>
      <c r="FH20" s="191"/>
      <c r="FI20" s="191"/>
      <c r="FJ20" s="191"/>
      <c r="FK20" s="191"/>
      <c r="FL20" s="191"/>
      <c r="FM20" s="191"/>
      <c r="FN20" s="191"/>
      <c r="FO20" s="191"/>
      <c r="FP20" s="191"/>
      <c r="FQ20" s="191"/>
      <c r="FR20" s="191"/>
      <c r="FS20" s="191"/>
      <c r="FT20" s="191"/>
      <c r="FU20" s="191"/>
      <c r="FV20" s="191"/>
      <c r="FW20" s="191"/>
      <c r="FX20" s="191"/>
      <c r="FY20" s="191"/>
      <c r="FZ20" s="191"/>
      <c r="GA20" s="191"/>
      <c r="GB20" s="191"/>
      <c r="GC20" s="191"/>
      <c r="GD20" s="191"/>
      <c r="GE20" s="191"/>
      <c r="GF20" s="191"/>
      <c r="GG20" s="191"/>
      <c r="GH20" s="191"/>
      <c r="GI20" s="191"/>
      <c r="GJ20" s="191"/>
      <c r="GK20" s="191"/>
      <c r="GL20" s="191"/>
      <c r="GM20" s="191"/>
      <c r="GN20" s="191"/>
      <c r="GO20" s="191"/>
      <c r="GP20" s="191"/>
      <c r="GQ20" s="191"/>
      <c r="GR20" s="191"/>
      <c r="GS20" s="191"/>
      <c r="GT20" s="191"/>
      <c r="GU20" s="191"/>
      <c r="GV20" s="191"/>
      <c r="GW20" s="191"/>
      <c r="GX20" s="191"/>
      <c r="GY20" s="191"/>
      <c r="GZ20" s="191"/>
      <c r="HA20" s="191"/>
      <c r="HB20" s="191"/>
      <c r="HC20" s="191"/>
      <c r="HD20" s="191"/>
      <c r="HE20" s="191"/>
      <c r="HF20" s="191"/>
      <c r="HG20" s="191"/>
      <c r="HH20" s="191"/>
      <c r="HI20" s="191"/>
      <c r="HJ20" s="191"/>
      <c r="HK20" s="191"/>
      <c r="HL20" s="191"/>
      <c r="HM20" s="191"/>
      <c r="HN20" s="191"/>
      <c r="HO20" s="191"/>
      <c r="HP20" s="191"/>
      <c r="HQ20" s="191"/>
      <c r="HR20" s="191"/>
      <c r="HS20" s="191"/>
      <c r="HT20" s="191"/>
      <c r="HU20" s="191"/>
      <c r="HV20" s="191"/>
      <c r="HW20" s="191"/>
      <c r="HX20" s="191"/>
      <c r="HY20" s="191"/>
      <c r="HZ20" s="191"/>
      <c r="IA20" s="191"/>
      <c r="IB20" s="192"/>
      <c r="IC20" s="192"/>
      <c r="ID20" s="192"/>
      <c r="IE20" s="192"/>
      <c r="IF20" s="192"/>
      <c r="IG20" s="192"/>
      <c r="IH20" s="192"/>
      <c r="II20" s="192"/>
      <c r="IJ20" s="192"/>
      <c r="IK20" s="192"/>
      <c r="IL20" s="192"/>
      <c r="IM20" s="192"/>
      <c r="IN20" s="192"/>
      <c r="IO20" s="192"/>
      <c r="IP20" s="192"/>
      <c r="IQ20" s="192"/>
      <c r="IR20" s="192"/>
      <c r="IS20" s="192"/>
      <c r="IT20" s="192"/>
    </row>
    <row r="21" spans="1:254" ht="15">
      <c r="A21" s="3854" t="s">
        <v>281</v>
      </c>
      <c r="B21" s="3855"/>
      <c r="C21" s="3856"/>
      <c r="D21" s="81"/>
      <c r="E21" s="81"/>
      <c r="F21" s="81"/>
      <c r="G21" s="81"/>
      <c r="H21" s="81"/>
      <c r="I21" s="81"/>
      <c r="J21" s="81"/>
      <c r="K21" s="81"/>
      <c r="L21" s="81"/>
      <c r="M21" s="81"/>
      <c r="N21" s="81"/>
      <c r="O21" s="81"/>
      <c r="P21" s="81"/>
      <c r="Q21" s="81"/>
      <c r="R21" s="81"/>
      <c r="S21" s="81"/>
      <c r="T21" s="81"/>
      <c r="U21" s="81"/>
      <c r="V21" s="81"/>
      <c r="W21" s="81"/>
      <c r="X21" s="81"/>
      <c r="Y21" s="81"/>
      <c r="Z21" s="81"/>
      <c r="AA21" s="81"/>
      <c r="AB21" s="81"/>
      <c r="AC21" s="81"/>
      <c r="AD21" s="81"/>
      <c r="AE21" s="81"/>
      <c r="AF21" s="81"/>
      <c r="AG21" s="81"/>
      <c r="AH21" s="170"/>
      <c r="AI21" s="191"/>
      <c r="AJ21" s="191"/>
      <c r="AK21" s="191"/>
      <c r="AL21" s="191"/>
      <c r="AM21" s="191"/>
      <c r="AN21" s="191"/>
      <c r="AO21" s="191"/>
      <c r="AP21" s="191"/>
      <c r="AQ21" s="191"/>
      <c r="AR21" s="191"/>
      <c r="AS21" s="191"/>
      <c r="AT21" s="191"/>
      <c r="AU21" s="191"/>
      <c r="AV21" s="191"/>
      <c r="AW21" s="191"/>
      <c r="AX21" s="191"/>
      <c r="AY21" s="191"/>
      <c r="AZ21" s="191"/>
      <c r="BA21" s="191"/>
      <c r="BB21" s="191"/>
      <c r="BC21" s="191"/>
      <c r="BD21" s="191"/>
      <c r="BE21" s="191"/>
      <c r="BF21" s="191"/>
      <c r="BG21" s="191"/>
      <c r="BH21" s="191"/>
      <c r="BI21" s="191"/>
      <c r="BJ21" s="191"/>
      <c r="BK21" s="191"/>
      <c r="BL21" s="191"/>
      <c r="BM21" s="191"/>
      <c r="BN21" s="191"/>
      <c r="BO21" s="191"/>
      <c r="BP21" s="191"/>
      <c r="BQ21" s="191"/>
      <c r="BR21" s="191"/>
      <c r="BS21" s="191"/>
      <c r="BT21" s="191"/>
      <c r="BU21" s="191"/>
      <c r="BV21" s="191"/>
      <c r="BW21" s="191"/>
      <c r="BX21" s="191"/>
      <c r="BY21" s="191"/>
      <c r="BZ21" s="191"/>
      <c r="CA21" s="191"/>
      <c r="CB21" s="191"/>
      <c r="CC21" s="191"/>
      <c r="CD21" s="191"/>
      <c r="CE21" s="191"/>
      <c r="CF21" s="191"/>
      <c r="CG21" s="191"/>
      <c r="CH21" s="191"/>
      <c r="CI21" s="191"/>
      <c r="CJ21" s="191"/>
      <c r="CK21" s="191"/>
      <c r="CL21" s="191"/>
      <c r="CM21" s="191"/>
      <c r="CN21" s="191"/>
      <c r="CO21" s="191"/>
      <c r="CP21" s="191"/>
      <c r="CQ21" s="191"/>
      <c r="CR21" s="191"/>
      <c r="CS21" s="191"/>
      <c r="CT21" s="191"/>
      <c r="CU21" s="191"/>
      <c r="CV21" s="191"/>
      <c r="CW21" s="191"/>
      <c r="CX21" s="191"/>
      <c r="CY21" s="191"/>
      <c r="CZ21" s="191"/>
      <c r="DA21" s="191"/>
      <c r="DB21" s="191"/>
      <c r="DC21" s="191"/>
      <c r="DD21" s="191"/>
      <c r="DE21" s="191"/>
      <c r="DF21" s="191"/>
      <c r="DG21" s="191"/>
      <c r="DH21" s="191"/>
      <c r="DI21" s="191"/>
      <c r="DJ21" s="191"/>
      <c r="DK21" s="191"/>
      <c r="DL21" s="191"/>
      <c r="DM21" s="191"/>
      <c r="DN21" s="191"/>
      <c r="DO21" s="191"/>
      <c r="DP21" s="191"/>
      <c r="DQ21" s="191"/>
      <c r="DR21" s="191"/>
      <c r="DS21" s="191"/>
      <c r="DT21" s="191"/>
      <c r="DU21" s="191"/>
      <c r="DV21" s="191"/>
      <c r="DW21" s="191"/>
      <c r="DX21" s="191"/>
      <c r="DY21" s="191"/>
      <c r="DZ21" s="191"/>
      <c r="EA21" s="191"/>
      <c r="EB21" s="191"/>
      <c r="EC21" s="191"/>
      <c r="ED21" s="191"/>
      <c r="EE21" s="191"/>
      <c r="EF21" s="191"/>
      <c r="EG21" s="191"/>
      <c r="EH21" s="191"/>
      <c r="EI21" s="191"/>
      <c r="EJ21" s="191"/>
      <c r="EK21" s="191"/>
      <c r="EL21" s="191"/>
      <c r="EM21" s="191"/>
      <c r="EN21" s="191"/>
      <c r="EO21" s="191"/>
      <c r="EP21" s="191"/>
      <c r="EQ21" s="191"/>
      <c r="ER21" s="191"/>
      <c r="ES21" s="191"/>
      <c r="ET21" s="191"/>
      <c r="EU21" s="191"/>
      <c r="EV21" s="191"/>
      <c r="EW21" s="191"/>
      <c r="EX21" s="191"/>
      <c r="EY21" s="191"/>
      <c r="EZ21" s="191"/>
      <c r="FA21" s="191"/>
      <c r="FB21" s="191"/>
      <c r="FC21" s="191"/>
      <c r="FD21" s="191"/>
      <c r="FE21" s="191"/>
      <c r="FF21" s="191"/>
      <c r="FG21" s="191"/>
      <c r="FH21" s="191"/>
      <c r="FI21" s="191"/>
      <c r="FJ21" s="191"/>
      <c r="FK21" s="191"/>
      <c r="FL21" s="191"/>
      <c r="FM21" s="191"/>
      <c r="FN21" s="191"/>
      <c r="FO21" s="191"/>
      <c r="FP21" s="191"/>
      <c r="FQ21" s="191"/>
      <c r="FR21" s="191"/>
      <c r="FS21" s="191"/>
      <c r="FT21" s="191"/>
      <c r="FU21" s="191"/>
      <c r="FV21" s="191"/>
      <c r="FW21" s="191"/>
      <c r="FX21" s="191"/>
      <c r="FY21" s="191"/>
      <c r="FZ21" s="191"/>
      <c r="GA21" s="191"/>
      <c r="GB21" s="191"/>
      <c r="GC21" s="191"/>
      <c r="GD21" s="191"/>
      <c r="GE21" s="191"/>
      <c r="GF21" s="191"/>
      <c r="GG21" s="191"/>
      <c r="GH21" s="191"/>
      <c r="GI21" s="191"/>
      <c r="GJ21" s="191"/>
      <c r="GK21" s="191"/>
      <c r="GL21" s="191"/>
      <c r="GM21" s="191"/>
      <c r="GN21" s="191"/>
      <c r="GO21" s="191"/>
      <c r="GP21" s="191"/>
      <c r="GQ21" s="191"/>
      <c r="GR21" s="191"/>
      <c r="GS21" s="191"/>
      <c r="GT21" s="191"/>
      <c r="GU21" s="191"/>
      <c r="GV21" s="191"/>
      <c r="GW21" s="191"/>
      <c r="GX21" s="191"/>
      <c r="GY21" s="191"/>
      <c r="GZ21" s="191"/>
      <c r="HA21" s="191"/>
      <c r="HB21" s="191"/>
      <c r="HC21" s="191"/>
      <c r="HD21" s="191"/>
      <c r="HE21" s="191"/>
      <c r="HF21" s="191"/>
      <c r="HG21" s="191"/>
      <c r="HH21" s="191"/>
      <c r="HI21" s="191"/>
      <c r="HJ21" s="191"/>
      <c r="HK21" s="191"/>
      <c r="HL21" s="191"/>
      <c r="HM21" s="191"/>
      <c r="HN21" s="191"/>
      <c r="HO21" s="191"/>
      <c r="HP21" s="191"/>
      <c r="HQ21" s="191"/>
      <c r="HR21" s="191"/>
      <c r="HS21" s="191"/>
      <c r="HT21" s="191"/>
      <c r="HU21" s="191"/>
      <c r="HV21" s="191"/>
      <c r="HW21" s="191"/>
      <c r="HX21" s="191"/>
      <c r="HY21" s="191"/>
      <c r="HZ21" s="191"/>
      <c r="IA21" s="191"/>
      <c r="IB21" s="192"/>
      <c r="IC21" s="192"/>
      <c r="ID21" s="192"/>
      <c r="IE21" s="192"/>
      <c r="IF21" s="192"/>
      <c r="IG21" s="192"/>
      <c r="IH21" s="192"/>
      <c r="II21" s="192"/>
      <c r="IJ21" s="192"/>
      <c r="IK21" s="192"/>
      <c r="IL21" s="192"/>
      <c r="IM21" s="192"/>
      <c r="IN21" s="192"/>
      <c r="IO21" s="192"/>
      <c r="IP21" s="192"/>
      <c r="IQ21" s="192"/>
      <c r="IR21" s="192"/>
      <c r="IS21" s="192"/>
      <c r="IT21" s="192"/>
    </row>
    <row r="22" spans="1:254" ht="15">
      <c r="A22" s="8" t="s">
        <v>142</v>
      </c>
      <c r="B22" s="70" t="s">
        <v>143</v>
      </c>
      <c r="C22" s="173">
        <v>1</v>
      </c>
      <c r="D22" s="82">
        <v>2</v>
      </c>
      <c r="E22" s="82">
        <v>3</v>
      </c>
      <c r="F22" s="82">
        <v>4</v>
      </c>
      <c r="G22" s="82">
        <v>5</v>
      </c>
      <c r="H22" s="82">
        <v>6</v>
      </c>
      <c r="I22" s="82">
        <v>7</v>
      </c>
      <c r="J22" s="82">
        <v>8</v>
      </c>
      <c r="K22" s="82">
        <v>9</v>
      </c>
      <c r="L22" s="82">
        <v>10</v>
      </c>
      <c r="M22" s="82">
        <v>11</v>
      </c>
      <c r="N22" s="82">
        <v>12</v>
      </c>
      <c r="O22" s="82">
        <v>13</v>
      </c>
      <c r="P22" s="82">
        <v>14</v>
      </c>
      <c r="Q22" s="82">
        <v>15</v>
      </c>
      <c r="R22" s="82">
        <v>16</v>
      </c>
      <c r="S22" s="82">
        <v>17</v>
      </c>
      <c r="T22" s="82">
        <v>18</v>
      </c>
      <c r="U22" s="82">
        <v>19</v>
      </c>
      <c r="V22" s="82">
        <v>20</v>
      </c>
      <c r="W22" s="82">
        <v>21</v>
      </c>
      <c r="X22" s="82">
        <v>22</v>
      </c>
      <c r="Y22" s="82">
        <v>23</v>
      </c>
      <c r="Z22" s="82">
        <v>24</v>
      </c>
      <c r="AA22" s="82">
        <v>25</v>
      </c>
      <c r="AB22" s="82">
        <v>26</v>
      </c>
      <c r="AC22" s="82">
        <v>27</v>
      </c>
      <c r="AD22" s="82">
        <v>28</v>
      </c>
      <c r="AE22" s="82">
        <v>29</v>
      </c>
      <c r="AF22" s="82">
        <v>30</v>
      </c>
      <c r="AG22" s="82">
        <v>31</v>
      </c>
      <c r="AH22" s="172" t="s">
        <v>144</v>
      </c>
      <c r="AI22" s="191"/>
      <c r="AJ22" s="191"/>
      <c r="AK22" s="191"/>
      <c r="AL22" s="191"/>
      <c r="AM22" s="191"/>
      <c r="AN22" s="191"/>
      <c r="AO22" s="191"/>
      <c r="AP22" s="191"/>
      <c r="AQ22" s="191"/>
      <c r="AR22" s="191"/>
      <c r="AS22" s="191"/>
      <c r="AT22" s="191"/>
      <c r="AU22" s="191"/>
      <c r="AV22" s="191"/>
      <c r="AW22" s="191"/>
      <c r="AX22" s="191"/>
      <c r="AY22" s="191"/>
      <c r="AZ22" s="191"/>
      <c r="BA22" s="191"/>
      <c r="BB22" s="191"/>
      <c r="BC22" s="191"/>
      <c r="BD22" s="191"/>
      <c r="BE22" s="191"/>
      <c r="BF22" s="191"/>
      <c r="BG22" s="191"/>
      <c r="BH22" s="191"/>
      <c r="BI22" s="191"/>
      <c r="BJ22" s="191"/>
      <c r="BK22" s="191"/>
      <c r="BL22" s="191"/>
      <c r="BM22" s="191"/>
      <c r="BN22" s="191"/>
      <c r="BO22" s="191"/>
      <c r="BP22" s="191"/>
      <c r="BQ22" s="191"/>
      <c r="BR22" s="191"/>
      <c r="BS22" s="191"/>
      <c r="BT22" s="191"/>
      <c r="BU22" s="191"/>
      <c r="BV22" s="191"/>
      <c r="BW22" s="191"/>
      <c r="BX22" s="191"/>
      <c r="BY22" s="191"/>
      <c r="BZ22" s="191"/>
      <c r="CA22" s="191"/>
      <c r="CB22" s="191"/>
      <c r="CC22" s="191"/>
      <c r="CD22" s="191"/>
      <c r="CE22" s="191"/>
      <c r="CF22" s="191"/>
      <c r="CG22" s="191"/>
      <c r="CH22" s="191"/>
      <c r="CI22" s="191"/>
      <c r="CJ22" s="191"/>
      <c r="CK22" s="191"/>
      <c r="CL22" s="191"/>
      <c r="CM22" s="191"/>
      <c r="CN22" s="191"/>
      <c r="CO22" s="191"/>
      <c r="CP22" s="191"/>
      <c r="CQ22" s="191"/>
      <c r="CR22" s="191"/>
      <c r="CS22" s="191"/>
      <c r="CT22" s="191"/>
      <c r="CU22" s="191"/>
      <c r="CV22" s="191"/>
      <c r="CW22" s="191"/>
      <c r="CX22" s="191"/>
      <c r="CY22" s="191"/>
      <c r="CZ22" s="191"/>
      <c r="DA22" s="191"/>
      <c r="DB22" s="191"/>
      <c r="DC22" s="191"/>
      <c r="DD22" s="191"/>
      <c r="DE22" s="191"/>
      <c r="DF22" s="191"/>
      <c r="DG22" s="191"/>
      <c r="DH22" s="191"/>
      <c r="DI22" s="191"/>
      <c r="DJ22" s="191"/>
      <c r="DK22" s="191"/>
      <c r="DL22" s="191"/>
      <c r="DM22" s="191"/>
      <c r="DN22" s="191"/>
      <c r="DO22" s="191"/>
      <c r="DP22" s="191"/>
      <c r="DQ22" s="191"/>
      <c r="DR22" s="191"/>
      <c r="DS22" s="191"/>
      <c r="DT22" s="191"/>
      <c r="DU22" s="191"/>
      <c r="DV22" s="191"/>
      <c r="DW22" s="191"/>
      <c r="DX22" s="191"/>
      <c r="DY22" s="191"/>
      <c r="DZ22" s="191"/>
      <c r="EA22" s="191"/>
      <c r="EB22" s="191"/>
      <c r="EC22" s="191"/>
      <c r="ED22" s="191"/>
      <c r="EE22" s="191"/>
      <c r="EF22" s="191"/>
      <c r="EG22" s="191"/>
      <c r="EH22" s="191"/>
      <c r="EI22" s="191"/>
      <c r="EJ22" s="191"/>
      <c r="EK22" s="191"/>
      <c r="EL22" s="191"/>
      <c r="EM22" s="191"/>
      <c r="EN22" s="191"/>
      <c r="EO22" s="191"/>
      <c r="EP22" s="191"/>
      <c r="EQ22" s="191"/>
      <c r="ER22" s="191"/>
      <c r="ES22" s="191"/>
      <c r="ET22" s="191"/>
      <c r="EU22" s="191"/>
      <c r="EV22" s="191"/>
      <c r="EW22" s="191"/>
      <c r="EX22" s="191"/>
      <c r="EY22" s="191"/>
      <c r="EZ22" s="191"/>
      <c r="FA22" s="191"/>
      <c r="FB22" s="191"/>
      <c r="FC22" s="191"/>
      <c r="FD22" s="191"/>
      <c r="FE22" s="191"/>
      <c r="FF22" s="191"/>
      <c r="FG22" s="191"/>
      <c r="FH22" s="191"/>
      <c r="FI22" s="191"/>
      <c r="FJ22" s="191"/>
      <c r="FK22" s="191"/>
      <c r="FL22" s="191"/>
      <c r="FM22" s="191"/>
      <c r="FN22" s="191"/>
      <c r="FO22" s="191"/>
      <c r="FP22" s="191"/>
      <c r="FQ22" s="191"/>
      <c r="FR22" s="191"/>
      <c r="FS22" s="191"/>
      <c r="FT22" s="191"/>
      <c r="FU22" s="191"/>
      <c r="FV22" s="191"/>
      <c r="FW22" s="191"/>
      <c r="FX22" s="191"/>
      <c r="FY22" s="191"/>
      <c r="FZ22" s="191"/>
      <c r="GA22" s="191"/>
      <c r="GB22" s="191"/>
      <c r="GC22" s="191"/>
      <c r="GD22" s="191"/>
      <c r="GE22" s="191"/>
      <c r="GF22" s="191"/>
      <c r="GG22" s="191"/>
      <c r="GH22" s="191"/>
      <c r="GI22" s="191"/>
      <c r="GJ22" s="191"/>
      <c r="GK22" s="191"/>
      <c r="GL22" s="191"/>
      <c r="GM22" s="191"/>
      <c r="GN22" s="191"/>
      <c r="GO22" s="191"/>
      <c r="GP22" s="191"/>
      <c r="GQ22" s="191"/>
      <c r="GR22" s="191"/>
      <c r="GS22" s="191"/>
      <c r="GT22" s="191"/>
      <c r="GU22" s="191"/>
      <c r="GV22" s="191"/>
      <c r="GW22" s="191"/>
      <c r="GX22" s="191"/>
      <c r="GY22" s="191"/>
      <c r="GZ22" s="191"/>
      <c r="HA22" s="191"/>
      <c r="HB22" s="191"/>
      <c r="HC22" s="191"/>
      <c r="HD22" s="191"/>
      <c r="HE22" s="191"/>
      <c r="HF22" s="191"/>
      <c r="HG22" s="191"/>
      <c r="HH22" s="191"/>
      <c r="HI22" s="191"/>
      <c r="HJ22" s="191"/>
      <c r="HK22" s="191"/>
      <c r="HL22" s="191"/>
      <c r="HM22" s="191"/>
      <c r="HN22" s="191"/>
      <c r="HO22" s="191"/>
      <c r="HP22" s="191"/>
      <c r="HQ22" s="191"/>
      <c r="HR22" s="191"/>
      <c r="HS22" s="191"/>
      <c r="HT22" s="191"/>
      <c r="HU22" s="191"/>
      <c r="HV22" s="191"/>
      <c r="HW22" s="191"/>
      <c r="HX22" s="191"/>
      <c r="HY22" s="191"/>
      <c r="HZ22" s="191"/>
      <c r="IA22" s="191"/>
      <c r="IB22" s="192"/>
      <c r="IC22" s="192"/>
      <c r="ID22" s="192"/>
      <c r="IE22" s="192"/>
      <c r="IF22" s="192"/>
      <c r="IG22" s="192"/>
      <c r="IH22" s="192"/>
      <c r="II22" s="192"/>
      <c r="IJ22" s="192"/>
      <c r="IK22" s="192"/>
      <c r="IL22" s="192"/>
      <c r="IM22" s="192"/>
      <c r="IN22" s="192"/>
      <c r="IO22" s="192"/>
      <c r="IP22" s="192"/>
      <c r="IQ22" s="192"/>
      <c r="IR22" s="192"/>
      <c r="IS22" s="192"/>
      <c r="IT22" s="192"/>
    </row>
    <row r="23" spans="1:254" ht="15">
      <c r="A23" s="363" t="s">
        <v>145</v>
      </c>
      <c r="B23" s="83">
        <f>+AH23</f>
        <v>5.6639999999999997</v>
      </c>
      <c r="C23" s="70"/>
      <c r="D23" s="70"/>
      <c r="E23" s="70"/>
      <c r="F23" s="70"/>
      <c r="G23" s="70"/>
      <c r="H23" s="70"/>
      <c r="I23" s="70"/>
      <c r="J23" s="70"/>
      <c r="K23" s="70"/>
      <c r="L23" s="70"/>
      <c r="M23" s="70"/>
      <c r="N23" s="70"/>
      <c r="O23" s="70"/>
      <c r="P23" s="70">
        <v>0.59199999999999997</v>
      </c>
      <c r="Q23" s="70">
        <v>0.69099999999999995</v>
      </c>
      <c r="R23" s="70">
        <v>0.83399999999999996</v>
      </c>
      <c r="S23" s="70">
        <v>0.32800000000000001</v>
      </c>
      <c r="T23" s="70">
        <v>0.63800000000000001</v>
      </c>
      <c r="U23" s="70">
        <v>0.109</v>
      </c>
      <c r="V23" s="70">
        <v>0.66900000000000004</v>
      </c>
      <c r="W23" s="70">
        <v>0.15</v>
      </c>
      <c r="X23" s="70">
        <v>0.45400000000000001</v>
      </c>
      <c r="Y23" s="70"/>
      <c r="Z23" s="70"/>
      <c r="AA23" s="70">
        <v>0.748</v>
      </c>
      <c r="AB23" s="70">
        <v>0.29199999999999998</v>
      </c>
      <c r="AC23" s="70"/>
      <c r="AD23" s="70"/>
      <c r="AE23" s="70">
        <v>0.159</v>
      </c>
      <c r="AF23" s="70"/>
      <c r="AG23" s="70"/>
      <c r="AH23" s="172">
        <f>SUM(C23:AG23)</f>
        <v>5.6639999999999997</v>
      </c>
      <c r="AI23" s="191"/>
      <c r="AJ23" s="191"/>
      <c r="AK23" s="191"/>
      <c r="AL23" s="191"/>
      <c r="AM23" s="191"/>
      <c r="AN23" s="191"/>
      <c r="AO23" s="191"/>
      <c r="AP23" s="191"/>
      <c r="AQ23" s="191"/>
      <c r="AR23" s="191"/>
      <c r="AS23" s="191"/>
      <c r="AT23" s="191"/>
      <c r="AU23" s="191"/>
      <c r="AV23" s="191"/>
      <c r="AW23" s="191"/>
      <c r="AX23" s="191"/>
      <c r="AY23" s="191"/>
      <c r="AZ23" s="191"/>
      <c r="BA23" s="191"/>
      <c r="BB23" s="191"/>
      <c r="BC23" s="191"/>
      <c r="BD23" s="191"/>
      <c r="BE23" s="191"/>
      <c r="BF23" s="191"/>
      <c r="BG23" s="191"/>
      <c r="BH23" s="191"/>
      <c r="BI23" s="191"/>
      <c r="BJ23" s="191"/>
      <c r="BK23" s="191"/>
      <c r="BL23" s="191"/>
      <c r="BM23" s="191"/>
      <c r="BN23" s="191"/>
      <c r="BO23" s="191"/>
      <c r="BP23" s="191"/>
      <c r="BQ23" s="191"/>
      <c r="BR23" s="191"/>
      <c r="BS23" s="191"/>
      <c r="BT23" s="191"/>
      <c r="BU23" s="191"/>
      <c r="BV23" s="191"/>
      <c r="BW23" s="191"/>
      <c r="BX23" s="191"/>
      <c r="BY23" s="191"/>
      <c r="BZ23" s="191"/>
      <c r="CA23" s="191"/>
      <c r="CB23" s="191"/>
      <c r="CC23" s="191"/>
      <c r="CD23" s="191"/>
      <c r="CE23" s="191"/>
      <c r="CF23" s="191"/>
      <c r="CG23" s="191"/>
      <c r="CH23" s="191"/>
      <c r="CI23" s="191"/>
      <c r="CJ23" s="191"/>
      <c r="CK23" s="191"/>
      <c r="CL23" s="191"/>
      <c r="CM23" s="191"/>
      <c r="CN23" s="191"/>
      <c r="CO23" s="191"/>
      <c r="CP23" s="191"/>
      <c r="CQ23" s="191"/>
      <c r="CR23" s="191"/>
      <c r="CS23" s="191"/>
      <c r="CT23" s="191"/>
      <c r="CU23" s="191"/>
      <c r="CV23" s="191"/>
      <c r="CW23" s="191"/>
      <c r="CX23" s="191"/>
      <c r="CY23" s="191"/>
      <c r="CZ23" s="191"/>
      <c r="DA23" s="191"/>
      <c r="DB23" s="191"/>
      <c r="DC23" s="191"/>
      <c r="DD23" s="191"/>
      <c r="DE23" s="191"/>
      <c r="DF23" s="191"/>
      <c r="DG23" s="191"/>
      <c r="DH23" s="191"/>
      <c r="DI23" s="191"/>
      <c r="DJ23" s="191"/>
      <c r="DK23" s="191"/>
      <c r="DL23" s="191"/>
      <c r="DM23" s="191"/>
      <c r="DN23" s="191"/>
      <c r="DO23" s="191"/>
      <c r="DP23" s="191"/>
      <c r="DQ23" s="191"/>
      <c r="DR23" s="191"/>
      <c r="DS23" s="191"/>
      <c r="DT23" s="191"/>
      <c r="DU23" s="191"/>
      <c r="DV23" s="191"/>
      <c r="DW23" s="191"/>
      <c r="DX23" s="191"/>
      <c r="DY23" s="191"/>
      <c r="DZ23" s="191"/>
      <c r="EA23" s="191"/>
      <c r="EB23" s="191"/>
      <c r="EC23" s="191"/>
      <c r="ED23" s="191"/>
      <c r="EE23" s="191"/>
      <c r="EF23" s="191"/>
      <c r="EG23" s="191"/>
      <c r="EH23" s="191"/>
      <c r="EI23" s="191"/>
      <c r="EJ23" s="191"/>
      <c r="EK23" s="191"/>
      <c r="EL23" s="191"/>
      <c r="EM23" s="191"/>
      <c r="EN23" s="191"/>
      <c r="EO23" s="191"/>
      <c r="EP23" s="191"/>
      <c r="EQ23" s="191"/>
      <c r="ER23" s="191"/>
      <c r="ES23" s="191"/>
      <c r="ET23" s="191"/>
      <c r="EU23" s="191"/>
      <c r="EV23" s="191"/>
      <c r="EW23" s="191"/>
      <c r="EX23" s="191"/>
      <c r="EY23" s="191"/>
      <c r="EZ23" s="191"/>
      <c r="FA23" s="191"/>
      <c r="FB23" s="191"/>
      <c r="FC23" s="191"/>
      <c r="FD23" s="191"/>
      <c r="FE23" s="191"/>
      <c r="FF23" s="191"/>
      <c r="FG23" s="191"/>
      <c r="FH23" s="191"/>
      <c r="FI23" s="191"/>
      <c r="FJ23" s="191"/>
      <c r="FK23" s="191"/>
      <c r="FL23" s="191"/>
      <c r="FM23" s="191"/>
      <c r="FN23" s="191"/>
      <c r="FO23" s="191"/>
      <c r="FP23" s="191"/>
      <c r="FQ23" s="191"/>
      <c r="FR23" s="191"/>
      <c r="FS23" s="191"/>
      <c r="FT23" s="191"/>
      <c r="FU23" s="191"/>
      <c r="FV23" s="191"/>
      <c r="FW23" s="191"/>
      <c r="FX23" s="191"/>
      <c r="FY23" s="191"/>
      <c r="FZ23" s="191"/>
      <c r="GA23" s="191"/>
      <c r="GB23" s="191"/>
      <c r="GC23" s="191"/>
      <c r="GD23" s="191"/>
      <c r="GE23" s="191"/>
      <c r="GF23" s="191"/>
      <c r="GG23" s="191"/>
      <c r="GH23" s="191"/>
      <c r="GI23" s="191"/>
      <c r="GJ23" s="191"/>
      <c r="GK23" s="191"/>
      <c r="GL23" s="191"/>
      <c r="GM23" s="191"/>
      <c r="GN23" s="191"/>
      <c r="GO23" s="191"/>
      <c r="GP23" s="191"/>
      <c r="GQ23" s="191"/>
      <c r="GR23" s="191"/>
      <c r="GS23" s="191"/>
      <c r="GT23" s="191"/>
      <c r="GU23" s="191"/>
      <c r="GV23" s="191"/>
      <c r="GW23" s="191"/>
      <c r="GX23" s="191"/>
      <c r="GY23" s="191"/>
      <c r="GZ23" s="191"/>
      <c r="HA23" s="191"/>
      <c r="HB23" s="191"/>
      <c r="HC23" s="191"/>
      <c r="HD23" s="191"/>
      <c r="HE23" s="191"/>
      <c r="HF23" s="191"/>
      <c r="HG23" s="191"/>
      <c r="HH23" s="191"/>
      <c r="HI23" s="191"/>
      <c r="HJ23" s="191"/>
      <c r="HK23" s="191"/>
      <c r="HL23" s="191"/>
      <c r="HM23" s="191"/>
      <c r="HN23" s="191"/>
      <c r="HO23" s="191"/>
      <c r="HP23" s="191"/>
      <c r="HQ23" s="191"/>
      <c r="HR23" s="191"/>
      <c r="HS23" s="191"/>
      <c r="HT23" s="191"/>
      <c r="HU23" s="191"/>
      <c r="HV23" s="191"/>
      <c r="HW23" s="191"/>
      <c r="HX23" s="191"/>
      <c r="HY23" s="191"/>
      <c r="HZ23" s="191"/>
      <c r="IA23" s="191"/>
      <c r="IB23" s="192"/>
      <c r="IC23" s="192"/>
      <c r="ID23" s="192"/>
      <c r="IE23" s="192"/>
      <c r="IF23" s="192"/>
      <c r="IG23" s="192"/>
      <c r="IH23" s="192"/>
      <c r="II23" s="192"/>
      <c r="IJ23" s="192"/>
      <c r="IK23" s="192"/>
      <c r="IL23" s="192"/>
      <c r="IM23" s="192"/>
      <c r="IN23" s="192"/>
      <c r="IO23" s="192"/>
      <c r="IP23" s="192"/>
      <c r="IQ23" s="192"/>
      <c r="IR23" s="192"/>
      <c r="IS23" s="192"/>
      <c r="IT23" s="192"/>
    </row>
    <row r="24" spans="1:254" ht="15">
      <c r="A24" s="363" t="s">
        <v>146</v>
      </c>
      <c r="B24" s="83">
        <f>+AH24</f>
        <v>12.815000000000001</v>
      </c>
      <c r="C24" s="70">
        <v>0.11700000000000001</v>
      </c>
      <c r="D24" s="70">
        <v>1.3410000000000002</v>
      </c>
      <c r="E24" s="70"/>
      <c r="F24" s="70">
        <v>0.29799999999999999</v>
      </c>
      <c r="G24" s="70">
        <v>1.08</v>
      </c>
      <c r="H24" s="70"/>
      <c r="I24" s="70"/>
      <c r="J24" s="70">
        <v>0.65</v>
      </c>
      <c r="K24" s="70">
        <v>1.6560000000000001</v>
      </c>
      <c r="L24" s="172"/>
      <c r="M24" s="172">
        <v>0.88200000000000001</v>
      </c>
      <c r="N24" s="172"/>
      <c r="O24" s="172">
        <v>0.79</v>
      </c>
      <c r="P24" s="172">
        <v>0.625</v>
      </c>
      <c r="Q24" s="172">
        <v>0.498</v>
      </c>
      <c r="R24" s="172">
        <v>0.64600000000000002</v>
      </c>
      <c r="S24" s="172">
        <v>0.34100000000000003</v>
      </c>
      <c r="T24" s="172">
        <v>0.61099999999999999</v>
      </c>
      <c r="U24" s="172"/>
      <c r="V24" s="172"/>
      <c r="W24" s="172">
        <v>0.73</v>
      </c>
      <c r="X24" s="172">
        <v>0.58899999999999997</v>
      </c>
      <c r="Y24" s="70">
        <v>0.80100000000000005</v>
      </c>
      <c r="Z24" s="70">
        <v>0.29799999999999999</v>
      </c>
      <c r="AA24" s="70"/>
      <c r="AB24" s="70"/>
      <c r="AC24" s="70"/>
      <c r="AD24" s="70">
        <v>0.86199999999999999</v>
      </c>
      <c r="AE24" s="70"/>
      <c r="AF24" s="70"/>
      <c r="AG24" s="70"/>
      <c r="AH24" s="172">
        <f t="shared" ref="AH24:AH34" si="3">SUM(C24:AG24)</f>
        <v>12.815000000000001</v>
      </c>
      <c r="AI24" s="191"/>
      <c r="AJ24" s="191"/>
      <c r="AK24" s="191"/>
      <c r="AL24" s="191"/>
      <c r="AM24" s="191"/>
      <c r="AN24" s="191"/>
      <c r="AO24" s="191"/>
      <c r="AP24" s="191"/>
      <c r="AQ24" s="191"/>
      <c r="AR24" s="191"/>
      <c r="AS24" s="191"/>
      <c r="AT24" s="191"/>
      <c r="AU24" s="191"/>
      <c r="AV24" s="191"/>
      <c r="AW24" s="191"/>
      <c r="AX24" s="191"/>
      <c r="AY24" s="191"/>
      <c r="AZ24" s="191"/>
      <c r="BA24" s="191"/>
      <c r="BB24" s="191"/>
      <c r="BC24" s="191"/>
      <c r="BD24" s="191"/>
      <c r="BE24" s="191"/>
      <c r="BF24" s="191"/>
      <c r="BG24" s="191"/>
      <c r="BH24" s="191"/>
      <c r="BI24" s="191"/>
      <c r="BJ24" s="191"/>
      <c r="BK24" s="191"/>
      <c r="BL24" s="191"/>
      <c r="BM24" s="191"/>
      <c r="BN24" s="191"/>
      <c r="BO24" s="191"/>
      <c r="BP24" s="191"/>
      <c r="BQ24" s="191"/>
      <c r="BR24" s="191"/>
      <c r="BS24" s="191"/>
      <c r="BT24" s="191"/>
      <c r="BU24" s="191"/>
      <c r="BV24" s="191"/>
      <c r="BW24" s="191"/>
      <c r="BX24" s="191"/>
      <c r="BY24" s="191"/>
      <c r="BZ24" s="191"/>
      <c r="CA24" s="191"/>
      <c r="CB24" s="191"/>
      <c r="CC24" s="191"/>
      <c r="CD24" s="191"/>
      <c r="CE24" s="191"/>
      <c r="CF24" s="191"/>
      <c r="CG24" s="191"/>
      <c r="CH24" s="191"/>
      <c r="CI24" s="191"/>
      <c r="CJ24" s="191"/>
      <c r="CK24" s="191"/>
      <c r="CL24" s="191"/>
      <c r="CM24" s="191"/>
      <c r="CN24" s="191"/>
      <c r="CO24" s="191"/>
      <c r="CP24" s="191"/>
      <c r="CQ24" s="191"/>
      <c r="CR24" s="191"/>
      <c r="CS24" s="191"/>
      <c r="CT24" s="191"/>
      <c r="CU24" s="191"/>
      <c r="CV24" s="191"/>
      <c r="CW24" s="191"/>
      <c r="CX24" s="191"/>
      <c r="CY24" s="191"/>
      <c r="CZ24" s="191"/>
      <c r="DA24" s="191"/>
      <c r="DB24" s="191"/>
      <c r="DC24" s="191"/>
      <c r="DD24" s="191"/>
      <c r="DE24" s="191"/>
      <c r="DF24" s="191"/>
      <c r="DG24" s="191"/>
      <c r="DH24" s="191"/>
      <c r="DI24" s="191"/>
      <c r="DJ24" s="191"/>
      <c r="DK24" s="191"/>
      <c r="DL24" s="191"/>
      <c r="DM24" s="191"/>
      <c r="DN24" s="191"/>
      <c r="DO24" s="191"/>
      <c r="DP24" s="191"/>
      <c r="DQ24" s="191"/>
      <c r="DR24" s="191"/>
      <c r="DS24" s="191"/>
      <c r="DT24" s="191"/>
      <c r="DU24" s="191"/>
      <c r="DV24" s="191"/>
      <c r="DW24" s="191"/>
      <c r="DX24" s="191"/>
      <c r="DY24" s="191"/>
      <c r="DZ24" s="191"/>
      <c r="EA24" s="191"/>
      <c r="EB24" s="191"/>
      <c r="EC24" s="191"/>
      <c r="ED24" s="191"/>
      <c r="EE24" s="191"/>
      <c r="EF24" s="191"/>
      <c r="EG24" s="191"/>
      <c r="EH24" s="191"/>
      <c r="EI24" s="191"/>
      <c r="EJ24" s="191"/>
      <c r="EK24" s="191"/>
      <c r="EL24" s="191"/>
      <c r="EM24" s="191"/>
      <c r="EN24" s="191"/>
      <c r="EO24" s="191"/>
      <c r="EP24" s="191"/>
      <c r="EQ24" s="191"/>
      <c r="ER24" s="191"/>
      <c r="ES24" s="191"/>
      <c r="ET24" s="191"/>
      <c r="EU24" s="191"/>
      <c r="EV24" s="191"/>
      <c r="EW24" s="191"/>
      <c r="EX24" s="191"/>
      <c r="EY24" s="191"/>
      <c r="EZ24" s="191"/>
      <c r="FA24" s="191"/>
      <c r="FB24" s="191"/>
      <c r="FC24" s="191"/>
      <c r="FD24" s="191"/>
      <c r="FE24" s="191"/>
      <c r="FF24" s="191"/>
      <c r="FG24" s="191"/>
      <c r="FH24" s="191"/>
      <c r="FI24" s="191"/>
      <c r="FJ24" s="191"/>
      <c r="FK24" s="191"/>
      <c r="FL24" s="191"/>
      <c r="FM24" s="191"/>
      <c r="FN24" s="191"/>
      <c r="FO24" s="191"/>
      <c r="FP24" s="191"/>
      <c r="FQ24" s="191"/>
      <c r="FR24" s="191"/>
      <c r="FS24" s="191"/>
      <c r="FT24" s="191"/>
      <c r="FU24" s="191"/>
      <c r="FV24" s="191"/>
      <c r="FW24" s="191"/>
      <c r="FX24" s="191"/>
      <c r="FY24" s="191"/>
      <c r="FZ24" s="191"/>
      <c r="GA24" s="191"/>
      <c r="GB24" s="191"/>
      <c r="GC24" s="191"/>
      <c r="GD24" s="191"/>
      <c r="GE24" s="191"/>
      <c r="GF24" s="191"/>
      <c r="GG24" s="191"/>
      <c r="GH24" s="191"/>
      <c r="GI24" s="191"/>
      <c r="GJ24" s="191"/>
      <c r="GK24" s="191"/>
      <c r="GL24" s="191"/>
      <c r="GM24" s="191"/>
      <c r="GN24" s="191"/>
      <c r="GO24" s="191"/>
      <c r="GP24" s="191"/>
      <c r="GQ24" s="191"/>
      <c r="GR24" s="191"/>
      <c r="GS24" s="191"/>
      <c r="GT24" s="191"/>
      <c r="GU24" s="191"/>
      <c r="GV24" s="191"/>
      <c r="GW24" s="191"/>
      <c r="GX24" s="191"/>
      <c r="GY24" s="191"/>
      <c r="GZ24" s="191"/>
      <c r="HA24" s="191"/>
      <c r="HB24" s="191"/>
      <c r="HC24" s="191"/>
      <c r="HD24" s="191"/>
      <c r="HE24" s="191"/>
      <c r="HF24" s="191"/>
      <c r="HG24" s="191"/>
      <c r="HH24" s="191"/>
      <c r="HI24" s="191"/>
      <c r="HJ24" s="191"/>
      <c r="HK24" s="191"/>
      <c r="HL24" s="191"/>
      <c r="HM24" s="191"/>
      <c r="HN24" s="191"/>
      <c r="HO24" s="191"/>
      <c r="HP24" s="191"/>
      <c r="HQ24" s="191"/>
      <c r="HR24" s="191"/>
      <c r="HS24" s="191"/>
      <c r="HT24" s="191"/>
      <c r="HU24" s="191"/>
      <c r="HV24" s="191"/>
      <c r="HW24" s="191"/>
      <c r="HX24" s="191"/>
      <c r="HY24" s="191"/>
      <c r="HZ24" s="191"/>
      <c r="IA24" s="191"/>
      <c r="IB24" s="192"/>
      <c r="IC24" s="192"/>
      <c r="ID24" s="192"/>
      <c r="IE24" s="192"/>
      <c r="IF24" s="192"/>
      <c r="IG24" s="192"/>
      <c r="IH24" s="192"/>
      <c r="II24" s="192"/>
      <c r="IJ24" s="192"/>
      <c r="IK24" s="192"/>
      <c r="IL24" s="192"/>
      <c r="IM24" s="192"/>
      <c r="IN24" s="192"/>
      <c r="IO24" s="192"/>
      <c r="IP24" s="192"/>
      <c r="IQ24" s="192"/>
      <c r="IR24" s="192"/>
      <c r="IS24" s="192"/>
      <c r="IT24" s="192"/>
    </row>
    <row r="25" spans="1:254" ht="15">
      <c r="A25" s="375" t="s">
        <v>147</v>
      </c>
      <c r="B25" s="83">
        <f>+AH25</f>
        <v>7.109</v>
      </c>
      <c r="C25" s="70"/>
      <c r="D25" s="70"/>
      <c r="E25" s="70">
        <v>0.36099999999999999</v>
      </c>
      <c r="F25" s="70"/>
      <c r="G25" s="70"/>
      <c r="H25" s="70"/>
      <c r="I25" s="70"/>
      <c r="J25" s="70">
        <v>0.46100000000000002</v>
      </c>
      <c r="K25" s="70">
        <v>0.41099999999999998</v>
      </c>
      <c r="L25" s="70">
        <v>1.1639999999999999</v>
      </c>
      <c r="M25" s="70"/>
      <c r="N25" s="70"/>
      <c r="O25" s="70">
        <v>0.26</v>
      </c>
      <c r="P25" s="70">
        <v>0.56200000000000006</v>
      </c>
      <c r="Q25" s="70"/>
      <c r="R25" s="70">
        <v>0.32</v>
      </c>
      <c r="S25" s="70"/>
      <c r="T25" s="70"/>
      <c r="U25" s="70"/>
      <c r="V25" s="70"/>
      <c r="W25" s="70">
        <v>0.27100000000000002</v>
      </c>
      <c r="X25" s="70">
        <v>0.58199999999999996</v>
      </c>
      <c r="Y25" s="70">
        <v>0.151</v>
      </c>
      <c r="Z25" s="70">
        <v>0.97099999999999997</v>
      </c>
      <c r="AA25" s="70"/>
      <c r="AB25" s="70"/>
      <c r="AC25" s="70">
        <v>0.63700000000000001</v>
      </c>
      <c r="AD25" s="70">
        <v>6.5000000000000002E-2</v>
      </c>
      <c r="AE25" s="70">
        <v>0.89300000000000002</v>
      </c>
      <c r="AF25" s="70"/>
      <c r="AG25" s="70"/>
      <c r="AH25" s="172">
        <f t="shared" si="3"/>
        <v>7.109</v>
      </c>
      <c r="AI25" s="191"/>
      <c r="AJ25" s="191"/>
      <c r="AK25" s="191"/>
      <c r="AL25" s="191"/>
      <c r="AM25" s="191"/>
      <c r="AN25" s="191"/>
      <c r="AO25" s="191"/>
      <c r="AP25" s="191"/>
      <c r="AQ25" s="191"/>
      <c r="AR25" s="191"/>
      <c r="AS25" s="191"/>
      <c r="AT25" s="191"/>
      <c r="AU25" s="191"/>
      <c r="AV25" s="191"/>
      <c r="AW25" s="191"/>
      <c r="AX25" s="191"/>
      <c r="AY25" s="191"/>
      <c r="AZ25" s="191"/>
      <c r="BA25" s="191"/>
      <c r="BB25" s="191"/>
      <c r="BC25" s="191"/>
      <c r="BD25" s="191"/>
      <c r="BE25" s="191"/>
      <c r="BF25" s="191"/>
      <c r="BG25" s="191"/>
      <c r="BH25" s="191"/>
      <c r="BI25" s="191"/>
      <c r="BJ25" s="191"/>
      <c r="BK25" s="191"/>
      <c r="BL25" s="191"/>
      <c r="BM25" s="191"/>
      <c r="BN25" s="191"/>
      <c r="BO25" s="191"/>
      <c r="BP25" s="191"/>
      <c r="BQ25" s="191"/>
      <c r="BR25" s="191"/>
      <c r="BS25" s="191"/>
      <c r="BT25" s="191"/>
      <c r="BU25" s="191"/>
      <c r="BV25" s="191"/>
      <c r="BW25" s="191"/>
      <c r="BX25" s="191"/>
      <c r="BY25" s="191"/>
      <c r="BZ25" s="191"/>
      <c r="CA25" s="191"/>
      <c r="CB25" s="191"/>
      <c r="CC25" s="191"/>
      <c r="CD25" s="191"/>
      <c r="CE25" s="191"/>
      <c r="CF25" s="191"/>
      <c r="CG25" s="191"/>
      <c r="CH25" s="191"/>
      <c r="CI25" s="191"/>
      <c r="CJ25" s="191"/>
      <c r="CK25" s="191"/>
      <c r="CL25" s="191"/>
      <c r="CM25" s="191"/>
      <c r="CN25" s="191"/>
      <c r="CO25" s="191"/>
      <c r="CP25" s="191"/>
      <c r="CQ25" s="191"/>
      <c r="CR25" s="191"/>
      <c r="CS25" s="191"/>
      <c r="CT25" s="191"/>
      <c r="CU25" s="191"/>
      <c r="CV25" s="191"/>
      <c r="CW25" s="191"/>
      <c r="CX25" s="191"/>
      <c r="CY25" s="191"/>
      <c r="CZ25" s="191"/>
      <c r="DA25" s="191"/>
      <c r="DB25" s="191"/>
      <c r="DC25" s="191"/>
      <c r="DD25" s="191"/>
      <c r="DE25" s="191"/>
      <c r="DF25" s="191"/>
      <c r="DG25" s="191"/>
      <c r="DH25" s="191"/>
      <c r="DI25" s="191"/>
      <c r="DJ25" s="191"/>
      <c r="DK25" s="191"/>
      <c r="DL25" s="191"/>
      <c r="DM25" s="191"/>
      <c r="DN25" s="191"/>
      <c r="DO25" s="191"/>
      <c r="DP25" s="191"/>
      <c r="DQ25" s="191"/>
      <c r="DR25" s="191"/>
      <c r="DS25" s="191"/>
      <c r="DT25" s="191"/>
      <c r="DU25" s="191"/>
      <c r="DV25" s="191"/>
      <c r="DW25" s="191"/>
      <c r="DX25" s="191"/>
      <c r="DY25" s="191"/>
      <c r="DZ25" s="191"/>
      <c r="EA25" s="191"/>
      <c r="EB25" s="191"/>
      <c r="EC25" s="191"/>
      <c r="ED25" s="191"/>
      <c r="EE25" s="191"/>
      <c r="EF25" s="191"/>
      <c r="EG25" s="191"/>
      <c r="EH25" s="191"/>
      <c r="EI25" s="191"/>
      <c r="EJ25" s="191"/>
      <c r="EK25" s="191"/>
      <c r="EL25" s="191"/>
      <c r="EM25" s="191"/>
      <c r="EN25" s="191"/>
      <c r="EO25" s="191"/>
      <c r="EP25" s="191"/>
      <c r="EQ25" s="191"/>
      <c r="ER25" s="191"/>
      <c r="ES25" s="191"/>
      <c r="ET25" s="191"/>
      <c r="EU25" s="191"/>
      <c r="EV25" s="191"/>
      <c r="EW25" s="191"/>
      <c r="EX25" s="191"/>
      <c r="EY25" s="191"/>
      <c r="EZ25" s="191"/>
      <c r="FA25" s="191"/>
      <c r="FB25" s="191"/>
      <c r="FC25" s="191"/>
      <c r="FD25" s="191"/>
      <c r="FE25" s="191"/>
      <c r="FF25" s="191"/>
      <c r="FG25" s="191"/>
      <c r="FH25" s="191"/>
      <c r="FI25" s="191"/>
      <c r="FJ25" s="191"/>
      <c r="FK25" s="191"/>
      <c r="FL25" s="191"/>
      <c r="FM25" s="191"/>
      <c r="FN25" s="191"/>
      <c r="FO25" s="191"/>
      <c r="FP25" s="191"/>
      <c r="FQ25" s="191"/>
      <c r="FR25" s="191"/>
      <c r="FS25" s="191"/>
      <c r="FT25" s="191"/>
      <c r="FU25" s="191"/>
      <c r="FV25" s="191"/>
      <c r="FW25" s="191"/>
      <c r="FX25" s="191"/>
      <c r="FY25" s="191"/>
      <c r="FZ25" s="191"/>
      <c r="GA25" s="191"/>
      <c r="GB25" s="191"/>
      <c r="GC25" s="191"/>
      <c r="GD25" s="191"/>
      <c r="GE25" s="191"/>
      <c r="GF25" s="191"/>
      <c r="GG25" s="191"/>
      <c r="GH25" s="191"/>
      <c r="GI25" s="191"/>
      <c r="GJ25" s="191"/>
      <c r="GK25" s="191"/>
      <c r="GL25" s="191"/>
      <c r="GM25" s="191"/>
      <c r="GN25" s="191"/>
      <c r="GO25" s="191"/>
      <c r="GP25" s="191"/>
      <c r="GQ25" s="191"/>
      <c r="GR25" s="191"/>
      <c r="GS25" s="191"/>
      <c r="GT25" s="191"/>
      <c r="GU25" s="191"/>
      <c r="GV25" s="191"/>
      <c r="GW25" s="191"/>
      <c r="GX25" s="191"/>
      <c r="GY25" s="191"/>
      <c r="GZ25" s="191"/>
      <c r="HA25" s="191"/>
      <c r="HB25" s="191"/>
      <c r="HC25" s="191"/>
      <c r="HD25" s="191"/>
      <c r="HE25" s="191"/>
      <c r="HF25" s="191"/>
      <c r="HG25" s="191"/>
      <c r="HH25" s="191"/>
      <c r="HI25" s="191"/>
      <c r="HJ25" s="191"/>
      <c r="HK25" s="191"/>
      <c r="HL25" s="191"/>
      <c r="HM25" s="191"/>
      <c r="HN25" s="191"/>
      <c r="HO25" s="191"/>
      <c r="HP25" s="191"/>
      <c r="HQ25" s="191"/>
      <c r="HR25" s="191"/>
      <c r="HS25" s="191"/>
      <c r="HT25" s="191"/>
      <c r="HU25" s="191"/>
      <c r="HV25" s="191"/>
      <c r="HW25" s="191"/>
      <c r="HX25" s="191"/>
      <c r="HY25" s="191"/>
      <c r="HZ25" s="191"/>
      <c r="IA25" s="191"/>
      <c r="IB25" s="192"/>
      <c r="IC25" s="192"/>
      <c r="ID25" s="192"/>
      <c r="IE25" s="192"/>
      <c r="IF25" s="192"/>
      <c r="IG25" s="192"/>
      <c r="IH25" s="192"/>
      <c r="II25" s="192"/>
      <c r="IJ25" s="192"/>
      <c r="IK25" s="192"/>
      <c r="IL25" s="192"/>
      <c r="IM25" s="192"/>
      <c r="IN25" s="192"/>
      <c r="IO25" s="192"/>
      <c r="IP25" s="192"/>
      <c r="IQ25" s="192"/>
      <c r="IR25" s="192"/>
      <c r="IS25" s="192"/>
      <c r="IT25" s="192"/>
    </row>
    <row r="26" spans="1:254" ht="15">
      <c r="A26" s="375" t="s">
        <v>148</v>
      </c>
      <c r="B26" s="83">
        <f>+AH26</f>
        <v>1.123</v>
      </c>
      <c r="C26" s="83"/>
      <c r="D26" s="83">
        <v>0.214</v>
      </c>
      <c r="E26" s="83"/>
      <c r="F26" s="83"/>
      <c r="G26" s="83"/>
      <c r="H26" s="83"/>
      <c r="I26" s="83"/>
      <c r="J26" s="83"/>
      <c r="K26" s="83"/>
      <c r="L26" s="83">
        <v>0.51500000000000001</v>
      </c>
      <c r="M26" s="83"/>
      <c r="N26" s="83"/>
      <c r="O26" s="83"/>
      <c r="P26" s="83"/>
      <c r="Q26" s="83">
        <v>5.7000000000000002E-2</v>
      </c>
      <c r="R26" s="83"/>
      <c r="S26" s="83"/>
      <c r="T26" s="83"/>
      <c r="U26" s="83"/>
      <c r="V26" s="83"/>
      <c r="W26" s="83"/>
      <c r="X26" s="83">
        <v>0.20899999999999999</v>
      </c>
      <c r="Y26" s="83"/>
      <c r="Z26" s="83">
        <v>7.1999999999999995E-2</v>
      </c>
      <c r="AA26" s="83"/>
      <c r="AB26" s="83"/>
      <c r="AC26" s="83"/>
      <c r="AD26" s="83">
        <v>5.6000000000000001E-2</v>
      </c>
      <c r="AE26" s="83"/>
      <c r="AF26" s="83"/>
      <c r="AG26" s="83"/>
      <c r="AH26" s="172">
        <f t="shared" si="3"/>
        <v>1.123</v>
      </c>
      <c r="AI26" s="191"/>
      <c r="AJ26" s="191"/>
      <c r="AK26" s="191"/>
      <c r="AL26" s="191"/>
      <c r="AM26" s="191"/>
      <c r="AN26" s="191"/>
      <c r="AO26" s="191"/>
      <c r="AP26" s="191"/>
      <c r="AQ26" s="191"/>
      <c r="AR26" s="191"/>
      <c r="AS26" s="191"/>
      <c r="AT26" s="191"/>
      <c r="AU26" s="191"/>
      <c r="AV26" s="191"/>
      <c r="AW26" s="191"/>
      <c r="AX26" s="191"/>
      <c r="AY26" s="191"/>
      <c r="AZ26" s="191"/>
      <c r="BA26" s="191"/>
      <c r="BB26" s="191"/>
      <c r="BC26" s="191"/>
      <c r="BD26" s="191"/>
      <c r="BE26" s="191"/>
      <c r="BF26" s="191"/>
      <c r="BG26" s="191"/>
      <c r="BH26" s="191"/>
      <c r="BI26" s="191"/>
      <c r="BJ26" s="191"/>
      <c r="BK26" s="191"/>
      <c r="BL26" s="191"/>
      <c r="BM26" s="191"/>
      <c r="BN26" s="191"/>
      <c r="BO26" s="191"/>
      <c r="BP26" s="191"/>
      <c r="BQ26" s="191"/>
      <c r="BR26" s="191"/>
      <c r="BS26" s="191"/>
      <c r="BT26" s="191"/>
      <c r="BU26" s="191"/>
      <c r="BV26" s="191"/>
      <c r="BW26" s="191"/>
      <c r="BX26" s="191"/>
      <c r="BY26" s="191"/>
      <c r="BZ26" s="191"/>
      <c r="CA26" s="191"/>
      <c r="CB26" s="191"/>
      <c r="CC26" s="191"/>
      <c r="CD26" s="191"/>
      <c r="CE26" s="191"/>
      <c r="CF26" s="191"/>
      <c r="CG26" s="191"/>
      <c r="CH26" s="191"/>
      <c r="CI26" s="191"/>
      <c r="CJ26" s="191"/>
      <c r="CK26" s="191"/>
      <c r="CL26" s="191"/>
      <c r="CM26" s="191"/>
      <c r="CN26" s="191"/>
      <c r="CO26" s="191"/>
      <c r="CP26" s="191"/>
      <c r="CQ26" s="191"/>
      <c r="CR26" s="191"/>
      <c r="CS26" s="191"/>
      <c r="CT26" s="191"/>
      <c r="CU26" s="191"/>
      <c r="CV26" s="191"/>
      <c r="CW26" s="191"/>
      <c r="CX26" s="191"/>
      <c r="CY26" s="191"/>
      <c r="CZ26" s="191"/>
      <c r="DA26" s="191"/>
      <c r="DB26" s="191"/>
      <c r="DC26" s="191"/>
      <c r="DD26" s="191"/>
      <c r="DE26" s="191"/>
      <c r="DF26" s="191"/>
      <c r="DG26" s="191"/>
      <c r="DH26" s="191"/>
      <c r="DI26" s="191"/>
      <c r="DJ26" s="191"/>
      <c r="DK26" s="191"/>
      <c r="DL26" s="191"/>
      <c r="DM26" s="191"/>
      <c r="DN26" s="191"/>
      <c r="DO26" s="191"/>
      <c r="DP26" s="191"/>
      <c r="DQ26" s="191"/>
      <c r="DR26" s="191"/>
      <c r="DS26" s="191"/>
      <c r="DT26" s="191"/>
      <c r="DU26" s="191"/>
      <c r="DV26" s="191"/>
      <c r="DW26" s="191"/>
      <c r="DX26" s="191"/>
      <c r="DY26" s="191"/>
      <c r="DZ26" s="191"/>
      <c r="EA26" s="191"/>
      <c r="EB26" s="191"/>
      <c r="EC26" s="191"/>
      <c r="ED26" s="191"/>
      <c r="EE26" s="191"/>
      <c r="EF26" s="191"/>
      <c r="EG26" s="191"/>
      <c r="EH26" s="191"/>
      <c r="EI26" s="191"/>
      <c r="EJ26" s="191"/>
      <c r="EK26" s="191"/>
      <c r="EL26" s="191"/>
      <c r="EM26" s="191"/>
      <c r="EN26" s="191"/>
      <c r="EO26" s="191"/>
      <c r="EP26" s="191"/>
      <c r="EQ26" s="191"/>
      <c r="ER26" s="191"/>
      <c r="ES26" s="191"/>
      <c r="ET26" s="191"/>
      <c r="EU26" s="191"/>
      <c r="EV26" s="191"/>
      <c r="EW26" s="191"/>
      <c r="EX26" s="191"/>
      <c r="EY26" s="191"/>
      <c r="EZ26" s="191"/>
      <c r="FA26" s="191"/>
      <c r="FB26" s="191"/>
      <c r="FC26" s="191"/>
      <c r="FD26" s="191"/>
      <c r="FE26" s="191"/>
      <c r="FF26" s="191"/>
      <c r="FG26" s="191"/>
      <c r="FH26" s="191"/>
      <c r="FI26" s="191"/>
      <c r="FJ26" s="191"/>
      <c r="FK26" s="191"/>
      <c r="FL26" s="191"/>
      <c r="FM26" s="191"/>
      <c r="FN26" s="191"/>
      <c r="FO26" s="191"/>
      <c r="FP26" s="191"/>
      <c r="FQ26" s="191"/>
      <c r="FR26" s="191"/>
      <c r="FS26" s="191"/>
      <c r="FT26" s="191"/>
      <c r="FU26" s="191"/>
      <c r="FV26" s="191"/>
      <c r="FW26" s="191"/>
      <c r="FX26" s="191"/>
      <c r="FY26" s="191"/>
      <c r="FZ26" s="191"/>
      <c r="GA26" s="191"/>
      <c r="GB26" s="191"/>
      <c r="GC26" s="191"/>
      <c r="GD26" s="191"/>
      <c r="GE26" s="191"/>
      <c r="GF26" s="191"/>
      <c r="GG26" s="191"/>
      <c r="GH26" s="191"/>
      <c r="GI26" s="191"/>
      <c r="GJ26" s="191"/>
      <c r="GK26" s="191"/>
      <c r="GL26" s="191"/>
      <c r="GM26" s="191"/>
      <c r="GN26" s="191"/>
      <c r="GO26" s="191"/>
      <c r="GP26" s="191"/>
      <c r="GQ26" s="191"/>
      <c r="GR26" s="191"/>
      <c r="GS26" s="191"/>
      <c r="GT26" s="191"/>
      <c r="GU26" s="191"/>
      <c r="GV26" s="191"/>
      <c r="GW26" s="191"/>
      <c r="GX26" s="191"/>
      <c r="GY26" s="191"/>
      <c r="GZ26" s="191"/>
      <c r="HA26" s="191"/>
      <c r="HB26" s="191"/>
      <c r="HC26" s="191"/>
      <c r="HD26" s="191"/>
      <c r="HE26" s="191"/>
      <c r="HF26" s="191"/>
      <c r="HG26" s="191"/>
      <c r="HH26" s="191"/>
      <c r="HI26" s="191"/>
      <c r="HJ26" s="191"/>
      <c r="HK26" s="191"/>
      <c r="HL26" s="191"/>
      <c r="HM26" s="191"/>
      <c r="HN26" s="191"/>
      <c r="HO26" s="191"/>
      <c r="HP26" s="191"/>
      <c r="HQ26" s="191"/>
      <c r="HR26" s="191"/>
      <c r="HS26" s="191"/>
      <c r="HT26" s="191"/>
      <c r="HU26" s="191"/>
      <c r="HV26" s="191"/>
      <c r="HW26" s="191"/>
      <c r="HX26" s="191"/>
      <c r="HY26" s="191"/>
      <c r="HZ26" s="191"/>
      <c r="IA26" s="191"/>
      <c r="IB26" s="192"/>
      <c r="IC26" s="192"/>
      <c r="ID26" s="192"/>
      <c r="IE26" s="192"/>
      <c r="IF26" s="192"/>
      <c r="IG26" s="192"/>
      <c r="IH26" s="192"/>
      <c r="II26" s="192"/>
      <c r="IJ26" s="192"/>
      <c r="IK26" s="192"/>
      <c r="IL26" s="192"/>
      <c r="IM26" s="192"/>
      <c r="IN26" s="192"/>
      <c r="IO26" s="192"/>
      <c r="IP26" s="192"/>
      <c r="IQ26" s="192"/>
      <c r="IR26" s="192"/>
      <c r="IS26" s="192"/>
      <c r="IT26" s="192"/>
    </row>
    <row r="27" spans="1:254" ht="15">
      <c r="A27" s="375" t="s">
        <v>149</v>
      </c>
      <c r="B27" s="83">
        <f>+AH27</f>
        <v>4.8719999999999999</v>
      </c>
      <c r="C27" s="70"/>
      <c r="D27" s="83">
        <v>2.7</v>
      </c>
      <c r="E27" s="70"/>
      <c r="F27" s="70"/>
      <c r="G27" s="70"/>
      <c r="H27" s="70"/>
      <c r="I27" s="70"/>
      <c r="J27" s="70"/>
      <c r="K27" s="70"/>
      <c r="L27" s="70"/>
      <c r="M27" s="70"/>
      <c r="N27" s="70"/>
      <c r="O27" s="70"/>
      <c r="P27" s="70"/>
      <c r="Q27" s="70"/>
      <c r="R27" s="70"/>
      <c r="S27" s="70"/>
      <c r="T27" s="70"/>
      <c r="U27" s="70">
        <v>8.5000000000000006E-2</v>
      </c>
      <c r="V27" s="70"/>
      <c r="W27" s="70"/>
      <c r="X27" s="70"/>
      <c r="Y27" s="70"/>
      <c r="Z27" s="70"/>
      <c r="AA27" s="70"/>
      <c r="AB27" s="70"/>
      <c r="AC27" s="70"/>
      <c r="AD27" s="70"/>
      <c r="AE27" s="70">
        <v>2.0869999999999997</v>
      </c>
      <c r="AF27" s="70"/>
      <c r="AG27" s="70"/>
      <c r="AH27" s="172">
        <f t="shared" si="3"/>
        <v>4.8719999999999999</v>
      </c>
      <c r="AI27" s="191"/>
      <c r="AJ27" s="191"/>
      <c r="AK27" s="191"/>
      <c r="AL27" s="191"/>
      <c r="AM27" s="191"/>
      <c r="AN27" s="191"/>
      <c r="AO27" s="191"/>
      <c r="AP27" s="191"/>
      <c r="AQ27" s="191"/>
      <c r="AR27" s="191"/>
      <c r="AS27" s="191"/>
      <c r="AT27" s="191"/>
      <c r="AU27" s="191"/>
      <c r="AV27" s="191"/>
      <c r="AW27" s="191"/>
      <c r="AX27" s="191"/>
      <c r="AY27" s="191"/>
      <c r="AZ27" s="191"/>
      <c r="BA27" s="191"/>
      <c r="BB27" s="191"/>
      <c r="BC27" s="191"/>
      <c r="BD27" s="191"/>
      <c r="BE27" s="191"/>
      <c r="BF27" s="191"/>
      <c r="BG27" s="191"/>
      <c r="BH27" s="191"/>
      <c r="BI27" s="191"/>
      <c r="BJ27" s="191"/>
      <c r="BK27" s="191"/>
      <c r="BL27" s="191"/>
      <c r="BM27" s="191"/>
      <c r="BN27" s="191"/>
      <c r="BO27" s="191"/>
      <c r="BP27" s="191"/>
      <c r="BQ27" s="191"/>
      <c r="BR27" s="191"/>
      <c r="BS27" s="191"/>
      <c r="BT27" s="191"/>
      <c r="BU27" s="191"/>
      <c r="BV27" s="191"/>
      <c r="BW27" s="191"/>
      <c r="BX27" s="191"/>
      <c r="BY27" s="191"/>
      <c r="BZ27" s="191"/>
      <c r="CA27" s="191"/>
      <c r="CB27" s="191"/>
      <c r="CC27" s="191"/>
      <c r="CD27" s="191"/>
      <c r="CE27" s="191"/>
      <c r="CF27" s="191"/>
      <c r="CG27" s="191"/>
      <c r="CH27" s="191"/>
      <c r="CI27" s="191"/>
      <c r="CJ27" s="191"/>
      <c r="CK27" s="191"/>
      <c r="CL27" s="191"/>
      <c r="CM27" s="191"/>
      <c r="CN27" s="191"/>
      <c r="CO27" s="191"/>
      <c r="CP27" s="191"/>
      <c r="CQ27" s="191"/>
      <c r="CR27" s="191"/>
      <c r="CS27" s="191"/>
      <c r="CT27" s="191"/>
      <c r="CU27" s="191"/>
      <c r="CV27" s="191"/>
      <c r="CW27" s="191"/>
      <c r="CX27" s="191"/>
      <c r="CY27" s="191"/>
      <c r="CZ27" s="191"/>
      <c r="DA27" s="191"/>
      <c r="DB27" s="191"/>
      <c r="DC27" s="191"/>
      <c r="DD27" s="191"/>
      <c r="DE27" s="191"/>
      <c r="DF27" s="191"/>
      <c r="DG27" s="191"/>
      <c r="DH27" s="191"/>
      <c r="DI27" s="191"/>
      <c r="DJ27" s="191"/>
      <c r="DK27" s="191"/>
      <c r="DL27" s="191"/>
      <c r="DM27" s="191"/>
      <c r="DN27" s="191"/>
      <c r="DO27" s="191"/>
      <c r="DP27" s="191"/>
      <c r="DQ27" s="191"/>
      <c r="DR27" s="191"/>
      <c r="DS27" s="191"/>
      <c r="DT27" s="191"/>
      <c r="DU27" s="191"/>
      <c r="DV27" s="191"/>
      <c r="DW27" s="191"/>
      <c r="DX27" s="191"/>
      <c r="DY27" s="191"/>
      <c r="DZ27" s="191"/>
      <c r="EA27" s="191"/>
      <c r="EB27" s="191"/>
      <c r="EC27" s="191"/>
      <c r="ED27" s="191"/>
      <c r="EE27" s="191"/>
      <c r="EF27" s="191"/>
      <c r="EG27" s="191"/>
      <c r="EH27" s="191"/>
      <c r="EI27" s="191"/>
      <c r="EJ27" s="191"/>
      <c r="EK27" s="191"/>
      <c r="EL27" s="191"/>
      <c r="EM27" s="191"/>
      <c r="EN27" s="191"/>
      <c r="EO27" s="191"/>
      <c r="EP27" s="191"/>
      <c r="EQ27" s="191"/>
      <c r="ER27" s="191"/>
      <c r="ES27" s="191"/>
      <c r="ET27" s="191"/>
      <c r="EU27" s="191"/>
      <c r="EV27" s="191"/>
      <c r="EW27" s="191"/>
      <c r="EX27" s="191"/>
      <c r="EY27" s="191"/>
      <c r="EZ27" s="191"/>
      <c r="FA27" s="191"/>
      <c r="FB27" s="191"/>
      <c r="FC27" s="191"/>
      <c r="FD27" s="191"/>
      <c r="FE27" s="191"/>
      <c r="FF27" s="191"/>
      <c r="FG27" s="191"/>
      <c r="FH27" s="191"/>
      <c r="FI27" s="191"/>
      <c r="FJ27" s="191"/>
      <c r="FK27" s="191"/>
      <c r="FL27" s="191"/>
      <c r="FM27" s="191"/>
      <c r="FN27" s="191"/>
      <c r="FO27" s="191"/>
      <c r="FP27" s="191"/>
      <c r="FQ27" s="191"/>
      <c r="FR27" s="191"/>
      <c r="FS27" s="191"/>
      <c r="FT27" s="191"/>
      <c r="FU27" s="191"/>
      <c r="FV27" s="191"/>
      <c r="FW27" s="191"/>
      <c r="FX27" s="191"/>
      <c r="FY27" s="191"/>
      <c r="FZ27" s="191"/>
      <c r="GA27" s="191"/>
      <c r="GB27" s="191"/>
      <c r="GC27" s="191"/>
      <c r="GD27" s="191"/>
      <c r="GE27" s="191"/>
      <c r="GF27" s="191"/>
      <c r="GG27" s="191"/>
      <c r="GH27" s="191"/>
      <c r="GI27" s="191"/>
      <c r="GJ27" s="191"/>
      <c r="GK27" s="191"/>
      <c r="GL27" s="191"/>
      <c r="GM27" s="191"/>
      <c r="GN27" s="191"/>
      <c r="GO27" s="191"/>
      <c r="GP27" s="191"/>
      <c r="GQ27" s="191"/>
      <c r="GR27" s="191"/>
      <c r="GS27" s="191"/>
      <c r="GT27" s="191"/>
      <c r="GU27" s="191"/>
      <c r="GV27" s="191"/>
      <c r="GW27" s="191"/>
      <c r="GX27" s="191"/>
      <c r="GY27" s="191"/>
      <c r="GZ27" s="191"/>
      <c r="HA27" s="191"/>
      <c r="HB27" s="191"/>
      <c r="HC27" s="191"/>
      <c r="HD27" s="191"/>
      <c r="HE27" s="191"/>
      <c r="HF27" s="191"/>
      <c r="HG27" s="191"/>
      <c r="HH27" s="191"/>
      <c r="HI27" s="191"/>
      <c r="HJ27" s="191"/>
      <c r="HK27" s="191"/>
      <c r="HL27" s="191"/>
      <c r="HM27" s="191"/>
      <c r="HN27" s="191"/>
      <c r="HO27" s="191"/>
      <c r="HP27" s="191"/>
      <c r="HQ27" s="191"/>
      <c r="HR27" s="191"/>
      <c r="HS27" s="191"/>
      <c r="HT27" s="191"/>
      <c r="HU27" s="191"/>
      <c r="HV27" s="191"/>
      <c r="HW27" s="191"/>
      <c r="HX27" s="191"/>
      <c r="HY27" s="191"/>
      <c r="HZ27" s="191"/>
      <c r="IA27" s="191"/>
      <c r="IB27" s="192"/>
      <c r="IC27" s="192"/>
      <c r="ID27" s="192"/>
      <c r="IE27" s="192"/>
      <c r="IF27" s="192"/>
      <c r="IG27" s="192"/>
      <c r="IH27" s="192"/>
      <c r="II27" s="192"/>
      <c r="IJ27" s="192"/>
      <c r="IK27" s="192"/>
      <c r="IL27" s="192"/>
      <c r="IM27" s="192"/>
      <c r="IN27" s="192"/>
      <c r="IO27" s="192"/>
      <c r="IP27" s="192"/>
      <c r="IQ27" s="192"/>
      <c r="IR27" s="192"/>
      <c r="IS27" s="192"/>
      <c r="IT27" s="192"/>
    </row>
    <row r="28" spans="1:254" ht="15">
      <c r="A28" s="375" t="s">
        <v>150</v>
      </c>
      <c r="B28" s="83">
        <f t="shared" ref="B28:B34" si="4">SUM(AH28)</f>
        <v>2.843</v>
      </c>
      <c r="C28" s="70"/>
      <c r="D28" s="70"/>
      <c r="E28" s="70"/>
      <c r="F28" s="70"/>
      <c r="G28" s="70"/>
      <c r="H28" s="70"/>
      <c r="I28" s="70"/>
      <c r="J28" s="70"/>
      <c r="K28" s="70"/>
      <c r="L28" s="70"/>
      <c r="M28" s="70"/>
      <c r="N28" s="70"/>
      <c r="O28" s="70">
        <v>0.12</v>
      </c>
      <c r="P28" s="70"/>
      <c r="Q28" s="70"/>
      <c r="R28" s="70"/>
      <c r="S28" s="70"/>
      <c r="T28" s="70"/>
      <c r="U28" s="70"/>
      <c r="V28" s="70"/>
      <c r="W28" s="70"/>
      <c r="X28" s="70">
        <v>8.1000000000000003E-2</v>
      </c>
      <c r="Y28" s="70"/>
      <c r="Z28" s="70"/>
      <c r="AA28" s="70"/>
      <c r="AB28" s="70">
        <v>0.64200000000000002</v>
      </c>
      <c r="AC28" s="70">
        <v>2</v>
      </c>
      <c r="AD28" s="70"/>
      <c r="AE28" s="70"/>
      <c r="AF28" s="70"/>
      <c r="AG28" s="70"/>
      <c r="AH28" s="172">
        <f t="shared" si="3"/>
        <v>2.843</v>
      </c>
      <c r="AI28" s="191"/>
      <c r="AJ28" s="191"/>
      <c r="AK28" s="191"/>
      <c r="AL28" s="191"/>
      <c r="AM28" s="191"/>
      <c r="AN28" s="191"/>
      <c r="AO28" s="191"/>
      <c r="AP28" s="191"/>
      <c r="AQ28" s="191"/>
      <c r="AR28" s="191"/>
      <c r="AS28" s="191"/>
      <c r="AT28" s="191"/>
      <c r="AU28" s="191"/>
      <c r="AV28" s="191"/>
      <c r="AW28" s="191"/>
      <c r="AX28" s="191"/>
      <c r="AY28" s="191"/>
      <c r="AZ28" s="191"/>
      <c r="BA28" s="191"/>
      <c r="BB28" s="191"/>
      <c r="BC28" s="191"/>
      <c r="BD28" s="191"/>
      <c r="BE28" s="191"/>
      <c r="BF28" s="191"/>
      <c r="BG28" s="191"/>
      <c r="BH28" s="191"/>
      <c r="BI28" s="191"/>
      <c r="BJ28" s="191"/>
      <c r="BK28" s="191"/>
      <c r="BL28" s="191"/>
      <c r="BM28" s="191"/>
      <c r="BN28" s="191"/>
      <c r="BO28" s="191"/>
      <c r="BP28" s="191"/>
      <c r="BQ28" s="191"/>
      <c r="BR28" s="191"/>
      <c r="BS28" s="191"/>
      <c r="BT28" s="191"/>
      <c r="BU28" s="191"/>
      <c r="BV28" s="191"/>
      <c r="BW28" s="191"/>
      <c r="BX28" s="191"/>
      <c r="BY28" s="191"/>
      <c r="BZ28" s="191"/>
      <c r="CA28" s="191"/>
      <c r="CB28" s="191"/>
      <c r="CC28" s="191"/>
      <c r="CD28" s="191"/>
      <c r="CE28" s="191"/>
      <c r="CF28" s="191"/>
      <c r="CG28" s="191"/>
      <c r="CH28" s="191"/>
      <c r="CI28" s="191"/>
      <c r="CJ28" s="191"/>
      <c r="CK28" s="191"/>
      <c r="CL28" s="191"/>
      <c r="CM28" s="191"/>
      <c r="CN28" s="191"/>
      <c r="CO28" s="191"/>
      <c r="CP28" s="191"/>
      <c r="CQ28" s="191"/>
      <c r="CR28" s="191"/>
      <c r="CS28" s="191"/>
      <c r="CT28" s="191"/>
      <c r="CU28" s="191"/>
      <c r="CV28" s="191"/>
      <c r="CW28" s="191"/>
      <c r="CX28" s="191"/>
      <c r="CY28" s="191"/>
      <c r="CZ28" s="191"/>
      <c r="DA28" s="191"/>
      <c r="DB28" s="191"/>
      <c r="DC28" s="191"/>
      <c r="DD28" s="191"/>
      <c r="DE28" s="191"/>
      <c r="DF28" s="191"/>
      <c r="DG28" s="191"/>
      <c r="DH28" s="191"/>
      <c r="DI28" s="191"/>
      <c r="DJ28" s="191"/>
      <c r="DK28" s="191"/>
      <c r="DL28" s="191"/>
      <c r="DM28" s="191"/>
      <c r="DN28" s="191"/>
      <c r="DO28" s="191"/>
      <c r="DP28" s="191"/>
      <c r="DQ28" s="191"/>
      <c r="DR28" s="191"/>
      <c r="DS28" s="191"/>
      <c r="DT28" s="191"/>
      <c r="DU28" s="191"/>
      <c r="DV28" s="191"/>
      <c r="DW28" s="191"/>
      <c r="DX28" s="191"/>
      <c r="DY28" s="191"/>
      <c r="DZ28" s="191"/>
      <c r="EA28" s="191"/>
      <c r="EB28" s="191"/>
      <c r="EC28" s="191"/>
      <c r="ED28" s="191"/>
      <c r="EE28" s="191"/>
      <c r="EF28" s="191"/>
      <c r="EG28" s="191"/>
      <c r="EH28" s="191"/>
      <c r="EI28" s="191"/>
      <c r="EJ28" s="191"/>
      <c r="EK28" s="191"/>
      <c r="EL28" s="191"/>
      <c r="EM28" s="191"/>
      <c r="EN28" s="191"/>
      <c r="EO28" s="191"/>
      <c r="EP28" s="191"/>
      <c r="EQ28" s="191"/>
      <c r="ER28" s="191"/>
      <c r="ES28" s="191"/>
      <c r="ET28" s="191"/>
      <c r="EU28" s="191"/>
      <c r="EV28" s="191"/>
      <c r="EW28" s="191"/>
      <c r="EX28" s="191"/>
      <c r="EY28" s="191"/>
      <c r="EZ28" s="191"/>
      <c r="FA28" s="191"/>
      <c r="FB28" s="191"/>
      <c r="FC28" s="191"/>
      <c r="FD28" s="191"/>
      <c r="FE28" s="191"/>
      <c r="FF28" s="191"/>
      <c r="FG28" s="191"/>
      <c r="FH28" s="191"/>
      <c r="FI28" s="191"/>
      <c r="FJ28" s="191"/>
      <c r="FK28" s="191"/>
      <c r="FL28" s="191"/>
      <c r="FM28" s="191"/>
      <c r="FN28" s="191"/>
      <c r="FO28" s="191"/>
      <c r="FP28" s="191"/>
      <c r="FQ28" s="191"/>
      <c r="FR28" s="191"/>
      <c r="FS28" s="191"/>
      <c r="FT28" s="191"/>
      <c r="FU28" s="191"/>
      <c r="FV28" s="191"/>
      <c r="FW28" s="191"/>
      <c r="FX28" s="191"/>
      <c r="FY28" s="191"/>
      <c r="FZ28" s="191"/>
      <c r="GA28" s="191"/>
      <c r="GB28" s="191"/>
      <c r="GC28" s="191"/>
      <c r="GD28" s="191"/>
      <c r="GE28" s="191"/>
      <c r="GF28" s="191"/>
      <c r="GG28" s="191"/>
      <c r="GH28" s="191"/>
      <c r="GI28" s="191"/>
      <c r="GJ28" s="191"/>
      <c r="GK28" s="191"/>
      <c r="GL28" s="191"/>
      <c r="GM28" s="191"/>
      <c r="GN28" s="191"/>
      <c r="GO28" s="191"/>
      <c r="GP28" s="191"/>
      <c r="GQ28" s="191"/>
      <c r="GR28" s="191"/>
      <c r="GS28" s="191"/>
      <c r="GT28" s="191"/>
      <c r="GU28" s="191"/>
      <c r="GV28" s="191"/>
      <c r="GW28" s="191"/>
      <c r="GX28" s="191"/>
      <c r="GY28" s="191"/>
      <c r="GZ28" s="191"/>
      <c r="HA28" s="191"/>
      <c r="HB28" s="191"/>
      <c r="HC28" s="191"/>
      <c r="HD28" s="191"/>
      <c r="HE28" s="191"/>
      <c r="HF28" s="191"/>
      <c r="HG28" s="191"/>
      <c r="HH28" s="191"/>
      <c r="HI28" s="191"/>
      <c r="HJ28" s="191"/>
      <c r="HK28" s="191"/>
      <c r="HL28" s="191"/>
      <c r="HM28" s="191"/>
      <c r="HN28" s="191"/>
      <c r="HO28" s="191"/>
      <c r="HP28" s="191"/>
      <c r="HQ28" s="191"/>
      <c r="HR28" s="191"/>
      <c r="HS28" s="191"/>
      <c r="HT28" s="191"/>
      <c r="HU28" s="191"/>
      <c r="HV28" s="191"/>
      <c r="HW28" s="191"/>
      <c r="HX28" s="191"/>
      <c r="HY28" s="191"/>
      <c r="HZ28" s="191"/>
      <c r="IA28" s="191"/>
      <c r="IB28" s="192"/>
      <c r="IC28" s="192"/>
      <c r="ID28" s="192"/>
      <c r="IE28" s="192"/>
      <c r="IF28" s="192"/>
      <c r="IG28" s="192"/>
      <c r="IH28" s="192"/>
      <c r="II28" s="192"/>
      <c r="IJ28" s="192"/>
      <c r="IK28" s="192"/>
      <c r="IL28" s="192"/>
      <c r="IM28" s="192"/>
      <c r="IN28" s="192"/>
      <c r="IO28" s="192"/>
      <c r="IP28" s="192"/>
      <c r="IQ28" s="192"/>
      <c r="IR28" s="192"/>
      <c r="IS28" s="192"/>
      <c r="IT28" s="192"/>
    </row>
    <row r="29" spans="1:254" ht="15">
      <c r="A29" s="375" t="s">
        <v>151</v>
      </c>
      <c r="B29" s="83">
        <f t="shared" si="4"/>
        <v>6.6659999999999995</v>
      </c>
      <c r="C29" s="70"/>
      <c r="D29" s="70"/>
      <c r="E29" s="70"/>
      <c r="F29" s="70"/>
      <c r="G29" s="70"/>
      <c r="H29" s="70"/>
      <c r="I29" s="70"/>
      <c r="J29" s="70"/>
      <c r="K29" s="70"/>
      <c r="L29" s="70"/>
      <c r="M29" s="70">
        <v>0.24199999999999999</v>
      </c>
      <c r="N29" s="70">
        <v>7.0000000000000007E-2</v>
      </c>
      <c r="O29" s="70">
        <v>0.8</v>
      </c>
      <c r="P29" s="70">
        <v>0.191</v>
      </c>
      <c r="Q29" s="70">
        <v>0.42099999999999999</v>
      </c>
      <c r="R29" s="70">
        <v>0.9</v>
      </c>
      <c r="S29" s="70"/>
      <c r="T29" s="70">
        <v>0.32600000000000001</v>
      </c>
      <c r="U29" s="70">
        <v>9.5000000000000001E-2</v>
      </c>
      <c r="V29" s="70">
        <v>0.22900000000000001</v>
      </c>
      <c r="W29" s="70">
        <v>0.69799999999999995</v>
      </c>
      <c r="X29" s="70"/>
      <c r="Y29" s="70"/>
      <c r="Z29" s="70"/>
      <c r="AA29" s="70">
        <v>0.41199999999999998</v>
      </c>
      <c r="AB29" s="70">
        <v>0.3</v>
      </c>
      <c r="AC29" s="70">
        <v>0.6</v>
      </c>
      <c r="AD29" s="70">
        <v>0.45400000000000001</v>
      </c>
      <c r="AE29" s="70">
        <v>0.115</v>
      </c>
      <c r="AF29" s="70">
        <v>0.21299999999999999</v>
      </c>
      <c r="AG29" s="70">
        <v>0.6</v>
      </c>
      <c r="AH29" s="172">
        <f t="shared" si="3"/>
        <v>6.6659999999999995</v>
      </c>
      <c r="AI29" s="191"/>
      <c r="AJ29" s="191"/>
      <c r="AK29" s="191"/>
      <c r="AL29" s="191"/>
      <c r="AM29" s="191"/>
      <c r="AN29" s="191"/>
      <c r="AO29" s="191"/>
      <c r="AP29" s="191"/>
      <c r="AQ29" s="191"/>
      <c r="AR29" s="191"/>
      <c r="AS29" s="191"/>
      <c r="AT29" s="191"/>
      <c r="AU29" s="191"/>
      <c r="AV29" s="191"/>
      <c r="AW29" s="191"/>
      <c r="AX29" s="191"/>
      <c r="AY29" s="191"/>
      <c r="AZ29" s="191"/>
      <c r="BA29" s="191"/>
      <c r="BB29" s="191"/>
      <c r="BC29" s="191"/>
      <c r="BD29" s="191"/>
      <c r="BE29" s="191"/>
      <c r="BF29" s="191"/>
      <c r="BG29" s="191"/>
      <c r="BH29" s="191"/>
      <c r="BI29" s="191"/>
      <c r="BJ29" s="191"/>
      <c r="BK29" s="191"/>
      <c r="BL29" s="191"/>
      <c r="BM29" s="191"/>
      <c r="BN29" s="191"/>
      <c r="BO29" s="191"/>
      <c r="BP29" s="191"/>
      <c r="BQ29" s="191"/>
      <c r="BR29" s="191"/>
      <c r="BS29" s="191"/>
      <c r="BT29" s="191"/>
      <c r="BU29" s="191"/>
      <c r="BV29" s="191"/>
      <c r="BW29" s="191"/>
      <c r="BX29" s="191"/>
      <c r="BY29" s="191"/>
      <c r="BZ29" s="191"/>
      <c r="CA29" s="191"/>
      <c r="CB29" s="191"/>
      <c r="CC29" s="191"/>
      <c r="CD29" s="191"/>
      <c r="CE29" s="191"/>
      <c r="CF29" s="191"/>
      <c r="CG29" s="191"/>
      <c r="CH29" s="191"/>
      <c r="CI29" s="191"/>
      <c r="CJ29" s="191"/>
      <c r="CK29" s="191"/>
      <c r="CL29" s="191"/>
      <c r="CM29" s="191"/>
      <c r="CN29" s="191"/>
      <c r="CO29" s="191"/>
      <c r="CP29" s="191"/>
      <c r="CQ29" s="191"/>
      <c r="CR29" s="191"/>
      <c r="CS29" s="191"/>
      <c r="CT29" s="191"/>
      <c r="CU29" s="191"/>
      <c r="CV29" s="191"/>
      <c r="CW29" s="191"/>
      <c r="CX29" s="191"/>
      <c r="CY29" s="191"/>
      <c r="CZ29" s="191"/>
      <c r="DA29" s="191"/>
      <c r="DB29" s="191"/>
      <c r="DC29" s="191"/>
      <c r="DD29" s="191"/>
      <c r="DE29" s="191"/>
      <c r="DF29" s="191"/>
      <c r="DG29" s="191"/>
      <c r="DH29" s="191"/>
      <c r="DI29" s="191"/>
      <c r="DJ29" s="191"/>
      <c r="DK29" s="191"/>
      <c r="DL29" s="191"/>
      <c r="DM29" s="191"/>
      <c r="DN29" s="191"/>
      <c r="DO29" s="191"/>
      <c r="DP29" s="191"/>
      <c r="DQ29" s="191"/>
      <c r="DR29" s="191"/>
      <c r="DS29" s="191"/>
      <c r="DT29" s="191"/>
      <c r="DU29" s="191"/>
      <c r="DV29" s="191"/>
      <c r="DW29" s="191"/>
      <c r="DX29" s="191"/>
      <c r="DY29" s="191"/>
      <c r="DZ29" s="191"/>
      <c r="EA29" s="191"/>
      <c r="EB29" s="191"/>
      <c r="EC29" s="191"/>
      <c r="ED29" s="191"/>
      <c r="EE29" s="191"/>
      <c r="EF29" s="191"/>
      <c r="EG29" s="191"/>
      <c r="EH29" s="191"/>
      <c r="EI29" s="191"/>
      <c r="EJ29" s="191"/>
      <c r="EK29" s="191"/>
      <c r="EL29" s="191"/>
      <c r="EM29" s="191"/>
      <c r="EN29" s="191"/>
      <c r="EO29" s="191"/>
      <c r="EP29" s="191"/>
      <c r="EQ29" s="191"/>
      <c r="ER29" s="191"/>
      <c r="ES29" s="191"/>
      <c r="ET29" s="191"/>
      <c r="EU29" s="191"/>
      <c r="EV29" s="191"/>
      <c r="EW29" s="191"/>
      <c r="EX29" s="191"/>
      <c r="EY29" s="191"/>
      <c r="EZ29" s="191"/>
      <c r="FA29" s="191"/>
      <c r="FB29" s="191"/>
      <c r="FC29" s="191"/>
      <c r="FD29" s="191"/>
      <c r="FE29" s="191"/>
      <c r="FF29" s="191"/>
      <c r="FG29" s="191"/>
      <c r="FH29" s="191"/>
      <c r="FI29" s="191"/>
      <c r="FJ29" s="191"/>
      <c r="FK29" s="191"/>
      <c r="FL29" s="191"/>
      <c r="FM29" s="191"/>
      <c r="FN29" s="191"/>
      <c r="FO29" s="191"/>
      <c r="FP29" s="191"/>
      <c r="FQ29" s="191"/>
      <c r="FR29" s="191"/>
      <c r="FS29" s="191"/>
      <c r="FT29" s="191"/>
      <c r="FU29" s="191"/>
      <c r="FV29" s="191"/>
      <c r="FW29" s="191"/>
      <c r="FX29" s="191"/>
      <c r="FY29" s="191"/>
      <c r="FZ29" s="191"/>
      <c r="GA29" s="191"/>
      <c r="GB29" s="191"/>
      <c r="GC29" s="191"/>
      <c r="GD29" s="191"/>
      <c r="GE29" s="191"/>
      <c r="GF29" s="191"/>
      <c r="GG29" s="191"/>
      <c r="GH29" s="191"/>
      <c r="GI29" s="191"/>
      <c r="GJ29" s="191"/>
      <c r="GK29" s="191"/>
      <c r="GL29" s="191"/>
      <c r="GM29" s="191"/>
      <c r="GN29" s="191"/>
      <c r="GO29" s="191"/>
      <c r="GP29" s="191"/>
      <c r="GQ29" s="191"/>
      <c r="GR29" s="191"/>
      <c r="GS29" s="191"/>
      <c r="GT29" s="191"/>
      <c r="GU29" s="191"/>
      <c r="GV29" s="191"/>
      <c r="GW29" s="191"/>
      <c r="GX29" s="191"/>
      <c r="GY29" s="191"/>
      <c r="GZ29" s="191"/>
      <c r="HA29" s="191"/>
      <c r="HB29" s="191"/>
      <c r="HC29" s="191"/>
      <c r="HD29" s="191"/>
      <c r="HE29" s="191"/>
      <c r="HF29" s="191"/>
      <c r="HG29" s="191"/>
      <c r="HH29" s="191"/>
      <c r="HI29" s="191"/>
      <c r="HJ29" s="191"/>
      <c r="HK29" s="191"/>
      <c r="HL29" s="191"/>
      <c r="HM29" s="191"/>
      <c r="HN29" s="191"/>
      <c r="HO29" s="191"/>
      <c r="HP29" s="191"/>
      <c r="HQ29" s="191"/>
      <c r="HR29" s="191"/>
      <c r="HS29" s="191"/>
      <c r="HT29" s="191"/>
      <c r="HU29" s="191"/>
      <c r="HV29" s="191"/>
      <c r="HW29" s="191"/>
      <c r="HX29" s="191"/>
      <c r="HY29" s="191"/>
      <c r="HZ29" s="191"/>
      <c r="IA29" s="191"/>
      <c r="IB29" s="192"/>
      <c r="IC29" s="192"/>
      <c r="ID29" s="192"/>
      <c r="IE29" s="192"/>
      <c r="IF29" s="192"/>
      <c r="IG29" s="192"/>
      <c r="IH29" s="192"/>
      <c r="II29" s="192"/>
      <c r="IJ29" s="192"/>
      <c r="IK29" s="192"/>
      <c r="IL29" s="192"/>
      <c r="IM29" s="192"/>
      <c r="IN29" s="192"/>
      <c r="IO29" s="192"/>
      <c r="IP29" s="192"/>
      <c r="IQ29" s="192"/>
      <c r="IR29" s="192"/>
      <c r="IS29" s="192"/>
      <c r="IT29" s="192"/>
    </row>
    <row r="30" spans="1:254" ht="15">
      <c r="A30" s="375" t="s">
        <v>152</v>
      </c>
      <c r="B30" s="83">
        <f t="shared" si="4"/>
        <v>3.996</v>
      </c>
      <c r="C30" s="70"/>
      <c r="D30" s="70"/>
      <c r="E30" s="70"/>
      <c r="F30" s="70"/>
      <c r="G30" s="70"/>
      <c r="H30" s="70"/>
      <c r="I30" s="70">
        <v>0.5</v>
      </c>
      <c r="J30" s="70">
        <v>1.3959999999999999</v>
      </c>
      <c r="K30" s="70"/>
      <c r="L30" s="70"/>
      <c r="M30" s="70"/>
      <c r="N30" s="70"/>
      <c r="O30" s="70"/>
      <c r="P30" s="70"/>
      <c r="Q30" s="70"/>
      <c r="R30" s="70"/>
      <c r="S30" s="70"/>
      <c r="T30" s="70"/>
      <c r="U30" s="70"/>
      <c r="V30" s="70"/>
      <c r="W30" s="70"/>
      <c r="X30" s="70"/>
      <c r="Y30" s="70"/>
      <c r="Z30" s="70"/>
      <c r="AA30" s="70"/>
      <c r="AB30" s="70"/>
      <c r="AC30" s="70">
        <v>2.1</v>
      </c>
      <c r="AD30" s="70"/>
      <c r="AE30" s="70"/>
      <c r="AF30" s="70"/>
      <c r="AG30" s="70"/>
      <c r="AH30" s="172">
        <f t="shared" si="3"/>
        <v>3.996</v>
      </c>
      <c r="AI30" s="191"/>
      <c r="AJ30" s="191"/>
      <c r="AK30" s="191"/>
      <c r="AL30" s="191"/>
      <c r="AM30" s="191"/>
      <c r="AN30" s="191"/>
      <c r="AO30" s="191"/>
      <c r="AP30" s="191"/>
      <c r="AQ30" s="191"/>
      <c r="AR30" s="191"/>
      <c r="AS30" s="191"/>
      <c r="AT30" s="191"/>
      <c r="AU30" s="191"/>
      <c r="AV30" s="191"/>
      <c r="AW30" s="191"/>
      <c r="AX30" s="191"/>
      <c r="AY30" s="191"/>
      <c r="AZ30" s="191"/>
      <c r="BA30" s="191"/>
      <c r="BB30" s="191"/>
      <c r="BC30" s="191"/>
      <c r="BD30" s="191"/>
      <c r="BE30" s="191"/>
      <c r="BF30" s="191"/>
      <c r="BG30" s="191"/>
      <c r="BH30" s="191"/>
      <c r="BI30" s="191"/>
      <c r="BJ30" s="191"/>
      <c r="BK30" s="191"/>
      <c r="BL30" s="191"/>
      <c r="BM30" s="191"/>
      <c r="BN30" s="191"/>
      <c r="BO30" s="191"/>
      <c r="BP30" s="191"/>
      <c r="BQ30" s="191"/>
      <c r="BR30" s="191"/>
      <c r="BS30" s="191"/>
      <c r="BT30" s="191"/>
      <c r="BU30" s="191"/>
      <c r="BV30" s="191"/>
      <c r="BW30" s="191"/>
      <c r="BX30" s="191"/>
      <c r="BY30" s="191"/>
      <c r="BZ30" s="191"/>
      <c r="CA30" s="191"/>
      <c r="CB30" s="191"/>
      <c r="CC30" s="191"/>
      <c r="CD30" s="191"/>
      <c r="CE30" s="191"/>
      <c r="CF30" s="191"/>
      <c r="CG30" s="191"/>
      <c r="CH30" s="191"/>
      <c r="CI30" s="191"/>
      <c r="CJ30" s="191"/>
      <c r="CK30" s="191"/>
      <c r="CL30" s="191"/>
      <c r="CM30" s="191"/>
      <c r="CN30" s="191"/>
      <c r="CO30" s="191"/>
      <c r="CP30" s="191"/>
      <c r="CQ30" s="191"/>
      <c r="CR30" s="191"/>
      <c r="CS30" s="191"/>
      <c r="CT30" s="191"/>
      <c r="CU30" s="191"/>
      <c r="CV30" s="191"/>
      <c r="CW30" s="191"/>
      <c r="CX30" s="191"/>
      <c r="CY30" s="191"/>
      <c r="CZ30" s="191"/>
      <c r="DA30" s="191"/>
      <c r="DB30" s="191"/>
      <c r="DC30" s="191"/>
      <c r="DD30" s="191"/>
      <c r="DE30" s="191"/>
      <c r="DF30" s="191"/>
      <c r="DG30" s="191"/>
      <c r="DH30" s="191"/>
      <c r="DI30" s="191"/>
      <c r="DJ30" s="191"/>
      <c r="DK30" s="191"/>
      <c r="DL30" s="191"/>
      <c r="DM30" s="191"/>
      <c r="DN30" s="191"/>
      <c r="DO30" s="191"/>
      <c r="DP30" s="191"/>
      <c r="DQ30" s="191"/>
      <c r="DR30" s="191"/>
      <c r="DS30" s="191"/>
      <c r="DT30" s="191"/>
      <c r="DU30" s="191"/>
      <c r="DV30" s="191"/>
      <c r="DW30" s="191"/>
      <c r="DX30" s="191"/>
      <c r="DY30" s="191"/>
      <c r="DZ30" s="191"/>
      <c r="EA30" s="191"/>
      <c r="EB30" s="191"/>
      <c r="EC30" s="191"/>
      <c r="ED30" s="191"/>
      <c r="EE30" s="191"/>
      <c r="EF30" s="191"/>
      <c r="EG30" s="191"/>
      <c r="EH30" s="191"/>
      <c r="EI30" s="191"/>
      <c r="EJ30" s="191"/>
      <c r="EK30" s="191"/>
      <c r="EL30" s="191"/>
      <c r="EM30" s="191"/>
      <c r="EN30" s="191"/>
      <c r="EO30" s="191"/>
      <c r="EP30" s="191"/>
      <c r="EQ30" s="191"/>
      <c r="ER30" s="191"/>
      <c r="ES30" s="191"/>
      <c r="ET30" s="191"/>
      <c r="EU30" s="191"/>
      <c r="EV30" s="191"/>
      <c r="EW30" s="191"/>
      <c r="EX30" s="191"/>
      <c r="EY30" s="191"/>
      <c r="EZ30" s="191"/>
      <c r="FA30" s="191"/>
      <c r="FB30" s="191"/>
      <c r="FC30" s="191"/>
      <c r="FD30" s="191"/>
      <c r="FE30" s="191"/>
      <c r="FF30" s="191"/>
      <c r="FG30" s="191"/>
      <c r="FH30" s="191"/>
      <c r="FI30" s="191"/>
      <c r="FJ30" s="191"/>
      <c r="FK30" s="191"/>
      <c r="FL30" s="191"/>
      <c r="FM30" s="191"/>
      <c r="FN30" s="191"/>
      <c r="FO30" s="191"/>
      <c r="FP30" s="191"/>
      <c r="FQ30" s="191"/>
      <c r="FR30" s="191"/>
      <c r="FS30" s="191"/>
      <c r="FT30" s="191"/>
      <c r="FU30" s="191"/>
      <c r="FV30" s="191"/>
      <c r="FW30" s="191"/>
      <c r="FX30" s="191"/>
      <c r="FY30" s="191"/>
      <c r="FZ30" s="191"/>
      <c r="GA30" s="191"/>
      <c r="GB30" s="191"/>
      <c r="GC30" s="191"/>
      <c r="GD30" s="191"/>
      <c r="GE30" s="191"/>
      <c r="GF30" s="191"/>
      <c r="GG30" s="191"/>
      <c r="GH30" s="191"/>
      <c r="GI30" s="191"/>
      <c r="GJ30" s="191"/>
      <c r="GK30" s="191"/>
      <c r="GL30" s="191"/>
      <c r="GM30" s="191"/>
      <c r="GN30" s="191"/>
      <c r="GO30" s="191"/>
      <c r="GP30" s="191"/>
      <c r="GQ30" s="191"/>
      <c r="GR30" s="191"/>
      <c r="GS30" s="191"/>
      <c r="GT30" s="191"/>
      <c r="GU30" s="191"/>
      <c r="GV30" s="191"/>
      <c r="GW30" s="191"/>
      <c r="GX30" s="191"/>
      <c r="GY30" s="191"/>
      <c r="GZ30" s="191"/>
      <c r="HA30" s="191"/>
      <c r="HB30" s="191"/>
      <c r="HC30" s="191"/>
      <c r="HD30" s="191"/>
      <c r="HE30" s="191"/>
      <c r="HF30" s="191"/>
      <c r="HG30" s="191"/>
      <c r="HH30" s="191"/>
      <c r="HI30" s="191"/>
      <c r="HJ30" s="191"/>
      <c r="HK30" s="191"/>
      <c r="HL30" s="191"/>
      <c r="HM30" s="191"/>
      <c r="HN30" s="191"/>
      <c r="HO30" s="191"/>
      <c r="HP30" s="191"/>
      <c r="HQ30" s="191"/>
      <c r="HR30" s="191"/>
      <c r="HS30" s="191"/>
      <c r="HT30" s="191"/>
      <c r="HU30" s="191"/>
      <c r="HV30" s="191"/>
      <c r="HW30" s="191"/>
      <c r="HX30" s="191"/>
      <c r="HY30" s="191"/>
      <c r="HZ30" s="191"/>
      <c r="IA30" s="191"/>
      <c r="IB30" s="192"/>
      <c r="IC30" s="192"/>
      <c r="ID30" s="192"/>
      <c r="IE30" s="192"/>
      <c r="IF30" s="192"/>
      <c r="IG30" s="192"/>
      <c r="IH30" s="192"/>
      <c r="II30" s="192"/>
      <c r="IJ30" s="192"/>
      <c r="IK30" s="192"/>
      <c r="IL30" s="192"/>
      <c r="IM30" s="192"/>
      <c r="IN30" s="192"/>
      <c r="IO30" s="192"/>
      <c r="IP30" s="192"/>
      <c r="IQ30" s="192"/>
      <c r="IR30" s="192"/>
      <c r="IS30" s="192"/>
      <c r="IT30" s="192"/>
    </row>
    <row r="31" spans="1:254" ht="15">
      <c r="A31" s="375" t="s">
        <v>153</v>
      </c>
      <c r="B31" s="83">
        <f t="shared" si="4"/>
        <v>8.3090000000000011</v>
      </c>
      <c r="C31" s="83"/>
      <c r="D31" s="83"/>
      <c r="E31" s="83"/>
      <c r="F31" s="83"/>
      <c r="G31" s="83"/>
      <c r="H31" s="83">
        <v>0.33400000000000002</v>
      </c>
      <c r="I31" s="83">
        <v>0.23899999999999999</v>
      </c>
      <c r="J31" s="83">
        <v>0.17</v>
      </c>
      <c r="K31" s="83">
        <v>0.14499999999999999</v>
      </c>
      <c r="L31" s="83">
        <v>0.74299999999999999</v>
      </c>
      <c r="M31" s="83"/>
      <c r="N31" s="83">
        <v>8.1000000000000003E-2</v>
      </c>
      <c r="O31" s="83">
        <v>0.65</v>
      </c>
      <c r="P31" s="83"/>
      <c r="Q31" s="83">
        <v>0.49</v>
      </c>
      <c r="R31" s="83">
        <v>0.60899999999999999</v>
      </c>
      <c r="S31" s="83">
        <v>0.89600000000000002</v>
      </c>
      <c r="T31" s="83"/>
      <c r="U31" s="83"/>
      <c r="V31" s="83">
        <v>0.82</v>
      </c>
      <c r="W31" s="83"/>
      <c r="X31" s="83">
        <v>0.51400000000000001</v>
      </c>
      <c r="Y31" s="83">
        <v>1.026</v>
      </c>
      <c r="Z31" s="83">
        <v>0.68899999999999995</v>
      </c>
      <c r="AA31" s="83">
        <v>0.628</v>
      </c>
      <c r="AB31" s="83">
        <v>0.09</v>
      </c>
      <c r="AC31" s="83">
        <v>0.185</v>
      </c>
      <c r="AD31" s="83"/>
      <c r="AE31" s="83"/>
      <c r="AF31" s="83"/>
      <c r="AG31" s="83"/>
      <c r="AH31" s="172">
        <f t="shared" si="3"/>
        <v>8.3090000000000011</v>
      </c>
      <c r="AI31" s="191"/>
      <c r="AJ31" s="191"/>
      <c r="AK31" s="191"/>
      <c r="AL31" s="191"/>
      <c r="AM31" s="191"/>
      <c r="AN31" s="191"/>
      <c r="AO31" s="191"/>
      <c r="AP31" s="191"/>
      <c r="AQ31" s="191"/>
      <c r="AR31" s="191"/>
      <c r="AS31" s="191"/>
      <c r="AT31" s="191"/>
      <c r="AU31" s="191"/>
      <c r="AV31" s="191"/>
      <c r="AW31" s="191"/>
      <c r="AX31" s="191"/>
      <c r="AY31" s="191"/>
      <c r="AZ31" s="191"/>
      <c r="BA31" s="191"/>
      <c r="BB31" s="191"/>
      <c r="BC31" s="191"/>
      <c r="BD31" s="191"/>
      <c r="BE31" s="191"/>
      <c r="BF31" s="191"/>
      <c r="BG31" s="191"/>
      <c r="BH31" s="191"/>
      <c r="BI31" s="191"/>
      <c r="BJ31" s="191"/>
      <c r="BK31" s="191"/>
      <c r="BL31" s="191"/>
      <c r="BM31" s="191"/>
      <c r="BN31" s="191"/>
      <c r="BO31" s="191"/>
      <c r="BP31" s="191"/>
      <c r="BQ31" s="191"/>
      <c r="BR31" s="191"/>
      <c r="BS31" s="191"/>
      <c r="BT31" s="191"/>
      <c r="BU31" s="191"/>
      <c r="BV31" s="191"/>
      <c r="BW31" s="191"/>
      <c r="BX31" s="191"/>
      <c r="BY31" s="191"/>
      <c r="BZ31" s="191"/>
      <c r="CA31" s="191"/>
      <c r="CB31" s="191"/>
      <c r="CC31" s="191"/>
      <c r="CD31" s="191"/>
      <c r="CE31" s="191"/>
      <c r="CF31" s="191"/>
      <c r="CG31" s="191"/>
      <c r="CH31" s="191"/>
      <c r="CI31" s="191"/>
      <c r="CJ31" s="191"/>
      <c r="CK31" s="191"/>
      <c r="CL31" s="191"/>
      <c r="CM31" s="191"/>
      <c r="CN31" s="191"/>
      <c r="CO31" s="191"/>
      <c r="CP31" s="191"/>
      <c r="CQ31" s="191"/>
      <c r="CR31" s="191"/>
      <c r="CS31" s="191"/>
      <c r="CT31" s="191"/>
      <c r="CU31" s="191"/>
      <c r="CV31" s="191"/>
      <c r="CW31" s="191"/>
      <c r="CX31" s="191"/>
      <c r="CY31" s="191"/>
      <c r="CZ31" s="191"/>
      <c r="DA31" s="191"/>
      <c r="DB31" s="191"/>
      <c r="DC31" s="191"/>
      <c r="DD31" s="191"/>
      <c r="DE31" s="191"/>
      <c r="DF31" s="191"/>
      <c r="DG31" s="191"/>
      <c r="DH31" s="191"/>
      <c r="DI31" s="191"/>
      <c r="DJ31" s="191"/>
      <c r="DK31" s="191"/>
      <c r="DL31" s="191"/>
      <c r="DM31" s="191"/>
      <c r="DN31" s="191"/>
      <c r="DO31" s="191"/>
      <c r="DP31" s="191"/>
      <c r="DQ31" s="191"/>
      <c r="DR31" s="191"/>
      <c r="DS31" s="191"/>
      <c r="DT31" s="191"/>
      <c r="DU31" s="191"/>
      <c r="DV31" s="191"/>
      <c r="DW31" s="191"/>
      <c r="DX31" s="191"/>
      <c r="DY31" s="191"/>
      <c r="DZ31" s="191"/>
      <c r="EA31" s="191"/>
      <c r="EB31" s="191"/>
      <c r="EC31" s="191"/>
      <c r="ED31" s="191"/>
      <c r="EE31" s="191"/>
      <c r="EF31" s="191"/>
      <c r="EG31" s="191"/>
      <c r="EH31" s="191"/>
      <c r="EI31" s="191"/>
      <c r="EJ31" s="191"/>
      <c r="EK31" s="191"/>
      <c r="EL31" s="191"/>
      <c r="EM31" s="191"/>
      <c r="EN31" s="191"/>
      <c r="EO31" s="191"/>
      <c r="EP31" s="191"/>
      <c r="EQ31" s="191"/>
      <c r="ER31" s="191"/>
      <c r="ES31" s="191"/>
      <c r="ET31" s="191"/>
      <c r="EU31" s="191"/>
      <c r="EV31" s="191"/>
      <c r="EW31" s="191"/>
      <c r="EX31" s="191"/>
      <c r="EY31" s="191"/>
      <c r="EZ31" s="191"/>
      <c r="FA31" s="191"/>
      <c r="FB31" s="191"/>
      <c r="FC31" s="191"/>
      <c r="FD31" s="191"/>
      <c r="FE31" s="191"/>
      <c r="FF31" s="191"/>
      <c r="FG31" s="191"/>
      <c r="FH31" s="191"/>
      <c r="FI31" s="191"/>
      <c r="FJ31" s="191"/>
      <c r="FK31" s="191"/>
      <c r="FL31" s="191"/>
      <c r="FM31" s="191"/>
      <c r="FN31" s="191"/>
      <c r="FO31" s="191"/>
      <c r="FP31" s="191"/>
      <c r="FQ31" s="191"/>
      <c r="FR31" s="191"/>
      <c r="FS31" s="191"/>
      <c r="FT31" s="191"/>
      <c r="FU31" s="191"/>
      <c r="FV31" s="191"/>
      <c r="FW31" s="191"/>
      <c r="FX31" s="191"/>
      <c r="FY31" s="191"/>
      <c r="FZ31" s="191"/>
      <c r="GA31" s="191"/>
      <c r="GB31" s="191"/>
      <c r="GC31" s="191"/>
      <c r="GD31" s="191"/>
      <c r="GE31" s="191"/>
      <c r="GF31" s="191"/>
      <c r="GG31" s="191"/>
      <c r="GH31" s="191"/>
      <c r="GI31" s="191"/>
      <c r="GJ31" s="191"/>
      <c r="GK31" s="191"/>
      <c r="GL31" s="191"/>
      <c r="GM31" s="191"/>
      <c r="GN31" s="191"/>
      <c r="GO31" s="191"/>
      <c r="GP31" s="191"/>
      <c r="GQ31" s="191"/>
      <c r="GR31" s="191"/>
      <c r="GS31" s="191"/>
      <c r="GT31" s="191"/>
      <c r="GU31" s="191"/>
      <c r="GV31" s="191"/>
      <c r="GW31" s="191"/>
      <c r="GX31" s="191"/>
      <c r="GY31" s="191"/>
      <c r="GZ31" s="191"/>
      <c r="HA31" s="191"/>
      <c r="HB31" s="191"/>
      <c r="HC31" s="191"/>
      <c r="HD31" s="191"/>
      <c r="HE31" s="191"/>
      <c r="HF31" s="191"/>
      <c r="HG31" s="191"/>
      <c r="HH31" s="191"/>
      <c r="HI31" s="191"/>
      <c r="HJ31" s="191"/>
      <c r="HK31" s="191"/>
      <c r="HL31" s="191"/>
      <c r="HM31" s="191"/>
      <c r="HN31" s="191"/>
      <c r="HO31" s="191"/>
      <c r="HP31" s="191"/>
      <c r="HQ31" s="191"/>
      <c r="HR31" s="191"/>
      <c r="HS31" s="191"/>
      <c r="HT31" s="191"/>
      <c r="HU31" s="191"/>
      <c r="HV31" s="191"/>
      <c r="HW31" s="191"/>
      <c r="HX31" s="191"/>
      <c r="HY31" s="191"/>
      <c r="HZ31" s="191"/>
      <c r="IA31" s="191"/>
      <c r="IB31" s="192"/>
      <c r="IC31" s="192"/>
      <c r="ID31" s="192"/>
      <c r="IE31" s="192"/>
      <c r="IF31" s="192"/>
      <c r="IG31" s="192"/>
      <c r="IH31" s="192"/>
      <c r="II31" s="192"/>
      <c r="IJ31" s="192"/>
      <c r="IK31" s="192"/>
      <c r="IL31" s="192"/>
      <c r="IM31" s="192"/>
      <c r="IN31" s="192"/>
      <c r="IO31" s="192"/>
      <c r="IP31" s="192"/>
      <c r="IQ31" s="192"/>
      <c r="IR31" s="192"/>
      <c r="IS31" s="192"/>
      <c r="IT31" s="192"/>
    </row>
    <row r="32" spans="1:254" ht="15">
      <c r="A32" s="375" t="s">
        <v>154</v>
      </c>
      <c r="B32" s="83">
        <f t="shared" si="4"/>
        <v>32.710999999999999</v>
      </c>
      <c r="C32" s="70">
        <v>0.35099999999999998</v>
      </c>
      <c r="D32" s="70">
        <v>1.694</v>
      </c>
      <c r="E32" s="70"/>
      <c r="F32" s="70"/>
      <c r="G32" s="70"/>
      <c r="H32" s="70">
        <v>0.443</v>
      </c>
      <c r="I32" s="70">
        <v>0.56000000000000005</v>
      </c>
      <c r="J32" s="70">
        <v>0.129</v>
      </c>
      <c r="K32" s="70"/>
      <c r="L32" s="70">
        <v>0.56399999999999995</v>
      </c>
      <c r="M32" s="70">
        <v>0.193</v>
      </c>
      <c r="N32" s="70">
        <v>1.5669999999999999</v>
      </c>
      <c r="O32" s="70"/>
      <c r="P32" s="70">
        <v>2.5179999999999998</v>
      </c>
      <c r="Q32" s="70">
        <v>2.2090000000000001</v>
      </c>
      <c r="R32" s="172">
        <v>3.73</v>
      </c>
      <c r="S32" s="172">
        <v>5.9930000000000003</v>
      </c>
      <c r="T32" s="172">
        <v>5.9980000000000002</v>
      </c>
      <c r="U32" s="172">
        <v>2.0579999999999998</v>
      </c>
      <c r="V32" s="172"/>
      <c r="W32" s="172">
        <v>1.6739999999999999</v>
      </c>
      <c r="X32" s="172">
        <v>3.0300000000000002</v>
      </c>
      <c r="Y32" s="172"/>
      <c r="Z32" s="172"/>
      <c r="AA32" s="172"/>
      <c r="AB32" s="172"/>
      <c r="AC32" s="172"/>
      <c r="AD32" s="172"/>
      <c r="AE32" s="172"/>
      <c r="AF32" s="172"/>
      <c r="AG32" s="172"/>
      <c r="AH32" s="172">
        <f t="shared" si="3"/>
        <v>32.710999999999999</v>
      </c>
      <c r="AI32" s="191"/>
      <c r="AJ32" s="191"/>
      <c r="AK32" s="191"/>
      <c r="AL32" s="191"/>
      <c r="AM32" s="191"/>
      <c r="AN32" s="191"/>
      <c r="AO32" s="191"/>
      <c r="AP32" s="191"/>
      <c r="AQ32" s="191"/>
      <c r="AR32" s="191"/>
      <c r="AS32" s="191"/>
      <c r="AT32" s="191"/>
      <c r="AU32" s="191"/>
      <c r="AV32" s="191"/>
      <c r="AW32" s="191"/>
      <c r="AX32" s="191"/>
      <c r="AY32" s="191"/>
      <c r="AZ32" s="191"/>
      <c r="BA32" s="191"/>
      <c r="BB32" s="191"/>
      <c r="BC32" s="191"/>
      <c r="BD32" s="191"/>
      <c r="BE32" s="191"/>
      <c r="BF32" s="191"/>
      <c r="BG32" s="191"/>
      <c r="BH32" s="191"/>
      <c r="BI32" s="191"/>
      <c r="BJ32" s="191"/>
      <c r="BK32" s="191"/>
      <c r="BL32" s="191"/>
      <c r="BM32" s="191"/>
      <c r="BN32" s="191"/>
      <c r="BO32" s="191"/>
      <c r="BP32" s="191"/>
      <c r="BQ32" s="191"/>
      <c r="BR32" s="191"/>
      <c r="BS32" s="191"/>
      <c r="BT32" s="191"/>
      <c r="BU32" s="191"/>
      <c r="BV32" s="191"/>
      <c r="BW32" s="191"/>
      <c r="BX32" s="191"/>
      <c r="BY32" s="191"/>
      <c r="BZ32" s="191"/>
      <c r="CA32" s="191"/>
      <c r="CB32" s="191"/>
      <c r="CC32" s="191"/>
      <c r="CD32" s="191"/>
      <c r="CE32" s="191"/>
      <c r="CF32" s="191"/>
      <c r="CG32" s="191"/>
      <c r="CH32" s="191"/>
      <c r="CI32" s="191"/>
      <c r="CJ32" s="191"/>
      <c r="CK32" s="191"/>
      <c r="CL32" s="191"/>
      <c r="CM32" s="191"/>
      <c r="CN32" s="191"/>
      <c r="CO32" s="191"/>
      <c r="CP32" s="191"/>
      <c r="CQ32" s="191"/>
      <c r="CR32" s="191"/>
      <c r="CS32" s="191"/>
      <c r="CT32" s="191"/>
      <c r="CU32" s="191"/>
      <c r="CV32" s="191"/>
      <c r="CW32" s="191"/>
      <c r="CX32" s="191"/>
      <c r="CY32" s="191"/>
      <c r="CZ32" s="191"/>
      <c r="DA32" s="191"/>
      <c r="DB32" s="191"/>
      <c r="DC32" s="191"/>
      <c r="DD32" s="191"/>
      <c r="DE32" s="191"/>
      <c r="DF32" s="191"/>
      <c r="DG32" s="191"/>
      <c r="DH32" s="191"/>
      <c r="DI32" s="191"/>
      <c r="DJ32" s="191"/>
      <c r="DK32" s="191"/>
      <c r="DL32" s="191"/>
      <c r="DM32" s="191"/>
      <c r="DN32" s="191"/>
      <c r="DO32" s="191"/>
      <c r="DP32" s="191"/>
      <c r="DQ32" s="191"/>
      <c r="DR32" s="191"/>
      <c r="DS32" s="191"/>
      <c r="DT32" s="191"/>
      <c r="DU32" s="191"/>
      <c r="DV32" s="191"/>
      <c r="DW32" s="191"/>
      <c r="DX32" s="191"/>
      <c r="DY32" s="191"/>
      <c r="DZ32" s="191"/>
      <c r="EA32" s="191"/>
      <c r="EB32" s="191"/>
      <c r="EC32" s="191"/>
      <c r="ED32" s="191"/>
      <c r="EE32" s="191"/>
      <c r="EF32" s="191"/>
      <c r="EG32" s="191"/>
      <c r="EH32" s="191"/>
      <c r="EI32" s="191"/>
      <c r="EJ32" s="191"/>
      <c r="EK32" s="191"/>
      <c r="EL32" s="191"/>
      <c r="EM32" s="191"/>
      <c r="EN32" s="191"/>
      <c r="EO32" s="191"/>
      <c r="EP32" s="191"/>
      <c r="EQ32" s="191"/>
      <c r="ER32" s="191"/>
      <c r="ES32" s="191"/>
      <c r="ET32" s="191"/>
      <c r="EU32" s="191"/>
      <c r="EV32" s="191"/>
      <c r="EW32" s="191"/>
      <c r="EX32" s="191"/>
      <c r="EY32" s="191"/>
      <c r="EZ32" s="191"/>
      <c r="FA32" s="191"/>
      <c r="FB32" s="191"/>
      <c r="FC32" s="191"/>
      <c r="FD32" s="191"/>
      <c r="FE32" s="191"/>
      <c r="FF32" s="191"/>
      <c r="FG32" s="191"/>
      <c r="FH32" s="191"/>
      <c r="FI32" s="191"/>
      <c r="FJ32" s="191"/>
      <c r="FK32" s="191"/>
      <c r="FL32" s="191"/>
      <c r="FM32" s="191"/>
      <c r="FN32" s="191"/>
      <c r="FO32" s="191"/>
      <c r="FP32" s="191"/>
      <c r="FQ32" s="191"/>
      <c r="FR32" s="191"/>
      <c r="FS32" s="191"/>
      <c r="FT32" s="191"/>
      <c r="FU32" s="191"/>
      <c r="FV32" s="191"/>
      <c r="FW32" s="191"/>
      <c r="FX32" s="191"/>
      <c r="FY32" s="191"/>
      <c r="FZ32" s="191"/>
      <c r="GA32" s="191"/>
      <c r="GB32" s="191"/>
      <c r="GC32" s="191"/>
      <c r="GD32" s="191"/>
      <c r="GE32" s="191"/>
      <c r="GF32" s="191"/>
      <c r="GG32" s="191"/>
      <c r="GH32" s="191"/>
      <c r="GI32" s="191"/>
      <c r="GJ32" s="191"/>
      <c r="GK32" s="191"/>
      <c r="GL32" s="191"/>
      <c r="GM32" s="191"/>
      <c r="GN32" s="191"/>
      <c r="GO32" s="191"/>
      <c r="GP32" s="191"/>
      <c r="GQ32" s="191"/>
      <c r="GR32" s="191"/>
      <c r="GS32" s="191"/>
      <c r="GT32" s="191"/>
      <c r="GU32" s="191"/>
      <c r="GV32" s="191"/>
      <c r="GW32" s="191"/>
      <c r="GX32" s="191"/>
      <c r="GY32" s="191"/>
      <c r="GZ32" s="191"/>
      <c r="HA32" s="191"/>
      <c r="HB32" s="191"/>
      <c r="HC32" s="191"/>
      <c r="HD32" s="191"/>
      <c r="HE32" s="191"/>
      <c r="HF32" s="191"/>
      <c r="HG32" s="191"/>
      <c r="HH32" s="191"/>
      <c r="HI32" s="191"/>
      <c r="HJ32" s="191"/>
      <c r="HK32" s="191"/>
      <c r="HL32" s="191"/>
      <c r="HM32" s="191"/>
      <c r="HN32" s="191"/>
      <c r="HO32" s="191"/>
      <c r="HP32" s="191"/>
      <c r="HQ32" s="191"/>
      <c r="HR32" s="191"/>
      <c r="HS32" s="191"/>
      <c r="HT32" s="191"/>
      <c r="HU32" s="191"/>
      <c r="HV32" s="191"/>
      <c r="HW32" s="191"/>
      <c r="HX32" s="191"/>
      <c r="HY32" s="191"/>
      <c r="HZ32" s="191"/>
      <c r="IA32" s="191"/>
      <c r="IB32" s="192"/>
      <c r="IC32" s="192"/>
      <c r="ID32" s="192"/>
      <c r="IE32" s="192"/>
      <c r="IF32" s="192"/>
      <c r="IG32" s="192"/>
      <c r="IH32" s="192"/>
      <c r="II32" s="192"/>
      <c r="IJ32" s="192"/>
      <c r="IK32" s="192"/>
      <c r="IL32" s="192"/>
      <c r="IM32" s="192"/>
      <c r="IN32" s="192"/>
      <c r="IO32" s="192"/>
      <c r="IP32" s="192"/>
      <c r="IQ32" s="192"/>
      <c r="IR32" s="192"/>
      <c r="IS32" s="192"/>
      <c r="IT32" s="192"/>
    </row>
    <row r="33" spans="1:254" ht="15">
      <c r="A33" s="375" t="s">
        <v>155</v>
      </c>
      <c r="B33" s="83">
        <f t="shared" si="4"/>
        <v>0</v>
      </c>
      <c r="C33" s="70"/>
      <c r="D33" s="172"/>
      <c r="E33" s="172"/>
      <c r="F33" s="172"/>
      <c r="G33" s="172"/>
      <c r="H33" s="172"/>
      <c r="I33" s="172"/>
      <c r="J33" s="172"/>
      <c r="K33" s="172"/>
      <c r="L33" s="172"/>
      <c r="M33" s="172"/>
      <c r="N33" s="172"/>
      <c r="O33" s="172"/>
      <c r="P33" s="172"/>
      <c r="Q33" s="172"/>
      <c r="R33" s="70"/>
      <c r="S33" s="70"/>
      <c r="T33" s="70"/>
      <c r="U33" s="70"/>
      <c r="V33" s="70"/>
      <c r="W33" s="70"/>
      <c r="X33" s="70"/>
      <c r="Y33" s="70"/>
      <c r="Z33" s="70"/>
      <c r="AA33" s="70"/>
      <c r="AB33" s="70"/>
      <c r="AC33" s="70"/>
      <c r="AD33" s="70"/>
      <c r="AE33" s="70"/>
      <c r="AF33" s="70"/>
      <c r="AG33" s="70"/>
      <c r="AH33" s="172">
        <f t="shared" si="3"/>
        <v>0</v>
      </c>
      <c r="AI33" s="191"/>
      <c r="AJ33" s="191"/>
      <c r="AK33" s="191"/>
      <c r="AL33" s="191"/>
      <c r="AM33" s="191"/>
      <c r="AN33" s="191"/>
      <c r="AO33" s="191"/>
      <c r="AP33" s="191"/>
      <c r="AQ33" s="191"/>
      <c r="AR33" s="191"/>
      <c r="AS33" s="191"/>
      <c r="AT33" s="191"/>
      <c r="AU33" s="191"/>
      <c r="AV33" s="191"/>
      <c r="AW33" s="191"/>
      <c r="AX33" s="191"/>
      <c r="AY33" s="191"/>
      <c r="AZ33" s="191"/>
      <c r="BA33" s="191"/>
      <c r="BB33" s="191"/>
      <c r="BC33" s="191"/>
      <c r="BD33" s="191"/>
      <c r="BE33" s="191"/>
      <c r="BF33" s="191"/>
      <c r="BG33" s="191"/>
      <c r="BH33" s="191"/>
      <c r="BI33" s="191"/>
      <c r="BJ33" s="191"/>
      <c r="BK33" s="191"/>
      <c r="BL33" s="191"/>
      <c r="BM33" s="191"/>
      <c r="BN33" s="191"/>
      <c r="BO33" s="191"/>
      <c r="BP33" s="191"/>
      <c r="BQ33" s="191"/>
      <c r="BR33" s="191"/>
      <c r="BS33" s="191"/>
      <c r="BT33" s="191"/>
      <c r="BU33" s="191"/>
      <c r="BV33" s="191"/>
      <c r="BW33" s="191"/>
      <c r="BX33" s="191"/>
      <c r="BY33" s="191"/>
      <c r="BZ33" s="191"/>
      <c r="CA33" s="191"/>
      <c r="CB33" s="191"/>
      <c r="CC33" s="191"/>
      <c r="CD33" s="191"/>
      <c r="CE33" s="191"/>
      <c r="CF33" s="191"/>
      <c r="CG33" s="191"/>
      <c r="CH33" s="191"/>
      <c r="CI33" s="191"/>
      <c r="CJ33" s="191"/>
      <c r="CK33" s="191"/>
      <c r="CL33" s="191"/>
      <c r="CM33" s="191"/>
      <c r="CN33" s="191"/>
      <c r="CO33" s="191"/>
      <c r="CP33" s="191"/>
      <c r="CQ33" s="191"/>
      <c r="CR33" s="191"/>
      <c r="CS33" s="191"/>
      <c r="CT33" s="191"/>
      <c r="CU33" s="191"/>
      <c r="CV33" s="191"/>
      <c r="CW33" s="191"/>
      <c r="CX33" s="191"/>
      <c r="CY33" s="191"/>
      <c r="CZ33" s="191"/>
      <c r="DA33" s="191"/>
      <c r="DB33" s="191"/>
      <c r="DC33" s="191"/>
      <c r="DD33" s="191"/>
      <c r="DE33" s="191"/>
      <c r="DF33" s="191"/>
      <c r="DG33" s="191"/>
      <c r="DH33" s="191"/>
      <c r="DI33" s="191"/>
      <c r="DJ33" s="191"/>
      <c r="DK33" s="191"/>
      <c r="DL33" s="191"/>
      <c r="DM33" s="191"/>
      <c r="DN33" s="191"/>
      <c r="DO33" s="191"/>
      <c r="DP33" s="191"/>
      <c r="DQ33" s="191"/>
      <c r="DR33" s="191"/>
      <c r="DS33" s="191"/>
      <c r="DT33" s="191"/>
      <c r="DU33" s="191"/>
      <c r="DV33" s="191"/>
      <c r="DW33" s="191"/>
      <c r="DX33" s="191"/>
      <c r="DY33" s="191"/>
      <c r="DZ33" s="191"/>
      <c r="EA33" s="191"/>
      <c r="EB33" s="191"/>
      <c r="EC33" s="191"/>
      <c r="ED33" s="191"/>
      <c r="EE33" s="191"/>
      <c r="EF33" s="191"/>
      <c r="EG33" s="191"/>
      <c r="EH33" s="191"/>
      <c r="EI33" s="191"/>
      <c r="EJ33" s="191"/>
      <c r="EK33" s="191"/>
      <c r="EL33" s="191"/>
      <c r="EM33" s="191"/>
      <c r="EN33" s="191"/>
      <c r="EO33" s="191"/>
      <c r="EP33" s="191"/>
      <c r="EQ33" s="191"/>
      <c r="ER33" s="191"/>
      <c r="ES33" s="191"/>
      <c r="ET33" s="191"/>
      <c r="EU33" s="191"/>
      <c r="EV33" s="191"/>
      <c r="EW33" s="191"/>
      <c r="EX33" s="191"/>
      <c r="EY33" s="191"/>
      <c r="EZ33" s="191"/>
      <c r="FA33" s="191"/>
      <c r="FB33" s="191"/>
      <c r="FC33" s="191"/>
      <c r="FD33" s="191"/>
      <c r="FE33" s="191"/>
      <c r="FF33" s="191"/>
      <c r="FG33" s="191"/>
      <c r="FH33" s="191"/>
      <c r="FI33" s="191"/>
      <c r="FJ33" s="191"/>
      <c r="FK33" s="191"/>
      <c r="FL33" s="191"/>
      <c r="FM33" s="191"/>
      <c r="FN33" s="191"/>
      <c r="FO33" s="191"/>
      <c r="FP33" s="191"/>
      <c r="FQ33" s="191"/>
      <c r="FR33" s="191"/>
      <c r="FS33" s="191"/>
      <c r="FT33" s="191"/>
      <c r="FU33" s="191"/>
      <c r="FV33" s="191"/>
      <c r="FW33" s="191"/>
      <c r="FX33" s="191"/>
      <c r="FY33" s="191"/>
      <c r="FZ33" s="191"/>
      <c r="GA33" s="191"/>
      <c r="GB33" s="191"/>
      <c r="GC33" s="191"/>
      <c r="GD33" s="191"/>
      <c r="GE33" s="191"/>
      <c r="GF33" s="191"/>
      <c r="GG33" s="191"/>
      <c r="GH33" s="191"/>
      <c r="GI33" s="191"/>
      <c r="GJ33" s="191"/>
      <c r="GK33" s="191"/>
      <c r="GL33" s="191"/>
      <c r="GM33" s="191"/>
      <c r="GN33" s="191"/>
      <c r="GO33" s="191"/>
      <c r="GP33" s="191"/>
      <c r="GQ33" s="191"/>
      <c r="GR33" s="191"/>
      <c r="GS33" s="191"/>
      <c r="GT33" s="191"/>
      <c r="GU33" s="191"/>
      <c r="GV33" s="191"/>
      <c r="GW33" s="191"/>
      <c r="GX33" s="191"/>
      <c r="GY33" s="191"/>
      <c r="GZ33" s="191"/>
      <c r="HA33" s="191"/>
      <c r="HB33" s="191"/>
      <c r="HC33" s="191"/>
      <c r="HD33" s="191"/>
      <c r="HE33" s="191"/>
      <c r="HF33" s="191"/>
      <c r="HG33" s="191"/>
      <c r="HH33" s="191"/>
      <c r="HI33" s="191"/>
      <c r="HJ33" s="191"/>
      <c r="HK33" s="191"/>
      <c r="HL33" s="191"/>
      <c r="HM33" s="191"/>
      <c r="HN33" s="191"/>
      <c r="HO33" s="191"/>
      <c r="HP33" s="191"/>
      <c r="HQ33" s="191"/>
      <c r="HR33" s="191"/>
      <c r="HS33" s="191"/>
      <c r="HT33" s="191"/>
      <c r="HU33" s="191"/>
      <c r="HV33" s="191"/>
      <c r="HW33" s="191"/>
      <c r="HX33" s="191"/>
      <c r="HY33" s="191"/>
      <c r="HZ33" s="191"/>
      <c r="IA33" s="191"/>
      <c r="IB33" s="192"/>
      <c r="IC33" s="192"/>
      <c r="ID33" s="192"/>
      <c r="IE33" s="192"/>
      <c r="IF33" s="192"/>
      <c r="IG33" s="192"/>
      <c r="IH33" s="192"/>
      <c r="II33" s="192"/>
      <c r="IJ33" s="192"/>
      <c r="IK33" s="192"/>
      <c r="IL33" s="192"/>
      <c r="IM33" s="192"/>
      <c r="IN33" s="192"/>
      <c r="IO33" s="192"/>
      <c r="IP33" s="192"/>
      <c r="IQ33" s="192"/>
      <c r="IR33" s="192"/>
      <c r="IS33" s="192"/>
      <c r="IT33" s="192"/>
    </row>
    <row r="34" spans="1:254" ht="15">
      <c r="A34" s="375" t="s">
        <v>156</v>
      </c>
      <c r="B34" s="83">
        <f t="shared" si="4"/>
        <v>0</v>
      </c>
      <c r="C34" s="70"/>
      <c r="D34" s="70"/>
      <c r="E34" s="70"/>
      <c r="F34" s="70"/>
      <c r="G34" s="70"/>
      <c r="H34" s="70"/>
      <c r="I34" s="70"/>
      <c r="J34" s="70"/>
      <c r="K34" s="70"/>
      <c r="L34" s="70"/>
      <c r="M34" s="70"/>
      <c r="N34" s="70"/>
      <c r="O34" s="70"/>
      <c r="P34" s="70"/>
      <c r="Q34" s="70"/>
      <c r="R34" s="70"/>
      <c r="S34" s="70"/>
      <c r="T34" s="70"/>
      <c r="U34" s="70"/>
      <c r="V34" s="70"/>
      <c r="W34" s="70"/>
      <c r="X34" s="70">
        <v>0</v>
      </c>
      <c r="Y34" s="70"/>
      <c r="Z34" s="70"/>
      <c r="AA34" s="70"/>
      <c r="AB34" s="70"/>
      <c r="AC34" s="70"/>
      <c r="AD34" s="70"/>
      <c r="AE34" s="70"/>
      <c r="AF34" s="70"/>
      <c r="AG34" s="70"/>
      <c r="AH34" s="172">
        <f t="shared" si="3"/>
        <v>0</v>
      </c>
      <c r="AI34" s="191"/>
      <c r="AJ34" s="191"/>
      <c r="AK34" s="191"/>
      <c r="AL34" s="191"/>
      <c r="AM34" s="191"/>
      <c r="AN34" s="191"/>
      <c r="AO34" s="191"/>
      <c r="AP34" s="191"/>
      <c r="AQ34" s="191"/>
      <c r="AR34" s="191"/>
      <c r="AS34" s="191"/>
      <c r="AT34" s="191"/>
      <c r="AU34" s="191"/>
      <c r="AV34" s="191"/>
      <c r="AW34" s="191"/>
      <c r="AX34" s="191"/>
      <c r="AY34" s="191"/>
      <c r="AZ34" s="191"/>
      <c r="BA34" s="191"/>
      <c r="BB34" s="191"/>
      <c r="BC34" s="191"/>
      <c r="BD34" s="191"/>
      <c r="BE34" s="191"/>
      <c r="BF34" s="191"/>
      <c r="BG34" s="191"/>
      <c r="BH34" s="191"/>
      <c r="BI34" s="191"/>
      <c r="BJ34" s="191"/>
      <c r="BK34" s="191"/>
      <c r="BL34" s="191"/>
      <c r="BM34" s="191"/>
      <c r="BN34" s="191"/>
      <c r="BO34" s="191"/>
      <c r="BP34" s="191"/>
      <c r="BQ34" s="191"/>
      <c r="BR34" s="191"/>
      <c r="BS34" s="191"/>
      <c r="BT34" s="191"/>
      <c r="BU34" s="191"/>
      <c r="BV34" s="191"/>
      <c r="BW34" s="191"/>
      <c r="BX34" s="191"/>
      <c r="BY34" s="191"/>
      <c r="BZ34" s="191"/>
      <c r="CA34" s="191"/>
      <c r="CB34" s="191"/>
      <c r="CC34" s="191"/>
      <c r="CD34" s="191"/>
      <c r="CE34" s="191"/>
      <c r="CF34" s="191"/>
      <c r="CG34" s="191"/>
      <c r="CH34" s="191"/>
      <c r="CI34" s="191"/>
      <c r="CJ34" s="191"/>
      <c r="CK34" s="191"/>
      <c r="CL34" s="191"/>
      <c r="CM34" s="191"/>
      <c r="CN34" s="191"/>
      <c r="CO34" s="191"/>
      <c r="CP34" s="191"/>
      <c r="CQ34" s="191"/>
      <c r="CR34" s="191"/>
      <c r="CS34" s="191"/>
      <c r="CT34" s="191"/>
      <c r="CU34" s="191"/>
      <c r="CV34" s="191"/>
      <c r="CW34" s="191"/>
      <c r="CX34" s="191"/>
      <c r="CY34" s="191"/>
      <c r="CZ34" s="191"/>
      <c r="DA34" s="191"/>
      <c r="DB34" s="191"/>
      <c r="DC34" s="191"/>
      <c r="DD34" s="191"/>
      <c r="DE34" s="191"/>
      <c r="DF34" s="191"/>
      <c r="DG34" s="191"/>
      <c r="DH34" s="191"/>
      <c r="DI34" s="191"/>
      <c r="DJ34" s="191"/>
      <c r="DK34" s="191"/>
      <c r="DL34" s="191"/>
      <c r="DM34" s="191"/>
      <c r="DN34" s="191"/>
      <c r="DO34" s="191"/>
      <c r="DP34" s="191"/>
      <c r="DQ34" s="191"/>
      <c r="DR34" s="191"/>
      <c r="DS34" s="191"/>
      <c r="DT34" s="191"/>
      <c r="DU34" s="191"/>
      <c r="DV34" s="191"/>
      <c r="DW34" s="191"/>
      <c r="DX34" s="191"/>
      <c r="DY34" s="191"/>
      <c r="DZ34" s="191"/>
      <c r="EA34" s="191"/>
      <c r="EB34" s="191"/>
      <c r="EC34" s="191"/>
      <c r="ED34" s="191"/>
      <c r="EE34" s="191"/>
      <c r="EF34" s="191"/>
      <c r="EG34" s="191"/>
      <c r="EH34" s="191"/>
      <c r="EI34" s="191"/>
      <c r="EJ34" s="191"/>
      <c r="EK34" s="191"/>
      <c r="EL34" s="191"/>
      <c r="EM34" s="191"/>
      <c r="EN34" s="191"/>
      <c r="EO34" s="191"/>
      <c r="EP34" s="191"/>
      <c r="EQ34" s="191"/>
      <c r="ER34" s="191"/>
      <c r="ES34" s="191"/>
      <c r="ET34" s="191"/>
      <c r="EU34" s="191"/>
      <c r="EV34" s="191"/>
      <c r="EW34" s="191"/>
      <c r="EX34" s="191"/>
      <c r="EY34" s="191"/>
      <c r="EZ34" s="191"/>
      <c r="FA34" s="191"/>
      <c r="FB34" s="191"/>
      <c r="FC34" s="191"/>
      <c r="FD34" s="191"/>
      <c r="FE34" s="191"/>
      <c r="FF34" s="191"/>
      <c r="FG34" s="191"/>
      <c r="FH34" s="191"/>
      <c r="FI34" s="191"/>
      <c r="FJ34" s="191"/>
      <c r="FK34" s="191"/>
      <c r="FL34" s="191"/>
      <c r="FM34" s="191"/>
      <c r="FN34" s="191"/>
      <c r="FO34" s="191"/>
      <c r="FP34" s="191"/>
      <c r="FQ34" s="191"/>
      <c r="FR34" s="191"/>
      <c r="FS34" s="191"/>
      <c r="FT34" s="191"/>
      <c r="FU34" s="191"/>
      <c r="FV34" s="191"/>
      <c r="FW34" s="191"/>
      <c r="FX34" s="191"/>
      <c r="FY34" s="191"/>
      <c r="FZ34" s="191"/>
      <c r="GA34" s="191"/>
      <c r="GB34" s="191"/>
      <c r="GC34" s="191"/>
      <c r="GD34" s="191"/>
      <c r="GE34" s="191"/>
      <c r="GF34" s="191"/>
      <c r="GG34" s="191"/>
      <c r="GH34" s="191"/>
      <c r="GI34" s="191"/>
      <c r="GJ34" s="191"/>
      <c r="GK34" s="191"/>
      <c r="GL34" s="191"/>
      <c r="GM34" s="191"/>
      <c r="GN34" s="191"/>
      <c r="GO34" s="191"/>
      <c r="GP34" s="191"/>
      <c r="GQ34" s="191"/>
      <c r="GR34" s="191"/>
      <c r="GS34" s="191"/>
      <c r="GT34" s="191"/>
      <c r="GU34" s="191"/>
      <c r="GV34" s="191"/>
      <c r="GW34" s="191"/>
      <c r="GX34" s="191"/>
      <c r="GY34" s="191"/>
      <c r="GZ34" s="191"/>
      <c r="HA34" s="191"/>
      <c r="HB34" s="191"/>
      <c r="HC34" s="191"/>
      <c r="HD34" s="191"/>
      <c r="HE34" s="191"/>
      <c r="HF34" s="191"/>
      <c r="HG34" s="191"/>
      <c r="HH34" s="191"/>
      <c r="HI34" s="191"/>
      <c r="HJ34" s="191"/>
      <c r="HK34" s="191"/>
      <c r="HL34" s="191"/>
      <c r="HM34" s="191"/>
      <c r="HN34" s="191"/>
      <c r="HO34" s="191"/>
      <c r="HP34" s="191"/>
      <c r="HQ34" s="191"/>
      <c r="HR34" s="191"/>
      <c r="HS34" s="191"/>
      <c r="HT34" s="191"/>
      <c r="HU34" s="191"/>
      <c r="HV34" s="191"/>
      <c r="HW34" s="191"/>
      <c r="HX34" s="191"/>
      <c r="HY34" s="191"/>
      <c r="HZ34" s="191"/>
      <c r="IA34" s="191"/>
      <c r="IB34" s="192"/>
      <c r="IC34" s="192"/>
      <c r="ID34" s="192"/>
      <c r="IE34" s="192"/>
      <c r="IF34" s="192"/>
      <c r="IG34" s="192"/>
      <c r="IH34" s="192"/>
      <c r="II34" s="192"/>
      <c r="IJ34" s="192"/>
      <c r="IK34" s="192"/>
      <c r="IL34" s="192"/>
      <c r="IM34" s="192"/>
      <c r="IN34" s="192"/>
      <c r="IO34" s="192"/>
      <c r="IP34" s="192"/>
      <c r="IQ34" s="192"/>
      <c r="IR34" s="192"/>
      <c r="IS34" s="192"/>
      <c r="IT34" s="192"/>
    </row>
    <row r="35" spans="1:254" ht="15">
      <c r="A35" s="199" t="s">
        <v>144</v>
      </c>
      <c r="B35" s="229">
        <f>SUM(B23:B34)</f>
        <v>86.108000000000004</v>
      </c>
      <c r="C35" s="172"/>
      <c r="D35" s="172">
        <f t="shared" ref="D35:AH35" si="5">SUM(D23:D34)</f>
        <v>5.9490000000000007</v>
      </c>
      <c r="E35" s="172">
        <f t="shared" si="5"/>
        <v>0.36099999999999999</v>
      </c>
      <c r="F35" s="172">
        <f t="shared" si="5"/>
        <v>0.29799999999999999</v>
      </c>
      <c r="G35" s="172">
        <f t="shared" si="5"/>
        <v>1.08</v>
      </c>
      <c r="H35" s="172">
        <f t="shared" si="5"/>
        <v>0.77700000000000002</v>
      </c>
      <c r="I35" s="172">
        <f t="shared" si="5"/>
        <v>1.2989999999999999</v>
      </c>
      <c r="J35" s="172">
        <f t="shared" si="5"/>
        <v>2.8059999999999996</v>
      </c>
      <c r="K35" s="172">
        <f t="shared" si="5"/>
        <v>2.2120000000000002</v>
      </c>
      <c r="L35" s="172">
        <f t="shared" si="5"/>
        <v>2.9859999999999998</v>
      </c>
      <c r="M35" s="172">
        <f t="shared" si="5"/>
        <v>1.3170000000000002</v>
      </c>
      <c r="N35" s="172">
        <f t="shared" si="5"/>
        <v>1.718</v>
      </c>
      <c r="O35" s="172">
        <f t="shared" si="5"/>
        <v>2.62</v>
      </c>
      <c r="P35" s="172">
        <f t="shared" si="5"/>
        <v>4.4879999999999995</v>
      </c>
      <c r="Q35" s="172">
        <f t="shared" si="5"/>
        <v>4.3659999999999997</v>
      </c>
      <c r="R35" s="172">
        <f t="shared" si="5"/>
        <v>7.0389999999999997</v>
      </c>
      <c r="S35" s="172">
        <f t="shared" si="5"/>
        <v>7.5579999999999998</v>
      </c>
      <c r="T35" s="172">
        <f t="shared" si="5"/>
        <v>7.5730000000000004</v>
      </c>
      <c r="U35" s="172">
        <f t="shared" si="5"/>
        <v>2.347</v>
      </c>
      <c r="V35" s="172">
        <f t="shared" si="5"/>
        <v>1.718</v>
      </c>
      <c r="W35" s="172">
        <f t="shared" si="5"/>
        <v>3.5229999999999997</v>
      </c>
      <c r="X35" s="172">
        <f t="shared" si="5"/>
        <v>5.4590000000000005</v>
      </c>
      <c r="Y35" s="172">
        <f t="shared" si="5"/>
        <v>1.9780000000000002</v>
      </c>
      <c r="Z35" s="172">
        <f t="shared" si="5"/>
        <v>2.0299999999999998</v>
      </c>
      <c r="AA35" s="172">
        <f t="shared" si="5"/>
        <v>1.7879999999999998</v>
      </c>
      <c r="AB35" s="172">
        <f t="shared" si="5"/>
        <v>1.3240000000000001</v>
      </c>
      <c r="AC35" s="172">
        <f t="shared" si="5"/>
        <v>5.5219999999999994</v>
      </c>
      <c r="AD35" s="172">
        <f t="shared" si="5"/>
        <v>1.4370000000000001</v>
      </c>
      <c r="AE35" s="172">
        <f t="shared" si="5"/>
        <v>3.254</v>
      </c>
      <c r="AF35" s="172">
        <f t="shared" si="5"/>
        <v>0.21299999999999999</v>
      </c>
      <c r="AG35" s="172">
        <f t="shared" si="5"/>
        <v>0.6</v>
      </c>
      <c r="AH35" s="172">
        <f t="shared" si="5"/>
        <v>86.108000000000004</v>
      </c>
      <c r="AI35" s="191"/>
      <c r="AJ35" s="191"/>
      <c r="AK35" s="191"/>
      <c r="AL35" s="191"/>
      <c r="AM35" s="191"/>
      <c r="AN35" s="191"/>
      <c r="AO35" s="191"/>
      <c r="AP35" s="191"/>
      <c r="AQ35" s="191"/>
      <c r="AR35" s="191"/>
      <c r="AS35" s="191"/>
      <c r="AT35" s="191"/>
      <c r="AU35" s="191"/>
      <c r="AV35" s="191"/>
      <c r="AW35" s="191"/>
      <c r="AX35" s="191"/>
      <c r="AY35" s="191"/>
      <c r="AZ35" s="191"/>
      <c r="BA35" s="191"/>
      <c r="BB35" s="191"/>
      <c r="BC35" s="191"/>
      <c r="BD35" s="191"/>
      <c r="BE35" s="191"/>
      <c r="BF35" s="191"/>
      <c r="BG35" s="191"/>
      <c r="BH35" s="191"/>
      <c r="BI35" s="191"/>
      <c r="BJ35" s="191"/>
      <c r="BK35" s="191"/>
      <c r="BL35" s="191"/>
      <c r="BM35" s="191"/>
      <c r="BN35" s="191"/>
      <c r="BO35" s="191"/>
      <c r="BP35" s="191"/>
      <c r="BQ35" s="191"/>
      <c r="BR35" s="191"/>
      <c r="BS35" s="191"/>
      <c r="BT35" s="191"/>
      <c r="BU35" s="191"/>
      <c r="BV35" s="191"/>
      <c r="BW35" s="191"/>
      <c r="BX35" s="191"/>
      <c r="BY35" s="191"/>
      <c r="BZ35" s="191"/>
      <c r="CA35" s="191"/>
      <c r="CB35" s="191"/>
      <c r="CC35" s="191"/>
      <c r="CD35" s="191"/>
      <c r="CE35" s="191"/>
      <c r="CF35" s="191"/>
      <c r="CG35" s="191"/>
      <c r="CH35" s="191"/>
      <c r="CI35" s="191"/>
      <c r="CJ35" s="191"/>
      <c r="CK35" s="191"/>
      <c r="CL35" s="191"/>
      <c r="CM35" s="191"/>
      <c r="CN35" s="191"/>
      <c r="CO35" s="191"/>
      <c r="CP35" s="191"/>
      <c r="CQ35" s="191"/>
      <c r="CR35" s="191"/>
      <c r="CS35" s="191"/>
      <c r="CT35" s="191"/>
      <c r="CU35" s="191"/>
      <c r="CV35" s="191"/>
      <c r="CW35" s="191"/>
      <c r="CX35" s="191"/>
      <c r="CY35" s="191"/>
      <c r="CZ35" s="191"/>
      <c r="DA35" s="191"/>
      <c r="DB35" s="191"/>
      <c r="DC35" s="191"/>
      <c r="DD35" s="191"/>
      <c r="DE35" s="191"/>
      <c r="DF35" s="191"/>
      <c r="DG35" s="191"/>
      <c r="DH35" s="191"/>
      <c r="DI35" s="191"/>
      <c r="DJ35" s="191"/>
      <c r="DK35" s="191"/>
      <c r="DL35" s="191"/>
      <c r="DM35" s="191"/>
      <c r="DN35" s="191"/>
      <c r="DO35" s="191"/>
      <c r="DP35" s="191"/>
      <c r="DQ35" s="191"/>
      <c r="DR35" s="191"/>
      <c r="DS35" s="191"/>
      <c r="DT35" s="191"/>
      <c r="DU35" s="191"/>
      <c r="DV35" s="191"/>
      <c r="DW35" s="191"/>
      <c r="DX35" s="191"/>
      <c r="DY35" s="191"/>
      <c r="DZ35" s="191"/>
      <c r="EA35" s="191"/>
      <c r="EB35" s="191"/>
      <c r="EC35" s="191"/>
      <c r="ED35" s="191"/>
      <c r="EE35" s="191"/>
      <c r="EF35" s="191"/>
      <c r="EG35" s="191"/>
      <c r="EH35" s="191"/>
      <c r="EI35" s="191"/>
      <c r="EJ35" s="191"/>
      <c r="EK35" s="191"/>
      <c r="EL35" s="191"/>
      <c r="EM35" s="191"/>
      <c r="EN35" s="191"/>
      <c r="EO35" s="191"/>
      <c r="EP35" s="191"/>
      <c r="EQ35" s="191"/>
      <c r="ER35" s="191"/>
      <c r="ES35" s="191"/>
      <c r="ET35" s="191"/>
      <c r="EU35" s="191"/>
      <c r="EV35" s="191"/>
      <c r="EW35" s="191"/>
      <c r="EX35" s="191"/>
      <c r="EY35" s="191"/>
      <c r="EZ35" s="191"/>
      <c r="FA35" s="191"/>
      <c r="FB35" s="191"/>
      <c r="FC35" s="191"/>
      <c r="FD35" s="191"/>
      <c r="FE35" s="191"/>
      <c r="FF35" s="191"/>
      <c r="FG35" s="191"/>
      <c r="FH35" s="191"/>
      <c r="FI35" s="191"/>
      <c r="FJ35" s="191"/>
      <c r="FK35" s="191"/>
      <c r="FL35" s="191"/>
      <c r="FM35" s="191"/>
      <c r="FN35" s="191"/>
      <c r="FO35" s="191"/>
      <c r="FP35" s="191"/>
      <c r="FQ35" s="191"/>
      <c r="FR35" s="191"/>
      <c r="FS35" s="191"/>
      <c r="FT35" s="191"/>
      <c r="FU35" s="191"/>
      <c r="FV35" s="191"/>
      <c r="FW35" s="191"/>
      <c r="FX35" s="191"/>
      <c r="FY35" s="191"/>
      <c r="FZ35" s="191"/>
      <c r="GA35" s="191"/>
      <c r="GB35" s="191"/>
      <c r="GC35" s="191"/>
      <c r="GD35" s="191"/>
      <c r="GE35" s="191"/>
      <c r="GF35" s="191"/>
      <c r="GG35" s="191"/>
      <c r="GH35" s="191"/>
      <c r="GI35" s="191"/>
      <c r="GJ35" s="191"/>
      <c r="GK35" s="191"/>
      <c r="GL35" s="191"/>
      <c r="GM35" s="191"/>
      <c r="GN35" s="191"/>
      <c r="GO35" s="191"/>
      <c r="GP35" s="191"/>
      <c r="GQ35" s="191"/>
      <c r="GR35" s="191"/>
      <c r="GS35" s="191"/>
      <c r="GT35" s="191"/>
      <c r="GU35" s="191"/>
      <c r="GV35" s="191"/>
      <c r="GW35" s="191"/>
      <c r="GX35" s="191"/>
      <c r="GY35" s="191"/>
      <c r="GZ35" s="191"/>
      <c r="HA35" s="191"/>
      <c r="HB35" s="191"/>
      <c r="HC35" s="191"/>
      <c r="HD35" s="191"/>
      <c r="HE35" s="191"/>
      <c r="HF35" s="191"/>
      <c r="HG35" s="191"/>
      <c r="HH35" s="191"/>
      <c r="HI35" s="191"/>
      <c r="HJ35" s="191"/>
      <c r="HK35" s="191"/>
      <c r="HL35" s="191"/>
      <c r="HM35" s="191"/>
      <c r="HN35" s="191"/>
      <c r="HO35" s="191"/>
      <c r="HP35" s="191"/>
      <c r="HQ35" s="191"/>
      <c r="HR35" s="191"/>
      <c r="HS35" s="191"/>
      <c r="HT35" s="191"/>
      <c r="HU35" s="191"/>
      <c r="HV35" s="191"/>
      <c r="HW35" s="191"/>
      <c r="HX35" s="191"/>
      <c r="HY35" s="191"/>
      <c r="HZ35" s="191"/>
      <c r="IA35" s="191"/>
      <c r="IB35" s="192"/>
      <c r="IC35" s="192"/>
      <c r="ID35" s="192"/>
      <c r="IE35" s="192"/>
      <c r="IF35" s="192"/>
      <c r="IG35" s="192"/>
      <c r="IH35" s="192"/>
      <c r="II35" s="192"/>
      <c r="IJ35" s="192"/>
      <c r="IK35" s="192"/>
      <c r="IL35" s="192"/>
      <c r="IM35" s="192"/>
      <c r="IN35" s="192"/>
      <c r="IO35" s="192"/>
      <c r="IP35" s="192"/>
      <c r="IQ35" s="192"/>
      <c r="IR35" s="192"/>
      <c r="IS35" s="192"/>
      <c r="IT35" s="192"/>
    </row>
    <row r="36" spans="1:254" ht="15">
      <c r="A36" s="16"/>
      <c r="B36" s="135"/>
      <c r="C36" s="170"/>
      <c r="D36" s="81"/>
      <c r="E36" s="81"/>
      <c r="F36" s="81"/>
      <c r="G36" s="81"/>
      <c r="H36" s="81"/>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170"/>
      <c r="AI36" s="191"/>
      <c r="AJ36" s="191"/>
      <c r="AK36" s="191"/>
      <c r="AL36" s="191"/>
      <c r="AM36" s="191"/>
      <c r="AN36" s="191"/>
      <c r="AO36" s="191"/>
      <c r="AP36" s="191"/>
      <c r="AQ36" s="191"/>
      <c r="AR36" s="191"/>
      <c r="AS36" s="191"/>
      <c r="AT36" s="191"/>
      <c r="AU36" s="191"/>
      <c r="AV36" s="191"/>
      <c r="AW36" s="191"/>
      <c r="AX36" s="191"/>
      <c r="AY36" s="191"/>
      <c r="AZ36" s="191"/>
      <c r="BA36" s="191"/>
      <c r="BB36" s="191"/>
      <c r="BC36" s="191"/>
      <c r="BD36" s="191"/>
      <c r="BE36" s="191"/>
      <c r="BF36" s="191"/>
      <c r="BG36" s="191"/>
      <c r="BH36" s="191"/>
      <c r="BI36" s="191"/>
      <c r="BJ36" s="191"/>
      <c r="BK36" s="191"/>
      <c r="BL36" s="191"/>
      <c r="BM36" s="191"/>
      <c r="BN36" s="191"/>
      <c r="BO36" s="191"/>
      <c r="BP36" s="191"/>
      <c r="BQ36" s="191"/>
      <c r="BR36" s="191"/>
      <c r="BS36" s="191"/>
      <c r="BT36" s="191"/>
      <c r="BU36" s="191"/>
      <c r="BV36" s="191"/>
      <c r="BW36" s="191"/>
      <c r="BX36" s="191"/>
      <c r="BY36" s="191"/>
      <c r="BZ36" s="191"/>
      <c r="CA36" s="191"/>
      <c r="CB36" s="191"/>
      <c r="CC36" s="191"/>
      <c r="CD36" s="191"/>
      <c r="CE36" s="191"/>
      <c r="CF36" s="191"/>
      <c r="CG36" s="191"/>
      <c r="CH36" s="191"/>
      <c r="CI36" s="191"/>
      <c r="CJ36" s="191"/>
      <c r="CK36" s="191"/>
      <c r="CL36" s="191"/>
      <c r="CM36" s="191"/>
      <c r="CN36" s="191"/>
      <c r="CO36" s="191"/>
      <c r="CP36" s="191"/>
      <c r="CQ36" s="191"/>
      <c r="CR36" s="191"/>
      <c r="CS36" s="191"/>
      <c r="CT36" s="191"/>
      <c r="CU36" s="191"/>
      <c r="CV36" s="191"/>
      <c r="CW36" s="191"/>
      <c r="CX36" s="191"/>
      <c r="CY36" s="191"/>
      <c r="CZ36" s="191"/>
      <c r="DA36" s="191"/>
      <c r="DB36" s="191"/>
      <c r="DC36" s="191"/>
      <c r="DD36" s="191"/>
      <c r="DE36" s="191"/>
      <c r="DF36" s="191"/>
      <c r="DG36" s="191"/>
      <c r="DH36" s="191"/>
      <c r="DI36" s="191"/>
      <c r="DJ36" s="191"/>
      <c r="DK36" s="191"/>
      <c r="DL36" s="191"/>
      <c r="DM36" s="191"/>
      <c r="DN36" s="191"/>
      <c r="DO36" s="191"/>
      <c r="DP36" s="191"/>
      <c r="DQ36" s="191"/>
      <c r="DR36" s="191"/>
      <c r="DS36" s="191"/>
      <c r="DT36" s="191"/>
      <c r="DU36" s="191"/>
      <c r="DV36" s="191"/>
      <c r="DW36" s="191"/>
      <c r="DX36" s="191"/>
      <c r="DY36" s="191"/>
      <c r="DZ36" s="191"/>
      <c r="EA36" s="191"/>
      <c r="EB36" s="191"/>
      <c r="EC36" s="191"/>
      <c r="ED36" s="191"/>
      <c r="EE36" s="191"/>
      <c r="EF36" s="191"/>
      <c r="EG36" s="191"/>
      <c r="EH36" s="191"/>
      <c r="EI36" s="191"/>
      <c r="EJ36" s="191"/>
      <c r="EK36" s="191"/>
      <c r="EL36" s="191"/>
      <c r="EM36" s="191"/>
      <c r="EN36" s="191"/>
      <c r="EO36" s="191"/>
      <c r="EP36" s="191"/>
      <c r="EQ36" s="191"/>
      <c r="ER36" s="191"/>
      <c r="ES36" s="191"/>
      <c r="ET36" s="191"/>
      <c r="EU36" s="191"/>
      <c r="EV36" s="191"/>
      <c r="EW36" s="191"/>
      <c r="EX36" s="191"/>
      <c r="EY36" s="191"/>
      <c r="EZ36" s="191"/>
      <c r="FA36" s="191"/>
      <c r="FB36" s="191"/>
      <c r="FC36" s="191"/>
      <c r="FD36" s="191"/>
      <c r="FE36" s="191"/>
      <c r="FF36" s="191"/>
      <c r="FG36" s="191"/>
      <c r="FH36" s="191"/>
      <c r="FI36" s="191"/>
      <c r="FJ36" s="191"/>
      <c r="FK36" s="191"/>
      <c r="FL36" s="191"/>
      <c r="FM36" s="191"/>
      <c r="FN36" s="191"/>
      <c r="FO36" s="191"/>
      <c r="FP36" s="191"/>
      <c r="FQ36" s="191"/>
      <c r="FR36" s="191"/>
      <c r="FS36" s="191"/>
      <c r="FT36" s="191"/>
      <c r="FU36" s="191"/>
      <c r="FV36" s="191"/>
      <c r="FW36" s="191"/>
      <c r="FX36" s="191"/>
      <c r="FY36" s="191"/>
      <c r="FZ36" s="191"/>
      <c r="GA36" s="191"/>
      <c r="GB36" s="191"/>
      <c r="GC36" s="191"/>
      <c r="GD36" s="191"/>
      <c r="GE36" s="191"/>
      <c r="GF36" s="191"/>
      <c r="GG36" s="191"/>
      <c r="GH36" s="191"/>
      <c r="GI36" s="191"/>
      <c r="GJ36" s="191"/>
      <c r="GK36" s="191"/>
      <c r="GL36" s="191"/>
      <c r="GM36" s="191"/>
      <c r="GN36" s="191"/>
      <c r="GO36" s="191"/>
      <c r="GP36" s="191"/>
      <c r="GQ36" s="191"/>
      <c r="GR36" s="191"/>
      <c r="GS36" s="191"/>
      <c r="GT36" s="191"/>
      <c r="GU36" s="191"/>
      <c r="GV36" s="191"/>
      <c r="GW36" s="191"/>
      <c r="GX36" s="191"/>
      <c r="GY36" s="191"/>
      <c r="GZ36" s="191"/>
      <c r="HA36" s="191"/>
      <c r="HB36" s="191"/>
      <c r="HC36" s="191"/>
      <c r="HD36" s="191"/>
      <c r="HE36" s="191"/>
      <c r="HF36" s="191"/>
      <c r="HG36" s="191"/>
      <c r="HH36" s="191"/>
      <c r="HI36" s="191"/>
      <c r="HJ36" s="191"/>
      <c r="HK36" s="191"/>
      <c r="HL36" s="191"/>
      <c r="HM36" s="191"/>
      <c r="HN36" s="191"/>
      <c r="HO36" s="191"/>
      <c r="HP36" s="191"/>
      <c r="HQ36" s="191"/>
      <c r="HR36" s="191"/>
      <c r="HS36" s="191"/>
      <c r="HT36" s="191"/>
      <c r="HU36" s="191"/>
      <c r="HV36" s="191"/>
      <c r="HW36" s="191"/>
      <c r="HX36" s="191"/>
      <c r="HY36" s="191"/>
      <c r="HZ36" s="191"/>
      <c r="IA36" s="191"/>
      <c r="IB36" s="192"/>
      <c r="IC36" s="192"/>
      <c r="ID36" s="192"/>
      <c r="IE36" s="192"/>
      <c r="IF36" s="192"/>
      <c r="IG36" s="192"/>
      <c r="IH36" s="192"/>
      <c r="II36" s="192"/>
      <c r="IJ36" s="192"/>
      <c r="IK36" s="192"/>
      <c r="IL36" s="192"/>
      <c r="IM36" s="192"/>
      <c r="IN36" s="192"/>
      <c r="IO36" s="192"/>
      <c r="IP36" s="192"/>
      <c r="IQ36" s="192"/>
      <c r="IR36" s="192"/>
      <c r="IS36" s="192"/>
      <c r="IT36" s="192"/>
    </row>
    <row r="37" spans="1:254" ht="15">
      <c r="A37" s="3854" t="s">
        <v>282</v>
      </c>
      <c r="B37" s="3855"/>
      <c r="C37" s="3856"/>
      <c r="D37" s="81"/>
      <c r="E37" s="81"/>
      <c r="F37" s="81"/>
      <c r="G37" s="81"/>
      <c r="H37" s="81"/>
      <c r="I37" s="81"/>
      <c r="J37" s="81"/>
      <c r="K37" s="81"/>
      <c r="L37" s="81"/>
      <c r="M37" s="81"/>
      <c r="N37" s="81"/>
      <c r="O37" s="81"/>
      <c r="P37" s="81"/>
      <c r="Q37" s="81"/>
      <c r="R37" s="81"/>
      <c r="S37" s="81"/>
      <c r="T37" s="81"/>
      <c r="U37" s="81"/>
      <c r="V37" s="81"/>
      <c r="W37" s="81"/>
      <c r="X37" s="81"/>
      <c r="Y37" s="81"/>
      <c r="Z37" s="81"/>
      <c r="AA37" s="81"/>
      <c r="AB37" s="81"/>
      <c r="AC37" s="81"/>
      <c r="AD37" s="81"/>
      <c r="AE37" s="81"/>
      <c r="AF37" s="81"/>
      <c r="AG37" s="81"/>
      <c r="AH37" s="170"/>
      <c r="AI37" s="191"/>
      <c r="AJ37" s="191"/>
      <c r="AK37" s="191"/>
      <c r="AL37" s="191"/>
      <c r="AM37" s="191"/>
      <c r="AN37" s="191"/>
      <c r="AO37" s="191"/>
      <c r="AP37" s="191"/>
      <c r="AQ37" s="191"/>
      <c r="AR37" s="191"/>
      <c r="AS37" s="191"/>
      <c r="AT37" s="191"/>
      <c r="AU37" s="191"/>
      <c r="AV37" s="191"/>
      <c r="AW37" s="191"/>
      <c r="AX37" s="191"/>
      <c r="AY37" s="191"/>
      <c r="AZ37" s="191"/>
      <c r="BA37" s="191"/>
      <c r="BB37" s="191"/>
      <c r="BC37" s="191"/>
      <c r="BD37" s="191"/>
      <c r="BE37" s="191"/>
      <c r="BF37" s="191"/>
      <c r="BG37" s="191"/>
      <c r="BH37" s="191"/>
      <c r="BI37" s="191"/>
      <c r="BJ37" s="191"/>
      <c r="BK37" s="191"/>
      <c r="BL37" s="191"/>
      <c r="BM37" s="191"/>
      <c r="BN37" s="191"/>
      <c r="BO37" s="191"/>
      <c r="BP37" s="191"/>
      <c r="BQ37" s="191"/>
      <c r="BR37" s="191"/>
      <c r="BS37" s="191"/>
      <c r="BT37" s="191"/>
      <c r="BU37" s="191"/>
      <c r="BV37" s="191"/>
      <c r="BW37" s="191"/>
      <c r="BX37" s="191"/>
      <c r="BY37" s="191"/>
      <c r="BZ37" s="191"/>
      <c r="CA37" s="191"/>
      <c r="CB37" s="191"/>
      <c r="CC37" s="191"/>
      <c r="CD37" s="191"/>
      <c r="CE37" s="191"/>
      <c r="CF37" s="191"/>
      <c r="CG37" s="191"/>
      <c r="CH37" s="191"/>
      <c r="CI37" s="191"/>
      <c r="CJ37" s="191"/>
      <c r="CK37" s="191"/>
      <c r="CL37" s="191"/>
      <c r="CM37" s="191"/>
      <c r="CN37" s="191"/>
      <c r="CO37" s="191"/>
      <c r="CP37" s="191"/>
      <c r="CQ37" s="191"/>
      <c r="CR37" s="191"/>
      <c r="CS37" s="191"/>
      <c r="CT37" s="191"/>
      <c r="CU37" s="191"/>
      <c r="CV37" s="191"/>
      <c r="CW37" s="191"/>
      <c r="CX37" s="191"/>
      <c r="CY37" s="191"/>
      <c r="CZ37" s="191"/>
      <c r="DA37" s="191"/>
      <c r="DB37" s="191"/>
      <c r="DC37" s="191"/>
      <c r="DD37" s="191"/>
      <c r="DE37" s="191"/>
      <c r="DF37" s="191"/>
      <c r="DG37" s="191"/>
      <c r="DH37" s="191"/>
      <c r="DI37" s="191"/>
      <c r="DJ37" s="191"/>
      <c r="DK37" s="191"/>
      <c r="DL37" s="191"/>
      <c r="DM37" s="191"/>
      <c r="DN37" s="191"/>
      <c r="DO37" s="191"/>
      <c r="DP37" s="191"/>
      <c r="DQ37" s="191"/>
      <c r="DR37" s="191"/>
      <c r="DS37" s="191"/>
      <c r="DT37" s="191"/>
      <c r="DU37" s="191"/>
      <c r="DV37" s="191"/>
      <c r="DW37" s="191"/>
      <c r="DX37" s="191"/>
      <c r="DY37" s="191"/>
      <c r="DZ37" s="191"/>
      <c r="EA37" s="191"/>
      <c r="EB37" s="191"/>
      <c r="EC37" s="191"/>
      <c r="ED37" s="191"/>
      <c r="EE37" s="191"/>
      <c r="EF37" s="191"/>
      <c r="EG37" s="191"/>
      <c r="EH37" s="191"/>
      <c r="EI37" s="191"/>
      <c r="EJ37" s="191"/>
      <c r="EK37" s="191"/>
      <c r="EL37" s="191"/>
      <c r="EM37" s="191"/>
      <c r="EN37" s="191"/>
      <c r="EO37" s="191"/>
      <c r="EP37" s="191"/>
      <c r="EQ37" s="191"/>
      <c r="ER37" s="191"/>
      <c r="ES37" s="191"/>
      <c r="ET37" s="191"/>
      <c r="EU37" s="191"/>
      <c r="EV37" s="191"/>
      <c r="EW37" s="191"/>
      <c r="EX37" s="191"/>
      <c r="EY37" s="191"/>
      <c r="EZ37" s="191"/>
      <c r="FA37" s="191"/>
      <c r="FB37" s="191"/>
      <c r="FC37" s="191"/>
      <c r="FD37" s="191"/>
      <c r="FE37" s="191"/>
      <c r="FF37" s="191"/>
      <c r="FG37" s="191"/>
      <c r="FH37" s="191"/>
      <c r="FI37" s="191"/>
      <c r="FJ37" s="191"/>
      <c r="FK37" s="191"/>
      <c r="FL37" s="191"/>
      <c r="FM37" s="191"/>
      <c r="FN37" s="191"/>
      <c r="FO37" s="191"/>
      <c r="FP37" s="191"/>
      <c r="FQ37" s="191"/>
      <c r="FR37" s="191"/>
      <c r="FS37" s="191"/>
      <c r="FT37" s="191"/>
      <c r="FU37" s="191"/>
      <c r="FV37" s="191"/>
      <c r="FW37" s="191"/>
      <c r="FX37" s="191"/>
      <c r="FY37" s="191"/>
      <c r="FZ37" s="191"/>
      <c r="GA37" s="191"/>
      <c r="GB37" s="191"/>
      <c r="GC37" s="191"/>
      <c r="GD37" s="191"/>
      <c r="GE37" s="191"/>
      <c r="GF37" s="191"/>
      <c r="GG37" s="191"/>
      <c r="GH37" s="191"/>
      <c r="GI37" s="191"/>
      <c r="GJ37" s="191"/>
      <c r="GK37" s="191"/>
      <c r="GL37" s="191"/>
      <c r="GM37" s="191"/>
      <c r="GN37" s="191"/>
      <c r="GO37" s="191"/>
      <c r="GP37" s="191"/>
      <c r="GQ37" s="191"/>
      <c r="GR37" s="191"/>
      <c r="GS37" s="191"/>
      <c r="GT37" s="191"/>
      <c r="GU37" s="191"/>
      <c r="GV37" s="191"/>
      <c r="GW37" s="191"/>
      <c r="GX37" s="191"/>
      <c r="GY37" s="191"/>
      <c r="GZ37" s="191"/>
      <c r="HA37" s="191"/>
      <c r="HB37" s="191"/>
      <c r="HC37" s="191"/>
      <c r="HD37" s="191"/>
      <c r="HE37" s="191"/>
      <c r="HF37" s="191"/>
      <c r="HG37" s="191"/>
      <c r="HH37" s="191"/>
      <c r="HI37" s="191"/>
      <c r="HJ37" s="191"/>
      <c r="HK37" s="191"/>
      <c r="HL37" s="191"/>
      <c r="HM37" s="191"/>
      <c r="HN37" s="191"/>
      <c r="HO37" s="191"/>
      <c r="HP37" s="191"/>
      <c r="HQ37" s="191"/>
      <c r="HR37" s="191"/>
      <c r="HS37" s="191"/>
      <c r="HT37" s="191"/>
      <c r="HU37" s="191"/>
      <c r="HV37" s="191"/>
      <c r="HW37" s="191"/>
      <c r="HX37" s="191"/>
      <c r="HY37" s="191"/>
      <c r="HZ37" s="191"/>
      <c r="IA37" s="191"/>
      <c r="IB37" s="192"/>
      <c r="IC37" s="192"/>
      <c r="ID37" s="192"/>
      <c r="IE37" s="192"/>
      <c r="IF37" s="192"/>
      <c r="IG37" s="192"/>
      <c r="IH37" s="192"/>
      <c r="II37" s="192"/>
      <c r="IJ37" s="192"/>
      <c r="IK37" s="192"/>
      <c r="IL37" s="192"/>
      <c r="IM37" s="192"/>
      <c r="IN37" s="192"/>
      <c r="IO37" s="192"/>
      <c r="IP37" s="192"/>
      <c r="IQ37" s="192"/>
      <c r="IR37" s="192"/>
      <c r="IS37" s="192"/>
      <c r="IT37" s="192"/>
    </row>
    <row r="38" spans="1:254" ht="15">
      <c r="A38" s="8" t="s">
        <v>142</v>
      </c>
      <c r="B38" s="70" t="s">
        <v>143</v>
      </c>
      <c r="C38" s="173">
        <v>1</v>
      </c>
      <c r="D38" s="82">
        <v>2</v>
      </c>
      <c r="E38" s="82">
        <v>3</v>
      </c>
      <c r="F38" s="82">
        <v>4</v>
      </c>
      <c r="G38" s="82">
        <v>5</v>
      </c>
      <c r="H38" s="82">
        <v>6</v>
      </c>
      <c r="I38" s="82">
        <v>7</v>
      </c>
      <c r="J38" s="82">
        <v>8</v>
      </c>
      <c r="K38" s="82">
        <v>9</v>
      </c>
      <c r="L38" s="82">
        <v>10</v>
      </c>
      <c r="M38" s="82">
        <v>11</v>
      </c>
      <c r="N38" s="82">
        <v>12</v>
      </c>
      <c r="O38" s="82">
        <v>13</v>
      </c>
      <c r="P38" s="82">
        <v>14</v>
      </c>
      <c r="Q38" s="82">
        <v>15</v>
      </c>
      <c r="R38" s="82">
        <v>16</v>
      </c>
      <c r="S38" s="82">
        <v>17</v>
      </c>
      <c r="T38" s="82">
        <v>18</v>
      </c>
      <c r="U38" s="82">
        <v>19</v>
      </c>
      <c r="V38" s="82">
        <v>20</v>
      </c>
      <c r="W38" s="82">
        <v>21</v>
      </c>
      <c r="X38" s="82">
        <v>22</v>
      </c>
      <c r="Y38" s="82">
        <v>23</v>
      </c>
      <c r="Z38" s="82">
        <v>24</v>
      </c>
      <c r="AA38" s="82">
        <v>25</v>
      </c>
      <c r="AB38" s="82">
        <v>26</v>
      </c>
      <c r="AC38" s="82">
        <v>27</v>
      </c>
      <c r="AD38" s="82">
        <v>28</v>
      </c>
      <c r="AE38" s="82">
        <v>29</v>
      </c>
      <c r="AF38" s="82">
        <v>30</v>
      </c>
      <c r="AG38" s="82">
        <v>31</v>
      </c>
      <c r="AH38" s="172" t="s">
        <v>144</v>
      </c>
      <c r="AI38" s="191"/>
      <c r="AJ38" s="191"/>
      <c r="AK38" s="191"/>
      <c r="AL38" s="191"/>
      <c r="AM38" s="191"/>
      <c r="AN38" s="191"/>
      <c r="AO38" s="191"/>
      <c r="AP38" s="191"/>
      <c r="AQ38" s="191"/>
      <c r="AR38" s="191"/>
      <c r="AS38" s="191"/>
      <c r="AT38" s="191"/>
      <c r="AU38" s="191"/>
      <c r="AV38" s="191"/>
      <c r="AW38" s="191"/>
      <c r="AX38" s="191"/>
      <c r="AY38" s="191"/>
      <c r="AZ38" s="191"/>
      <c r="BA38" s="191"/>
      <c r="BB38" s="191"/>
      <c r="BC38" s="191"/>
      <c r="BD38" s="191"/>
      <c r="BE38" s="191"/>
      <c r="BF38" s="191"/>
      <c r="BG38" s="191"/>
      <c r="BH38" s="191"/>
      <c r="BI38" s="191"/>
      <c r="BJ38" s="191"/>
      <c r="BK38" s="191"/>
      <c r="BL38" s="191"/>
      <c r="BM38" s="191"/>
      <c r="BN38" s="191"/>
      <c r="BO38" s="191"/>
      <c r="BP38" s="191"/>
      <c r="BQ38" s="191"/>
      <c r="BR38" s="191"/>
      <c r="BS38" s="191"/>
      <c r="BT38" s="191"/>
      <c r="BU38" s="191"/>
      <c r="BV38" s="191"/>
      <c r="BW38" s="191"/>
      <c r="BX38" s="191"/>
      <c r="BY38" s="191"/>
      <c r="BZ38" s="191"/>
      <c r="CA38" s="191"/>
      <c r="CB38" s="191"/>
      <c r="CC38" s="191"/>
      <c r="CD38" s="191"/>
      <c r="CE38" s="191"/>
      <c r="CF38" s="191"/>
      <c r="CG38" s="191"/>
      <c r="CH38" s="191"/>
      <c r="CI38" s="191"/>
      <c r="CJ38" s="191"/>
      <c r="CK38" s="191"/>
      <c r="CL38" s="191"/>
      <c r="CM38" s="191"/>
      <c r="CN38" s="191"/>
      <c r="CO38" s="191"/>
      <c r="CP38" s="191"/>
      <c r="CQ38" s="191"/>
      <c r="CR38" s="191"/>
      <c r="CS38" s="191"/>
      <c r="CT38" s="191"/>
      <c r="CU38" s="191"/>
      <c r="CV38" s="191"/>
      <c r="CW38" s="191"/>
      <c r="CX38" s="191"/>
      <c r="CY38" s="191"/>
      <c r="CZ38" s="191"/>
      <c r="DA38" s="191"/>
      <c r="DB38" s="191"/>
      <c r="DC38" s="191"/>
      <c r="DD38" s="191"/>
      <c r="DE38" s="191"/>
      <c r="DF38" s="191"/>
      <c r="DG38" s="191"/>
      <c r="DH38" s="191"/>
      <c r="DI38" s="191"/>
      <c r="DJ38" s="191"/>
      <c r="DK38" s="191"/>
      <c r="DL38" s="191"/>
      <c r="DM38" s="191"/>
      <c r="DN38" s="191"/>
      <c r="DO38" s="191"/>
      <c r="DP38" s="191"/>
      <c r="DQ38" s="191"/>
      <c r="DR38" s="191"/>
      <c r="DS38" s="191"/>
      <c r="DT38" s="191"/>
      <c r="DU38" s="191"/>
      <c r="DV38" s="191"/>
      <c r="DW38" s="191"/>
      <c r="DX38" s="191"/>
      <c r="DY38" s="191"/>
      <c r="DZ38" s="191"/>
      <c r="EA38" s="191"/>
      <c r="EB38" s="191"/>
      <c r="EC38" s="191"/>
      <c r="ED38" s="191"/>
      <c r="EE38" s="191"/>
      <c r="EF38" s="191"/>
      <c r="EG38" s="191"/>
      <c r="EH38" s="191"/>
      <c r="EI38" s="191"/>
      <c r="EJ38" s="191"/>
      <c r="EK38" s="191"/>
      <c r="EL38" s="191"/>
      <c r="EM38" s="191"/>
      <c r="EN38" s="191"/>
      <c r="EO38" s="191"/>
      <c r="EP38" s="191"/>
      <c r="EQ38" s="191"/>
      <c r="ER38" s="191"/>
      <c r="ES38" s="191"/>
      <c r="ET38" s="191"/>
      <c r="EU38" s="191"/>
      <c r="EV38" s="191"/>
      <c r="EW38" s="191"/>
      <c r="EX38" s="191"/>
      <c r="EY38" s="191"/>
      <c r="EZ38" s="191"/>
      <c r="FA38" s="191"/>
      <c r="FB38" s="191"/>
      <c r="FC38" s="191"/>
      <c r="FD38" s="191"/>
      <c r="FE38" s="191"/>
      <c r="FF38" s="191"/>
      <c r="FG38" s="191"/>
      <c r="FH38" s="191"/>
      <c r="FI38" s="191"/>
      <c r="FJ38" s="191"/>
      <c r="FK38" s="191"/>
      <c r="FL38" s="191"/>
      <c r="FM38" s="191"/>
      <c r="FN38" s="191"/>
      <c r="FO38" s="191"/>
      <c r="FP38" s="191"/>
      <c r="FQ38" s="191"/>
      <c r="FR38" s="191"/>
      <c r="FS38" s="191"/>
      <c r="FT38" s="191"/>
      <c r="FU38" s="191"/>
      <c r="FV38" s="191"/>
      <c r="FW38" s="191"/>
      <c r="FX38" s="191"/>
      <c r="FY38" s="191"/>
      <c r="FZ38" s="191"/>
      <c r="GA38" s="191"/>
      <c r="GB38" s="191"/>
      <c r="GC38" s="191"/>
      <c r="GD38" s="191"/>
      <c r="GE38" s="191"/>
      <c r="GF38" s="191"/>
      <c r="GG38" s="191"/>
      <c r="GH38" s="191"/>
      <c r="GI38" s="191"/>
      <c r="GJ38" s="191"/>
      <c r="GK38" s="191"/>
      <c r="GL38" s="191"/>
      <c r="GM38" s="191"/>
      <c r="GN38" s="191"/>
      <c r="GO38" s="191"/>
      <c r="GP38" s="191"/>
      <c r="GQ38" s="191"/>
      <c r="GR38" s="191"/>
      <c r="GS38" s="191"/>
      <c r="GT38" s="191"/>
      <c r="GU38" s="191"/>
      <c r="GV38" s="191"/>
      <c r="GW38" s="191"/>
      <c r="GX38" s="191"/>
      <c r="GY38" s="191"/>
      <c r="GZ38" s="191"/>
      <c r="HA38" s="191"/>
      <c r="HB38" s="191"/>
      <c r="HC38" s="191"/>
      <c r="HD38" s="191"/>
      <c r="HE38" s="191"/>
      <c r="HF38" s="191"/>
      <c r="HG38" s="191"/>
      <c r="HH38" s="191"/>
      <c r="HI38" s="191"/>
      <c r="HJ38" s="191"/>
      <c r="HK38" s="191"/>
      <c r="HL38" s="191"/>
      <c r="HM38" s="191"/>
      <c r="HN38" s="191"/>
      <c r="HO38" s="191"/>
      <c r="HP38" s="191"/>
      <c r="HQ38" s="191"/>
      <c r="HR38" s="191"/>
      <c r="HS38" s="191"/>
      <c r="HT38" s="191"/>
      <c r="HU38" s="191"/>
      <c r="HV38" s="191"/>
      <c r="HW38" s="191"/>
      <c r="HX38" s="191"/>
      <c r="HY38" s="191"/>
      <c r="HZ38" s="191"/>
      <c r="IA38" s="191"/>
      <c r="IB38" s="192"/>
      <c r="IC38" s="192"/>
      <c r="ID38" s="192"/>
      <c r="IE38" s="192"/>
      <c r="IF38" s="192"/>
      <c r="IG38" s="192"/>
      <c r="IH38" s="192"/>
      <c r="II38" s="192"/>
      <c r="IJ38" s="192"/>
      <c r="IK38" s="192"/>
      <c r="IL38" s="192"/>
      <c r="IM38" s="192"/>
      <c r="IN38" s="192"/>
      <c r="IO38" s="192"/>
      <c r="IP38" s="192"/>
      <c r="IQ38" s="192"/>
      <c r="IR38" s="192"/>
      <c r="IS38" s="192"/>
      <c r="IT38" s="192"/>
    </row>
    <row r="39" spans="1:254" ht="15">
      <c r="A39" s="363" t="s">
        <v>145</v>
      </c>
      <c r="B39" s="70">
        <f>SUM(AH39)</f>
        <v>30.790500000000002</v>
      </c>
      <c r="C39" s="1941">
        <v>0</v>
      </c>
      <c r="D39" s="1941">
        <v>0</v>
      </c>
      <c r="E39" s="1942">
        <v>2.5459999999999998</v>
      </c>
      <c r="F39" s="1941">
        <v>0</v>
      </c>
      <c r="G39" s="1941">
        <v>0</v>
      </c>
      <c r="H39" s="1941">
        <v>0</v>
      </c>
      <c r="I39" s="1941">
        <v>0</v>
      </c>
      <c r="J39" s="1941">
        <v>0</v>
      </c>
      <c r="K39" s="1941">
        <v>0</v>
      </c>
      <c r="L39" s="1941">
        <v>0</v>
      </c>
      <c r="M39" s="1941">
        <v>0</v>
      </c>
      <c r="N39" s="1941">
        <v>0</v>
      </c>
      <c r="O39" s="1942">
        <v>1.4211</v>
      </c>
      <c r="P39" s="1941">
        <v>0</v>
      </c>
      <c r="Q39" s="1941">
        <v>0</v>
      </c>
      <c r="R39" s="1942">
        <v>6.8879999999999999</v>
      </c>
      <c r="S39" s="1941">
        <v>0</v>
      </c>
      <c r="T39" s="1941">
        <v>0</v>
      </c>
      <c r="U39" s="1941">
        <v>0</v>
      </c>
      <c r="V39" s="1941">
        <v>0</v>
      </c>
      <c r="W39" s="1942">
        <v>0.58450000000000002</v>
      </c>
      <c r="X39" s="1941">
        <v>0</v>
      </c>
      <c r="Y39" s="1941">
        <v>0</v>
      </c>
      <c r="Z39" s="1942">
        <v>0.48799999999999999</v>
      </c>
      <c r="AA39" s="1941">
        <v>0</v>
      </c>
      <c r="AB39" s="1942">
        <v>12.422000000000001</v>
      </c>
      <c r="AC39" s="1942">
        <v>0.3619</v>
      </c>
      <c r="AD39" s="1941">
        <v>0</v>
      </c>
      <c r="AE39" s="1941">
        <v>0</v>
      </c>
      <c r="AF39" s="1942">
        <v>4.1980000000000004</v>
      </c>
      <c r="AG39" s="1942">
        <v>1.881</v>
      </c>
      <c r="AH39" s="172">
        <f>SUM(C39:AG39)</f>
        <v>30.790500000000002</v>
      </c>
      <c r="AI39" s="191"/>
      <c r="AJ39" s="191"/>
      <c r="AK39" s="191"/>
      <c r="AL39" s="191"/>
      <c r="AM39" s="191"/>
      <c r="AN39" s="191"/>
      <c r="AO39" s="191"/>
      <c r="AP39" s="191"/>
      <c r="AQ39" s="191"/>
      <c r="AR39" s="191"/>
      <c r="AS39" s="191"/>
      <c r="AT39" s="191"/>
      <c r="AU39" s="191"/>
      <c r="AV39" s="191"/>
      <c r="AW39" s="191"/>
      <c r="AX39" s="191"/>
      <c r="AY39" s="191"/>
      <c r="AZ39" s="191"/>
      <c r="BA39" s="191"/>
      <c r="BB39" s="191"/>
      <c r="BC39" s="191"/>
      <c r="BD39" s="191"/>
      <c r="BE39" s="191"/>
      <c r="BF39" s="191"/>
      <c r="BG39" s="191"/>
      <c r="BH39" s="191"/>
      <c r="BI39" s="191"/>
      <c r="BJ39" s="191"/>
      <c r="BK39" s="191"/>
      <c r="BL39" s="191"/>
      <c r="BM39" s="191"/>
      <c r="BN39" s="191"/>
      <c r="BO39" s="191"/>
      <c r="BP39" s="191"/>
      <c r="BQ39" s="191"/>
      <c r="BR39" s="191"/>
      <c r="BS39" s="191"/>
      <c r="BT39" s="191"/>
      <c r="BU39" s="191"/>
      <c r="BV39" s="191"/>
      <c r="BW39" s="191"/>
      <c r="BX39" s="191"/>
      <c r="BY39" s="191"/>
      <c r="BZ39" s="191"/>
      <c r="CA39" s="191"/>
      <c r="CB39" s="191"/>
      <c r="CC39" s="191"/>
      <c r="CD39" s="191"/>
      <c r="CE39" s="191"/>
      <c r="CF39" s="191"/>
      <c r="CG39" s="191"/>
      <c r="CH39" s="191"/>
      <c r="CI39" s="191"/>
      <c r="CJ39" s="191"/>
      <c r="CK39" s="191"/>
      <c r="CL39" s="191"/>
      <c r="CM39" s="191"/>
      <c r="CN39" s="191"/>
      <c r="CO39" s="191"/>
      <c r="CP39" s="191"/>
      <c r="CQ39" s="191"/>
      <c r="CR39" s="191"/>
      <c r="CS39" s="191"/>
      <c r="CT39" s="191"/>
      <c r="CU39" s="191"/>
      <c r="CV39" s="191"/>
      <c r="CW39" s="191"/>
      <c r="CX39" s="191"/>
      <c r="CY39" s="191"/>
      <c r="CZ39" s="191"/>
      <c r="DA39" s="191"/>
      <c r="DB39" s="191"/>
      <c r="DC39" s="191"/>
      <c r="DD39" s="191"/>
      <c r="DE39" s="191"/>
      <c r="DF39" s="191"/>
      <c r="DG39" s="191"/>
      <c r="DH39" s="191"/>
      <c r="DI39" s="191"/>
      <c r="DJ39" s="191"/>
      <c r="DK39" s="191"/>
      <c r="DL39" s="191"/>
      <c r="DM39" s="191"/>
      <c r="DN39" s="191"/>
      <c r="DO39" s="191"/>
      <c r="DP39" s="191"/>
      <c r="DQ39" s="191"/>
      <c r="DR39" s="191"/>
      <c r="DS39" s="191"/>
      <c r="DT39" s="191"/>
      <c r="DU39" s="191"/>
      <c r="DV39" s="191"/>
      <c r="DW39" s="191"/>
      <c r="DX39" s="191"/>
      <c r="DY39" s="191"/>
      <c r="DZ39" s="191"/>
      <c r="EA39" s="191"/>
      <c r="EB39" s="191"/>
      <c r="EC39" s="191"/>
      <c r="ED39" s="191"/>
      <c r="EE39" s="191"/>
      <c r="EF39" s="191"/>
      <c r="EG39" s="191"/>
      <c r="EH39" s="191"/>
      <c r="EI39" s="191"/>
      <c r="EJ39" s="191"/>
      <c r="EK39" s="191"/>
      <c r="EL39" s="191"/>
      <c r="EM39" s="191"/>
      <c r="EN39" s="191"/>
      <c r="EO39" s="191"/>
      <c r="EP39" s="191"/>
      <c r="EQ39" s="191"/>
      <c r="ER39" s="191"/>
      <c r="ES39" s="191"/>
      <c r="ET39" s="191"/>
      <c r="EU39" s="191"/>
      <c r="EV39" s="191"/>
      <c r="EW39" s="191"/>
      <c r="EX39" s="191"/>
      <c r="EY39" s="191"/>
      <c r="EZ39" s="191"/>
      <c r="FA39" s="191"/>
      <c r="FB39" s="191"/>
      <c r="FC39" s="191"/>
      <c r="FD39" s="191"/>
      <c r="FE39" s="191"/>
      <c r="FF39" s="191"/>
      <c r="FG39" s="191"/>
      <c r="FH39" s="191"/>
      <c r="FI39" s="191"/>
      <c r="FJ39" s="191"/>
      <c r="FK39" s="191"/>
      <c r="FL39" s="191"/>
      <c r="FM39" s="191"/>
      <c r="FN39" s="191"/>
      <c r="FO39" s="191"/>
      <c r="FP39" s="191"/>
      <c r="FQ39" s="191"/>
      <c r="FR39" s="191"/>
      <c r="FS39" s="191"/>
      <c r="FT39" s="191"/>
      <c r="FU39" s="191"/>
      <c r="FV39" s="191"/>
      <c r="FW39" s="191"/>
      <c r="FX39" s="191"/>
      <c r="FY39" s="191"/>
      <c r="FZ39" s="191"/>
      <c r="GA39" s="191"/>
      <c r="GB39" s="191"/>
      <c r="GC39" s="191"/>
      <c r="GD39" s="191"/>
      <c r="GE39" s="191"/>
      <c r="GF39" s="191"/>
      <c r="GG39" s="191"/>
      <c r="GH39" s="191"/>
      <c r="GI39" s="191"/>
      <c r="GJ39" s="191"/>
      <c r="GK39" s="191"/>
      <c r="GL39" s="191"/>
      <c r="GM39" s="191"/>
      <c r="GN39" s="191"/>
      <c r="GO39" s="191"/>
      <c r="GP39" s="191"/>
      <c r="GQ39" s="191"/>
      <c r="GR39" s="191"/>
      <c r="GS39" s="191"/>
      <c r="GT39" s="191"/>
      <c r="GU39" s="191"/>
      <c r="GV39" s="191"/>
      <c r="GW39" s="191"/>
      <c r="GX39" s="191"/>
      <c r="GY39" s="191"/>
      <c r="GZ39" s="191"/>
      <c r="HA39" s="191"/>
      <c r="HB39" s="191"/>
      <c r="HC39" s="191"/>
      <c r="HD39" s="191"/>
      <c r="HE39" s="191"/>
      <c r="HF39" s="191"/>
      <c r="HG39" s="191"/>
      <c r="HH39" s="191"/>
      <c r="HI39" s="191"/>
      <c r="HJ39" s="191"/>
      <c r="HK39" s="191"/>
      <c r="HL39" s="191"/>
      <c r="HM39" s="191"/>
      <c r="HN39" s="191"/>
      <c r="HO39" s="191"/>
      <c r="HP39" s="191"/>
      <c r="HQ39" s="191"/>
      <c r="HR39" s="191"/>
      <c r="HS39" s="191"/>
      <c r="HT39" s="191"/>
      <c r="HU39" s="191"/>
      <c r="HV39" s="191"/>
      <c r="HW39" s="191"/>
      <c r="HX39" s="191"/>
      <c r="HY39" s="191"/>
      <c r="HZ39" s="191"/>
      <c r="IA39" s="191"/>
      <c r="IB39" s="192"/>
      <c r="IC39" s="192"/>
      <c r="ID39" s="192"/>
      <c r="IE39" s="192"/>
      <c r="IF39" s="192"/>
      <c r="IG39" s="192"/>
      <c r="IH39" s="192"/>
      <c r="II39" s="192"/>
      <c r="IJ39" s="192"/>
      <c r="IK39" s="192"/>
      <c r="IL39" s="192"/>
      <c r="IM39" s="192"/>
      <c r="IN39" s="192"/>
      <c r="IO39" s="192"/>
      <c r="IP39" s="192"/>
      <c r="IQ39" s="192"/>
      <c r="IR39" s="192"/>
      <c r="IS39" s="192"/>
      <c r="IT39" s="192"/>
    </row>
    <row r="40" spans="1:254" ht="15">
      <c r="A40" s="363" t="s">
        <v>146</v>
      </c>
      <c r="B40" s="70">
        <f t="shared" ref="B40:B50" si="6">SUM(AH40)</f>
        <v>15.305</v>
      </c>
      <c r="C40" s="1941">
        <v>0</v>
      </c>
      <c r="D40" s="1943">
        <v>0</v>
      </c>
      <c r="E40" s="1942">
        <v>6.1559999999999997</v>
      </c>
      <c r="F40" s="1941">
        <v>0</v>
      </c>
      <c r="G40" s="1941">
        <v>0</v>
      </c>
      <c r="H40" s="1942">
        <v>0.88100000000000001</v>
      </c>
      <c r="I40" s="1942">
        <v>0.37</v>
      </c>
      <c r="J40" s="1942">
        <v>2.1110000000000002</v>
      </c>
      <c r="K40" s="1941">
        <v>0</v>
      </c>
      <c r="L40" s="1942">
        <v>5.7869999999999999</v>
      </c>
      <c r="M40" s="1941">
        <v>0</v>
      </c>
      <c r="N40" s="1941">
        <v>0</v>
      </c>
      <c r="O40" s="1941">
        <v>0</v>
      </c>
      <c r="P40" s="1941">
        <v>0</v>
      </c>
      <c r="Q40" s="1941">
        <v>0</v>
      </c>
      <c r="R40" s="1941">
        <v>0</v>
      </c>
      <c r="S40" s="1941">
        <v>0</v>
      </c>
      <c r="T40" s="1941">
        <v>0</v>
      </c>
      <c r="U40" s="1941">
        <v>0</v>
      </c>
      <c r="V40" s="1941">
        <v>0</v>
      </c>
      <c r="W40" s="1941">
        <v>0</v>
      </c>
      <c r="X40" s="1941">
        <v>0</v>
      </c>
      <c r="Y40" s="1941">
        <v>0</v>
      </c>
      <c r="Z40" s="1941">
        <v>0</v>
      </c>
      <c r="AA40" s="1941">
        <v>0</v>
      </c>
      <c r="AB40" s="1941">
        <v>0</v>
      </c>
      <c r="AC40" s="1941">
        <v>0</v>
      </c>
      <c r="AD40" s="1941">
        <v>0</v>
      </c>
      <c r="AE40" s="1941">
        <v>0</v>
      </c>
      <c r="AF40" s="1941">
        <v>0</v>
      </c>
      <c r="AG40" s="1941">
        <v>0</v>
      </c>
      <c r="AH40" s="172">
        <f t="shared" ref="AH40:AH50" si="7">SUM(C40:AG40)</f>
        <v>15.305</v>
      </c>
      <c r="AI40" s="191"/>
      <c r="AJ40" s="191"/>
      <c r="AK40" s="191"/>
      <c r="AL40" s="191"/>
      <c r="AM40" s="191"/>
      <c r="AN40" s="191"/>
      <c r="AO40" s="191"/>
      <c r="AP40" s="191"/>
      <c r="AQ40" s="191"/>
      <c r="AR40" s="191"/>
      <c r="AS40" s="191"/>
      <c r="AT40" s="191"/>
      <c r="AU40" s="191"/>
      <c r="AV40" s="191"/>
      <c r="AW40" s="191"/>
      <c r="AX40" s="191"/>
      <c r="AY40" s="191"/>
      <c r="AZ40" s="191"/>
      <c r="BA40" s="191"/>
      <c r="BB40" s="191"/>
      <c r="BC40" s="191"/>
      <c r="BD40" s="191"/>
      <c r="BE40" s="191"/>
      <c r="BF40" s="191"/>
      <c r="BG40" s="191"/>
      <c r="BH40" s="191"/>
      <c r="BI40" s="191"/>
      <c r="BJ40" s="191"/>
      <c r="BK40" s="191"/>
      <c r="BL40" s="191"/>
      <c r="BM40" s="191"/>
      <c r="BN40" s="191"/>
      <c r="BO40" s="191"/>
      <c r="BP40" s="191"/>
      <c r="BQ40" s="191"/>
      <c r="BR40" s="191"/>
      <c r="BS40" s="191"/>
      <c r="BT40" s="191"/>
      <c r="BU40" s="191"/>
      <c r="BV40" s="191"/>
      <c r="BW40" s="191"/>
      <c r="BX40" s="191"/>
      <c r="BY40" s="191"/>
      <c r="BZ40" s="191"/>
      <c r="CA40" s="191"/>
      <c r="CB40" s="191"/>
      <c r="CC40" s="191"/>
      <c r="CD40" s="191"/>
      <c r="CE40" s="191"/>
      <c r="CF40" s="191"/>
      <c r="CG40" s="191"/>
      <c r="CH40" s="191"/>
      <c r="CI40" s="191"/>
      <c r="CJ40" s="191"/>
      <c r="CK40" s="191"/>
      <c r="CL40" s="191"/>
      <c r="CM40" s="191"/>
      <c r="CN40" s="191"/>
      <c r="CO40" s="191"/>
      <c r="CP40" s="191"/>
      <c r="CQ40" s="191"/>
      <c r="CR40" s="191"/>
      <c r="CS40" s="191"/>
      <c r="CT40" s="191"/>
      <c r="CU40" s="191"/>
      <c r="CV40" s="191"/>
      <c r="CW40" s="191"/>
      <c r="CX40" s="191"/>
      <c r="CY40" s="191"/>
      <c r="CZ40" s="191"/>
      <c r="DA40" s="191"/>
      <c r="DB40" s="191"/>
      <c r="DC40" s="191"/>
      <c r="DD40" s="191"/>
      <c r="DE40" s="191"/>
      <c r="DF40" s="191"/>
      <c r="DG40" s="191"/>
      <c r="DH40" s="191"/>
      <c r="DI40" s="191"/>
      <c r="DJ40" s="191"/>
      <c r="DK40" s="191"/>
      <c r="DL40" s="191"/>
      <c r="DM40" s="191"/>
      <c r="DN40" s="191"/>
      <c r="DO40" s="191"/>
      <c r="DP40" s="191"/>
      <c r="DQ40" s="191"/>
      <c r="DR40" s="191"/>
      <c r="DS40" s="191"/>
      <c r="DT40" s="191"/>
      <c r="DU40" s="191"/>
      <c r="DV40" s="191"/>
      <c r="DW40" s="191"/>
      <c r="DX40" s="191"/>
      <c r="DY40" s="191"/>
      <c r="DZ40" s="191"/>
      <c r="EA40" s="191"/>
      <c r="EB40" s="191"/>
      <c r="EC40" s="191"/>
      <c r="ED40" s="191"/>
      <c r="EE40" s="191"/>
      <c r="EF40" s="191"/>
      <c r="EG40" s="191"/>
      <c r="EH40" s="191"/>
      <c r="EI40" s="191"/>
      <c r="EJ40" s="191"/>
      <c r="EK40" s="191"/>
      <c r="EL40" s="191"/>
      <c r="EM40" s="191"/>
      <c r="EN40" s="191"/>
      <c r="EO40" s="191"/>
      <c r="EP40" s="191"/>
      <c r="EQ40" s="191"/>
      <c r="ER40" s="191"/>
      <c r="ES40" s="191"/>
      <c r="ET40" s="191"/>
      <c r="EU40" s="191"/>
      <c r="EV40" s="191"/>
      <c r="EW40" s="191"/>
      <c r="EX40" s="191"/>
      <c r="EY40" s="191"/>
      <c r="EZ40" s="191"/>
      <c r="FA40" s="191"/>
      <c r="FB40" s="191"/>
      <c r="FC40" s="191"/>
      <c r="FD40" s="191"/>
      <c r="FE40" s="191"/>
      <c r="FF40" s="191"/>
      <c r="FG40" s="191"/>
      <c r="FH40" s="191"/>
      <c r="FI40" s="191"/>
      <c r="FJ40" s="191"/>
      <c r="FK40" s="191"/>
      <c r="FL40" s="191"/>
      <c r="FM40" s="191"/>
      <c r="FN40" s="191"/>
      <c r="FO40" s="191"/>
      <c r="FP40" s="191"/>
      <c r="FQ40" s="191"/>
      <c r="FR40" s="191"/>
      <c r="FS40" s="191"/>
      <c r="FT40" s="191"/>
      <c r="FU40" s="191"/>
      <c r="FV40" s="191"/>
      <c r="FW40" s="191"/>
      <c r="FX40" s="191"/>
      <c r="FY40" s="191"/>
      <c r="FZ40" s="191"/>
      <c r="GA40" s="191"/>
      <c r="GB40" s="191"/>
      <c r="GC40" s="191"/>
      <c r="GD40" s="191"/>
      <c r="GE40" s="191"/>
      <c r="GF40" s="191"/>
      <c r="GG40" s="191"/>
      <c r="GH40" s="191"/>
      <c r="GI40" s="191"/>
      <c r="GJ40" s="191"/>
      <c r="GK40" s="191"/>
      <c r="GL40" s="191"/>
      <c r="GM40" s="191"/>
      <c r="GN40" s="191"/>
      <c r="GO40" s="191"/>
      <c r="GP40" s="191"/>
      <c r="GQ40" s="191"/>
      <c r="GR40" s="191"/>
      <c r="GS40" s="191"/>
      <c r="GT40" s="191"/>
      <c r="GU40" s="191"/>
      <c r="GV40" s="191"/>
      <c r="GW40" s="191"/>
      <c r="GX40" s="191"/>
      <c r="GY40" s="191"/>
      <c r="GZ40" s="191"/>
      <c r="HA40" s="191"/>
      <c r="HB40" s="191"/>
      <c r="HC40" s="191"/>
      <c r="HD40" s="191"/>
      <c r="HE40" s="191"/>
      <c r="HF40" s="191"/>
      <c r="HG40" s="191"/>
      <c r="HH40" s="191"/>
      <c r="HI40" s="191"/>
      <c r="HJ40" s="191"/>
      <c r="HK40" s="191"/>
      <c r="HL40" s="191"/>
      <c r="HM40" s="191"/>
      <c r="HN40" s="191"/>
      <c r="HO40" s="191"/>
      <c r="HP40" s="191"/>
      <c r="HQ40" s="191"/>
      <c r="HR40" s="191"/>
      <c r="HS40" s="191"/>
      <c r="HT40" s="191"/>
      <c r="HU40" s="191"/>
      <c r="HV40" s="191"/>
      <c r="HW40" s="191"/>
      <c r="HX40" s="191"/>
      <c r="HY40" s="191"/>
      <c r="HZ40" s="191"/>
      <c r="IA40" s="191"/>
      <c r="IB40" s="192"/>
      <c r="IC40" s="192"/>
      <c r="ID40" s="192"/>
      <c r="IE40" s="192"/>
      <c r="IF40" s="192"/>
      <c r="IG40" s="192"/>
      <c r="IH40" s="192"/>
      <c r="II40" s="192"/>
      <c r="IJ40" s="192"/>
      <c r="IK40" s="192"/>
      <c r="IL40" s="192"/>
      <c r="IM40" s="192"/>
      <c r="IN40" s="192"/>
      <c r="IO40" s="192"/>
      <c r="IP40" s="192"/>
      <c r="IQ40" s="192"/>
      <c r="IR40" s="192"/>
      <c r="IS40" s="192"/>
      <c r="IT40" s="192"/>
    </row>
    <row r="41" spans="1:254" ht="15">
      <c r="A41" s="375" t="s">
        <v>147</v>
      </c>
      <c r="B41" s="70">
        <f t="shared" si="6"/>
        <v>0</v>
      </c>
      <c r="C41" s="1941">
        <v>0</v>
      </c>
      <c r="D41" s="1941">
        <v>0</v>
      </c>
      <c r="E41" s="1941">
        <v>0</v>
      </c>
      <c r="F41" s="1941">
        <v>0</v>
      </c>
      <c r="G41" s="1941">
        <v>0</v>
      </c>
      <c r="H41" s="1941">
        <v>0</v>
      </c>
      <c r="I41" s="1941">
        <v>0</v>
      </c>
      <c r="J41" s="1941">
        <v>0</v>
      </c>
      <c r="K41" s="1941">
        <v>0</v>
      </c>
      <c r="L41" s="1941">
        <v>0</v>
      </c>
      <c r="M41" s="1941">
        <v>0</v>
      </c>
      <c r="N41" s="1941">
        <v>0</v>
      </c>
      <c r="O41" s="1941">
        <v>0</v>
      </c>
      <c r="P41" s="1941">
        <v>0</v>
      </c>
      <c r="Q41" s="1941">
        <v>0</v>
      </c>
      <c r="R41" s="1941">
        <v>0</v>
      </c>
      <c r="S41" s="1941">
        <v>0</v>
      </c>
      <c r="T41" s="1941">
        <v>0</v>
      </c>
      <c r="U41" s="1941">
        <v>0</v>
      </c>
      <c r="V41" s="1941">
        <v>0</v>
      </c>
      <c r="W41" s="1941">
        <v>0</v>
      </c>
      <c r="X41" s="1941">
        <v>0</v>
      </c>
      <c r="Y41" s="1941">
        <v>0</v>
      </c>
      <c r="Z41" s="1941">
        <v>0</v>
      </c>
      <c r="AA41" s="1941">
        <v>0</v>
      </c>
      <c r="AB41" s="1941">
        <v>0</v>
      </c>
      <c r="AC41" s="1941">
        <v>0</v>
      </c>
      <c r="AD41" s="1941">
        <v>0</v>
      </c>
      <c r="AE41" s="1941">
        <v>0</v>
      </c>
      <c r="AF41" s="1941">
        <v>0</v>
      </c>
      <c r="AG41" s="1941">
        <v>0</v>
      </c>
      <c r="AH41" s="172">
        <f t="shared" si="7"/>
        <v>0</v>
      </c>
      <c r="AI41" s="191"/>
      <c r="AJ41" s="191"/>
      <c r="AK41" s="191"/>
      <c r="AL41" s="191"/>
      <c r="AM41" s="191"/>
      <c r="AN41" s="191"/>
      <c r="AO41" s="191"/>
      <c r="AP41" s="191"/>
      <c r="AQ41" s="191"/>
      <c r="AR41" s="191"/>
      <c r="AS41" s="191"/>
      <c r="AT41" s="191"/>
      <c r="AU41" s="191"/>
      <c r="AV41" s="191"/>
      <c r="AW41" s="191"/>
      <c r="AX41" s="191"/>
      <c r="AY41" s="191"/>
      <c r="AZ41" s="191"/>
      <c r="BA41" s="191"/>
      <c r="BB41" s="191"/>
      <c r="BC41" s="191"/>
      <c r="BD41" s="191"/>
      <c r="BE41" s="191"/>
      <c r="BF41" s="191"/>
      <c r="BG41" s="191"/>
      <c r="BH41" s="191"/>
      <c r="BI41" s="191"/>
      <c r="BJ41" s="191"/>
      <c r="BK41" s="191"/>
      <c r="BL41" s="191"/>
      <c r="BM41" s="191"/>
      <c r="BN41" s="191"/>
      <c r="BO41" s="191"/>
      <c r="BP41" s="191"/>
      <c r="BQ41" s="191"/>
      <c r="BR41" s="191"/>
      <c r="BS41" s="191"/>
      <c r="BT41" s="191"/>
      <c r="BU41" s="191"/>
      <c r="BV41" s="191"/>
      <c r="BW41" s="191"/>
      <c r="BX41" s="191"/>
      <c r="BY41" s="191"/>
      <c r="BZ41" s="191"/>
      <c r="CA41" s="191"/>
      <c r="CB41" s="191"/>
      <c r="CC41" s="191"/>
      <c r="CD41" s="191"/>
      <c r="CE41" s="191"/>
      <c r="CF41" s="191"/>
      <c r="CG41" s="191"/>
      <c r="CH41" s="191"/>
      <c r="CI41" s="191"/>
      <c r="CJ41" s="191"/>
      <c r="CK41" s="191"/>
      <c r="CL41" s="191"/>
      <c r="CM41" s="191"/>
      <c r="CN41" s="191"/>
      <c r="CO41" s="191"/>
      <c r="CP41" s="191"/>
      <c r="CQ41" s="191"/>
      <c r="CR41" s="191"/>
      <c r="CS41" s="191"/>
      <c r="CT41" s="191"/>
      <c r="CU41" s="191"/>
      <c r="CV41" s="191"/>
      <c r="CW41" s="191"/>
      <c r="CX41" s="191"/>
      <c r="CY41" s="191"/>
      <c r="CZ41" s="191"/>
      <c r="DA41" s="191"/>
      <c r="DB41" s="191"/>
      <c r="DC41" s="191"/>
      <c r="DD41" s="191"/>
      <c r="DE41" s="191"/>
      <c r="DF41" s="191"/>
      <c r="DG41" s="191"/>
      <c r="DH41" s="191"/>
      <c r="DI41" s="191"/>
      <c r="DJ41" s="191"/>
      <c r="DK41" s="191"/>
      <c r="DL41" s="191"/>
      <c r="DM41" s="191"/>
      <c r="DN41" s="191"/>
      <c r="DO41" s="191"/>
      <c r="DP41" s="191"/>
      <c r="DQ41" s="191"/>
      <c r="DR41" s="191"/>
      <c r="DS41" s="191"/>
      <c r="DT41" s="191"/>
      <c r="DU41" s="191"/>
      <c r="DV41" s="191"/>
      <c r="DW41" s="191"/>
      <c r="DX41" s="191"/>
      <c r="DY41" s="191"/>
      <c r="DZ41" s="191"/>
      <c r="EA41" s="191"/>
      <c r="EB41" s="191"/>
      <c r="EC41" s="191"/>
      <c r="ED41" s="191"/>
      <c r="EE41" s="191"/>
      <c r="EF41" s="191"/>
      <c r="EG41" s="191"/>
      <c r="EH41" s="191"/>
      <c r="EI41" s="191"/>
      <c r="EJ41" s="191"/>
      <c r="EK41" s="191"/>
      <c r="EL41" s="191"/>
      <c r="EM41" s="191"/>
      <c r="EN41" s="191"/>
      <c r="EO41" s="191"/>
      <c r="EP41" s="191"/>
      <c r="EQ41" s="191"/>
      <c r="ER41" s="191"/>
      <c r="ES41" s="191"/>
      <c r="ET41" s="191"/>
      <c r="EU41" s="191"/>
      <c r="EV41" s="191"/>
      <c r="EW41" s="191"/>
      <c r="EX41" s="191"/>
      <c r="EY41" s="191"/>
      <c r="EZ41" s="191"/>
      <c r="FA41" s="191"/>
      <c r="FB41" s="191"/>
      <c r="FC41" s="191"/>
      <c r="FD41" s="191"/>
      <c r="FE41" s="191"/>
      <c r="FF41" s="191"/>
      <c r="FG41" s="191"/>
      <c r="FH41" s="191"/>
      <c r="FI41" s="191"/>
      <c r="FJ41" s="191"/>
      <c r="FK41" s="191"/>
      <c r="FL41" s="191"/>
      <c r="FM41" s="191"/>
      <c r="FN41" s="191"/>
      <c r="FO41" s="191"/>
      <c r="FP41" s="191"/>
      <c r="FQ41" s="191"/>
      <c r="FR41" s="191"/>
      <c r="FS41" s="191"/>
      <c r="FT41" s="191"/>
      <c r="FU41" s="191"/>
      <c r="FV41" s="191"/>
      <c r="FW41" s="191"/>
      <c r="FX41" s="191"/>
      <c r="FY41" s="191"/>
      <c r="FZ41" s="191"/>
      <c r="GA41" s="191"/>
      <c r="GB41" s="191"/>
      <c r="GC41" s="191"/>
      <c r="GD41" s="191"/>
      <c r="GE41" s="191"/>
      <c r="GF41" s="191"/>
      <c r="GG41" s="191"/>
      <c r="GH41" s="191"/>
      <c r="GI41" s="191"/>
      <c r="GJ41" s="191"/>
      <c r="GK41" s="191"/>
      <c r="GL41" s="191"/>
      <c r="GM41" s="191"/>
      <c r="GN41" s="191"/>
      <c r="GO41" s="191"/>
      <c r="GP41" s="191"/>
      <c r="GQ41" s="191"/>
      <c r="GR41" s="191"/>
      <c r="GS41" s="191"/>
      <c r="GT41" s="191"/>
      <c r="GU41" s="191"/>
      <c r="GV41" s="191"/>
      <c r="GW41" s="191"/>
      <c r="GX41" s="191"/>
      <c r="GY41" s="191"/>
      <c r="GZ41" s="191"/>
      <c r="HA41" s="191"/>
      <c r="HB41" s="191"/>
      <c r="HC41" s="191"/>
      <c r="HD41" s="191"/>
      <c r="HE41" s="191"/>
      <c r="HF41" s="191"/>
      <c r="HG41" s="191"/>
      <c r="HH41" s="191"/>
      <c r="HI41" s="191"/>
      <c r="HJ41" s="191"/>
      <c r="HK41" s="191"/>
      <c r="HL41" s="191"/>
      <c r="HM41" s="191"/>
      <c r="HN41" s="191"/>
      <c r="HO41" s="191"/>
      <c r="HP41" s="191"/>
      <c r="HQ41" s="191"/>
      <c r="HR41" s="191"/>
      <c r="HS41" s="191"/>
      <c r="HT41" s="191"/>
      <c r="HU41" s="191"/>
      <c r="HV41" s="191"/>
      <c r="HW41" s="191"/>
      <c r="HX41" s="191"/>
      <c r="HY41" s="191"/>
      <c r="HZ41" s="191"/>
      <c r="IA41" s="191"/>
      <c r="IB41" s="192"/>
      <c r="IC41" s="192"/>
      <c r="ID41" s="192"/>
      <c r="IE41" s="192"/>
      <c r="IF41" s="192"/>
      <c r="IG41" s="192"/>
      <c r="IH41" s="192"/>
      <c r="II41" s="192"/>
      <c r="IJ41" s="192"/>
      <c r="IK41" s="192"/>
      <c r="IL41" s="192"/>
      <c r="IM41" s="192"/>
      <c r="IN41" s="192"/>
      <c r="IO41" s="192"/>
      <c r="IP41" s="192"/>
      <c r="IQ41" s="192"/>
      <c r="IR41" s="192"/>
      <c r="IS41" s="192"/>
      <c r="IT41" s="192"/>
    </row>
    <row r="42" spans="1:254" ht="15">
      <c r="A42" s="375" t="s">
        <v>148</v>
      </c>
      <c r="B42" s="70">
        <f t="shared" si="6"/>
        <v>12.3264</v>
      </c>
      <c r="C42" s="1941">
        <v>0</v>
      </c>
      <c r="D42" s="1941">
        <v>0</v>
      </c>
      <c r="E42" s="1944">
        <v>0.65500000000000003</v>
      </c>
      <c r="F42" s="1944">
        <v>1.2774000000000001</v>
      </c>
      <c r="G42" s="1941">
        <v>0</v>
      </c>
      <c r="H42" s="1941">
        <v>0</v>
      </c>
      <c r="I42" s="1941">
        <v>0</v>
      </c>
      <c r="J42" s="1941">
        <v>0</v>
      </c>
      <c r="K42" s="1941">
        <v>0</v>
      </c>
      <c r="L42" s="1941">
        <v>0</v>
      </c>
      <c r="M42" s="1941">
        <v>0</v>
      </c>
      <c r="N42" s="1941">
        <v>0</v>
      </c>
      <c r="O42" s="1941">
        <v>0</v>
      </c>
      <c r="P42" s="1942">
        <v>7.6999999999999999E-2</v>
      </c>
      <c r="Q42" s="1941">
        <v>0</v>
      </c>
      <c r="R42" s="1942">
        <v>0.627</v>
      </c>
      <c r="S42" s="1941">
        <v>0</v>
      </c>
      <c r="T42" s="1941">
        <v>0</v>
      </c>
      <c r="U42" s="1941">
        <v>0</v>
      </c>
      <c r="V42" s="1941">
        <v>0</v>
      </c>
      <c r="W42" s="1941">
        <v>0</v>
      </c>
      <c r="X42" s="1941">
        <v>0</v>
      </c>
      <c r="Y42" s="1942">
        <v>1.911</v>
      </c>
      <c r="Z42" s="1942">
        <v>0.44400000000000001</v>
      </c>
      <c r="AA42" s="1942">
        <v>0.56499999999999995</v>
      </c>
      <c r="AB42" s="1941">
        <v>0</v>
      </c>
      <c r="AC42" s="1942">
        <v>2.786</v>
      </c>
      <c r="AD42" s="1941">
        <v>0</v>
      </c>
      <c r="AE42" s="1941">
        <v>0</v>
      </c>
      <c r="AF42" s="1942">
        <v>3.984</v>
      </c>
      <c r="AG42" s="1941">
        <v>0</v>
      </c>
      <c r="AH42" s="172">
        <f t="shared" si="7"/>
        <v>12.3264</v>
      </c>
      <c r="AI42" s="191"/>
      <c r="AJ42" s="191"/>
      <c r="AK42" s="191"/>
      <c r="AL42" s="191"/>
      <c r="AM42" s="191"/>
      <c r="AN42" s="191"/>
      <c r="AO42" s="191"/>
      <c r="AP42" s="191"/>
      <c r="AQ42" s="191"/>
      <c r="AR42" s="191"/>
      <c r="AS42" s="191"/>
      <c r="AT42" s="191"/>
      <c r="AU42" s="191"/>
      <c r="AV42" s="191"/>
      <c r="AW42" s="191"/>
      <c r="AX42" s="191"/>
      <c r="AY42" s="191"/>
      <c r="AZ42" s="191"/>
      <c r="BA42" s="191"/>
      <c r="BB42" s="191"/>
      <c r="BC42" s="191"/>
      <c r="BD42" s="191"/>
      <c r="BE42" s="191"/>
      <c r="BF42" s="191"/>
      <c r="BG42" s="191"/>
      <c r="BH42" s="191"/>
      <c r="BI42" s="191"/>
      <c r="BJ42" s="191"/>
      <c r="BK42" s="191"/>
      <c r="BL42" s="191"/>
      <c r="BM42" s="191"/>
      <c r="BN42" s="191"/>
      <c r="BO42" s="191"/>
      <c r="BP42" s="191"/>
      <c r="BQ42" s="191"/>
      <c r="BR42" s="191"/>
      <c r="BS42" s="191"/>
      <c r="BT42" s="191"/>
      <c r="BU42" s="191"/>
      <c r="BV42" s="191"/>
      <c r="BW42" s="191"/>
      <c r="BX42" s="191"/>
      <c r="BY42" s="191"/>
      <c r="BZ42" s="191"/>
      <c r="CA42" s="191"/>
      <c r="CB42" s="191"/>
      <c r="CC42" s="191"/>
      <c r="CD42" s="191"/>
      <c r="CE42" s="191"/>
      <c r="CF42" s="191"/>
      <c r="CG42" s="191"/>
      <c r="CH42" s="191"/>
      <c r="CI42" s="191"/>
      <c r="CJ42" s="191"/>
      <c r="CK42" s="191"/>
      <c r="CL42" s="191"/>
      <c r="CM42" s="191"/>
      <c r="CN42" s="191"/>
      <c r="CO42" s="191"/>
      <c r="CP42" s="191"/>
      <c r="CQ42" s="191"/>
      <c r="CR42" s="191"/>
      <c r="CS42" s="191"/>
      <c r="CT42" s="191"/>
      <c r="CU42" s="191"/>
      <c r="CV42" s="191"/>
      <c r="CW42" s="191"/>
      <c r="CX42" s="191"/>
      <c r="CY42" s="191"/>
      <c r="CZ42" s="191"/>
      <c r="DA42" s="191"/>
      <c r="DB42" s="191"/>
      <c r="DC42" s="191"/>
      <c r="DD42" s="191"/>
      <c r="DE42" s="191"/>
      <c r="DF42" s="191"/>
      <c r="DG42" s="191"/>
      <c r="DH42" s="191"/>
      <c r="DI42" s="191"/>
      <c r="DJ42" s="191"/>
      <c r="DK42" s="191"/>
      <c r="DL42" s="191"/>
      <c r="DM42" s="191"/>
      <c r="DN42" s="191"/>
      <c r="DO42" s="191"/>
      <c r="DP42" s="191"/>
      <c r="DQ42" s="191"/>
      <c r="DR42" s="191"/>
      <c r="DS42" s="191"/>
      <c r="DT42" s="191"/>
      <c r="DU42" s="191"/>
      <c r="DV42" s="191"/>
      <c r="DW42" s="191"/>
      <c r="DX42" s="191"/>
      <c r="DY42" s="191"/>
      <c r="DZ42" s="191"/>
      <c r="EA42" s="191"/>
      <c r="EB42" s="191"/>
      <c r="EC42" s="191"/>
      <c r="ED42" s="191"/>
      <c r="EE42" s="191"/>
      <c r="EF42" s="191"/>
      <c r="EG42" s="191"/>
      <c r="EH42" s="191"/>
      <c r="EI42" s="191"/>
      <c r="EJ42" s="191"/>
      <c r="EK42" s="191"/>
      <c r="EL42" s="191"/>
      <c r="EM42" s="191"/>
      <c r="EN42" s="191"/>
      <c r="EO42" s="191"/>
      <c r="EP42" s="191"/>
      <c r="EQ42" s="191"/>
      <c r="ER42" s="191"/>
      <c r="ES42" s="191"/>
      <c r="ET42" s="191"/>
      <c r="EU42" s="191"/>
      <c r="EV42" s="191"/>
      <c r="EW42" s="191"/>
      <c r="EX42" s="191"/>
      <c r="EY42" s="191"/>
      <c r="EZ42" s="191"/>
      <c r="FA42" s="191"/>
      <c r="FB42" s="191"/>
      <c r="FC42" s="191"/>
      <c r="FD42" s="191"/>
      <c r="FE42" s="191"/>
      <c r="FF42" s="191"/>
      <c r="FG42" s="191"/>
      <c r="FH42" s="191"/>
      <c r="FI42" s="191"/>
      <c r="FJ42" s="191"/>
      <c r="FK42" s="191"/>
      <c r="FL42" s="191"/>
      <c r="FM42" s="191"/>
      <c r="FN42" s="191"/>
      <c r="FO42" s="191"/>
      <c r="FP42" s="191"/>
      <c r="FQ42" s="191"/>
      <c r="FR42" s="191"/>
      <c r="FS42" s="191"/>
      <c r="FT42" s="191"/>
      <c r="FU42" s="191"/>
      <c r="FV42" s="191"/>
      <c r="FW42" s="191"/>
      <c r="FX42" s="191"/>
      <c r="FY42" s="191"/>
      <c r="FZ42" s="191"/>
      <c r="GA42" s="191"/>
      <c r="GB42" s="191"/>
      <c r="GC42" s="191"/>
      <c r="GD42" s="191"/>
      <c r="GE42" s="191"/>
      <c r="GF42" s="191"/>
      <c r="GG42" s="191"/>
      <c r="GH42" s="191"/>
      <c r="GI42" s="191"/>
      <c r="GJ42" s="191"/>
      <c r="GK42" s="191"/>
      <c r="GL42" s="191"/>
      <c r="GM42" s="191"/>
      <c r="GN42" s="191"/>
      <c r="GO42" s="191"/>
      <c r="GP42" s="191"/>
      <c r="GQ42" s="191"/>
      <c r="GR42" s="191"/>
      <c r="GS42" s="191"/>
      <c r="GT42" s="191"/>
      <c r="GU42" s="191"/>
      <c r="GV42" s="191"/>
      <c r="GW42" s="191"/>
      <c r="GX42" s="191"/>
      <c r="GY42" s="191"/>
      <c r="GZ42" s="191"/>
      <c r="HA42" s="191"/>
      <c r="HB42" s="191"/>
      <c r="HC42" s="191"/>
      <c r="HD42" s="191"/>
      <c r="HE42" s="191"/>
      <c r="HF42" s="191"/>
      <c r="HG42" s="191"/>
      <c r="HH42" s="191"/>
      <c r="HI42" s="191"/>
      <c r="HJ42" s="191"/>
      <c r="HK42" s="191"/>
      <c r="HL42" s="191"/>
      <c r="HM42" s="191"/>
      <c r="HN42" s="191"/>
      <c r="HO42" s="191"/>
      <c r="HP42" s="191"/>
      <c r="HQ42" s="191"/>
      <c r="HR42" s="191"/>
      <c r="HS42" s="191"/>
      <c r="HT42" s="191"/>
      <c r="HU42" s="191"/>
      <c r="HV42" s="191"/>
      <c r="HW42" s="191"/>
      <c r="HX42" s="191"/>
      <c r="HY42" s="191"/>
      <c r="HZ42" s="191"/>
      <c r="IA42" s="191"/>
      <c r="IB42" s="192"/>
      <c r="IC42" s="192"/>
      <c r="ID42" s="192"/>
      <c r="IE42" s="192"/>
      <c r="IF42" s="192"/>
      <c r="IG42" s="192"/>
      <c r="IH42" s="192"/>
      <c r="II42" s="192"/>
      <c r="IJ42" s="192"/>
      <c r="IK42" s="192"/>
      <c r="IL42" s="192"/>
      <c r="IM42" s="192"/>
      <c r="IN42" s="192"/>
      <c r="IO42" s="192"/>
      <c r="IP42" s="192"/>
      <c r="IQ42" s="192"/>
      <c r="IR42" s="192"/>
      <c r="IS42" s="192"/>
      <c r="IT42" s="192"/>
    </row>
    <row r="43" spans="1:254" ht="15">
      <c r="A43" s="375" t="s">
        <v>149</v>
      </c>
      <c r="B43" s="70">
        <f t="shared" si="6"/>
        <v>4.3243999999999998</v>
      </c>
      <c r="C43" s="1941">
        <v>0</v>
      </c>
      <c r="D43" s="1941">
        <v>0</v>
      </c>
      <c r="E43" s="1941">
        <v>0</v>
      </c>
      <c r="F43" s="1941">
        <v>0</v>
      </c>
      <c r="G43" s="1941">
        <v>0</v>
      </c>
      <c r="H43" s="1941">
        <v>0</v>
      </c>
      <c r="I43" s="1941">
        <v>0</v>
      </c>
      <c r="J43" s="1941">
        <v>0</v>
      </c>
      <c r="K43" s="1941">
        <v>0</v>
      </c>
      <c r="L43" s="1941">
        <v>0</v>
      </c>
      <c r="M43" s="1941">
        <v>0</v>
      </c>
      <c r="N43" s="1942">
        <v>4.3243999999999998</v>
      </c>
      <c r="O43" s="1941">
        <v>0</v>
      </c>
      <c r="P43" s="1941">
        <v>0</v>
      </c>
      <c r="Q43" s="1941">
        <v>0</v>
      </c>
      <c r="R43" s="1941">
        <v>0</v>
      </c>
      <c r="S43" s="1941">
        <v>0</v>
      </c>
      <c r="T43" s="1941">
        <v>0</v>
      </c>
      <c r="U43" s="1941">
        <v>0</v>
      </c>
      <c r="V43" s="1941">
        <v>0</v>
      </c>
      <c r="W43" s="1941">
        <v>0</v>
      </c>
      <c r="X43" s="1941">
        <v>0</v>
      </c>
      <c r="Y43" s="1941">
        <v>0</v>
      </c>
      <c r="Z43" s="1941">
        <v>0</v>
      </c>
      <c r="AA43" s="1941">
        <v>0</v>
      </c>
      <c r="AB43" s="1941">
        <v>0</v>
      </c>
      <c r="AC43" s="1941">
        <v>0</v>
      </c>
      <c r="AD43" s="1941">
        <v>0</v>
      </c>
      <c r="AE43" s="1941">
        <v>0</v>
      </c>
      <c r="AF43" s="1941">
        <v>0</v>
      </c>
      <c r="AG43" s="1941">
        <v>0</v>
      </c>
      <c r="AH43" s="172">
        <f t="shared" si="7"/>
        <v>4.3243999999999998</v>
      </c>
      <c r="AI43" s="191"/>
      <c r="AJ43" s="191"/>
      <c r="AK43" s="191"/>
      <c r="AL43" s="191"/>
      <c r="AM43" s="191"/>
      <c r="AN43" s="191"/>
      <c r="AO43" s="191"/>
      <c r="AP43" s="191"/>
      <c r="AQ43" s="191"/>
      <c r="AR43" s="191"/>
      <c r="AS43" s="191"/>
      <c r="AT43" s="191"/>
      <c r="AU43" s="191"/>
      <c r="AV43" s="191"/>
      <c r="AW43" s="191"/>
      <c r="AX43" s="191"/>
      <c r="AY43" s="191"/>
      <c r="AZ43" s="191"/>
      <c r="BA43" s="191"/>
      <c r="BB43" s="191"/>
      <c r="BC43" s="191"/>
      <c r="BD43" s="191"/>
      <c r="BE43" s="191"/>
      <c r="BF43" s="191"/>
      <c r="BG43" s="191"/>
      <c r="BH43" s="191"/>
      <c r="BI43" s="191"/>
      <c r="BJ43" s="191"/>
      <c r="BK43" s="191"/>
      <c r="BL43" s="191"/>
      <c r="BM43" s="191"/>
      <c r="BN43" s="191"/>
      <c r="BO43" s="191"/>
      <c r="BP43" s="191"/>
      <c r="BQ43" s="191"/>
      <c r="BR43" s="191"/>
      <c r="BS43" s="191"/>
      <c r="BT43" s="191"/>
      <c r="BU43" s="191"/>
      <c r="BV43" s="191"/>
      <c r="BW43" s="191"/>
      <c r="BX43" s="191"/>
      <c r="BY43" s="191"/>
      <c r="BZ43" s="191"/>
      <c r="CA43" s="191"/>
      <c r="CB43" s="191"/>
      <c r="CC43" s="191"/>
      <c r="CD43" s="191"/>
      <c r="CE43" s="191"/>
      <c r="CF43" s="191"/>
      <c r="CG43" s="191"/>
      <c r="CH43" s="191"/>
      <c r="CI43" s="191"/>
      <c r="CJ43" s="191"/>
      <c r="CK43" s="191"/>
      <c r="CL43" s="191"/>
      <c r="CM43" s="191"/>
      <c r="CN43" s="191"/>
      <c r="CO43" s="191"/>
      <c r="CP43" s="191"/>
      <c r="CQ43" s="191"/>
      <c r="CR43" s="191"/>
      <c r="CS43" s="191"/>
      <c r="CT43" s="191"/>
      <c r="CU43" s="191"/>
      <c r="CV43" s="191"/>
      <c r="CW43" s="191"/>
      <c r="CX43" s="191"/>
      <c r="CY43" s="191"/>
      <c r="CZ43" s="191"/>
      <c r="DA43" s="191"/>
      <c r="DB43" s="191"/>
      <c r="DC43" s="191"/>
      <c r="DD43" s="191"/>
      <c r="DE43" s="191"/>
      <c r="DF43" s="191"/>
      <c r="DG43" s="191"/>
      <c r="DH43" s="191"/>
      <c r="DI43" s="191"/>
      <c r="DJ43" s="191"/>
      <c r="DK43" s="191"/>
      <c r="DL43" s="191"/>
      <c r="DM43" s="191"/>
      <c r="DN43" s="191"/>
      <c r="DO43" s="191"/>
      <c r="DP43" s="191"/>
      <c r="DQ43" s="191"/>
      <c r="DR43" s="191"/>
      <c r="DS43" s="191"/>
      <c r="DT43" s="191"/>
      <c r="DU43" s="191"/>
      <c r="DV43" s="191"/>
      <c r="DW43" s="191"/>
      <c r="DX43" s="191"/>
      <c r="DY43" s="191"/>
      <c r="DZ43" s="191"/>
      <c r="EA43" s="191"/>
      <c r="EB43" s="191"/>
      <c r="EC43" s="191"/>
      <c r="ED43" s="191"/>
      <c r="EE43" s="191"/>
      <c r="EF43" s="191"/>
      <c r="EG43" s="191"/>
      <c r="EH43" s="191"/>
      <c r="EI43" s="191"/>
      <c r="EJ43" s="191"/>
      <c r="EK43" s="191"/>
      <c r="EL43" s="191"/>
      <c r="EM43" s="191"/>
      <c r="EN43" s="191"/>
      <c r="EO43" s="191"/>
      <c r="EP43" s="191"/>
      <c r="EQ43" s="191"/>
      <c r="ER43" s="191"/>
      <c r="ES43" s="191"/>
      <c r="ET43" s="191"/>
      <c r="EU43" s="191"/>
      <c r="EV43" s="191"/>
      <c r="EW43" s="191"/>
      <c r="EX43" s="191"/>
      <c r="EY43" s="191"/>
      <c r="EZ43" s="191"/>
      <c r="FA43" s="191"/>
      <c r="FB43" s="191"/>
      <c r="FC43" s="191"/>
      <c r="FD43" s="191"/>
      <c r="FE43" s="191"/>
      <c r="FF43" s="191"/>
      <c r="FG43" s="191"/>
      <c r="FH43" s="191"/>
      <c r="FI43" s="191"/>
      <c r="FJ43" s="191"/>
      <c r="FK43" s="191"/>
      <c r="FL43" s="191"/>
      <c r="FM43" s="191"/>
      <c r="FN43" s="191"/>
      <c r="FO43" s="191"/>
      <c r="FP43" s="191"/>
      <c r="FQ43" s="191"/>
      <c r="FR43" s="191"/>
      <c r="FS43" s="191"/>
      <c r="FT43" s="191"/>
      <c r="FU43" s="191"/>
      <c r="FV43" s="191"/>
      <c r="FW43" s="191"/>
      <c r="FX43" s="191"/>
      <c r="FY43" s="191"/>
      <c r="FZ43" s="191"/>
      <c r="GA43" s="191"/>
      <c r="GB43" s="191"/>
      <c r="GC43" s="191"/>
      <c r="GD43" s="191"/>
      <c r="GE43" s="191"/>
      <c r="GF43" s="191"/>
      <c r="GG43" s="191"/>
      <c r="GH43" s="191"/>
      <c r="GI43" s="191"/>
      <c r="GJ43" s="191"/>
      <c r="GK43" s="191"/>
      <c r="GL43" s="191"/>
      <c r="GM43" s="191"/>
      <c r="GN43" s="191"/>
      <c r="GO43" s="191"/>
      <c r="GP43" s="191"/>
      <c r="GQ43" s="191"/>
      <c r="GR43" s="191"/>
      <c r="GS43" s="191"/>
      <c r="GT43" s="191"/>
      <c r="GU43" s="191"/>
      <c r="GV43" s="191"/>
      <c r="GW43" s="191"/>
      <c r="GX43" s="191"/>
      <c r="GY43" s="191"/>
      <c r="GZ43" s="191"/>
      <c r="HA43" s="191"/>
      <c r="HB43" s="191"/>
      <c r="HC43" s="191"/>
      <c r="HD43" s="191"/>
      <c r="HE43" s="191"/>
      <c r="HF43" s="191"/>
      <c r="HG43" s="191"/>
      <c r="HH43" s="191"/>
      <c r="HI43" s="191"/>
      <c r="HJ43" s="191"/>
      <c r="HK43" s="191"/>
      <c r="HL43" s="191"/>
      <c r="HM43" s="191"/>
      <c r="HN43" s="191"/>
      <c r="HO43" s="191"/>
      <c r="HP43" s="191"/>
      <c r="HQ43" s="191"/>
      <c r="HR43" s="191"/>
      <c r="HS43" s="191"/>
      <c r="HT43" s="191"/>
      <c r="HU43" s="191"/>
      <c r="HV43" s="191"/>
      <c r="HW43" s="191"/>
      <c r="HX43" s="191"/>
      <c r="HY43" s="191"/>
      <c r="HZ43" s="191"/>
      <c r="IA43" s="191"/>
      <c r="IB43" s="192"/>
      <c r="IC43" s="192"/>
      <c r="ID43" s="192"/>
      <c r="IE43" s="192"/>
      <c r="IF43" s="192"/>
      <c r="IG43" s="192"/>
      <c r="IH43" s="192"/>
      <c r="II43" s="192"/>
      <c r="IJ43" s="192"/>
      <c r="IK43" s="192"/>
      <c r="IL43" s="192"/>
      <c r="IM43" s="192"/>
      <c r="IN43" s="192"/>
      <c r="IO43" s="192"/>
      <c r="IP43" s="192"/>
      <c r="IQ43" s="192"/>
      <c r="IR43" s="192"/>
      <c r="IS43" s="192"/>
      <c r="IT43" s="192"/>
    </row>
    <row r="44" spans="1:254" ht="15">
      <c r="A44" s="375" t="s">
        <v>150</v>
      </c>
      <c r="B44" s="70">
        <f t="shared" si="6"/>
        <v>0</v>
      </c>
      <c r="C44" s="1941">
        <v>0</v>
      </c>
      <c r="D44" s="1941">
        <v>0</v>
      </c>
      <c r="E44" s="1941">
        <v>0</v>
      </c>
      <c r="F44" s="1941">
        <v>0</v>
      </c>
      <c r="G44" s="1941">
        <v>0</v>
      </c>
      <c r="H44" s="1941">
        <v>0</v>
      </c>
      <c r="I44" s="1941">
        <v>0</v>
      </c>
      <c r="J44" s="1941">
        <v>0</v>
      </c>
      <c r="K44" s="1941">
        <v>0</v>
      </c>
      <c r="L44" s="1941">
        <v>0</v>
      </c>
      <c r="M44" s="1941">
        <v>0</v>
      </c>
      <c r="N44" s="1941">
        <v>0</v>
      </c>
      <c r="O44" s="1941">
        <v>0</v>
      </c>
      <c r="P44" s="1941">
        <v>0</v>
      </c>
      <c r="Q44" s="1941">
        <v>0</v>
      </c>
      <c r="R44" s="1941">
        <v>0</v>
      </c>
      <c r="S44" s="1941">
        <v>0</v>
      </c>
      <c r="T44" s="1941">
        <v>0</v>
      </c>
      <c r="U44" s="1941">
        <v>0</v>
      </c>
      <c r="V44" s="1941">
        <v>0</v>
      </c>
      <c r="W44" s="1941">
        <v>0</v>
      </c>
      <c r="X44" s="1941">
        <v>0</v>
      </c>
      <c r="Y44" s="1941">
        <v>0</v>
      </c>
      <c r="Z44" s="1941">
        <v>0</v>
      </c>
      <c r="AA44" s="1941">
        <v>0</v>
      </c>
      <c r="AB44" s="1941">
        <v>0</v>
      </c>
      <c r="AC44" s="1941">
        <v>0</v>
      </c>
      <c r="AD44" s="1941">
        <v>0</v>
      </c>
      <c r="AE44" s="1941">
        <v>0</v>
      </c>
      <c r="AF44" s="1941">
        <v>0</v>
      </c>
      <c r="AG44" s="1941">
        <v>0</v>
      </c>
      <c r="AH44" s="172">
        <f t="shared" si="7"/>
        <v>0</v>
      </c>
      <c r="AI44" s="191"/>
      <c r="AJ44" s="191"/>
      <c r="AK44" s="191"/>
      <c r="AL44" s="191"/>
      <c r="AM44" s="191"/>
      <c r="AN44" s="191"/>
      <c r="AO44" s="191"/>
      <c r="AP44" s="191"/>
      <c r="AQ44" s="191"/>
      <c r="AR44" s="191"/>
      <c r="AS44" s="191"/>
      <c r="AT44" s="191"/>
      <c r="AU44" s="191"/>
      <c r="AV44" s="191"/>
      <c r="AW44" s="191"/>
      <c r="AX44" s="191"/>
      <c r="AY44" s="191"/>
      <c r="AZ44" s="191"/>
      <c r="BA44" s="191"/>
      <c r="BB44" s="191"/>
      <c r="BC44" s="191"/>
      <c r="BD44" s="191"/>
      <c r="BE44" s="191"/>
      <c r="BF44" s="191"/>
      <c r="BG44" s="191"/>
      <c r="BH44" s="191"/>
      <c r="BI44" s="191"/>
      <c r="BJ44" s="191"/>
      <c r="BK44" s="191"/>
      <c r="BL44" s="191"/>
      <c r="BM44" s="191"/>
      <c r="BN44" s="191"/>
      <c r="BO44" s="191"/>
      <c r="BP44" s="191"/>
      <c r="BQ44" s="191"/>
      <c r="BR44" s="191"/>
      <c r="BS44" s="191"/>
      <c r="BT44" s="191"/>
      <c r="BU44" s="191"/>
      <c r="BV44" s="191"/>
      <c r="BW44" s="191"/>
      <c r="BX44" s="191"/>
      <c r="BY44" s="191"/>
      <c r="BZ44" s="191"/>
      <c r="CA44" s="191"/>
      <c r="CB44" s="191"/>
      <c r="CC44" s="191"/>
      <c r="CD44" s="191"/>
      <c r="CE44" s="191"/>
      <c r="CF44" s="191"/>
      <c r="CG44" s="191"/>
      <c r="CH44" s="191"/>
      <c r="CI44" s="191"/>
      <c r="CJ44" s="191"/>
      <c r="CK44" s="191"/>
      <c r="CL44" s="191"/>
      <c r="CM44" s="191"/>
      <c r="CN44" s="191"/>
      <c r="CO44" s="191"/>
      <c r="CP44" s="191"/>
      <c r="CQ44" s="191"/>
      <c r="CR44" s="191"/>
      <c r="CS44" s="191"/>
      <c r="CT44" s="191"/>
      <c r="CU44" s="191"/>
      <c r="CV44" s="191"/>
      <c r="CW44" s="191"/>
      <c r="CX44" s="191"/>
      <c r="CY44" s="191"/>
      <c r="CZ44" s="191"/>
      <c r="DA44" s="191"/>
      <c r="DB44" s="191"/>
      <c r="DC44" s="191"/>
      <c r="DD44" s="191"/>
      <c r="DE44" s="191"/>
      <c r="DF44" s="191"/>
      <c r="DG44" s="191"/>
      <c r="DH44" s="191"/>
      <c r="DI44" s="191"/>
      <c r="DJ44" s="191"/>
      <c r="DK44" s="191"/>
      <c r="DL44" s="191"/>
      <c r="DM44" s="191"/>
      <c r="DN44" s="191"/>
      <c r="DO44" s="191"/>
      <c r="DP44" s="191"/>
      <c r="DQ44" s="191"/>
      <c r="DR44" s="191"/>
      <c r="DS44" s="191"/>
      <c r="DT44" s="191"/>
      <c r="DU44" s="191"/>
      <c r="DV44" s="191"/>
      <c r="DW44" s="191"/>
      <c r="DX44" s="191"/>
      <c r="DY44" s="191"/>
      <c r="DZ44" s="191"/>
      <c r="EA44" s="191"/>
      <c r="EB44" s="191"/>
      <c r="EC44" s="191"/>
      <c r="ED44" s="191"/>
      <c r="EE44" s="191"/>
      <c r="EF44" s="191"/>
      <c r="EG44" s="191"/>
      <c r="EH44" s="191"/>
      <c r="EI44" s="191"/>
      <c r="EJ44" s="191"/>
      <c r="EK44" s="191"/>
      <c r="EL44" s="191"/>
      <c r="EM44" s="191"/>
      <c r="EN44" s="191"/>
      <c r="EO44" s="191"/>
      <c r="EP44" s="191"/>
      <c r="EQ44" s="191"/>
      <c r="ER44" s="191"/>
      <c r="ES44" s="191"/>
      <c r="ET44" s="191"/>
      <c r="EU44" s="191"/>
      <c r="EV44" s="191"/>
      <c r="EW44" s="191"/>
      <c r="EX44" s="191"/>
      <c r="EY44" s="191"/>
      <c r="EZ44" s="191"/>
      <c r="FA44" s="191"/>
      <c r="FB44" s="191"/>
      <c r="FC44" s="191"/>
      <c r="FD44" s="191"/>
      <c r="FE44" s="191"/>
      <c r="FF44" s="191"/>
      <c r="FG44" s="191"/>
      <c r="FH44" s="191"/>
      <c r="FI44" s="191"/>
      <c r="FJ44" s="191"/>
      <c r="FK44" s="191"/>
      <c r="FL44" s="191"/>
      <c r="FM44" s="191"/>
      <c r="FN44" s="191"/>
      <c r="FO44" s="191"/>
      <c r="FP44" s="191"/>
      <c r="FQ44" s="191"/>
      <c r="FR44" s="191"/>
      <c r="FS44" s="191"/>
      <c r="FT44" s="191"/>
      <c r="FU44" s="191"/>
      <c r="FV44" s="191"/>
      <c r="FW44" s="191"/>
      <c r="FX44" s="191"/>
      <c r="FY44" s="191"/>
      <c r="FZ44" s="191"/>
      <c r="GA44" s="191"/>
      <c r="GB44" s="191"/>
      <c r="GC44" s="191"/>
      <c r="GD44" s="191"/>
      <c r="GE44" s="191"/>
      <c r="GF44" s="191"/>
      <c r="GG44" s="191"/>
      <c r="GH44" s="191"/>
      <c r="GI44" s="191"/>
      <c r="GJ44" s="191"/>
      <c r="GK44" s="191"/>
      <c r="GL44" s="191"/>
      <c r="GM44" s="191"/>
      <c r="GN44" s="191"/>
      <c r="GO44" s="191"/>
      <c r="GP44" s="191"/>
      <c r="GQ44" s="191"/>
      <c r="GR44" s="191"/>
      <c r="GS44" s="191"/>
      <c r="GT44" s="191"/>
      <c r="GU44" s="191"/>
      <c r="GV44" s="191"/>
      <c r="GW44" s="191"/>
      <c r="GX44" s="191"/>
      <c r="GY44" s="191"/>
      <c r="GZ44" s="191"/>
      <c r="HA44" s="191"/>
      <c r="HB44" s="191"/>
      <c r="HC44" s="191"/>
      <c r="HD44" s="191"/>
      <c r="HE44" s="191"/>
      <c r="HF44" s="191"/>
      <c r="HG44" s="191"/>
      <c r="HH44" s="191"/>
      <c r="HI44" s="191"/>
      <c r="HJ44" s="191"/>
      <c r="HK44" s="191"/>
      <c r="HL44" s="191"/>
      <c r="HM44" s="191"/>
      <c r="HN44" s="191"/>
      <c r="HO44" s="191"/>
      <c r="HP44" s="191"/>
      <c r="HQ44" s="191"/>
      <c r="HR44" s="191"/>
      <c r="HS44" s="191"/>
      <c r="HT44" s="191"/>
      <c r="HU44" s="191"/>
      <c r="HV44" s="191"/>
      <c r="HW44" s="191"/>
      <c r="HX44" s="191"/>
      <c r="HY44" s="191"/>
      <c r="HZ44" s="191"/>
      <c r="IA44" s="191"/>
      <c r="IB44" s="192"/>
      <c r="IC44" s="192"/>
      <c r="ID44" s="192"/>
      <c r="IE44" s="192"/>
      <c r="IF44" s="192"/>
      <c r="IG44" s="192"/>
      <c r="IH44" s="192"/>
      <c r="II44" s="192"/>
      <c r="IJ44" s="192"/>
      <c r="IK44" s="192"/>
      <c r="IL44" s="192"/>
      <c r="IM44" s="192"/>
      <c r="IN44" s="192"/>
      <c r="IO44" s="192"/>
      <c r="IP44" s="192"/>
      <c r="IQ44" s="192"/>
      <c r="IR44" s="192"/>
      <c r="IS44" s="192"/>
      <c r="IT44" s="192"/>
    </row>
    <row r="45" spans="1:254" ht="15">
      <c r="A45" s="375" t="s">
        <v>151</v>
      </c>
      <c r="B45" s="70">
        <f t="shared" si="6"/>
        <v>0</v>
      </c>
      <c r="C45" s="1941">
        <v>0</v>
      </c>
      <c r="D45" s="1941">
        <v>0</v>
      </c>
      <c r="E45" s="1941">
        <v>0</v>
      </c>
      <c r="F45" s="1941">
        <v>0</v>
      </c>
      <c r="G45" s="1941">
        <v>0</v>
      </c>
      <c r="H45" s="1941">
        <v>0</v>
      </c>
      <c r="I45" s="1941">
        <v>0</v>
      </c>
      <c r="J45" s="1941">
        <v>0</v>
      </c>
      <c r="K45" s="1941">
        <v>0</v>
      </c>
      <c r="L45" s="1941">
        <v>0</v>
      </c>
      <c r="M45" s="1941">
        <v>0</v>
      </c>
      <c r="N45" s="1941">
        <v>0</v>
      </c>
      <c r="O45" s="1941">
        <v>0</v>
      </c>
      <c r="P45" s="1941">
        <v>0</v>
      </c>
      <c r="Q45" s="1941">
        <v>0</v>
      </c>
      <c r="R45" s="1941">
        <v>0</v>
      </c>
      <c r="S45" s="1941">
        <v>0</v>
      </c>
      <c r="T45" s="1941">
        <v>0</v>
      </c>
      <c r="U45" s="1941">
        <v>0</v>
      </c>
      <c r="V45" s="1941">
        <v>0</v>
      </c>
      <c r="W45" s="1941">
        <v>0</v>
      </c>
      <c r="X45" s="1941">
        <v>0</v>
      </c>
      <c r="Y45" s="1941">
        <v>0</v>
      </c>
      <c r="Z45" s="1941">
        <v>0</v>
      </c>
      <c r="AA45" s="1941">
        <v>0</v>
      </c>
      <c r="AB45" s="1941">
        <v>0</v>
      </c>
      <c r="AC45" s="1941">
        <v>0</v>
      </c>
      <c r="AD45" s="1941">
        <v>0</v>
      </c>
      <c r="AE45" s="1941">
        <v>0</v>
      </c>
      <c r="AF45" s="1941">
        <v>0</v>
      </c>
      <c r="AG45" s="1941">
        <v>0</v>
      </c>
      <c r="AH45" s="172">
        <f t="shared" si="7"/>
        <v>0</v>
      </c>
      <c r="AI45" s="191"/>
      <c r="AJ45" s="191"/>
      <c r="AK45" s="191"/>
      <c r="AL45" s="191"/>
      <c r="AM45" s="191"/>
      <c r="AN45" s="191"/>
      <c r="AO45" s="191"/>
      <c r="AP45" s="191"/>
      <c r="AQ45" s="191"/>
      <c r="AR45" s="191"/>
      <c r="AS45" s="191"/>
      <c r="AT45" s="191"/>
      <c r="AU45" s="191"/>
      <c r="AV45" s="191"/>
      <c r="AW45" s="191"/>
      <c r="AX45" s="191"/>
      <c r="AY45" s="191"/>
      <c r="AZ45" s="191"/>
      <c r="BA45" s="191"/>
      <c r="BB45" s="191"/>
      <c r="BC45" s="191"/>
      <c r="BD45" s="191"/>
      <c r="BE45" s="191"/>
      <c r="BF45" s="191"/>
      <c r="BG45" s="191"/>
      <c r="BH45" s="191"/>
      <c r="BI45" s="191"/>
      <c r="BJ45" s="191"/>
      <c r="BK45" s="191"/>
      <c r="BL45" s="191"/>
      <c r="BM45" s="191"/>
      <c r="BN45" s="191"/>
      <c r="BO45" s="191"/>
      <c r="BP45" s="191"/>
      <c r="BQ45" s="191"/>
      <c r="BR45" s="191"/>
      <c r="BS45" s="191"/>
      <c r="BT45" s="191"/>
      <c r="BU45" s="191"/>
      <c r="BV45" s="191"/>
      <c r="BW45" s="191"/>
      <c r="BX45" s="191"/>
      <c r="BY45" s="191"/>
      <c r="BZ45" s="191"/>
      <c r="CA45" s="191"/>
      <c r="CB45" s="191"/>
      <c r="CC45" s="191"/>
      <c r="CD45" s="191"/>
      <c r="CE45" s="191"/>
      <c r="CF45" s="191"/>
      <c r="CG45" s="191"/>
      <c r="CH45" s="191"/>
      <c r="CI45" s="191"/>
      <c r="CJ45" s="191"/>
      <c r="CK45" s="191"/>
      <c r="CL45" s="191"/>
      <c r="CM45" s="191"/>
      <c r="CN45" s="191"/>
      <c r="CO45" s="191"/>
      <c r="CP45" s="191"/>
      <c r="CQ45" s="191"/>
      <c r="CR45" s="191"/>
      <c r="CS45" s="191"/>
      <c r="CT45" s="191"/>
      <c r="CU45" s="191"/>
      <c r="CV45" s="191"/>
      <c r="CW45" s="191"/>
      <c r="CX45" s="191"/>
      <c r="CY45" s="191"/>
      <c r="CZ45" s="191"/>
      <c r="DA45" s="191"/>
      <c r="DB45" s="191"/>
      <c r="DC45" s="191"/>
      <c r="DD45" s="191"/>
      <c r="DE45" s="191"/>
      <c r="DF45" s="191"/>
      <c r="DG45" s="191"/>
      <c r="DH45" s="191"/>
      <c r="DI45" s="191"/>
      <c r="DJ45" s="191"/>
      <c r="DK45" s="191"/>
      <c r="DL45" s="191"/>
      <c r="DM45" s="191"/>
      <c r="DN45" s="191"/>
      <c r="DO45" s="191"/>
      <c r="DP45" s="191"/>
      <c r="DQ45" s="191"/>
      <c r="DR45" s="191"/>
      <c r="DS45" s="191"/>
      <c r="DT45" s="191"/>
      <c r="DU45" s="191"/>
      <c r="DV45" s="191"/>
      <c r="DW45" s="191"/>
      <c r="DX45" s="191"/>
      <c r="DY45" s="191"/>
      <c r="DZ45" s="191"/>
      <c r="EA45" s="191"/>
      <c r="EB45" s="191"/>
      <c r="EC45" s="191"/>
      <c r="ED45" s="191"/>
      <c r="EE45" s="191"/>
      <c r="EF45" s="191"/>
      <c r="EG45" s="191"/>
      <c r="EH45" s="191"/>
      <c r="EI45" s="191"/>
      <c r="EJ45" s="191"/>
      <c r="EK45" s="191"/>
      <c r="EL45" s="191"/>
      <c r="EM45" s="191"/>
      <c r="EN45" s="191"/>
      <c r="EO45" s="191"/>
      <c r="EP45" s="191"/>
      <c r="EQ45" s="191"/>
      <c r="ER45" s="191"/>
      <c r="ES45" s="191"/>
      <c r="ET45" s="191"/>
      <c r="EU45" s="191"/>
      <c r="EV45" s="191"/>
      <c r="EW45" s="191"/>
      <c r="EX45" s="191"/>
      <c r="EY45" s="191"/>
      <c r="EZ45" s="191"/>
      <c r="FA45" s="191"/>
      <c r="FB45" s="191"/>
      <c r="FC45" s="191"/>
      <c r="FD45" s="191"/>
      <c r="FE45" s="191"/>
      <c r="FF45" s="191"/>
      <c r="FG45" s="191"/>
      <c r="FH45" s="191"/>
      <c r="FI45" s="191"/>
      <c r="FJ45" s="191"/>
      <c r="FK45" s="191"/>
      <c r="FL45" s="191"/>
      <c r="FM45" s="191"/>
      <c r="FN45" s="191"/>
      <c r="FO45" s="191"/>
      <c r="FP45" s="191"/>
      <c r="FQ45" s="191"/>
      <c r="FR45" s="191"/>
      <c r="FS45" s="191"/>
      <c r="FT45" s="191"/>
      <c r="FU45" s="191"/>
      <c r="FV45" s="191"/>
      <c r="FW45" s="191"/>
      <c r="FX45" s="191"/>
      <c r="FY45" s="191"/>
      <c r="FZ45" s="191"/>
      <c r="GA45" s="191"/>
      <c r="GB45" s="191"/>
      <c r="GC45" s="191"/>
      <c r="GD45" s="191"/>
      <c r="GE45" s="191"/>
      <c r="GF45" s="191"/>
      <c r="GG45" s="191"/>
      <c r="GH45" s="191"/>
      <c r="GI45" s="191"/>
      <c r="GJ45" s="191"/>
      <c r="GK45" s="191"/>
      <c r="GL45" s="191"/>
      <c r="GM45" s="191"/>
      <c r="GN45" s="191"/>
      <c r="GO45" s="191"/>
      <c r="GP45" s="191"/>
      <c r="GQ45" s="191"/>
      <c r="GR45" s="191"/>
      <c r="GS45" s="191"/>
      <c r="GT45" s="191"/>
      <c r="GU45" s="191"/>
      <c r="GV45" s="191"/>
      <c r="GW45" s="191"/>
      <c r="GX45" s="191"/>
      <c r="GY45" s="191"/>
      <c r="GZ45" s="191"/>
      <c r="HA45" s="191"/>
      <c r="HB45" s="191"/>
      <c r="HC45" s="191"/>
      <c r="HD45" s="191"/>
      <c r="HE45" s="191"/>
      <c r="HF45" s="191"/>
      <c r="HG45" s="191"/>
      <c r="HH45" s="191"/>
      <c r="HI45" s="191"/>
      <c r="HJ45" s="191"/>
      <c r="HK45" s="191"/>
      <c r="HL45" s="191"/>
      <c r="HM45" s="191"/>
      <c r="HN45" s="191"/>
      <c r="HO45" s="191"/>
      <c r="HP45" s="191"/>
      <c r="HQ45" s="191"/>
      <c r="HR45" s="191"/>
      <c r="HS45" s="191"/>
      <c r="HT45" s="191"/>
      <c r="HU45" s="191"/>
      <c r="HV45" s="191"/>
      <c r="HW45" s="191"/>
      <c r="HX45" s="191"/>
      <c r="HY45" s="191"/>
      <c r="HZ45" s="191"/>
      <c r="IA45" s="191"/>
      <c r="IB45" s="192"/>
      <c r="IC45" s="192"/>
      <c r="ID45" s="192"/>
      <c r="IE45" s="192"/>
      <c r="IF45" s="192"/>
      <c r="IG45" s="192"/>
      <c r="IH45" s="192"/>
      <c r="II45" s="192"/>
      <c r="IJ45" s="192"/>
      <c r="IK45" s="192"/>
      <c r="IL45" s="192"/>
      <c r="IM45" s="192"/>
      <c r="IN45" s="192"/>
      <c r="IO45" s="192"/>
      <c r="IP45" s="192"/>
      <c r="IQ45" s="192"/>
      <c r="IR45" s="192"/>
      <c r="IS45" s="192"/>
      <c r="IT45" s="192"/>
    </row>
    <row r="46" spans="1:254" ht="15">
      <c r="A46" s="375" t="s">
        <v>152</v>
      </c>
      <c r="B46" s="70">
        <f t="shared" si="6"/>
        <v>0</v>
      </c>
      <c r="C46" s="1941">
        <v>0</v>
      </c>
      <c r="D46" s="1941">
        <v>0</v>
      </c>
      <c r="E46" s="1941">
        <v>0</v>
      </c>
      <c r="F46" s="1941">
        <v>0</v>
      </c>
      <c r="G46" s="1941">
        <v>0</v>
      </c>
      <c r="H46" s="1941">
        <v>0</v>
      </c>
      <c r="I46" s="1941">
        <v>0</v>
      </c>
      <c r="J46" s="1941">
        <v>0</v>
      </c>
      <c r="K46" s="1941">
        <v>0</v>
      </c>
      <c r="L46" s="1941">
        <v>0</v>
      </c>
      <c r="M46" s="1941">
        <v>0</v>
      </c>
      <c r="N46" s="1941">
        <v>0</v>
      </c>
      <c r="O46" s="1941">
        <v>0</v>
      </c>
      <c r="P46" s="1941">
        <v>0</v>
      </c>
      <c r="Q46" s="1941">
        <v>0</v>
      </c>
      <c r="R46" s="1941">
        <v>0</v>
      </c>
      <c r="S46" s="1941">
        <v>0</v>
      </c>
      <c r="T46" s="1941">
        <v>0</v>
      </c>
      <c r="U46" s="1941">
        <v>0</v>
      </c>
      <c r="V46" s="1941">
        <v>0</v>
      </c>
      <c r="W46" s="1941">
        <v>0</v>
      </c>
      <c r="X46" s="1941">
        <v>0</v>
      </c>
      <c r="Y46" s="1941">
        <v>0</v>
      </c>
      <c r="Z46" s="1941">
        <v>0</v>
      </c>
      <c r="AA46" s="1941">
        <v>0</v>
      </c>
      <c r="AB46" s="1941">
        <v>0</v>
      </c>
      <c r="AC46" s="1941">
        <v>0</v>
      </c>
      <c r="AD46" s="1941">
        <v>0</v>
      </c>
      <c r="AE46" s="1941">
        <v>0</v>
      </c>
      <c r="AF46" s="1941">
        <v>0</v>
      </c>
      <c r="AG46" s="1941">
        <v>0</v>
      </c>
      <c r="AH46" s="172">
        <f t="shared" si="7"/>
        <v>0</v>
      </c>
      <c r="AI46" s="191"/>
      <c r="AJ46" s="191"/>
      <c r="AK46" s="191"/>
      <c r="AL46" s="191"/>
      <c r="AM46" s="191"/>
      <c r="AN46" s="191"/>
      <c r="AO46" s="191"/>
      <c r="AP46" s="191"/>
      <c r="AQ46" s="191"/>
      <c r="AR46" s="191"/>
      <c r="AS46" s="191"/>
      <c r="AT46" s="191"/>
      <c r="AU46" s="191"/>
      <c r="AV46" s="191"/>
      <c r="AW46" s="191"/>
      <c r="AX46" s="191"/>
      <c r="AY46" s="191"/>
      <c r="AZ46" s="191"/>
      <c r="BA46" s="191"/>
      <c r="BB46" s="191"/>
      <c r="BC46" s="191"/>
      <c r="BD46" s="191"/>
      <c r="BE46" s="191"/>
      <c r="BF46" s="191"/>
      <c r="BG46" s="191"/>
      <c r="BH46" s="191"/>
      <c r="BI46" s="191"/>
      <c r="BJ46" s="191"/>
      <c r="BK46" s="191"/>
      <c r="BL46" s="191"/>
      <c r="BM46" s="191"/>
      <c r="BN46" s="191"/>
      <c r="BO46" s="191"/>
      <c r="BP46" s="191"/>
      <c r="BQ46" s="191"/>
      <c r="BR46" s="191"/>
      <c r="BS46" s="191"/>
      <c r="BT46" s="191"/>
      <c r="BU46" s="191"/>
      <c r="BV46" s="191"/>
      <c r="BW46" s="191"/>
      <c r="BX46" s="191"/>
      <c r="BY46" s="191"/>
      <c r="BZ46" s="191"/>
      <c r="CA46" s="191"/>
      <c r="CB46" s="191"/>
      <c r="CC46" s="191"/>
      <c r="CD46" s="191"/>
      <c r="CE46" s="191"/>
      <c r="CF46" s="191"/>
      <c r="CG46" s="191"/>
      <c r="CH46" s="191"/>
      <c r="CI46" s="191"/>
      <c r="CJ46" s="191"/>
      <c r="CK46" s="191"/>
      <c r="CL46" s="191"/>
      <c r="CM46" s="191"/>
      <c r="CN46" s="191"/>
      <c r="CO46" s="191"/>
      <c r="CP46" s="191"/>
      <c r="CQ46" s="191"/>
      <c r="CR46" s="191"/>
      <c r="CS46" s="191"/>
      <c r="CT46" s="191"/>
      <c r="CU46" s="191"/>
      <c r="CV46" s="191"/>
      <c r="CW46" s="191"/>
      <c r="CX46" s="191"/>
      <c r="CY46" s="191"/>
      <c r="CZ46" s="191"/>
      <c r="DA46" s="191"/>
      <c r="DB46" s="191"/>
      <c r="DC46" s="191"/>
      <c r="DD46" s="191"/>
      <c r="DE46" s="191"/>
      <c r="DF46" s="191"/>
      <c r="DG46" s="191"/>
      <c r="DH46" s="191"/>
      <c r="DI46" s="191"/>
      <c r="DJ46" s="191"/>
      <c r="DK46" s="191"/>
      <c r="DL46" s="191"/>
      <c r="DM46" s="191"/>
      <c r="DN46" s="191"/>
      <c r="DO46" s="191"/>
      <c r="DP46" s="191"/>
      <c r="DQ46" s="191"/>
      <c r="DR46" s="191"/>
      <c r="DS46" s="191"/>
      <c r="DT46" s="191"/>
      <c r="DU46" s="191"/>
      <c r="DV46" s="191"/>
      <c r="DW46" s="191"/>
      <c r="DX46" s="191"/>
      <c r="DY46" s="191"/>
      <c r="DZ46" s="191"/>
      <c r="EA46" s="191"/>
      <c r="EB46" s="191"/>
      <c r="EC46" s="191"/>
      <c r="ED46" s="191"/>
      <c r="EE46" s="191"/>
      <c r="EF46" s="191"/>
      <c r="EG46" s="191"/>
      <c r="EH46" s="191"/>
      <c r="EI46" s="191"/>
      <c r="EJ46" s="191"/>
      <c r="EK46" s="191"/>
      <c r="EL46" s="191"/>
      <c r="EM46" s="191"/>
      <c r="EN46" s="191"/>
      <c r="EO46" s="191"/>
      <c r="EP46" s="191"/>
      <c r="EQ46" s="191"/>
      <c r="ER46" s="191"/>
      <c r="ES46" s="191"/>
      <c r="ET46" s="191"/>
      <c r="EU46" s="191"/>
      <c r="EV46" s="191"/>
      <c r="EW46" s="191"/>
      <c r="EX46" s="191"/>
      <c r="EY46" s="191"/>
      <c r="EZ46" s="191"/>
      <c r="FA46" s="191"/>
      <c r="FB46" s="191"/>
      <c r="FC46" s="191"/>
      <c r="FD46" s="191"/>
      <c r="FE46" s="191"/>
      <c r="FF46" s="191"/>
      <c r="FG46" s="191"/>
      <c r="FH46" s="191"/>
      <c r="FI46" s="191"/>
      <c r="FJ46" s="191"/>
      <c r="FK46" s="191"/>
      <c r="FL46" s="191"/>
      <c r="FM46" s="191"/>
      <c r="FN46" s="191"/>
      <c r="FO46" s="191"/>
      <c r="FP46" s="191"/>
      <c r="FQ46" s="191"/>
      <c r="FR46" s="191"/>
      <c r="FS46" s="191"/>
      <c r="FT46" s="191"/>
      <c r="FU46" s="191"/>
      <c r="FV46" s="191"/>
      <c r="FW46" s="191"/>
      <c r="FX46" s="191"/>
      <c r="FY46" s="191"/>
      <c r="FZ46" s="191"/>
      <c r="GA46" s="191"/>
      <c r="GB46" s="191"/>
      <c r="GC46" s="191"/>
      <c r="GD46" s="191"/>
      <c r="GE46" s="191"/>
      <c r="GF46" s="191"/>
      <c r="GG46" s="191"/>
      <c r="GH46" s="191"/>
      <c r="GI46" s="191"/>
      <c r="GJ46" s="191"/>
      <c r="GK46" s="191"/>
      <c r="GL46" s="191"/>
      <c r="GM46" s="191"/>
      <c r="GN46" s="191"/>
      <c r="GO46" s="191"/>
      <c r="GP46" s="191"/>
      <c r="GQ46" s="191"/>
      <c r="GR46" s="191"/>
      <c r="GS46" s="191"/>
      <c r="GT46" s="191"/>
      <c r="GU46" s="191"/>
      <c r="GV46" s="191"/>
      <c r="GW46" s="191"/>
      <c r="GX46" s="191"/>
      <c r="GY46" s="191"/>
      <c r="GZ46" s="191"/>
      <c r="HA46" s="191"/>
      <c r="HB46" s="191"/>
      <c r="HC46" s="191"/>
      <c r="HD46" s="191"/>
      <c r="HE46" s="191"/>
      <c r="HF46" s="191"/>
      <c r="HG46" s="191"/>
      <c r="HH46" s="191"/>
      <c r="HI46" s="191"/>
      <c r="HJ46" s="191"/>
      <c r="HK46" s="191"/>
      <c r="HL46" s="191"/>
      <c r="HM46" s="191"/>
      <c r="HN46" s="191"/>
      <c r="HO46" s="191"/>
      <c r="HP46" s="191"/>
      <c r="HQ46" s="191"/>
      <c r="HR46" s="191"/>
      <c r="HS46" s="191"/>
      <c r="HT46" s="191"/>
      <c r="HU46" s="191"/>
      <c r="HV46" s="191"/>
      <c r="HW46" s="191"/>
      <c r="HX46" s="191"/>
      <c r="HY46" s="191"/>
      <c r="HZ46" s="191"/>
      <c r="IA46" s="191"/>
      <c r="IB46" s="192"/>
      <c r="IC46" s="192"/>
      <c r="ID46" s="192"/>
      <c r="IE46" s="192"/>
      <c r="IF46" s="192"/>
      <c r="IG46" s="192"/>
      <c r="IH46" s="192"/>
      <c r="II46" s="192"/>
      <c r="IJ46" s="192"/>
      <c r="IK46" s="192"/>
      <c r="IL46" s="192"/>
      <c r="IM46" s="192"/>
      <c r="IN46" s="192"/>
      <c r="IO46" s="192"/>
      <c r="IP46" s="192"/>
      <c r="IQ46" s="192"/>
      <c r="IR46" s="192"/>
      <c r="IS46" s="192"/>
      <c r="IT46" s="192"/>
    </row>
    <row r="47" spans="1:254" ht="15">
      <c r="A47" s="375" t="s">
        <v>153</v>
      </c>
      <c r="B47" s="70">
        <f t="shared" si="6"/>
        <v>0</v>
      </c>
      <c r="C47" s="1941">
        <v>0</v>
      </c>
      <c r="D47" s="1941">
        <v>0</v>
      </c>
      <c r="E47" s="1941">
        <v>0</v>
      </c>
      <c r="F47" s="1941">
        <v>0</v>
      </c>
      <c r="G47" s="1941">
        <v>0</v>
      </c>
      <c r="H47" s="1941">
        <v>0</v>
      </c>
      <c r="I47" s="1941">
        <v>0</v>
      </c>
      <c r="J47" s="1941">
        <v>0</v>
      </c>
      <c r="K47" s="1941">
        <v>0</v>
      </c>
      <c r="L47" s="1941">
        <v>0</v>
      </c>
      <c r="M47" s="1941">
        <v>0</v>
      </c>
      <c r="N47" s="1941">
        <v>0</v>
      </c>
      <c r="O47" s="1941">
        <v>0</v>
      </c>
      <c r="P47" s="1941">
        <v>0</v>
      </c>
      <c r="Q47" s="1941">
        <v>0</v>
      </c>
      <c r="R47" s="1941">
        <v>0</v>
      </c>
      <c r="S47" s="1941">
        <v>0</v>
      </c>
      <c r="T47" s="1941">
        <v>0</v>
      </c>
      <c r="U47" s="1941">
        <v>0</v>
      </c>
      <c r="V47" s="1941">
        <v>0</v>
      </c>
      <c r="W47" s="1941">
        <v>0</v>
      </c>
      <c r="X47" s="1941">
        <v>0</v>
      </c>
      <c r="Y47" s="1941">
        <v>0</v>
      </c>
      <c r="Z47" s="1941">
        <v>0</v>
      </c>
      <c r="AA47" s="1941">
        <v>0</v>
      </c>
      <c r="AB47" s="1941">
        <v>0</v>
      </c>
      <c r="AC47" s="1941">
        <v>0</v>
      </c>
      <c r="AD47" s="1941">
        <v>0</v>
      </c>
      <c r="AE47" s="1941">
        <v>0</v>
      </c>
      <c r="AF47" s="1941">
        <v>0</v>
      </c>
      <c r="AG47" s="1941">
        <v>0</v>
      </c>
      <c r="AH47" s="172">
        <f t="shared" si="7"/>
        <v>0</v>
      </c>
      <c r="AI47" s="191"/>
      <c r="AJ47" s="191"/>
      <c r="AK47" s="191"/>
      <c r="AL47" s="191"/>
      <c r="AM47" s="191"/>
      <c r="AN47" s="191"/>
      <c r="AO47" s="191"/>
      <c r="AP47" s="191"/>
      <c r="AQ47" s="191"/>
      <c r="AR47" s="191"/>
      <c r="AS47" s="191"/>
      <c r="AT47" s="191"/>
      <c r="AU47" s="191"/>
      <c r="AV47" s="191"/>
      <c r="AW47" s="191"/>
      <c r="AX47" s="191"/>
      <c r="AY47" s="191"/>
      <c r="AZ47" s="191"/>
      <c r="BA47" s="191"/>
      <c r="BB47" s="191"/>
      <c r="BC47" s="191"/>
      <c r="BD47" s="191"/>
      <c r="BE47" s="191"/>
      <c r="BF47" s="191"/>
      <c r="BG47" s="191"/>
      <c r="BH47" s="191"/>
      <c r="BI47" s="191"/>
      <c r="BJ47" s="191"/>
      <c r="BK47" s="191"/>
      <c r="BL47" s="191"/>
      <c r="BM47" s="191"/>
      <c r="BN47" s="191"/>
      <c r="BO47" s="191"/>
      <c r="BP47" s="191"/>
      <c r="BQ47" s="191"/>
      <c r="BR47" s="191"/>
      <c r="BS47" s="191"/>
      <c r="BT47" s="191"/>
      <c r="BU47" s="191"/>
      <c r="BV47" s="191"/>
      <c r="BW47" s="191"/>
      <c r="BX47" s="191"/>
      <c r="BY47" s="191"/>
      <c r="BZ47" s="191"/>
      <c r="CA47" s="191"/>
      <c r="CB47" s="191"/>
      <c r="CC47" s="191"/>
      <c r="CD47" s="191"/>
      <c r="CE47" s="191"/>
      <c r="CF47" s="191"/>
      <c r="CG47" s="191"/>
      <c r="CH47" s="191"/>
      <c r="CI47" s="191"/>
      <c r="CJ47" s="191"/>
      <c r="CK47" s="191"/>
      <c r="CL47" s="191"/>
      <c r="CM47" s="191"/>
      <c r="CN47" s="191"/>
      <c r="CO47" s="191"/>
      <c r="CP47" s="191"/>
      <c r="CQ47" s="191"/>
      <c r="CR47" s="191"/>
      <c r="CS47" s="191"/>
      <c r="CT47" s="191"/>
      <c r="CU47" s="191"/>
      <c r="CV47" s="191"/>
      <c r="CW47" s="191"/>
      <c r="CX47" s="191"/>
      <c r="CY47" s="191"/>
      <c r="CZ47" s="191"/>
      <c r="DA47" s="191"/>
      <c r="DB47" s="191"/>
      <c r="DC47" s="191"/>
      <c r="DD47" s="191"/>
      <c r="DE47" s="191"/>
      <c r="DF47" s="191"/>
      <c r="DG47" s="191"/>
      <c r="DH47" s="191"/>
      <c r="DI47" s="191"/>
      <c r="DJ47" s="191"/>
      <c r="DK47" s="191"/>
      <c r="DL47" s="191"/>
      <c r="DM47" s="191"/>
      <c r="DN47" s="191"/>
      <c r="DO47" s="191"/>
      <c r="DP47" s="191"/>
      <c r="DQ47" s="191"/>
      <c r="DR47" s="191"/>
      <c r="DS47" s="191"/>
      <c r="DT47" s="191"/>
      <c r="DU47" s="191"/>
      <c r="DV47" s="191"/>
      <c r="DW47" s="191"/>
      <c r="DX47" s="191"/>
      <c r="DY47" s="191"/>
      <c r="DZ47" s="191"/>
      <c r="EA47" s="191"/>
      <c r="EB47" s="191"/>
      <c r="EC47" s="191"/>
      <c r="ED47" s="191"/>
      <c r="EE47" s="191"/>
      <c r="EF47" s="191"/>
      <c r="EG47" s="191"/>
      <c r="EH47" s="191"/>
      <c r="EI47" s="191"/>
      <c r="EJ47" s="191"/>
      <c r="EK47" s="191"/>
      <c r="EL47" s="191"/>
      <c r="EM47" s="191"/>
      <c r="EN47" s="191"/>
      <c r="EO47" s="191"/>
      <c r="EP47" s="191"/>
      <c r="EQ47" s="191"/>
      <c r="ER47" s="191"/>
      <c r="ES47" s="191"/>
      <c r="ET47" s="191"/>
      <c r="EU47" s="191"/>
      <c r="EV47" s="191"/>
      <c r="EW47" s="191"/>
      <c r="EX47" s="191"/>
      <c r="EY47" s="191"/>
      <c r="EZ47" s="191"/>
      <c r="FA47" s="191"/>
      <c r="FB47" s="191"/>
      <c r="FC47" s="191"/>
      <c r="FD47" s="191"/>
      <c r="FE47" s="191"/>
      <c r="FF47" s="191"/>
      <c r="FG47" s="191"/>
      <c r="FH47" s="191"/>
      <c r="FI47" s="191"/>
      <c r="FJ47" s="191"/>
      <c r="FK47" s="191"/>
      <c r="FL47" s="191"/>
      <c r="FM47" s="191"/>
      <c r="FN47" s="191"/>
      <c r="FO47" s="191"/>
      <c r="FP47" s="191"/>
      <c r="FQ47" s="191"/>
      <c r="FR47" s="191"/>
      <c r="FS47" s="191"/>
      <c r="FT47" s="191"/>
      <c r="FU47" s="191"/>
      <c r="FV47" s="191"/>
      <c r="FW47" s="191"/>
      <c r="FX47" s="191"/>
      <c r="FY47" s="191"/>
      <c r="FZ47" s="191"/>
      <c r="GA47" s="191"/>
      <c r="GB47" s="191"/>
      <c r="GC47" s="191"/>
      <c r="GD47" s="191"/>
      <c r="GE47" s="191"/>
      <c r="GF47" s="191"/>
      <c r="GG47" s="191"/>
      <c r="GH47" s="191"/>
      <c r="GI47" s="191"/>
      <c r="GJ47" s="191"/>
      <c r="GK47" s="191"/>
      <c r="GL47" s="191"/>
      <c r="GM47" s="191"/>
      <c r="GN47" s="191"/>
      <c r="GO47" s="191"/>
      <c r="GP47" s="191"/>
      <c r="GQ47" s="191"/>
      <c r="GR47" s="191"/>
      <c r="GS47" s="191"/>
      <c r="GT47" s="191"/>
      <c r="GU47" s="191"/>
      <c r="GV47" s="191"/>
      <c r="GW47" s="191"/>
      <c r="GX47" s="191"/>
      <c r="GY47" s="191"/>
      <c r="GZ47" s="191"/>
      <c r="HA47" s="191"/>
      <c r="HB47" s="191"/>
      <c r="HC47" s="191"/>
      <c r="HD47" s="191"/>
      <c r="HE47" s="191"/>
      <c r="HF47" s="191"/>
      <c r="HG47" s="191"/>
      <c r="HH47" s="191"/>
      <c r="HI47" s="191"/>
      <c r="HJ47" s="191"/>
      <c r="HK47" s="191"/>
      <c r="HL47" s="191"/>
      <c r="HM47" s="191"/>
      <c r="HN47" s="191"/>
      <c r="HO47" s="191"/>
      <c r="HP47" s="191"/>
      <c r="HQ47" s="191"/>
      <c r="HR47" s="191"/>
      <c r="HS47" s="191"/>
      <c r="HT47" s="191"/>
      <c r="HU47" s="191"/>
      <c r="HV47" s="191"/>
      <c r="HW47" s="191"/>
      <c r="HX47" s="191"/>
      <c r="HY47" s="191"/>
      <c r="HZ47" s="191"/>
      <c r="IA47" s="191"/>
      <c r="IB47" s="192"/>
      <c r="IC47" s="192"/>
      <c r="ID47" s="192"/>
      <c r="IE47" s="192"/>
      <c r="IF47" s="192"/>
      <c r="IG47" s="192"/>
      <c r="IH47" s="192"/>
      <c r="II47" s="192"/>
      <c r="IJ47" s="192"/>
      <c r="IK47" s="192"/>
      <c r="IL47" s="192"/>
      <c r="IM47" s="192"/>
      <c r="IN47" s="192"/>
      <c r="IO47" s="192"/>
      <c r="IP47" s="192"/>
      <c r="IQ47" s="192"/>
      <c r="IR47" s="192"/>
      <c r="IS47" s="192"/>
      <c r="IT47" s="192"/>
    </row>
    <row r="48" spans="1:254" ht="15">
      <c r="A48" s="375" t="s">
        <v>154</v>
      </c>
      <c r="B48" s="70">
        <f t="shared" si="6"/>
        <v>0</v>
      </c>
      <c r="C48" s="1941">
        <v>0</v>
      </c>
      <c r="D48" s="1941">
        <v>0</v>
      </c>
      <c r="E48" s="1941">
        <v>0</v>
      </c>
      <c r="F48" s="1941">
        <v>0</v>
      </c>
      <c r="G48" s="1941">
        <v>0</v>
      </c>
      <c r="H48" s="1941">
        <v>0</v>
      </c>
      <c r="I48" s="1941">
        <v>0</v>
      </c>
      <c r="J48" s="1941">
        <v>0</v>
      </c>
      <c r="K48" s="1941">
        <v>0</v>
      </c>
      <c r="L48" s="1941">
        <v>0</v>
      </c>
      <c r="M48" s="1941">
        <v>0</v>
      </c>
      <c r="N48" s="1941">
        <v>0</v>
      </c>
      <c r="O48" s="1941">
        <v>0</v>
      </c>
      <c r="P48" s="1941">
        <v>0</v>
      </c>
      <c r="Q48" s="1941">
        <v>0</v>
      </c>
      <c r="R48" s="1941">
        <v>0</v>
      </c>
      <c r="S48" s="1941">
        <v>0</v>
      </c>
      <c r="T48" s="1941">
        <v>0</v>
      </c>
      <c r="U48" s="1941">
        <v>0</v>
      </c>
      <c r="V48" s="1941">
        <v>0</v>
      </c>
      <c r="W48" s="1941">
        <v>0</v>
      </c>
      <c r="X48" s="1941">
        <v>0</v>
      </c>
      <c r="Y48" s="1941">
        <v>0</v>
      </c>
      <c r="Z48" s="1941">
        <v>0</v>
      </c>
      <c r="AA48" s="1941">
        <v>0</v>
      </c>
      <c r="AB48" s="1941">
        <v>0</v>
      </c>
      <c r="AC48" s="1941">
        <v>0</v>
      </c>
      <c r="AD48" s="1941">
        <v>0</v>
      </c>
      <c r="AE48" s="1941">
        <v>0</v>
      </c>
      <c r="AF48" s="1941">
        <v>0</v>
      </c>
      <c r="AG48" s="1941">
        <v>0</v>
      </c>
      <c r="AH48" s="172">
        <f t="shared" si="7"/>
        <v>0</v>
      </c>
      <c r="AI48" s="191"/>
      <c r="AJ48" s="191"/>
      <c r="AK48" s="191"/>
      <c r="AL48" s="191"/>
      <c r="AM48" s="191"/>
      <c r="AN48" s="191"/>
      <c r="AO48" s="191"/>
      <c r="AP48" s="191"/>
      <c r="AQ48" s="191"/>
      <c r="AR48" s="191"/>
      <c r="AS48" s="191"/>
      <c r="AT48" s="191"/>
      <c r="AU48" s="191"/>
      <c r="AV48" s="191"/>
      <c r="AW48" s="191"/>
      <c r="AX48" s="191"/>
      <c r="AY48" s="191"/>
      <c r="AZ48" s="191"/>
      <c r="BA48" s="191"/>
      <c r="BB48" s="191"/>
      <c r="BC48" s="191"/>
      <c r="BD48" s="191"/>
      <c r="BE48" s="191"/>
      <c r="BF48" s="191"/>
      <c r="BG48" s="191"/>
      <c r="BH48" s="191"/>
      <c r="BI48" s="191"/>
      <c r="BJ48" s="191"/>
      <c r="BK48" s="191"/>
      <c r="BL48" s="191"/>
      <c r="BM48" s="191"/>
      <c r="BN48" s="191"/>
      <c r="BO48" s="191"/>
      <c r="BP48" s="191"/>
      <c r="BQ48" s="191"/>
      <c r="BR48" s="191"/>
      <c r="BS48" s="191"/>
      <c r="BT48" s="191"/>
      <c r="BU48" s="191"/>
      <c r="BV48" s="191"/>
      <c r="BW48" s="191"/>
      <c r="BX48" s="191"/>
      <c r="BY48" s="191"/>
      <c r="BZ48" s="191"/>
      <c r="CA48" s="191"/>
      <c r="CB48" s="191"/>
      <c r="CC48" s="191"/>
      <c r="CD48" s="191"/>
      <c r="CE48" s="191"/>
      <c r="CF48" s="191"/>
      <c r="CG48" s="191"/>
      <c r="CH48" s="191"/>
      <c r="CI48" s="191"/>
      <c r="CJ48" s="191"/>
      <c r="CK48" s="191"/>
      <c r="CL48" s="191"/>
      <c r="CM48" s="191"/>
      <c r="CN48" s="191"/>
      <c r="CO48" s="191"/>
      <c r="CP48" s="191"/>
      <c r="CQ48" s="191"/>
      <c r="CR48" s="191"/>
      <c r="CS48" s="191"/>
      <c r="CT48" s="191"/>
      <c r="CU48" s="191"/>
      <c r="CV48" s="191"/>
      <c r="CW48" s="191"/>
      <c r="CX48" s="191"/>
      <c r="CY48" s="191"/>
      <c r="CZ48" s="191"/>
      <c r="DA48" s="191"/>
      <c r="DB48" s="191"/>
      <c r="DC48" s="191"/>
      <c r="DD48" s="191"/>
      <c r="DE48" s="191"/>
      <c r="DF48" s="191"/>
      <c r="DG48" s="191"/>
      <c r="DH48" s="191"/>
      <c r="DI48" s="191"/>
      <c r="DJ48" s="191"/>
      <c r="DK48" s="191"/>
      <c r="DL48" s="191"/>
      <c r="DM48" s="191"/>
      <c r="DN48" s="191"/>
      <c r="DO48" s="191"/>
      <c r="DP48" s="191"/>
      <c r="DQ48" s="191"/>
      <c r="DR48" s="191"/>
      <c r="DS48" s="191"/>
      <c r="DT48" s="191"/>
      <c r="DU48" s="191"/>
      <c r="DV48" s="191"/>
      <c r="DW48" s="191"/>
      <c r="DX48" s="191"/>
      <c r="DY48" s="191"/>
      <c r="DZ48" s="191"/>
      <c r="EA48" s="191"/>
      <c r="EB48" s="191"/>
      <c r="EC48" s="191"/>
      <c r="ED48" s="191"/>
      <c r="EE48" s="191"/>
      <c r="EF48" s="191"/>
      <c r="EG48" s="191"/>
      <c r="EH48" s="191"/>
      <c r="EI48" s="191"/>
      <c r="EJ48" s="191"/>
      <c r="EK48" s="191"/>
      <c r="EL48" s="191"/>
      <c r="EM48" s="191"/>
      <c r="EN48" s="191"/>
      <c r="EO48" s="191"/>
      <c r="EP48" s="191"/>
      <c r="EQ48" s="191"/>
      <c r="ER48" s="191"/>
      <c r="ES48" s="191"/>
      <c r="ET48" s="191"/>
      <c r="EU48" s="191"/>
      <c r="EV48" s="191"/>
      <c r="EW48" s="191"/>
      <c r="EX48" s="191"/>
      <c r="EY48" s="191"/>
      <c r="EZ48" s="191"/>
      <c r="FA48" s="191"/>
      <c r="FB48" s="191"/>
      <c r="FC48" s="191"/>
      <c r="FD48" s="191"/>
      <c r="FE48" s="191"/>
      <c r="FF48" s="191"/>
      <c r="FG48" s="191"/>
      <c r="FH48" s="191"/>
      <c r="FI48" s="191"/>
      <c r="FJ48" s="191"/>
      <c r="FK48" s="191"/>
      <c r="FL48" s="191"/>
      <c r="FM48" s="191"/>
      <c r="FN48" s="191"/>
      <c r="FO48" s="191"/>
      <c r="FP48" s="191"/>
      <c r="FQ48" s="191"/>
      <c r="FR48" s="191"/>
      <c r="FS48" s="191"/>
      <c r="FT48" s="191"/>
      <c r="FU48" s="191"/>
      <c r="FV48" s="191"/>
      <c r="FW48" s="191"/>
      <c r="FX48" s="191"/>
      <c r="FY48" s="191"/>
      <c r="FZ48" s="191"/>
      <c r="GA48" s="191"/>
      <c r="GB48" s="191"/>
      <c r="GC48" s="191"/>
      <c r="GD48" s="191"/>
      <c r="GE48" s="191"/>
      <c r="GF48" s="191"/>
      <c r="GG48" s="191"/>
      <c r="GH48" s="191"/>
      <c r="GI48" s="191"/>
      <c r="GJ48" s="191"/>
      <c r="GK48" s="191"/>
      <c r="GL48" s="191"/>
      <c r="GM48" s="191"/>
      <c r="GN48" s="191"/>
      <c r="GO48" s="191"/>
      <c r="GP48" s="191"/>
      <c r="GQ48" s="191"/>
      <c r="GR48" s="191"/>
      <c r="GS48" s="191"/>
      <c r="GT48" s="191"/>
      <c r="GU48" s="191"/>
      <c r="GV48" s="191"/>
      <c r="GW48" s="191"/>
      <c r="GX48" s="191"/>
      <c r="GY48" s="191"/>
      <c r="GZ48" s="191"/>
      <c r="HA48" s="191"/>
      <c r="HB48" s="191"/>
      <c r="HC48" s="191"/>
      <c r="HD48" s="191"/>
      <c r="HE48" s="191"/>
      <c r="HF48" s="191"/>
      <c r="HG48" s="191"/>
      <c r="HH48" s="191"/>
      <c r="HI48" s="191"/>
      <c r="HJ48" s="191"/>
      <c r="HK48" s="191"/>
      <c r="HL48" s="191"/>
      <c r="HM48" s="191"/>
      <c r="HN48" s="191"/>
      <c r="HO48" s="191"/>
      <c r="HP48" s="191"/>
      <c r="HQ48" s="191"/>
      <c r="HR48" s="191"/>
      <c r="HS48" s="191"/>
      <c r="HT48" s="191"/>
      <c r="HU48" s="191"/>
      <c r="HV48" s="191"/>
      <c r="HW48" s="191"/>
      <c r="HX48" s="191"/>
      <c r="HY48" s="191"/>
      <c r="HZ48" s="191"/>
      <c r="IA48" s="191"/>
      <c r="IB48" s="192"/>
      <c r="IC48" s="192"/>
      <c r="ID48" s="192"/>
      <c r="IE48" s="192"/>
      <c r="IF48" s="192"/>
      <c r="IG48" s="192"/>
      <c r="IH48" s="192"/>
      <c r="II48" s="192"/>
      <c r="IJ48" s="192"/>
      <c r="IK48" s="192"/>
      <c r="IL48" s="192"/>
      <c r="IM48" s="192"/>
      <c r="IN48" s="192"/>
      <c r="IO48" s="192"/>
      <c r="IP48" s="192"/>
      <c r="IQ48" s="192"/>
      <c r="IR48" s="192"/>
      <c r="IS48" s="192"/>
      <c r="IT48" s="192"/>
    </row>
    <row r="49" spans="1:254" ht="15">
      <c r="A49" s="375" t="s">
        <v>155</v>
      </c>
      <c r="B49" s="70">
        <f t="shared" si="6"/>
        <v>0</v>
      </c>
      <c r="C49" s="1941">
        <v>0</v>
      </c>
      <c r="D49" s="1941">
        <v>0</v>
      </c>
      <c r="E49" s="1941">
        <v>0</v>
      </c>
      <c r="F49" s="1941">
        <v>0</v>
      </c>
      <c r="G49" s="1941">
        <v>0</v>
      </c>
      <c r="H49" s="1941">
        <v>0</v>
      </c>
      <c r="I49" s="1941">
        <v>0</v>
      </c>
      <c r="J49" s="1941">
        <v>0</v>
      </c>
      <c r="K49" s="1941">
        <v>0</v>
      </c>
      <c r="L49" s="1941">
        <v>0</v>
      </c>
      <c r="M49" s="1941">
        <v>0</v>
      </c>
      <c r="N49" s="1941">
        <v>0</v>
      </c>
      <c r="O49" s="1941">
        <v>0</v>
      </c>
      <c r="P49" s="1941">
        <v>0</v>
      </c>
      <c r="Q49" s="1941">
        <v>0</v>
      </c>
      <c r="R49" s="1941">
        <v>0</v>
      </c>
      <c r="S49" s="1941">
        <v>0</v>
      </c>
      <c r="T49" s="1941">
        <v>0</v>
      </c>
      <c r="U49" s="1941">
        <v>0</v>
      </c>
      <c r="V49" s="1941">
        <v>0</v>
      </c>
      <c r="W49" s="1941">
        <v>0</v>
      </c>
      <c r="X49" s="1941">
        <v>0</v>
      </c>
      <c r="Y49" s="1941">
        <v>0</v>
      </c>
      <c r="Z49" s="1941">
        <v>0</v>
      </c>
      <c r="AA49" s="1941">
        <v>0</v>
      </c>
      <c r="AB49" s="1941">
        <v>0</v>
      </c>
      <c r="AC49" s="1941">
        <v>0</v>
      </c>
      <c r="AD49" s="1941">
        <v>0</v>
      </c>
      <c r="AE49" s="1941">
        <v>0</v>
      </c>
      <c r="AF49" s="1941">
        <v>0</v>
      </c>
      <c r="AG49" s="1941">
        <v>0</v>
      </c>
      <c r="AH49" s="172">
        <f t="shared" si="7"/>
        <v>0</v>
      </c>
      <c r="AI49" s="191"/>
      <c r="AJ49" s="191"/>
      <c r="AK49" s="191"/>
      <c r="AL49" s="191"/>
      <c r="AM49" s="191"/>
      <c r="AN49" s="191"/>
      <c r="AO49" s="191"/>
      <c r="AP49" s="191"/>
      <c r="AQ49" s="191"/>
      <c r="AR49" s="191"/>
      <c r="AS49" s="191"/>
      <c r="AT49" s="191"/>
      <c r="AU49" s="191"/>
      <c r="AV49" s="191"/>
      <c r="AW49" s="191"/>
      <c r="AX49" s="191"/>
      <c r="AY49" s="191"/>
      <c r="AZ49" s="191"/>
      <c r="BA49" s="191"/>
      <c r="BB49" s="191"/>
      <c r="BC49" s="191"/>
      <c r="BD49" s="191"/>
      <c r="BE49" s="191"/>
      <c r="BF49" s="191"/>
      <c r="BG49" s="191"/>
      <c r="BH49" s="191"/>
      <c r="BI49" s="191"/>
      <c r="BJ49" s="191"/>
      <c r="BK49" s="191"/>
      <c r="BL49" s="191"/>
      <c r="BM49" s="191"/>
      <c r="BN49" s="191"/>
      <c r="BO49" s="191"/>
      <c r="BP49" s="191"/>
      <c r="BQ49" s="191"/>
      <c r="BR49" s="191"/>
      <c r="BS49" s="191"/>
      <c r="BT49" s="191"/>
      <c r="BU49" s="191"/>
      <c r="BV49" s="191"/>
      <c r="BW49" s="191"/>
      <c r="BX49" s="191"/>
      <c r="BY49" s="191"/>
      <c r="BZ49" s="191"/>
      <c r="CA49" s="191"/>
      <c r="CB49" s="191"/>
      <c r="CC49" s="191"/>
      <c r="CD49" s="191"/>
      <c r="CE49" s="191"/>
      <c r="CF49" s="191"/>
      <c r="CG49" s="191"/>
      <c r="CH49" s="191"/>
      <c r="CI49" s="191"/>
      <c r="CJ49" s="191"/>
      <c r="CK49" s="191"/>
      <c r="CL49" s="191"/>
      <c r="CM49" s="191"/>
      <c r="CN49" s="191"/>
      <c r="CO49" s="191"/>
      <c r="CP49" s="191"/>
      <c r="CQ49" s="191"/>
      <c r="CR49" s="191"/>
      <c r="CS49" s="191"/>
      <c r="CT49" s="191"/>
      <c r="CU49" s="191"/>
      <c r="CV49" s="191"/>
      <c r="CW49" s="191"/>
      <c r="CX49" s="191"/>
      <c r="CY49" s="191"/>
      <c r="CZ49" s="191"/>
      <c r="DA49" s="191"/>
      <c r="DB49" s="191"/>
      <c r="DC49" s="191"/>
      <c r="DD49" s="191"/>
      <c r="DE49" s="191"/>
      <c r="DF49" s="191"/>
      <c r="DG49" s="191"/>
      <c r="DH49" s="191"/>
      <c r="DI49" s="191"/>
      <c r="DJ49" s="191"/>
      <c r="DK49" s="191"/>
      <c r="DL49" s="191"/>
      <c r="DM49" s="191"/>
      <c r="DN49" s="191"/>
      <c r="DO49" s="191"/>
      <c r="DP49" s="191"/>
      <c r="DQ49" s="191"/>
      <c r="DR49" s="191"/>
      <c r="DS49" s="191"/>
      <c r="DT49" s="191"/>
      <c r="DU49" s="191"/>
      <c r="DV49" s="191"/>
      <c r="DW49" s="191"/>
      <c r="DX49" s="191"/>
      <c r="DY49" s="191"/>
      <c r="DZ49" s="191"/>
      <c r="EA49" s="191"/>
      <c r="EB49" s="191"/>
      <c r="EC49" s="191"/>
      <c r="ED49" s="191"/>
      <c r="EE49" s="191"/>
      <c r="EF49" s="191"/>
      <c r="EG49" s="191"/>
      <c r="EH49" s="191"/>
      <c r="EI49" s="191"/>
      <c r="EJ49" s="191"/>
      <c r="EK49" s="191"/>
      <c r="EL49" s="191"/>
      <c r="EM49" s="191"/>
      <c r="EN49" s="191"/>
      <c r="EO49" s="191"/>
      <c r="EP49" s="191"/>
      <c r="EQ49" s="191"/>
      <c r="ER49" s="191"/>
      <c r="ES49" s="191"/>
      <c r="ET49" s="191"/>
      <c r="EU49" s="191"/>
      <c r="EV49" s="191"/>
      <c r="EW49" s="191"/>
      <c r="EX49" s="191"/>
      <c r="EY49" s="191"/>
      <c r="EZ49" s="191"/>
      <c r="FA49" s="191"/>
      <c r="FB49" s="191"/>
      <c r="FC49" s="191"/>
      <c r="FD49" s="191"/>
      <c r="FE49" s="191"/>
      <c r="FF49" s="191"/>
      <c r="FG49" s="191"/>
      <c r="FH49" s="191"/>
      <c r="FI49" s="191"/>
      <c r="FJ49" s="191"/>
      <c r="FK49" s="191"/>
      <c r="FL49" s="191"/>
      <c r="FM49" s="191"/>
      <c r="FN49" s="191"/>
      <c r="FO49" s="191"/>
      <c r="FP49" s="191"/>
      <c r="FQ49" s="191"/>
      <c r="FR49" s="191"/>
      <c r="FS49" s="191"/>
      <c r="FT49" s="191"/>
      <c r="FU49" s="191"/>
      <c r="FV49" s="191"/>
      <c r="FW49" s="191"/>
      <c r="FX49" s="191"/>
      <c r="FY49" s="191"/>
      <c r="FZ49" s="191"/>
      <c r="GA49" s="191"/>
      <c r="GB49" s="191"/>
      <c r="GC49" s="191"/>
      <c r="GD49" s="191"/>
      <c r="GE49" s="191"/>
      <c r="GF49" s="191"/>
      <c r="GG49" s="191"/>
      <c r="GH49" s="191"/>
      <c r="GI49" s="191"/>
      <c r="GJ49" s="191"/>
      <c r="GK49" s="191"/>
      <c r="GL49" s="191"/>
      <c r="GM49" s="191"/>
      <c r="GN49" s="191"/>
      <c r="GO49" s="191"/>
      <c r="GP49" s="191"/>
      <c r="GQ49" s="191"/>
      <c r="GR49" s="191"/>
      <c r="GS49" s="191"/>
      <c r="GT49" s="191"/>
      <c r="GU49" s="191"/>
      <c r="GV49" s="191"/>
      <c r="GW49" s="191"/>
      <c r="GX49" s="191"/>
      <c r="GY49" s="191"/>
      <c r="GZ49" s="191"/>
      <c r="HA49" s="191"/>
      <c r="HB49" s="191"/>
      <c r="HC49" s="191"/>
      <c r="HD49" s="191"/>
      <c r="HE49" s="191"/>
      <c r="HF49" s="191"/>
      <c r="HG49" s="191"/>
      <c r="HH49" s="191"/>
      <c r="HI49" s="191"/>
      <c r="HJ49" s="191"/>
      <c r="HK49" s="191"/>
      <c r="HL49" s="191"/>
      <c r="HM49" s="191"/>
      <c r="HN49" s="191"/>
      <c r="HO49" s="191"/>
      <c r="HP49" s="191"/>
      <c r="HQ49" s="191"/>
      <c r="HR49" s="191"/>
      <c r="HS49" s="191"/>
      <c r="HT49" s="191"/>
      <c r="HU49" s="191"/>
      <c r="HV49" s="191"/>
      <c r="HW49" s="191"/>
      <c r="HX49" s="191"/>
      <c r="HY49" s="191"/>
      <c r="HZ49" s="191"/>
      <c r="IA49" s="191"/>
      <c r="IB49" s="192"/>
      <c r="IC49" s="192"/>
      <c r="ID49" s="192"/>
      <c r="IE49" s="192"/>
      <c r="IF49" s="192"/>
      <c r="IG49" s="192"/>
      <c r="IH49" s="192"/>
      <c r="II49" s="192"/>
      <c r="IJ49" s="192"/>
      <c r="IK49" s="192"/>
      <c r="IL49" s="192"/>
      <c r="IM49" s="192"/>
      <c r="IN49" s="192"/>
      <c r="IO49" s="192"/>
      <c r="IP49" s="192"/>
      <c r="IQ49" s="192"/>
      <c r="IR49" s="192"/>
      <c r="IS49" s="192"/>
      <c r="IT49" s="192"/>
    </row>
    <row r="50" spans="1:254" ht="15">
      <c r="A50" s="375" t="s">
        <v>156</v>
      </c>
      <c r="B50" s="70">
        <f t="shared" si="6"/>
        <v>0</v>
      </c>
      <c r="C50" s="1941">
        <v>0</v>
      </c>
      <c r="D50" s="1941">
        <v>0</v>
      </c>
      <c r="E50" s="1941">
        <v>0</v>
      </c>
      <c r="F50" s="1941">
        <v>0</v>
      </c>
      <c r="G50" s="1941">
        <v>0</v>
      </c>
      <c r="H50" s="1941">
        <v>0</v>
      </c>
      <c r="I50" s="1941">
        <v>0</v>
      </c>
      <c r="J50" s="1941">
        <v>0</v>
      </c>
      <c r="K50" s="1941">
        <v>0</v>
      </c>
      <c r="L50" s="1941">
        <v>0</v>
      </c>
      <c r="M50" s="1941">
        <v>0</v>
      </c>
      <c r="N50" s="1941">
        <v>0</v>
      </c>
      <c r="O50" s="1941">
        <v>0</v>
      </c>
      <c r="P50" s="1941">
        <v>0</v>
      </c>
      <c r="Q50" s="1941">
        <v>0</v>
      </c>
      <c r="R50" s="1941">
        <v>0</v>
      </c>
      <c r="S50" s="1941">
        <v>0</v>
      </c>
      <c r="T50" s="1941">
        <v>0</v>
      </c>
      <c r="U50" s="1941">
        <v>0</v>
      </c>
      <c r="V50" s="1941">
        <v>0</v>
      </c>
      <c r="W50" s="1941">
        <v>0</v>
      </c>
      <c r="X50" s="1941">
        <v>0</v>
      </c>
      <c r="Y50" s="1941">
        <v>0</v>
      </c>
      <c r="Z50" s="1941">
        <v>0</v>
      </c>
      <c r="AA50" s="1941">
        <v>0</v>
      </c>
      <c r="AB50" s="1941">
        <v>0</v>
      </c>
      <c r="AC50" s="1941">
        <v>0</v>
      </c>
      <c r="AD50" s="1941">
        <v>0</v>
      </c>
      <c r="AE50" s="1941">
        <v>0</v>
      </c>
      <c r="AF50" s="1941">
        <v>0</v>
      </c>
      <c r="AG50" s="1941">
        <v>0</v>
      </c>
      <c r="AH50" s="172">
        <f t="shared" si="7"/>
        <v>0</v>
      </c>
      <c r="AI50" s="191"/>
      <c r="AJ50" s="191"/>
      <c r="AK50" s="191"/>
      <c r="AL50" s="191"/>
      <c r="AM50" s="191"/>
      <c r="AN50" s="191"/>
      <c r="AO50" s="191"/>
      <c r="AP50" s="191"/>
      <c r="AQ50" s="191"/>
      <c r="AR50" s="191"/>
      <c r="AS50" s="191"/>
      <c r="AT50" s="191"/>
      <c r="AU50" s="191"/>
      <c r="AV50" s="191"/>
      <c r="AW50" s="191"/>
      <c r="AX50" s="191"/>
      <c r="AY50" s="191"/>
      <c r="AZ50" s="191"/>
      <c r="BA50" s="191"/>
      <c r="BB50" s="191"/>
      <c r="BC50" s="191"/>
      <c r="BD50" s="191"/>
      <c r="BE50" s="191"/>
      <c r="BF50" s="191"/>
      <c r="BG50" s="191"/>
      <c r="BH50" s="191"/>
      <c r="BI50" s="191"/>
      <c r="BJ50" s="191"/>
      <c r="BK50" s="191"/>
      <c r="BL50" s="191"/>
      <c r="BM50" s="191"/>
      <c r="BN50" s="191"/>
      <c r="BO50" s="191"/>
      <c r="BP50" s="191"/>
      <c r="BQ50" s="191"/>
      <c r="BR50" s="191"/>
      <c r="BS50" s="191"/>
      <c r="BT50" s="191"/>
      <c r="BU50" s="191"/>
      <c r="BV50" s="191"/>
      <c r="BW50" s="191"/>
      <c r="BX50" s="191"/>
      <c r="BY50" s="191"/>
      <c r="BZ50" s="191"/>
      <c r="CA50" s="191"/>
      <c r="CB50" s="191"/>
      <c r="CC50" s="191"/>
      <c r="CD50" s="191"/>
      <c r="CE50" s="191"/>
      <c r="CF50" s="191"/>
      <c r="CG50" s="191"/>
      <c r="CH50" s="191"/>
      <c r="CI50" s="191"/>
      <c r="CJ50" s="191"/>
      <c r="CK50" s="191"/>
      <c r="CL50" s="191"/>
      <c r="CM50" s="191"/>
      <c r="CN50" s="191"/>
      <c r="CO50" s="191"/>
      <c r="CP50" s="191"/>
      <c r="CQ50" s="191"/>
      <c r="CR50" s="191"/>
      <c r="CS50" s="191"/>
      <c r="CT50" s="191"/>
      <c r="CU50" s="191"/>
      <c r="CV50" s="191"/>
      <c r="CW50" s="191"/>
      <c r="CX50" s="191"/>
      <c r="CY50" s="191"/>
      <c r="CZ50" s="191"/>
      <c r="DA50" s="191"/>
      <c r="DB50" s="191"/>
      <c r="DC50" s="191"/>
      <c r="DD50" s="191"/>
      <c r="DE50" s="191"/>
      <c r="DF50" s="191"/>
      <c r="DG50" s="191"/>
      <c r="DH50" s="191"/>
      <c r="DI50" s="191"/>
      <c r="DJ50" s="191"/>
      <c r="DK50" s="191"/>
      <c r="DL50" s="191"/>
      <c r="DM50" s="191"/>
      <c r="DN50" s="191"/>
      <c r="DO50" s="191"/>
      <c r="DP50" s="191"/>
      <c r="DQ50" s="191"/>
      <c r="DR50" s="191"/>
      <c r="DS50" s="191"/>
      <c r="DT50" s="191"/>
      <c r="DU50" s="191"/>
      <c r="DV50" s="191"/>
      <c r="DW50" s="191"/>
      <c r="DX50" s="191"/>
      <c r="DY50" s="191"/>
      <c r="DZ50" s="191"/>
      <c r="EA50" s="191"/>
      <c r="EB50" s="191"/>
      <c r="EC50" s="191"/>
      <c r="ED50" s="191"/>
      <c r="EE50" s="191"/>
      <c r="EF50" s="191"/>
      <c r="EG50" s="191"/>
      <c r="EH50" s="191"/>
      <c r="EI50" s="191"/>
      <c r="EJ50" s="191"/>
      <c r="EK50" s="191"/>
      <c r="EL50" s="191"/>
      <c r="EM50" s="191"/>
      <c r="EN50" s="191"/>
      <c r="EO50" s="191"/>
      <c r="EP50" s="191"/>
      <c r="EQ50" s="191"/>
      <c r="ER50" s="191"/>
      <c r="ES50" s="191"/>
      <c r="ET50" s="191"/>
      <c r="EU50" s="191"/>
      <c r="EV50" s="191"/>
      <c r="EW50" s="191"/>
      <c r="EX50" s="191"/>
      <c r="EY50" s="191"/>
      <c r="EZ50" s="191"/>
      <c r="FA50" s="191"/>
      <c r="FB50" s="191"/>
      <c r="FC50" s="191"/>
      <c r="FD50" s="191"/>
      <c r="FE50" s="191"/>
      <c r="FF50" s="191"/>
      <c r="FG50" s="191"/>
      <c r="FH50" s="191"/>
      <c r="FI50" s="191"/>
      <c r="FJ50" s="191"/>
      <c r="FK50" s="191"/>
      <c r="FL50" s="191"/>
      <c r="FM50" s="191"/>
      <c r="FN50" s="191"/>
      <c r="FO50" s="191"/>
      <c r="FP50" s="191"/>
      <c r="FQ50" s="191"/>
      <c r="FR50" s="191"/>
      <c r="FS50" s="191"/>
      <c r="FT50" s="191"/>
      <c r="FU50" s="191"/>
      <c r="FV50" s="191"/>
      <c r="FW50" s="191"/>
      <c r="FX50" s="191"/>
      <c r="FY50" s="191"/>
      <c r="FZ50" s="191"/>
      <c r="GA50" s="191"/>
      <c r="GB50" s="191"/>
      <c r="GC50" s="191"/>
      <c r="GD50" s="191"/>
      <c r="GE50" s="191"/>
      <c r="GF50" s="191"/>
      <c r="GG50" s="191"/>
      <c r="GH50" s="191"/>
      <c r="GI50" s="191"/>
      <c r="GJ50" s="191"/>
      <c r="GK50" s="191"/>
      <c r="GL50" s="191"/>
      <c r="GM50" s="191"/>
      <c r="GN50" s="191"/>
      <c r="GO50" s="191"/>
      <c r="GP50" s="191"/>
      <c r="GQ50" s="191"/>
      <c r="GR50" s="191"/>
      <c r="GS50" s="191"/>
      <c r="GT50" s="191"/>
      <c r="GU50" s="191"/>
      <c r="GV50" s="191"/>
      <c r="GW50" s="191"/>
      <c r="GX50" s="191"/>
      <c r="GY50" s="191"/>
      <c r="GZ50" s="191"/>
      <c r="HA50" s="191"/>
      <c r="HB50" s="191"/>
      <c r="HC50" s="191"/>
      <c r="HD50" s="191"/>
      <c r="HE50" s="191"/>
      <c r="HF50" s="191"/>
      <c r="HG50" s="191"/>
      <c r="HH50" s="191"/>
      <c r="HI50" s="191"/>
      <c r="HJ50" s="191"/>
      <c r="HK50" s="191"/>
      <c r="HL50" s="191"/>
      <c r="HM50" s="191"/>
      <c r="HN50" s="191"/>
      <c r="HO50" s="191"/>
      <c r="HP50" s="191"/>
      <c r="HQ50" s="191"/>
      <c r="HR50" s="191"/>
      <c r="HS50" s="191"/>
      <c r="HT50" s="191"/>
      <c r="HU50" s="191"/>
      <c r="HV50" s="191"/>
      <c r="HW50" s="191"/>
      <c r="HX50" s="191"/>
      <c r="HY50" s="191"/>
      <c r="HZ50" s="191"/>
      <c r="IA50" s="191"/>
      <c r="IB50" s="192"/>
      <c r="IC50" s="192"/>
      <c r="ID50" s="192"/>
      <c r="IE50" s="192"/>
      <c r="IF50" s="192"/>
      <c r="IG50" s="192"/>
      <c r="IH50" s="192"/>
      <c r="II50" s="192"/>
      <c r="IJ50" s="192"/>
      <c r="IK50" s="192"/>
      <c r="IL50" s="192"/>
      <c r="IM50" s="192"/>
      <c r="IN50" s="192"/>
      <c r="IO50" s="192"/>
      <c r="IP50" s="192"/>
      <c r="IQ50" s="192"/>
      <c r="IR50" s="192"/>
      <c r="IS50" s="192"/>
      <c r="IT50" s="192"/>
    </row>
    <row r="51" spans="1:254" ht="15">
      <c r="A51" s="199" t="s">
        <v>144</v>
      </c>
      <c r="B51" s="201">
        <f>SUM(B39:B50)</f>
        <v>62.746299999999998</v>
      </c>
      <c r="C51" s="172"/>
      <c r="D51" s="172">
        <f t="shared" ref="D51:AH51" si="8">SUM(D39:D50)</f>
        <v>0</v>
      </c>
      <c r="E51" s="172">
        <f t="shared" si="8"/>
        <v>9.3569999999999993</v>
      </c>
      <c r="F51" s="172">
        <f t="shared" si="8"/>
        <v>1.2774000000000001</v>
      </c>
      <c r="G51" s="172">
        <f t="shared" si="8"/>
        <v>0</v>
      </c>
      <c r="H51" s="172">
        <f t="shared" si="8"/>
        <v>0.88100000000000001</v>
      </c>
      <c r="I51" s="172">
        <f t="shared" si="8"/>
        <v>0.37</v>
      </c>
      <c r="J51" s="172">
        <f t="shared" si="8"/>
        <v>2.1110000000000002</v>
      </c>
      <c r="K51" s="172">
        <f t="shared" si="8"/>
        <v>0</v>
      </c>
      <c r="L51" s="172">
        <f t="shared" si="8"/>
        <v>5.7869999999999999</v>
      </c>
      <c r="M51" s="172">
        <f t="shared" si="8"/>
        <v>0</v>
      </c>
      <c r="N51" s="172">
        <f t="shared" si="8"/>
        <v>4.3243999999999998</v>
      </c>
      <c r="O51" s="172">
        <f t="shared" si="8"/>
        <v>1.4211</v>
      </c>
      <c r="P51" s="172">
        <f t="shared" si="8"/>
        <v>7.6999999999999999E-2</v>
      </c>
      <c r="Q51" s="172">
        <f t="shared" si="8"/>
        <v>0</v>
      </c>
      <c r="R51" s="172">
        <f t="shared" si="8"/>
        <v>7.5149999999999997</v>
      </c>
      <c r="S51" s="172">
        <f t="shared" si="8"/>
        <v>0</v>
      </c>
      <c r="T51" s="172">
        <f t="shared" si="8"/>
        <v>0</v>
      </c>
      <c r="U51" s="172">
        <f t="shared" si="8"/>
        <v>0</v>
      </c>
      <c r="V51" s="172">
        <f t="shared" si="8"/>
        <v>0</v>
      </c>
      <c r="W51" s="172">
        <f t="shared" si="8"/>
        <v>0.58450000000000002</v>
      </c>
      <c r="X51" s="172">
        <f t="shared" si="8"/>
        <v>0</v>
      </c>
      <c r="Y51" s="172">
        <f t="shared" si="8"/>
        <v>1.911</v>
      </c>
      <c r="Z51" s="172">
        <f t="shared" si="8"/>
        <v>0.93199999999999994</v>
      </c>
      <c r="AA51" s="172">
        <f t="shared" si="8"/>
        <v>0.56499999999999995</v>
      </c>
      <c r="AB51" s="172">
        <f t="shared" si="8"/>
        <v>12.422000000000001</v>
      </c>
      <c r="AC51" s="172">
        <f t="shared" si="8"/>
        <v>3.1478999999999999</v>
      </c>
      <c r="AD51" s="172">
        <f t="shared" si="8"/>
        <v>0</v>
      </c>
      <c r="AE51" s="172">
        <f t="shared" si="8"/>
        <v>0</v>
      </c>
      <c r="AF51" s="172">
        <f t="shared" si="8"/>
        <v>8.1820000000000004</v>
      </c>
      <c r="AG51" s="172">
        <f t="shared" si="8"/>
        <v>1.881</v>
      </c>
      <c r="AH51" s="172">
        <f t="shared" si="8"/>
        <v>62.746299999999998</v>
      </c>
      <c r="AI51" s="191"/>
      <c r="AJ51" s="191"/>
      <c r="AK51" s="191"/>
      <c r="AL51" s="191"/>
      <c r="AM51" s="191"/>
      <c r="AN51" s="191"/>
      <c r="AO51" s="191"/>
      <c r="AP51" s="191"/>
      <c r="AQ51" s="191"/>
      <c r="AR51" s="191"/>
      <c r="AS51" s="191"/>
      <c r="AT51" s="191"/>
      <c r="AU51" s="191"/>
      <c r="AV51" s="191"/>
      <c r="AW51" s="191"/>
      <c r="AX51" s="191"/>
      <c r="AY51" s="191"/>
      <c r="AZ51" s="191"/>
      <c r="BA51" s="191"/>
      <c r="BB51" s="191"/>
      <c r="BC51" s="191"/>
      <c r="BD51" s="191"/>
      <c r="BE51" s="191"/>
      <c r="BF51" s="191"/>
      <c r="BG51" s="191"/>
      <c r="BH51" s="191"/>
      <c r="BI51" s="191"/>
      <c r="BJ51" s="191"/>
      <c r="BK51" s="191"/>
      <c r="BL51" s="191"/>
      <c r="BM51" s="191"/>
      <c r="BN51" s="191"/>
      <c r="BO51" s="191"/>
      <c r="BP51" s="191"/>
      <c r="BQ51" s="191"/>
      <c r="BR51" s="191"/>
      <c r="BS51" s="191"/>
      <c r="BT51" s="191"/>
      <c r="BU51" s="191"/>
      <c r="BV51" s="191"/>
      <c r="BW51" s="191"/>
      <c r="BX51" s="191"/>
      <c r="BY51" s="191"/>
      <c r="BZ51" s="191"/>
      <c r="CA51" s="191"/>
      <c r="CB51" s="191"/>
      <c r="CC51" s="191"/>
      <c r="CD51" s="191"/>
      <c r="CE51" s="191"/>
      <c r="CF51" s="191"/>
      <c r="CG51" s="191"/>
      <c r="CH51" s="191"/>
      <c r="CI51" s="191"/>
      <c r="CJ51" s="191"/>
      <c r="CK51" s="191"/>
      <c r="CL51" s="191"/>
      <c r="CM51" s="191"/>
      <c r="CN51" s="191"/>
      <c r="CO51" s="191"/>
      <c r="CP51" s="191"/>
      <c r="CQ51" s="191"/>
      <c r="CR51" s="191"/>
      <c r="CS51" s="191"/>
      <c r="CT51" s="191"/>
      <c r="CU51" s="191"/>
      <c r="CV51" s="191"/>
      <c r="CW51" s="191"/>
      <c r="CX51" s="191"/>
      <c r="CY51" s="191"/>
      <c r="CZ51" s="191"/>
      <c r="DA51" s="191"/>
      <c r="DB51" s="191"/>
      <c r="DC51" s="191"/>
      <c r="DD51" s="191"/>
      <c r="DE51" s="191"/>
      <c r="DF51" s="191"/>
      <c r="DG51" s="191"/>
      <c r="DH51" s="191"/>
      <c r="DI51" s="191"/>
      <c r="DJ51" s="191"/>
      <c r="DK51" s="191"/>
      <c r="DL51" s="191"/>
      <c r="DM51" s="191"/>
      <c r="DN51" s="191"/>
      <c r="DO51" s="191"/>
      <c r="DP51" s="191"/>
      <c r="DQ51" s="191"/>
      <c r="DR51" s="191"/>
      <c r="DS51" s="191"/>
      <c r="DT51" s="191"/>
      <c r="DU51" s="191"/>
      <c r="DV51" s="191"/>
      <c r="DW51" s="191"/>
      <c r="DX51" s="191"/>
      <c r="DY51" s="191"/>
      <c r="DZ51" s="191"/>
      <c r="EA51" s="191"/>
      <c r="EB51" s="191"/>
      <c r="EC51" s="191"/>
      <c r="ED51" s="191"/>
      <c r="EE51" s="191"/>
      <c r="EF51" s="191"/>
      <c r="EG51" s="191"/>
      <c r="EH51" s="191"/>
      <c r="EI51" s="191"/>
      <c r="EJ51" s="191"/>
      <c r="EK51" s="191"/>
      <c r="EL51" s="191"/>
      <c r="EM51" s="191"/>
      <c r="EN51" s="191"/>
      <c r="EO51" s="191"/>
      <c r="EP51" s="191"/>
      <c r="EQ51" s="191"/>
      <c r="ER51" s="191"/>
      <c r="ES51" s="191"/>
      <c r="ET51" s="191"/>
      <c r="EU51" s="191"/>
      <c r="EV51" s="191"/>
      <c r="EW51" s="191"/>
      <c r="EX51" s="191"/>
      <c r="EY51" s="191"/>
      <c r="EZ51" s="191"/>
      <c r="FA51" s="191"/>
      <c r="FB51" s="191"/>
      <c r="FC51" s="191"/>
      <c r="FD51" s="191"/>
      <c r="FE51" s="191"/>
      <c r="FF51" s="191"/>
      <c r="FG51" s="191"/>
      <c r="FH51" s="191"/>
      <c r="FI51" s="191"/>
      <c r="FJ51" s="191"/>
      <c r="FK51" s="191"/>
      <c r="FL51" s="191"/>
      <c r="FM51" s="191"/>
      <c r="FN51" s="191"/>
      <c r="FO51" s="191"/>
      <c r="FP51" s="191"/>
      <c r="FQ51" s="191"/>
      <c r="FR51" s="191"/>
      <c r="FS51" s="191"/>
      <c r="FT51" s="191"/>
      <c r="FU51" s="191"/>
      <c r="FV51" s="191"/>
      <c r="FW51" s="191"/>
      <c r="FX51" s="191"/>
      <c r="FY51" s="191"/>
      <c r="FZ51" s="191"/>
      <c r="GA51" s="191"/>
      <c r="GB51" s="191"/>
      <c r="GC51" s="191"/>
      <c r="GD51" s="191"/>
      <c r="GE51" s="191"/>
      <c r="GF51" s="191"/>
      <c r="GG51" s="191"/>
      <c r="GH51" s="191"/>
      <c r="GI51" s="191"/>
      <c r="GJ51" s="191"/>
      <c r="GK51" s="191"/>
      <c r="GL51" s="191"/>
      <c r="GM51" s="191"/>
      <c r="GN51" s="191"/>
      <c r="GO51" s="191"/>
      <c r="GP51" s="191"/>
      <c r="GQ51" s="191"/>
      <c r="GR51" s="191"/>
      <c r="GS51" s="191"/>
      <c r="GT51" s="191"/>
      <c r="GU51" s="191"/>
      <c r="GV51" s="191"/>
      <c r="GW51" s="191"/>
      <c r="GX51" s="191"/>
      <c r="GY51" s="191"/>
      <c r="GZ51" s="191"/>
      <c r="HA51" s="191"/>
      <c r="HB51" s="191"/>
      <c r="HC51" s="191"/>
      <c r="HD51" s="191"/>
      <c r="HE51" s="191"/>
      <c r="HF51" s="191"/>
      <c r="HG51" s="191"/>
      <c r="HH51" s="191"/>
      <c r="HI51" s="191"/>
      <c r="HJ51" s="191"/>
      <c r="HK51" s="191"/>
      <c r="HL51" s="191"/>
      <c r="HM51" s="191"/>
      <c r="HN51" s="191"/>
      <c r="HO51" s="191"/>
      <c r="HP51" s="191"/>
      <c r="HQ51" s="191"/>
      <c r="HR51" s="191"/>
      <c r="HS51" s="191"/>
      <c r="HT51" s="191"/>
      <c r="HU51" s="191"/>
      <c r="HV51" s="191"/>
      <c r="HW51" s="191"/>
      <c r="HX51" s="191"/>
      <c r="HY51" s="191"/>
      <c r="HZ51" s="191"/>
      <c r="IA51" s="191"/>
      <c r="IB51" s="192"/>
      <c r="IC51" s="192"/>
      <c r="ID51" s="192"/>
      <c r="IE51" s="192"/>
      <c r="IF51" s="192"/>
      <c r="IG51" s="192"/>
      <c r="IH51" s="192"/>
      <c r="II51" s="192"/>
      <c r="IJ51" s="192"/>
      <c r="IK51" s="192"/>
      <c r="IL51" s="192"/>
      <c r="IM51" s="192"/>
      <c r="IN51" s="192"/>
      <c r="IO51" s="192"/>
      <c r="IP51" s="192"/>
      <c r="IQ51" s="192"/>
      <c r="IR51" s="192"/>
      <c r="IS51" s="192"/>
      <c r="IT51" s="192"/>
    </row>
    <row r="52" spans="1:254">
      <c r="B52" s="312"/>
    </row>
    <row r="54" spans="1:254" ht="13.8" thickBot="1"/>
    <row r="55" spans="1:254" ht="15.6" thickBot="1">
      <c r="A55" s="3917" t="s">
        <v>973</v>
      </c>
      <c r="B55" s="3918"/>
      <c r="C55" s="3918"/>
      <c r="D55" s="3918"/>
      <c r="E55" s="3918"/>
      <c r="F55" s="3918"/>
      <c r="G55" s="3918"/>
      <c r="H55" s="3918"/>
      <c r="I55" s="3918"/>
      <c r="J55" s="3919"/>
      <c r="K55" s="3650">
        <v>41278</v>
      </c>
      <c r="L55" s="81"/>
      <c r="M55" s="81"/>
      <c r="N55" s="81"/>
      <c r="O55" s="81"/>
      <c r="P55" s="81"/>
      <c r="Q55" s="81"/>
      <c r="R55" s="81"/>
      <c r="S55" s="81"/>
      <c r="T55" s="81"/>
      <c r="U55" s="81"/>
      <c r="V55" s="81"/>
      <c r="W55" s="81"/>
      <c r="X55" s="81"/>
      <c r="Y55" s="81"/>
      <c r="Z55" s="81"/>
      <c r="AA55" s="81"/>
      <c r="AB55" s="81"/>
      <c r="AC55" s="81"/>
      <c r="AD55" s="81"/>
      <c r="AE55" s="81"/>
      <c r="AF55" s="81"/>
      <c r="AG55" s="81"/>
      <c r="AH55" s="170"/>
    </row>
    <row r="56" spans="1:254" ht="15">
      <c r="A56" s="1838" t="s">
        <v>142</v>
      </c>
      <c r="B56" s="175" t="s">
        <v>143</v>
      </c>
      <c r="C56" s="1834">
        <v>1</v>
      </c>
      <c r="D56" s="1833">
        <v>2</v>
      </c>
      <c r="E56" s="1833">
        <v>3</v>
      </c>
      <c r="F56" s="1833">
        <v>4</v>
      </c>
      <c r="G56" s="1833">
        <v>5</v>
      </c>
      <c r="H56" s="1833">
        <v>6</v>
      </c>
      <c r="I56" s="1833">
        <v>7</v>
      </c>
      <c r="J56" s="1833">
        <v>8</v>
      </c>
      <c r="K56" s="82">
        <v>9</v>
      </c>
      <c r="L56" s="82">
        <v>10</v>
      </c>
      <c r="M56" s="82">
        <v>11</v>
      </c>
      <c r="N56" s="82">
        <v>12</v>
      </c>
      <c r="O56" s="82">
        <v>13</v>
      </c>
      <c r="P56" s="82">
        <v>14</v>
      </c>
      <c r="Q56" s="82">
        <v>15</v>
      </c>
      <c r="R56" s="82">
        <v>16</v>
      </c>
      <c r="S56" s="82">
        <v>17</v>
      </c>
      <c r="T56" s="82">
        <v>18</v>
      </c>
      <c r="U56" s="82">
        <v>19</v>
      </c>
      <c r="V56" s="82">
        <v>20</v>
      </c>
      <c r="W56" s="82">
        <v>21</v>
      </c>
      <c r="X56" s="82">
        <v>22</v>
      </c>
      <c r="Y56" s="82">
        <v>23</v>
      </c>
      <c r="Z56" s="82">
        <v>24</v>
      </c>
      <c r="AA56" s="82">
        <v>25</v>
      </c>
      <c r="AB56" s="82">
        <v>26</v>
      </c>
      <c r="AC56" s="82">
        <v>27</v>
      </c>
      <c r="AD56" s="82">
        <v>28</v>
      </c>
      <c r="AE56" s="82">
        <v>29</v>
      </c>
      <c r="AF56" s="82">
        <v>30</v>
      </c>
      <c r="AG56" s="82">
        <v>31</v>
      </c>
      <c r="AH56" s="172" t="s">
        <v>144</v>
      </c>
    </row>
    <row r="57" spans="1:254" ht="15">
      <c r="A57" s="314" t="s">
        <v>145</v>
      </c>
      <c r="B57" s="83">
        <f>+AH57</f>
        <v>0</v>
      </c>
      <c r="C57" s="470"/>
      <c r="D57" s="470"/>
      <c r="E57" s="471"/>
      <c r="F57" s="470"/>
      <c r="G57" s="470"/>
      <c r="H57" s="470"/>
      <c r="I57" s="470"/>
      <c r="J57" s="470"/>
      <c r="K57" s="470"/>
      <c r="L57" s="470"/>
      <c r="M57" s="470"/>
      <c r="N57" s="470"/>
      <c r="O57" s="471"/>
      <c r="P57" s="470"/>
      <c r="Q57" s="470"/>
      <c r="R57" s="471"/>
      <c r="S57" s="470"/>
      <c r="T57" s="470"/>
      <c r="U57" s="470"/>
      <c r="V57" s="470"/>
      <c r="W57" s="471"/>
      <c r="X57" s="470"/>
      <c r="Y57" s="470"/>
      <c r="Z57" s="471"/>
      <c r="AA57" s="470"/>
      <c r="AB57" s="471"/>
      <c r="AC57" s="471"/>
      <c r="AD57" s="470"/>
      <c r="AE57" s="470"/>
      <c r="AF57" s="471"/>
      <c r="AG57" s="471"/>
      <c r="AH57" s="172">
        <f>SUM(C57:AG57)</f>
        <v>0</v>
      </c>
    </row>
    <row r="58" spans="1:254" ht="15">
      <c r="A58" s="314" t="s">
        <v>146</v>
      </c>
      <c r="B58" s="83">
        <f t="shared" ref="B58:B68" si="9">+AH58</f>
        <v>0</v>
      </c>
      <c r="C58" s="470"/>
      <c r="D58" s="472"/>
      <c r="E58" s="471"/>
      <c r="F58" s="470"/>
      <c r="G58" s="470"/>
      <c r="H58" s="471"/>
      <c r="I58" s="471"/>
      <c r="J58" s="471"/>
      <c r="K58" s="470"/>
      <c r="L58" s="471"/>
      <c r="M58" s="470"/>
      <c r="N58" s="470"/>
      <c r="O58" s="470"/>
      <c r="P58" s="470"/>
      <c r="Q58" s="470"/>
      <c r="R58" s="470"/>
      <c r="S58" s="470"/>
      <c r="T58" s="470"/>
      <c r="U58" s="470"/>
      <c r="V58" s="470"/>
      <c r="W58" s="470"/>
      <c r="X58" s="470"/>
      <c r="Y58" s="470"/>
      <c r="Z58" s="470"/>
      <c r="AA58" s="470"/>
      <c r="AB58" s="470"/>
      <c r="AC58" s="470"/>
      <c r="AD58" s="470"/>
      <c r="AE58" s="470"/>
      <c r="AF58" s="470"/>
      <c r="AG58" s="470"/>
      <c r="AH58" s="172">
        <f t="shared" ref="AH58:AH68" si="10">SUM(C58:AG58)</f>
        <v>0</v>
      </c>
    </row>
    <row r="59" spans="1:254" ht="15">
      <c r="A59" s="314" t="s">
        <v>147</v>
      </c>
      <c r="B59" s="83">
        <f t="shared" si="9"/>
        <v>0</v>
      </c>
      <c r="C59" s="470"/>
      <c r="D59" s="470"/>
      <c r="E59" s="470"/>
      <c r="F59" s="470"/>
      <c r="G59" s="470"/>
      <c r="H59" s="470"/>
      <c r="I59" s="470"/>
      <c r="J59" s="470"/>
      <c r="K59" s="470"/>
      <c r="L59" s="470"/>
      <c r="M59" s="470"/>
      <c r="N59" s="470"/>
      <c r="O59" s="470"/>
      <c r="P59" s="470"/>
      <c r="Q59" s="470"/>
      <c r="R59" s="470"/>
      <c r="S59" s="470"/>
      <c r="T59" s="470"/>
      <c r="U59" s="470"/>
      <c r="V59" s="470"/>
      <c r="W59" s="470"/>
      <c r="X59" s="470"/>
      <c r="Y59" s="470"/>
      <c r="Z59" s="470"/>
      <c r="AA59" s="470"/>
      <c r="AB59" s="470"/>
      <c r="AC59" s="470"/>
      <c r="AD59" s="470"/>
      <c r="AE59" s="470"/>
      <c r="AF59" s="470"/>
      <c r="AG59" s="470"/>
      <c r="AH59" s="172">
        <f t="shared" si="10"/>
        <v>0</v>
      </c>
    </row>
    <row r="60" spans="1:254" ht="15">
      <c r="A60" s="314" t="s">
        <v>148</v>
      </c>
      <c r="B60" s="83">
        <f t="shared" si="9"/>
        <v>0</v>
      </c>
      <c r="C60" s="470"/>
      <c r="D60" s="470"/>
      <c r="E60" s="864"/>
      <c r="F60" s="864"/>
      <c r="G60" s="470"/>
      <c r="H60" s="470"/>
      <c r="I60" s="470"/>
      <c r="J60" s="470"/>
      <c r="K60" s="470"/>
      <c r="L60" s="470"/>
      <c r="M60" s="470"/>
      <c r="N60" s="470"/>
      <c r="O60" s="470"/>
      <c r="P60" s="471"/>
      <c r="Q60" s="470"/>
      <c r="R60" s="471"/>
      <c r="S60" s="470"/>
      <c r="T60" s="470"/>
      <c r="U60" s="470"/>
      <c r="V60" s="470"/>
      <c r="W60" s="470"/>
      <c r="X60" s="470"/>
      <c r="Y60" s="471"/>
      <c r="Z60" s="471"/>
      <c r="AA60" s="471"/>
      <c r="AB60" s="470"/>
      <c r="AC60" s="471"/>
      <c r="AD60" s="470"/>
      <c r="AE60" s="470"/>
      <c r="AF60" s="471"/>
      <c r="AG60" s="470"/>
      <c r="AH60" s="172">
        <f t="shared" si="10"/>
        <v>0</v>
      </c>
    </row>
    <row r="61" spans="1:254" ht="15">
      <c r="A61" s="314" t="s">
        <v>149</v>
      </c>
      <c r="B61" s="83">
        <f t="shared" si="9"/>
        <v>0.22</v>
      </c>
      <c r="C61" s="470"/>
      <c r="D61" s="470"/>
      <c r="E61" s="470"/>
      <c r="F61" s="470"/>
      <c r="G61" s="470"/>
      <c r="H61" s="470"/>
      <c r="I61" s="470"/>
      <c r="J61" s="470"/>
      <c r="K61" s="470"/>
      <c r="L61" s="470"/>
      <c r="M61" s="470"/>
      <c r="N61" s="471"/>
      <c r="O61" s="470"/>
      <c r="P61" s="470"/>
      <c r="Q61" s="470"/>
      <c r="R61" s="470"/>
      <c r="S61" s="470"/>
      <c r="T61" s="470"/>
      <c r="U61" s="470"/>
      <c r="V61" s="470"/>
      <c r="W61" s="470"/>
      <c r="X61" s="470"/>
      <c r="Y61" s="470"/>
      <c r="Z61" s="470">
        <v>0.22</v>
      </c>
      <c r="AA61" s="470"/>
      <c r="AB61" s="470"/>
      <c r="AC61" s="470"/>
      <c r="AD61" s="470"/>
      <c r="AE61" s="470"/>
      <c r="AF61" s="470"/>
      <c r="AG61" s="470"/>
      <c r="AH61" s="172">
        <f t="shared" si="10"/>
        <v>0.22</v>
      </c>
    </row>
    <row r="62" spans="1:254" ht="15">
      <c r="A62" s="314" t="s">
        <v>150</v>
      </c>
      <c r="B62" s="83">
        <f t="shared" si="9"/>
        <v>0.16700000000000001</v>
      </c>
      <c r="C62" s="470"/>
      <c r="D62" s="470"/>
      <c r="E62" s="470"/>
      <c r="F62" s="470"/>
      <c r="G62" s="470"/>
      <c r="H62" s="470"/>
      <c r="I62" s="470">
        <v>0.04</v>
      </c>
      <c r="J62" s="470"/>
      <c r="K62" s="470">
        <v>0.127</v>
      </c>
      <c r="L62" s="470"/>
      <c r="M62" s="470"/>
      <c r="N62" s="470"/>
      <c r="O62" s="470"/>
      <c r="P62" s="470"/>
      <c r="Q62" s="470"/>
      <c r="R62" s="470"/>
      <c r="S62" s="470"/>
      <c r="T62" s="470"/>
      <c r="U62" s="470"/>
      <c r="V62" s="470"/>
      <c r="W62" s="470"/>
      <c r="X62" s="470"/>
      <c r="Y62" s="470"/>
      <c r="Z62" s="470"/>
      <c r="AA62" s="470"/>
      <c r="AB62" s="470"/>
      <c r="AC62" s="470"/>
      <c r="AD62" s="470"/>
      <c r="AE62" s="470"/>
      <c r="AF62" s="470"/>
      <c r="AG62" s="470"/>
      <c r="AH62" s="172">
        <f t="shared" si="10"/>
        <v>0.16700000000000001</v>
      </c>
    </row>
    <row r="63" spans="1:254" ht="15">
      <c r="A63" s="314" t="s">
        <v>151</v>
      </c>
      <c r="B63" s="83">
        <f t="shared" si="9"/>
        <v>2.952</v>
      </c>
      <c r="C63" s="470"/>
      <c r="D63" s="470"/>
      <c r="E63" s="470"/>
      <c r="F63" s="470"/>
      <c r="G63" s="470"/>
      <c r="H63" s="470"/>
      <c r="I63" s="470"/>
      <c r="J63" s="470"/>
      <c r="K63" s="470"/>
      <c r="L63" s="470"/>
      <c r="M63" s="470"/>
      <c r="N63" s="470"/>
      <c r="O63" s="470"/>
      <c r="P63" s="470"/>
      <c r="Q63" s="470"/>
      <c r="R63" s="470">
        <v>1.409</v>
      </c>
      <c r="S63" s="470"/>
      <c r="T63" s="470"/>
      <c r="U63" s="470"/>
      <c r="V63" s="470"/>
      <c r="W63" s="470"/>
      <c r="X63" s="470"/>
      <c r="Y63" s="470"/>
      <c r="Z63" s="470">
        <f>0.253+0.016</f>
        <v>0.26900000000000002</v>
      </c>
      <c r="AA63" s="470"/>
      <c r="AB63" s="470"/>
      <c r="AC63" s="470"/>
      <c r="AD63" s="470"/>
      <c r="AE63" s="470"/>
      <c r="AF63" s="470"/>
      <c r="AG63" s="470">
        <v>1.274</v>
      </c>
      <c r="AH63" s="172">
        <f t="shared" si="10"/>
        <v>2.952</v>
      </c>
    </row>
    <row r="64" spans="1:254" ht="15">
      <c r="A64" s="314" t="s">
        <v>152</v>
      </c>
      <c r="B64" s="83">
        <f t="shared" si="9"/>
        <v>4.2830000000000004</v>
      </c>
      <c r="C64" s="470"/>
      <c r="D64" s="470"/>
      <c r="E64" s="470"/>
      <c r="F64" s="470"/>
      <c r="G64" s="470"/>
      <c r="H64" s="470"/>
      <c r="I64" s="470"/>
      <c r="J64" s="470"/>
      <c r="K64" s="470">
        <v>0.77800000000000002</v>
      </c>
      <c r="L64" s="470">
        <v>0.08</v>
      </c>
      <c r="M64" s="470"/>
      <c r="N64" s="470"/>
      <c r="O64" s="470"/>
      <c r="P64" s="470"/>
      <c r="Q64" s="470"/>
      <c r="R64" s="470"/>
      <c r="S64" s="470"/>
      <c r="T64" s="470"/>
      <c r="U64" s="470"/>
      <c r="V64" s="470"/>
      <c r="W64" s="470"/>
      <c r="X64" s="470"/>
      <c r="Y64" s="470"/>
      <c r="Z64" s="470"/>
      <c r="AA64" s="470"/>
      <c r="AB64" s="470"/>
      <c r="AC64" s="470"/>
      <c r="AD64" s="470">
        <v>0.09</v>
      </c>
      <c r="AE64" s="470">
        <v>2.62</v>
      </c>
      <c r="AF64" s="470"/>
      <c r="AG64" s="470">
        <v>0.71499999999999997</v>
      </c>
      <c r="AH64" s="172">
        <f t="shared" si="10"/>
        <v>4.2830000000000004</v>
      </c>
    </row>
    <row r="65" spans="1:34" ht="15">
      <c r="A65" s="314" t="s">
        <v>153</v>
      </c>
      <c r="B65" s="83">
        <f t="shared" si="9"/>
        <v>5.2229999999999999</v>
      </c>
      <c r="C65" s="470"/>
      <c r="D65" s="470"/>
      <c r="E65" s="470"/>
      <c r="F65" s="470"/>
      <c r="G65" s="470"/>
      <c r="H65" s="470"/>
      <c r="I65" s="470">
        <v>0.30299999999999999</v>
      </c>
      <c r="J65" s="470">
        <v>0.59899999999999998</v>
      </c>
      <c r="K65" s="470"/>
      <c r="L65" s="470"/>
      <c r="M65" s="470"/>
      <c r="N65" s="470"/>
      <c r="O65" s="470">
        <v>0.55300000000000005</v>
      </c>
      <c r="P65" s="470">
        <v>1.1140000000000001</v>
      </c>
      <c r="Q65" s="470"/>
      <c r="R65" s="470"/>
      <c r="S65" s="470"/>
      <c r="T65" s="470">
        <v>0.24099999999999999</v>
      </c>
      <c r="U65" s="470"/>
      <c r="V65" s="470"/>
      <c r="W65" s="470"/>
      <c r="X65" s="470"/>
      <c r="Y65" s="470"/>
      <c r="Z65" s="470">
        <v>0.71</v>
      </c>
      <c r="AA65" s="470"/>
      <c r="AB65" s="470">
        <v>0.95799999999999996</v>
      </c>
      <c r="AC65" s="470">
        <v>0.73499999999999999</v>
      </c>
      <c r="AD65" s="470"/>
      <c r="AE65" s="470"/>
      <c r="AF65" s="470">
        <v>0.01</v>
      </c>
      <c r="AG65" s="470"/>
      <c r="AH65" s="172">
        <f t="shared" si="10"/>
        <v>5.2229999999999999</v>
      </c>
    </row>
    <row r="66" spans="1:34" ht="15">
      <c r="A66" s="314" t="s">
        <v>154</v>
      </c>
      <c r="B66" s="83">
        <f t="shared" si="9"/>
        <v>3.6709999999999998</v>
      </c>
      <c r="C66" s="470"/>
      <c r="D66" s="470"/>
      <c r="E66" s="470"/>
      <c r="F66" s="470"/>
      <c r="G66" s="470"/>
      <c r="H66" s="470"/>
      <c r="I66" s="470"/>
      <c r="J66" s="470"/>
      <c r="K66" s="470"/>
      <c r="L66" s="470"/>
      <c r="M66" s="470"/>
      <c r="N66" s="470">
        <v>2.0779999999999998</v>
      </c>
      <c r="O66" s="470">
        <v>0.51500000000000001</v>
      </c>
      <c r="P66" s="470"/>
      <c r="Q66" s="470"/>
      <c r="R66" s="470"/>
      <c r="S66" s="470"/>
      <c r="T66" s="470">
        <v>0.17799999999999999</v>
      </c>
      <c r="U66" s="470"/>
      <c r="V66" s="470"/>
      <c r="W66" s="470"/>
      <c r="X66" s="470"/>
      <c r="Y66" s="470"/>
      <c r="Z66" s="470"/>
      <c r="AA66" s="470">
        <v>0.26800000000000002</v>
      </c>
      <c r="AB66" s="470">
        <v>0.63200000000000001</v>
      </c>
      <c r="AC66" s="470"/>
      <c r="AD66" s="470"/>
      <c r="AE66" s="470"/>
      <c r="AF66" s="470"/>
      <c r="AG66" s="470"/>
      <c r="AH66" s="172">
        <f t="shared" si="10"/>
        <v>3.6709999999999998</v>
      </c>
    </row>
    <row r="67" spans="1:34" ht="15">
      <c r="A67" s="314" t="s">
        <v>155</v>
      </c>
      <c r="B67" s="83">
        <f t="shared" si="9"/>
        <v>15.292999999999997</v>
      </c>
      <c r="C67" s="470"/>
      <c r="D67" s="470">
        <v>0.36399999999999999</v>
      </c>
      <c r="E67" s="470"/>
      <c r="F67" s="470"/>
      <c r="G67" s="470">
        <v>0.30099999999999999</v>
      </c>
      <c r="H67" s="470"/>
      <c r="I67" s="470"/>
      <c r="J67" s="470">
        <v>0.36</v>
      </c>
      <c r="K67" s="470">
        <v>6.3159999999999998</v>
      </c>
      <c r="L67" s="470"/>
      <c r="M67" s="470"/>
      <c r="N67" s="470">
        <v>0.219</v>
      </c>
      <c r="O67" s="470"/>
      <c r="P67" s="470"/>
      <c r="Q67" s="470"/>
      <c r="R67" s="470"/>
      <c r="S67" s="470">
        <v>0.53</v>
      </c>
      <c r="T67" s="470"/>
      <c r="U67" s="470">
        <v>2.5419999999999998</v>
      </c>
      <c r="V67" s="470"/>
      <c r="W67" s="470">
        <v>0.998</v>
      </c>
      <c r="X67" s="470"/>
      <c r="Y67" s="470"/>
      <c r="Z67" s="470">
        <v>1.79</v>
      </c>
      <c r="AA67" s="470"/>
      <c r="AB67" s="470"/>
      <c r="AC67" s="470"/>
      <c r="AD67" s="470"/>
      <c r="AE67" s="470"/>
      <c r="AF67" s="470">
        <v>1.873</v>
      </c>
      <c r="AG67" s="470"/>
      <c r="AH67" s="172">
        <f t="shared" si="10"/>
        <v>15.292999999999997</v>
      </c>
    </row>
    <row r="68" spans="1:34" ht="15">
      <c r="A68" s="314" t="s">
        <v>156</v>
      </c>
      <c r="B68" s="83">
        <f t="shared" si="9"/>
        <v>3.1930000000000001</v>
      </c>
      <c r="C68" s="470"/>
      <c r="D68" s="470"/>
      <c r="E68" s="470"/>
      <c r="F68" s="470"/>
      <c r="G68" s="470"/>
      <c r="H68" s="470"/>
      <c r="I68" s="470"/>
      <c r="J68" s="470">
        <v>0.503</v>
      </c>
      <c r="K68" s="470"/>
      <c r="L68" s="470">
        <v>0.82199999999999995</v>
      </c>
      <c r="M68" s="470">
        <v>0.41399999999999998</v>
      </c>
      <c r="N68" s="470"/>
      <c r="O68" s="470"/>
      <c r="P68" s="470"/>
      <c r="Q68" s="470"/>
      <c r="R68" s="470"/>
      <c r="S68" s="470"/>
      <c r="T68" s="470"/>
      <c r="U68" s="470"/>
      <c r="V68" s="470"/>
      <c r="W68" s="470"/>
      <c r="X68" s="470"/>
      <c r="Y68" s="470"/>
      <c r="Z68" s="470"/>
      <c r="AA68" s="470"/>
      <c r="AB68" s="470"/>
      <c r="AC68" s="470"/>
      <c r="AD68" s="470"/>
      <c r="AE68" s="470"/>
      <c r="AF68" s="470">
        <v>0.83</v>
      </c>
      <c r="AG68" s="470">
        <v>0.624</v>
      </c>
      <c r="AH68" s="172">
        <f t="shared" si="10"/>
        <v>3.1930000000000001</v>
      </c>
    </row>
    <row r="69" spans="1:34" ht="15.6" thickBot="1">
      <c r="A69" s="223" t="s">
        <v>144</v>
      </c>
      <c r="B69" s="1860">
        <f>SUM(B57:B68)</f>
        <v>35.001999999999995</v>
      </c>
      <c r="C69" s="172"/>
      <c r="D69" s="172"/>
      <c r="E69" s="172"/>
      <c r="F69" s="172"/>
      <c r="G69" s="172"/>
      <c r="H69" s="172"/>
      <c r="I69" s="172"/>
      <c r="J69" s="172"/>
      <c r="K69" s="172"/>
      <c r="L69" s="172"/>
      <c r="M69" s="172"/>
      <c r="N69" s="172"/>
      <c r="O69" s="172"/>
      <c r="P69" s="172"/>
      <c r="Q69" s="172"/>
      <c r="R69" s="172"/>
      <c r="S69" s="172"/>
      <c r="T69" s="172"/>
      <c r="U69" s="172"/>
      <c r="V69" s="172"/>
      <c r="W69" s="172"/>
      <c r="X69" s="172"/>
      <c r="Y69" s="172"/>
      <c r="Z69" s="172"/>
      <c r="AA69" s="172"/>
      <c r="AB69" s="172"/>
      <c r="AC69" s="172"/>
      <c r="AD69" s="172"/>
      <c r="AE69" s="172"/>
      <c r="AF69" s="172"/>
      <c r="AG69" s="172"/>
      <c r="AH69" s="172">
        <f>SUM(AH57:AH68)</f>
        <v>35.001999999999995</v>
      </c>
    </row>
    <row r="70" spans="1:34" ht="15.6" thickBot="1">
      <c r="A70" s="1837" t="s">
        <v>592</v>
      </c>
      <c r="B70" s="2005">
        <v>38</v>
      </c>
    </row>
    <row r="71" spans="1:34" ht="15.6" thickBot="1">
      <c r="A71" s="1835" t="s">
        <v>128</v>
      </c>
      <c r="B71" s="1836">
        <f>+B70-B69</f>
        <v>2.9980000000000047</v>
      </c>
    </row>
    <row r="74" spans="1:34" ht="13.8" thickBot="1"/>
    <row r="75" spans="1:34">
      <c r="A75" s="2826" t="s">
        <v>1019</v>
      </c>
      <c r="B75" s="2827"/>
      <c r="C75" s="2827"/>
      <c r="D75" s="2828"/>
      <c r="E75" s="2829"/>
      <c r="F75" s="646"/>
    </row>
    <row r="76" spans="1:34" ht="13.8" thickBot="1">
      <c r="A76" s="2830" t="s">
        <v>1020</v>
      </c>
      <c r="B76" s="2831"/>
      <c r="C76" s="2831"/>
      <c r="D76" s="2832"/>
      <c r="E76" s="2829"/>
      <c r="F76" s="646"/>
    </row>
    <row r="77" spans="1:34" ht="13.8" thickBot="1">
      <c r="A77" s="2833" t="s">
        <v>161</v>
      </c>
      <c r="B77" s="2834" t="s">
        <v>592</v>
      </c>
      <c r="C77" s="2834" t="s">
        <v>127</v>
      </c>
      <c r="D77" s="2835" t="s">
        <v>128</v>
      </c>
      <c r="E77" s="2836" t="s">
        <v>1021</v>
      </c>
      <c r="F77" s="2885">
        <v>41281</v>
      </c>
    </row>
    <row r="78" spans="1:34">
      <c r="A78" s="2837" t="s">
        <v>23</v>
      </c>
      <c r="B78" s="3911">
        <v>45</v>
      </c>
      <c r="C78" s="1384">
        <v>17.07</v>
      </c>
      <c r="D78" s="3914">
        <f>B78-C78-C79-C80</f>
        <v>-0.84600000000000186</v>
      </c>
      <c r="E78" s="2838"/>
      <c r="F78" s="646"/>
    </row>
    <row r="79" spans="1:34">
      <c r="A79" s="2839" t="s">
        <v>35</v>
      </c>
      <c r="B79" s="3912"/>
      <c r="C79" s="856">
        <v>22.609000000000002</v>
      </c>
      <c r="D79" s="3915"/>
      <c r="E79" s="2840"/>
      <c r="F79" s="646"/>
    </row>
    <row r="80" spans="1:34" ht="13.8" thickBot="1">
      <c r="A80" s="2841" t="s">
        <v>25</v>
      </c>
      <c r="B80" s="3913"/>
      <c r="C80" s="2842">
        <v>6.1669999999999998</v>
      </c>
      <c r="D80" s="3916"/>
      <c r="E80" s="2843"/>
      <c r="F80" s="646"/>
    </row>
    <row r="81" spans="1:6" ht="13.8" thickBot="1">
      <c r="A81" s="2844" t="s">
        <v>111</v>
      </c>
      <c r="B81" s="2845">
        <f>SUM(B78)</f>
        <v>45</v>
      </c>
      <c r="C81" s="2846">
        <f>SUM(C78:C80)</f>
        <v>45.846000000000004</v>
      </c>
      <c r="D81" s="2847">
        <f>+B81-C81</f>
        <v>-0.84600000000000364</v>
      </c>
      <c r="E81" s="3000">
        <v>41239</v>
      </c>
      <c r="F81" s="646"/>
    </row>
  </sheetData>
  <mergeCells count="9">
    <mergeCell ref="B2:N2"/>
    <mergeCell ref="A5:C5"/>
    <mergeCell ref="G5:J5"/>
    <mergeCell ref="G4:J4"/>
    <mergeCell ref="B78:B80"/>
    <mergeCell ref="D78:D80"/>
    <mergeCell ref="A55:J55"/>
    <mergeCell ref="A21:C21"/>
    <mergeCell ref="A37:C37"/>
  </mergeCells>
  <phoneticPr fontId="0" type="noConversion"/>
  <pageMargins left="0.75" right="0.75" top="1" bottom="1" header="0" footer="0"/>
  <pageSetup paperSize="5" orientation="portrait" r:id="rId1"/>
  <headerFooter alignWithMargins="0"/>
  <legacyDrawing r:id="rId2"/>
  <oleObjects>
    <oleObject progId="MSPhotoEd.3" shapeId="13313" r:id="rId3"/>
  </oleObjects>
</worksheet>
</file>

<file path=xl/worksheets/sheet18.xml><?xml version="1.0" encoding="utf-8"?>
<worksheet xmlns="http://schemas.openxmlformats.org/spreadsheetml/2006/main" xmlns:r="http://schemas.openxmlformats.org/officeDocument/2006/relationships">
  <dimension ref="A2:AH115"/>
  <sheetViews>
    <sheetView topLeftCell="A38" zoomScale="80" zoomScaleNormal="80" workbookViewId="0">
      <selection activeCell="O43" sqref="O43"/>
    </sheetView>
  </sheetViews>
  <sheetFormatPr baseColWidth="10" defaultColWidth="11.44140625" defaultRowHeight="13.2"/>
  <cols>
    <col min="1" max="2" width="11.44140625" style="189"/>
    <col min="3" max="33" width="8.6640625" style="189" customWidth="1"/>
    <col min="34" max="16384" width="11.44140625" style="189"/>
  </cols>
  <sheetData>
    <row r="2" spans="1:34" ht="15">
      <c r="A2" s="3854" t="s">
        <v>395</v>
      </c>
      <c r="B2" s="3855"/>
      <c r="C2" s="3855"/>
      <c r="D2" s="3855"/>
      <c r="E2" s="3855"/>
      <c r="F2" s="3855"/>
      <c r="G2" s="3855"/>
      <c r="H2" s="3855"/>
      <c r="I2" s="3855"/>
      <c r="J2" s="3855"/>
      <c r="K2" s="3855"/>
      <c r="L2" s="3855"/>
      <c r="M2" s="3855"/>
      <c r="N2" s="3855"/>
      <c r="O2" s="3855"/>
      <c r="P2" s="3855"/>
      <c r="Q2" s="3855"/>
      <c r="R2" s="3855"/>
      <c r="S2" s="3855"/>
      <c r="T2" s="3856"/>
      <c r="U2" s="14"/>
      <c r="V2" s="14"/>
      <c r="W2" s="14"/>
      <c r="X2" s="14"/>
      <c r="Y2" s="14"/>
      <c r="Z2" s="14"/>
      <c r="AA2" s="14"/>
      <c r="AB2" s="14"/>
      <c r="AC2" s="14"/>
      <c r="AD2" s="14"/>
      <c r="AE2" s="14"/>
      <c r="AF2" s="14"/>
      <c r="AG2" s="14"/>
      <c r="AH2" s="1"/>
    </row>
    <row r="3" spans="1:34" s="190" customFormat="1" ht="15">
      <c r="A3" s="104"/>
      <c r="B3" s="104"/>
      <c r="C3" s="104"/>
      <c r="D3" s="104"/>
      <c r="E3" s="104"/>
      <c r="F3" s="104"/>
      <c r="G3" s="104"/>
      <c r="H3" s="104"/>
      <c r="I3" s="104"/>
      <c r="J3" s="104"/>
      <c r="K3" s="104"/>
      <c r="L3" s="104"/>
      <c r="M3" s="104"/>
      <c r="N3" s="104"/>
      <c r="O3" s="104"/>
      <c r="P3" s="104"/>
      <c r="Q3" s="104"/>
      <c r="R3" s="104"/>
      <c r="S3" s="104"/>
      <c r="T3" s="104"/>
      <c r="U3" s="14"/>
      <c r="V3" s="14"/>
      <c r="W3" s="14"/>
      <c r="X3" s="14"/>
      <c r="Y3" s="14"/>
      <c r="Z3" s="14"/>
      <c r="AA3" s="14"/>
      <c r="AB3" s="14"/>
      <c r="AC3" s="14"/>
      <c r="AD3" s="14"/>
      <c r="AE3" s="14"/>
      <c r="AF3" s="14"/>
      <c r="AG3" s="14"/>
      <c r="AH3" s="14"/>
    </row>
    <row r="4" spans="1:34" ht="15">
      <c r="A4" s="49"/>
      <c r="B4" s="49"/>
      <c r="C4" s="1"/>
      <c r="D4" s="14"/>
      <c r="E4" s="14"/>
      <c r="F4" s="14"/>
      <c r="G4" s="14"/>
      <c r="H4" s="14"/>
      <c r="I4" s="14"/>
      <c r="J4" s="14"/>
      <c r="K4" s="14"/>
      <c r="L4" s="98"/>
      <c r="M4" s="14"/>
      <c r="N4" s="14"/>
      <c r="O4" s="14"/>
      <c r="P4" s="14"/>
      <c r="Q4" s="14"/>
      <c r="R4" s="14"/>
      <c r="S4" s="14"/>
      <c r="T4" s="14"/>
      <c r="U4" s="14"/>
      <c r="V4" s="14"/>
      <c r="W4" s="14"/>
      <c r="X4" s="14"/>
      <c r="Y4" s="14"/>
      <c r="Z4" s="14"/>
      <c r="AA4" s="14"/>
      <c r="AB4" s="14"/>
      <c r="AC4" s="14"/>
      <c r="AD4" s="14"/>
      <c r="AE4" s="14"/>
      <c r="AF4" s="14"/>
      <c r="AG4" s="14"/>
      <c r="AH4" s="1"/>
    </row>
    <row r="5" spans="1:34" ht="15">
      <c r="A5" s="3854" t="s">
        <v>157</v>
      </c>
      <c r="B5" s="3855"/>
      <c r="C5" s="3856"/>
      <c r="D5" s="14"/>
      <c r="E5" s="14"/>
      <c r="F5" s="14"/>
      <c r="G5" s="3026" t="s">
        <v>1224</v>
      </c>
      <c r="H5" s="14"/>
      <c r="I5" s="14"/>
      <c r="J5" s="14"/>
      <c r="K5" s="14"/>
      <c r="L5" s="14"/>
      <c r="M5" s="98"/>
      <c r="N5" s="14"/>
      <c r="O5" s="14"/>
      <c r="P5" s="14"/>
      <c r="Q5" s="14"/>
      <c r="R5" s="14"/>
      <c r="S5" s="14"/>
      <c r="T5" s="14"/>
      <c r="U5" s="14"/>
      <c r="V5" s="14"/>
      <c r="W5" s="14"/>
      <c r="X5" s="14"/>
      <c r="Y5" s="14"/>
      <c r="Z5" s="14"/>
      <c r="AA5" s="14"/>
      <c r="AB5" s="14"/>
      <c r="AC5" s="14"/>
      <c r="AD5" s="14"/>
      <c r="AE5" s="14"/>
      <c r="AF5" s="14"/>
      <c r="AG5" s="14"/>
      <c r="AH5" s="1"/>
    </row>
    <row r="6" spans="1:34" ht="15">
      <c r="A6" s="8" t="s">
        <v>142</v>
      </c>
      <c r="B6" s="8" t="s">
        <v>143</v>
      </c>
      <c r="C6" s="73">
        <v>1</v>
      </c>
      <c r="D6" s="73">
        <v>2</v>
      </c>
      <c r="E6" s="73">
        <v>3</v>
      </c>
      <c r="F6" s="73">
        <v>4</v>
      </c>
      <c r="G6" s="73">
        <v>5</v>
      </c>
      <c r="H6" s="73">
        <v>6</v>
      </c>
      <c r="I6" s="73">
        <v>7</v>
      </c>
      <c r="J6" s="73">
        <v>8</v>
      </c>
      <c r="K6" s="73">
        <v>9</v>
      </c>
      <c r="L6" s="73">
        <v>10</v>
      </c>
      <c r="M6" s="73">
        <v>11</v>
      </c>
      <c r="N6" s="73">
        <v>12</v>
      </c>
      <c r="O6" s="73">
        <v>13</v>
      </c>
      <c r="P6" s="73">
        <v>14</v>
      </c>
      <c r="Q6" s="73">
        <v>15</v>
      </c>
      <c r="R6" s="73">
        <v>16</v>
      </c>
      <c r="S6" s="73">
        <v>17</v>
      </c>
      <c r="T6" s="73">
        <v>18</v>
      </c>
      <c r="U6" s="73">
        <v>19</v>
      </c>
      <c r="V6" s="73">
        <v>20</v>
      </c>
      <c r="W6" s="73">
        <v>21</v>
      </c>
      <c r="X6" s="73">
        <v>22</v>
      </c>
      <c r="Y6" s="73">
        <v>23</v>
      </c>
      <c r="Z6" s="73">
        <v>24</v>
      </c>
      <c r="AA6" s="73">
        <v>25</v>
      </c>
      <c r="AB6" s="73">
        <v>26</v>
      </c>
      <c r="AC6" s="73">
        <v>27</v>
      </c>
      <c r="AD6" s="73">
        <v>28</v>
      </c>
      <c r="AE6" s="73">
        <v>29</v>
      </c>
      <c r="AF6" s="73">
        <v>30</v>
      </c>
      <c r="AG6" s="73">
        <v>31</v>
      </c>
      <c r="AH6" s="87" t="s">
        <v>144</v>
      </c>
    </row>
    <row r="7" spans="1:34" ht="15">
      <c r="A7" s="73" t="s">
        <v>145</v>
      </c>
      <c r="B7" s="53">
        <f t="shared" ref="B7:B18" si="0">+AH7</f>
        <v>0</v>
      </c>
      <c r="C7" s="116"/>
      <c r="D7" s="99"/>
      <c r="E7" s="99"/>
      <c r="F7" s="99"/>
      <c r="G7" s="99"/>
      <c r="H7" s="99"/>
      <c r="I7" s="99"/>
      <c r="J7" s="99"/>
      <c r="K7" s="99"/>
      <c r="L7" s="99"/>
      <c r="M7" s="99"/>
      <c r="N7" s="99"/>
      <c r="O7" s="99"/>
      <c r="P7" s="99"/>
      <c r="Q7" s="99"/>
      <c r="R7" s="99"/>
      <c r="S7" s="99"/>
      <c r="T7" s="99"/>
      <c r="U7" s="99"/>
      <c r="V7" s="99"/>
      <c r="W7" s="99"/>
      <c r="X7" s="99"/>
      <c r="Y7" s="99"/>
      <c r="Z7" s="99"/>
      <c r="AA7" s="99"/>
      <c r="AB7" s="99"/>
      <c r="AC7" s="99"/>
      <c r="AD7" s="99"/>
      <c r="AE7" s="99"/>
      <c r="AF7" s="99"/>
      <c r="AG7" s="99"/>
      <c r="AH7" s="100">
        <f>SUM(C7:AG7)</f>
        <v>0</v>
      </c>
    </row>
    <row r="8" spans="1:34" ht="15">
      <c r="A8" s="73" t="s">
        <v>146</v>
      </c>
      <c r="B8" s="53">
        <f t="shared" si="0"/>
        <v>0</v>
      </c>
      <c r="C8" s="116"/>
      <c r="D8" s="99"/>
      <c r="E8" s="99"/>
      <c r="F8" s="99"/>
      <c r="G8" s="99"/>
      <c r="H8" s="99"/>
      <c r="I8" s="99"/>
      <c r="J8" s="99"/>
      <c r="K8" s="99"/>
      <c r="L8" s="99"/>
      <c r="M8" s="99"/>
      <c r="N8" s="99"/>
      <c r="O8" s="99"/>
      <c r="P8" s="99"/>
      <c r="Q8" s="99"/>
      <c r="R8" s="99"/>
      <c r="S8" s="99"/>
      <c r="T8" s="99"/>
      <c r="U8" s="99"/>
      <c r="V8" s="99"/>
      <c r="W8" s="99"/>
      <c r="X8" s="99"/>
      <c r="Y8" s="99"/>
      <c r="Z8" s="99"/>
      <c r="AA8" s="99"/>
      <c r="AB8" s="99"/>
      <c r="AC8" s="99"/>
      <c r="AD8" s="99"/>
      <c r="AE8" s="99"/>
      <c r="AF8" s="99"/>
      <c r="AG8" s="99"/>
      <c r="AH8" s="100">
        <f t="shared" ref="AH8:AH18" si="1">SUM(C8:AG8)</f>
        <v>0</v>
      </c>
    </row>
    <row r="9" spans="1:34" ht="15">
      <c r="A9" s="73" t="s">
        <v>147</v>
      </c>
      <c r="B9" s="53">
        <f t="shared" si="0"/>
        <v>0</v>
      </c>
      <c r="C9" s="116"/>
      <c r="D9" s="99"/>
      <c r="E9" s="99"/>
      <c r="F9" s="99"/>
      <c r="G9" s="99"/>
      <c r="H9" s="99"/>
      <c r="I9" s="99"/>
      <c r="J9" s="99"/>
      <c r="K9" s="99"/>
      <c r="L9" s="99"/>
      <c r="M9" s="99"/>
      <c r="N9" s="99"/>
      <c r="O9" s="99"/>
      <c r="P9" s="99"/>
      <c r="Q9" s="99"/>
      <c r="R9" s="99"/>
      <c r="S9" s="99"/>
      <c r="T9" s="99"/>
      <c r="U9" s="99"/>
      <c r="V9" s="99"/>
      <c r="W9" s="99"/>
      <c r="X9" s="99"/>
      <c r="Y9" s="99"/>
      <c r="Z9" s="99"/>
      <c r="AA9" s="99"/>
      <c r="AB9" s="99"/>
      <c r="AC9" s="99"/>
      <c r="AD9" s="99"/>
      <c r="AE9" s="99"/>
      <c r="AF9" s="99"/>
      <c r="AG9" s="99"/>
      <c r="AH9" s="100">
        <f t="shared" si="1"/>
        <v>0</v>
      </c>
    </row>
    <row r="10" spans="1:34" ht="15">
      <c r="A10" s="73" t="s">
        <v>148</v>
      </c>
      <c r="B10" s="53">
        <f t="shared" si="0"/>
        <v>0</v>
      </c>
      <c r="C10" s="116"/>
      <c r="D10" s="99"/>
      <c r="E10" s="99"/>
      <c r="F10" s="99"/>
      <c r="G10" s="99"/>
      <c r="H10" s="99"/>
      <c r="I10" s="99"/>
      <c r="J10" s="99"/>
      <c r="K10" s="99"/>
      <c r="L10" s="99"/>
      <c r="M10" s="99"/>
      <c r="N10" s="99"/>
      <c r="O10" s="99"/>
      <c r="P10" s="99"/>
      <c r="Q10" s="99"/>
      <c r="R10" s="99"/>
      <c r="S10" s="99"/>
      <c r="T10" s="99"/>
      <c r="U10" s="99"/>
      <c r="V10" s="99"/>
      <c r="W10" s="99"/>
      <c r="X10" s="99"/>
      <c r="Y10" s="99"/>
      <c r="Z10" s="99"/>
      <c r="AA10" s="99"/>
      <c r="AB10" s="99"/>
      <c r="AC10" s="99"/>
      <c r="AD10" s="99"/>
      <c r="AE10" s="99"/>
      <c r="AF10" s="99"/>
      <c r="AG10" s="99"/>
      <c r="AH10" s="100">
        <f t="shared" si="1"/>
        <v>0</v>
      </c>
    </row>
    <row r="11" spans="1:34" ht="15">
      <c r="A11" s="73" t="s">
        <v>149</v>
      </c>
      <c r="B11" s="53">
        <f t="shared" si="0"/>
        <v>0</v>
      </c>
      <c r="C11" s="116"/>
      <c r="D11" s="99"/>
      <c r="E11" s="99"/>
      <c r="F11" s="99"/>
      <c r="G11" s="99"/>
      <c r="H11" s="99"/>
      <c r="I11" s="99"/>
      <c r="J11" s="99"/>
      <c r="K11" s="99"/>
      <c r="L11" s="99"/>
      <c r="M11" s="99"/>
      <c r="N11" s="99"/>
      <c r="O11" s="99"/>
      <c r="P11" s="99"/>
      <c r="Q11" s="99"/>
      <c r="R11" s="99"/>
      <c r="S11" s="99"/>
      <c r="T11" s="99"/>
      <c r="U11" s="99"/>
      <c r="V11" s="99"/>
      <c r="W11" s="99"/>
      <c r="X11" s="99"/>
      <c r="Y11" s="99"/>
      <c r="Z11" s="99"/>
      <c r="AA11" s="99"/>
      <c r="AB11" s="99"/>
      <c r="AC11" s="99"/>
      <c r="AD11" s="99"/>
      <c r="AE11" s="99"/>
      <c r="AF11" s="99"/>
      <c r="AG11" s="99"/>
      <c r="AH11" s="100">
        <f t="shared" si="1"/>
        <v>0</v>
      </c>
    </row>
    <row r="12" spans="1:34" ht="15">
      <c r="A12" s="73" t="s">
        <v>150</v>
      </c>
      <c r="B12" s="53">
        <f t="shared" si="0"/>
        <v>0</v>
      </c>
      <c r="C12" s="116"/>
      <c r="D12" s="99"/>
      <c r="E12" s="99"/>
      <c r="F12" s="99"/>
      <c r="G12" s="99"/>
      <c r="H12" s="99"/>
      <c r="I12" s="99"/>
      <c r="J12" s="99"/>
      <c r="K12" s="99"/>
      <c r="L12" s="99"/>
      <c r="M12" s="99"/>
      <c r="N12" s="99"/>
      <c r="O12" s="99"/>
      <c r="P12" s="99"/>
      <c r="Q12" s="99"/>
      <c r="R12" s="99"/>
      <c r="S12" s="99"/>
      <c r="T12" s="99"/>
      <c r="U12" s="99"/>
      <c r="V12" s="99"/>
      <c r="W12" s="99"/>
      <c r="X12" s="99"/>
      <c r="Y12" s="99"/>
      <c r="Z12" s="99"/>
      <c r="AA12" s="99"/>
      <c r="AB12" s="99"/>
      <c r="AC12" s="99"/>
      <c r="AD12" s="99"/>
      <c r="AE12" s="99"/>
      <c r="AF12" s="99"/>
      <c r="AG12" s="99"/>
      <c r="AH12" s="100">
        <f t="shared" si="1"/>
        <v>0</v>
      </c>
    </row>
    <row r="13" spans="1:34" ht="15">
      <c r="A13" s="73" t="s">
        <v>151</v>
      </c>
      <c r="B13" s="53">
        <f t="shared" si="0"/>
        <v>0</v>
      </c>
      <c r="C13" s="384" t="s">
        <v>318</v>
      </c>
      <c r="D13" s="384" t="s">
        <v>318</v>
      </c>
      <c r="E13" s="384" t="s">
        <v>318</v>
      </c>
      <c r="F13" s="384" t="s">
        <v>318</v>
      </c>
      <c r="G13" s="384" t="s">
        <v>318</v>
      </c>
      <c r="H13" s="384" t="s">
        <v>318</v>
      </c>
      <c r="I13" s="384" t="s">
        <v>318</v>
      </c>
      <c r="J13" s="384" t="s">
        <v>318</v>
      </c>
      <c r="K13" s="384" t="s">
        <v>318</v>
      </c>
      <c r="L13" s="384" t="s">
        <v>318</v>
      </c>
      <c r="M13" s="384" t="s">
        <v>318</v>
      </c>
      <c r="N13" s="384" t="s">
        <v>318</v>
      </c>
      <c r="O13" s="384" t="s">
        <v>318</v>
      </c>
      <c r="P13" s="384" t="s">
        <v>318</v>
      </c>
      <c r="Q13" s="384" t="s">
        <v>318</v>
      </c>
      <c r="R13" s="384" t="s">
        <v>318</v>
      </c>
      <c r="S13" s="384" t="s">
        <v>318</v>
      </c>
      <c r="T13" s="384" t="s">
        <v>318</v>
      </c>
      <c r="U13" s="384" t="s">
        <v>318</v>
      </c>
      <c r="V13" s="384" t="s">
        <v>318</v>
      </c>
      <c r="W13" s="384" t="s">
        <v>318</v>
      </c>
      <c r="X13" s="384" t="s">
        <v>318</v>
      </c>
      <c r="Y13" s="384" t="s">
        <v>318</v>
      </c>
      <c r="Z13" s="384" t="s">
        <v>318</v>
      </c>
      <c r="AA13" s="384" t="s">
        <v>318</v>
      </c>
      <c r="AB13" s="384" t="s">
        <v>318</v>
      </c>
      <c r="AC13" s="384" t="s">
        <v>318</v>
      </c>
      <c r="AD13" s="384" t="s">
        <v>318</v>
      </c>
      <c r="AE13" s="384" t="s">
        <v>318</v>
      </c>
      <c r="AF13" s="384" t="s">
        <v>318</v>
      </c>
      <c r="AG13" s="384" t="s">
        <v>318</v>
      </c>
      <c r="AH13" s="100">
        <f t="shared" si="1"/>
        <v>0</v>
      </c>
    </row>
    <row r="14" spans="1:34" ht="15">
      <c r="A14" s="73" t="s">
        <v>152</v>
      </c>
      <c r="B14" s="53">
        <f t="shared" si="0"/>
        <v>0</v>
      </c>
      <c r="C14" s="384" t="s">
        <v>318</v>
      </c>
      <c r="D14" s="384" t="s">
        <v>318</v>
      </c>
      <c r="E14" s="384" t="s">
        <v>318</v>
      </c>
      <c r="F14" s="384" t="s">
        <v>318</v>
      </c>
      <c r="G14" s="384" t="s">
        <v>318</v>
      </c>
      <c r="H14" s="384" t="s">
        <v>318</v>
      </c>
      <c r="I14" s="384" t="s">
        <v>318</v>
      </c>
      <c r="J14" s="384" t="s">
        <v>318</v>
      </c>
      <c r="K14" s="384" t="s">
        <v>318</v>
      </c>
      <c r="L14" s="384" t="s">
        <v>318</v>
      </c>
      <c r="M14" s="384" t="s">
        <v>318</v>
      </c>
      <c r="N14" s="384" t="s">
        <v>318</v>
      </c>
      <c r="O14" s="384" t="s">
        <v>318</v>
      </c>
      <c r="P14" s="384" t="s">
        <v>318</v>
      </c>
      <c r="Q14" s="384" t="s">
        <v>318</v>
      </c>
      <c r="R14" s="384" t="s">
        <v>318</v>
      </c>
      <c r="S14" s="384" t="s">
        <v>318</v>
      </c>
      <c r="T14" s="384" t="s">
        <v>318</v>
      </c>
      <c r="U14" s="384" t="s">
        <v>318</v>
      </c>
      <c r="V14" s="384" t="s">
        <v>318</v>
      </c>
      <c r="W14" s="384" t="s">
        <v>318</v>
      </c>
      <c r="X14" s="384" t="s">
        <v>318</v>
      </c>
      <c r="Y14" s="384" t="s">
        <v>318</v>
      </c>
      <c r="Z14" s="384" t="s">
        <v>318</v>
      </c>
      <c r="AA14" s="384" t="s">
        <v>318</v>
      </c>
      <c r="AB14" s="384" t="s">
        <v>318</v>
      </c>
      <c r="AC14" s="384" t="s">
        <v>318</v>
      </c>
      <c r="AD14" s="384" t="s">
        <v>318</v>
      </c>
      <c r="AE14" s="384" t="s">
        <v>318</v>
      </c>
      <c r="AF14" s="384" t="s">
        <v>318</v>
      </c>
      <c r="AG14" s="384" t="s">
        <v>318</v>
      </c>
      <c r="AH14" s="100">
        <f t="shared" si="1"/>
        <v>0</v>
      </c>
    </row>
    <row r="15" spans="1:34" ht="15">
      <c r="A15" s="73" t="s">
        <v>153</v>
      </c>
      <c r="B15" s="53">
        <f t="shared" si="0"/>
        <v>0</v>
      </c>
      <c r="C15" s="116"/>
      <c r="D15" s="99"/>
      <c r="E15" s="99"/>
      <c r="F15" s="99"/>
      <c r="G15" s="99"/>
      <c r="H15" s="99"/>
      <c r="I15" s="99"/>
      <c r="J15" s="99"/>
      <c r="K15" s="99"/>
      <c r="L15" s="99"/>
      <c r="M15" s="99"/>
      <c r="N15" s="99"/>
      <c r="O15" s="99"/>
      <c r="P15" s="99"/>
      <c r="Q15" s="99"/>
      <c r="R15" s="99"/>
      <c r="S15" s="99"/>
      <c r="T15" s="99"/>
      <c r="U15" s="99"/>
      <c r="V15" s="99"/>
      <c r="W15" s="99"/>
      <c r="X15" s="99"/>
      <c r="Y15" s="99"/>
      <c r="Z15" s="99"/>
      <c r="AA15" s="99"/>
      <c r="AB15" s="99"/>
      <c r="AC15" s="99"/>
      <c r="AD15" s="99"/>
      <c r="AE15" s="99"/>
      <c r="AF15" s="99"/>
      <c r="AG15" s="99"/>
      <c r="AH15" s="100">
        <f t="shared" si="1"/>
        <v>0</v>
      </c>
    </row>
    <row r="16" spans="1:34" ht="15">
      <c r="A16" s="73" t="s">
        <v>154</v>
      </c>
      <c r="B16" s="53">
        <f t="shared" si="0"/>
        <v>0</v>
      </c>
      <c r="C16" s="116"/>
      <c r="D16" s="99"/>
      <c r="E16" s="99"/>
      <c r="F16" s="99"/>
      <c r="G16" s="99"/>
      <c r="H16" s="99"/>
      <c r="I16" s="99"/>
      <c r="J16" s="99"/>
      <c r="K16" s="99"/>
      <c r="L16" s="99"/>
      <c r="M16" s="99"/>
      <c r="N16" s="99"/>
      <c r="O16" s="99"/>
      <c r="P16" s="99"/>
      <c r="Q16" s="99"/>
      <c r="R16" s="99"/>
      <c r="S16" s="99"/>
      <c r="T16" s="99"/>
      <c r="U16" s="99"/>
      <c r="V16" s="99"/>
      <c r="W16" s="99"/>
      <c r="X16" s="99"/>
      <c r="Y16" s="99"/>
      <c r="Z16" s="99"/>
      <c r="AA16" s="99"/>
      <c r="AB16" s="99"/>
      <c r="AC16" s="99"/>
      <c r="AD16" s="99"/>
      <c r="AE16" s="99"/>
      <c r="AF16" s="99"/>
      <c r="AG16" s="99"/>
      <c r="AH16" s="100">
        <f t="shared" si="1"/>
        <v>0</v>
      </c>
    </row>
    <row r="17" spans="1:34" ht="15">
      <c r="A17" s="73" t="s">
        <v>155</v>
      </c>
      <c r="B17" s="53">
        <f t="shared" si="0"/>
        <v>0</v>
      </c>
      <c r="C17" s="116"/>
      <c r="D17" s="99"/>
      <c r="E17" s="99"/>
      <c r="F17" s="99"/>
      <c r="G17" s="99"/>
      <c r="H17" s="99"/>
      <c r="I17" s="99"/>
      <c r="J17" s="99"/>
      <c r="K17" s="99"/>
      <c r="L17" s="99"/>
      <c r="M17" s="99"/>
      <c r="N17" s="99"/>
      <c r="O17" s="99"/>
      <c r="P17" s="99"/>
      <c r="Q17" s="99"/>
      <c r="R17" s="99"/>
      <c r="S17" s="99"/>
      <c r="T17" s="99"/>
      <c r="U17" s="99"/>
      <c r="V17" s="99"/>
      <c r="W17" s="99"/>
      <c r="X17" s="99"/>
      <c r="Y17" s="99"/>
      <c r="Z17" s="99"/>
      <c r="AA17" s="99"/>
      <c r="AB17" s="99"/>
      <c r="AC17" s="99"/>
      <c r="AD17" s="99"/>
      <c r="AE17" s="99"/>
      <c r="AF17" s="99"/>
      <c r="AG17" s="99"/>
      <c r="AH17" s="100">
        <f t="shared" si="1"/>
        <v>0</v>
      </c>
    </row>
    <row r="18" spans="1:34" ht="15">
      <c r="A18" s="73" t="s">
        <v>156</v>
      </c>
      <c r="B18" s="53">
        <f t="shared" si="0"/>
        <v>0</v>
      </c>
      <c r="C18" s="116"/>
      <c r="D18" s="99"/>
      <c r="E18" s="99"/>
      <c r="F18" s="99"/>
      <c r="G18" s="99"/>
      <c r="H18" s="99"/>
      <c r="I18" s="99"/>
      <c r="J18" s="99"/>
      <c r="K18" s="99"/>
      <c r="L18" s="99"/>
      <c r="M18" s="99"/>
      <c r="N18" s="99"/>
      <c r="O18" s="99"/>
      <c r="P18" s="99"/>
      <c r="Q18" s="99"/>
      <c r="R18" s="99"/>
      <c r="S18" s="99"/>
      <c r="T18" s="99"/>
      <c r="U18" s="99"/>
      <c r="V18" s="99"/>
      <c r="W18" s="99"/>
      <c r="X18" s="99"/>
      <c r="Y18" s="99"/>
      <c r="Z18" s="99"/>
      <c r="AA18" s="99"/>
      <c r="AB18" s="99"/>
      <c r="AC18" s="99"/>
      <c r="AD18" s="99"/>
      <c r="AE18" s="99"/>
      <c r="AF18" s="99"/>
      <c r="AG18" s="99"/>
      <c r="AH18" s="100">
        <f t="shared" si="1"/>
        <v>0</v>
      </c>
    </row>
    <row r="19" spans="1:34" ht="15">
      <c r="A19" s="200" t="s">
        <v>111</v>
      </c>
      <c r="B19" s="200">
        <f>SUM(B7:B18)</f>
        <v>0</v>
      </c>
      <c r="C19" s="100">
        <f>SUM(C7:C18)</f>
        <v>0</v>
      </c>
      <c r="D19" s="100">
        <f t="shared" ref="D19:AG19" si="2">SUM(D7:D18)</f>
        <v>0</v>
      </c>
      <c r="E19" s="100">
        <f t="shared" si="2"/>
        <v>0</v>
      </c>
      <c r="F19" s="100">
        <f t="shared" si="2"/>
        <v>0</v>
      </c>
      <c r="G19" s="100">
        <f t="shared" si="2"/>
        <v>0</v>
      </c>
      <c r="H19" s="100">
        <f t="shared" si="2"/>
        <v>0</v>
      </c>
      <c r="I19" s="100">
        <f t="shared" si="2"/>
        <v>0</v>
      </c>
      <c r="J19" s="100">
        <f t="shared" si="2"/>
        <v>0</v>
      </c>
      <c r="K19" s="100">
        <f t="shared" si="2"/>
        <v>0</v>
      </c>
      <c r="L19" s="100">
        <f t="shared" si="2"/>
        <v>0</v>
      </c>
      <c r="M19" s="100">
        <f t="shared" si="2"/>
        <v>0</v>
      </c>
      <c r="N19" s="100">
        <f t="shared" si="2"/>
        <v>0</v>
      </c>
      <c r="O19" s="100">
        <f t="shared" si="2"/>
        <v>0</v>
      </c>
      <c r="P19" s="100">
        <f t="shared" si="2"/>
        <v>0</v>
      </c>
      <c r="Q19" s="100">
        <f t="shared" si="2"/>
        <v>0</v>
      </c>
      <c r="R19" s="100">
        <f t="shared" si="2"/>
        <v>0</v>
      </c>
      <c r="S19" s="100">
        <f t="shared" si="2"/>
        <v>0</v>
      </c>
      <c r="T19" s="100">
        <f t="shared" si="2"/>
        <v>0</v>
      </c>
      <c r="U19" s="100">
        <f t="shared" si="2"/>
        <v>0</v>
      </c>
      <c r="V19" s="100">
        <f t="shared" si="2"/>
        <v>0</v>
      </c>
      <c r="W19" s="100">
        <f t="shared" si="2"/>
        <v>0</v>
      </c>
      <c r="X19" s="100">
        <f t="shared" si="2"/>
        <v>0</v>
      </c>
      <c r="Y19" s="100">
        <f t="shared" si="2"/>
        <v>0</v>
      </c>
      <c r="Z19" s="100">
        <f t="shared" si="2"/>
        <v>0</v>
      </c>
      <c r="AA19" s="100">
        <f t="shared" si="2"/>
        <v>0</v>
      </c>
      <c r="AB19" s="100">
        <f t="shared" si="2"/>
        <v>0</v>
      </c>
      <c r="AC19" s="100">
        <f t="shared" si="2"/>
        <v>0</v>
      </c>
      <c r="AD19" s="100">
        <f t="shared" si="2"/>
        <v>0</v>
      </c>
      <c r="AE19" s="100">
        <f t="shared" si="2"/>
        <v>0</v>
      </c>
      <c r="AF19" s="100">
        <f t="shared" si="2"/>
        <v>0</v>
      </c>
      <c r="AG19" s="100">
        <f t="shared" si="2"/>
        <v>0</v>
      </c>
      <c r="AH19" s="100">
        <f>SUM(AH7:AH18)</f>
        <v>0</v>
      </c>
    </row>
    <row r="20" spans="1:34" ht="15">
      <c r="A20" s="11"/>
      <c r="B20" s="1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row>
    <row r="21" spans="1:34" ht="15">
      <c r="A21" s="3854" t="s">
        <v>158</v>
      </c>
      <c r="B21" s="3855"/>
      <c r="C21" s="3856"/>
      <c r="D21" s="14"/>
      <c r="E21" s="14"/>
      <c r="F21" s="1115" t="s">
        <v>984</v>
      </c>
      <c r="G21" s="1115"/>
      <c r="H21" s="1115"/>
      <c r="I21" s="14"/>
      <c r="J21" s="14"/>
      <c r="K21" s="14"/>
      <c r="L21" s="14"/>
      <c r="M21" s="98"/>
      <c r="N21" s="14"/>
      <c r="O21" s="14"/>
      <c r="P21" s="14"/>
      <c r="Q21" s="14"/>
      <c r="R21" s="14"/>
      <c r="S21" s="14"/>
      <c r="T21" s="14"/>
      <c r="U21" s="14"/>
      <c r="V21" s="14"/>
      <c r="W21" s="14"/>
      <c r="X21" s="14"/>
      <c r="Y21" s="14"/>
      <c r="Z21" s="14"/>
      <c r="AA21" s="14"/>
      <c r="AB21" s="14"/>
      <c r="AC21" s="14"/>
      <c r="AD21" s="14"/>
      <c r="AE21" s="14"/>
      <c r="AF21" s="14"/>
      <c r="AG21" s="14"/>
      <c r="AH21" s="1"/>
    </row>
    <row r="22" spans="1:34" ht="15">
      <c r="A22" s="8" t="s">
        <v>142</v>
      </c>
      <c r="B22" s="8" t="s">
        <v>143</v>
      </c>
      <c r="C22" s="73">
        <v>1</v>
      </c>
      <c r="D22" s="73">
        <v>2</v>
      </c>
      <c r="E22" s="73">
        <v>3</v>
      </c>
      <c r="F22" s="73">
        <v>4</v>
      </c>
      <c r="G22" s="73">
        <v>5</v>
      </c>
      <c r="H22" s="73">
        <v>6</v>
      </c>
      <c r="I22" s="73">
        <v>7</v>
      </c>
      <c r="J22" s="73">
        <v>8</v>
      </c>
      <c r="K22" s="73">
        <v>9</v>
      </c>
      <c r="L22" s="73">
        <v>10</v>
      </c>
      <c r="M22" s="73">
        <v>11</v>
      </c>
      <c r="N22" s="73">
        <v>12</v>
      </c>
      <c r="O22" s="73">
        <v>13</v>
      </c>
      <c r="P22" s="73">
        <v>14</v>
      </c>
      <c r="Q22" s="73">
        <v>15</v>
      </c>
      <c r="R22" s="73">
        <v>16</v>
      </c>
      <c r="S22" s="73">
        <v>17</v>
      </c>
      <c r="T22" s="73">
        <v>18</v>
      </c>
      <c r="U22" s="73">
        <v>19</v>
      </c>
      <c r="V22" s="73">
        <v>20</v>
      </c>
      <c r="W22" s="73">
        <v>21</v>
      </c>
      <c r="X22" s="73">
        <v>22</v>
      </c>
      <c r="Y22" s="73">
        <v>23</v>
      </c>
      <c r="Z22" s="73">
        <v>24</v>
      </c>
      <c r="AA22" s="73">
        <v>25</v>
      </c>
      <c r="AB22" s="73">
        <v>26</v>
      </c>
      <c r="AC22" s="73">
        <v>27</v>
      </c>
      <c r="AD22" s="73">
        <v>28</v>
      </c>
      <c r="AE22" s="73">
        <v>29</v>
      </c>
      <c r="AF22" s="73">
        <v>30</v>
      </c>
      <c r="AG22" s="73">
        <v>31</v>
      </c>
      <c r="AH22" s="87" t="s">
        <v>144</v>
      </c>
    </row>
    <row r="23" spans="1:34" ht="15">
      <c r="A23" s="73" t="s">
        <v>145</v>
      </c>
      <c r="B23" s="53">
        <f t="shared" ref="B23:B34" si="3">+AH23</f>
        <v>0</v>
      </c>
      <c r="C23" s="116"/>
      <c r="D23" s="99"/>
      <c r="E23" s="99"/>
      <c r="F23" s="99"/>
      <c r="G23" s="99"/>
      <c r="H23" s="99"/>
      <c r="I23" s="99"/>
      <c r="J23" s="99"/>
      <c r="K23" s="99"/>
      <c r="L23" s="99"/>
      <c r="M23" s="99"/>
      <c r="N23" s="99"/>
      <c r="O23" s="99"/>
      <c r="P23" s="99"/>
      <c r="Q23" s="99"/>
      <c r="R23" s="99"/>
      <c r="S23" s="99"/>
      <c r="T23" s="99"/>
      <c r="U23" s="99"/>
      <c r="V23" s="99"/>
      <c r="W23" s="99"/>
      <c r="X23" s="99"/>
      <c r="Y23" s="99"/>
      <c r="Z23" s="99"/>
      <c r="AA23" s="99"/>
      <c r="AB23" s="99"/>
      <c r="AC23" s="99"/>
      <c r="AD23" s="99"/>
      <c r="AE23" s="99"/>
      <c r="AF23" s="99"/>
      <c r="AG23" s="99"/>
      <c r="AH23" s="100">
        <f>SUM(C23:AG23)</f>
        <v>0</v>
      </c>
    </row>
    <row r="24" spans="1:34" ht="15">
      <c r="A24" s="73" t="s">
        <v>146</v>
      </c>
      <c r="B24" s="53">
        <f t="shared" si="3"/>
        <v>0</v>
      </c>
      <c r="C24" s="116"/>
      <c r="D24" s="99"/>
      <c r="E24" s="99"/>
      <c r="F24" s="99"/>
      <c r="G24" s="99"/>
      <c r="H24" s="99"/>
      <c r="I24" s="99"/>
      <c r="J24" s="99"/>
      <c r="K24" s="99"/>
      <c r="L24" s="99"/>
      <c r="M24" s="99"/>
      <c r="N24" s="99"/>
      <c r="O24" s="99"/>
      <c r="P24" s="99"/>
      <c r="Q24" s="99"/>
      <c r="R24" s="99"/>
      <c r="S24" s="99"/>
      <c r="T24" s="99"/>
      <c r="U24" s="99"/>
      <c r="V24" s="99"/>
      <c r="W24" s="99"/>
      <c r="X24" s="99"/>
      <c r="Y24" s="99"/>
      <c r="Z24" s="99"/>
      <c r="AA24" s="99"/>
      <c r="AB24" s="99"/>
      <c r="AC24" s="99"/>
      <c r="AD24" s="99"/>
      <c r="AE24" s="99"/>
      <c r="AF24" s="99"/>
      <c r="AG24" s="99"/>
      <c r="AH24" s="100">
        <f t="shared" ref="AH24:AH30" si="4">SUM(C24:AG24)</f>
        <v>0</v>
      </c>
    </row>
    <row r="25" spans="1:34" ht="15">
      <c r="A25" s="73" t="s">
        <v>147</v>
      </c>
      <c r="B25" s="53">
        <f t="shared" si="3"/>
        <v>0</v>
      </c>
      <c r="C25" s="116"/>
      <c r="D25" s="99"/>
      <c r="E25" s="99"/>
      <c r="F25" s="99"/>
      <c r="G25" s="99"/>
      <c r="H25" s="99"/>
      <c r="I25" s="99"/>
      <c r="J25" s="99"/>
      <c r="K25" s="99"/>
      <c r="L25" s="99"/>
      <c r="M25" s="99"/>
      <c r="N25" s="99"/>
      <c r="O25" s="99"/>
      <c r="P25" s="99"/>
      <c r="Q25" s="99"/>
      <c r="R25" s="99"/>
      <c r="S25" s="99"/>
      <c r="T25" s="99"/>
      <c r="U25" s="99"/>
      <c r="V25" s="99"/>
      <c r="W25" s="99"/>
      <c r="X25" s="99"/>
      <c r="Y25" s="99"/>
      <c r="Z25" s="99"/>
      <c r="AA25" s="99"/>
      <c r="AB25" s="99"/>
      <c r="AC25" s="99"/>
      <c r="AD25" s="99"/>
      <c r="AE25" s="99"/>
      <c r="AF25" s="99"/>
      <c r="AG25" s="99"/>
      <c r="AH25" s="100">
        <f t="shared" si="4"/>
        <v>0</v>
      </c>
    </row>
    <row r="26" spans="1:34" ht="15">
      <c r="A26" s="73" t="s">
        <v>148</v>
      </c>
      <c r="B26" s="53">
        <f t="shared" si="3"/>
        <v>0</v>
      </c>
      <c r="C26" s="116"/>
      <c r="D26" s="99"/>
      <c r="E26" s="99"/>
      <c r="F26" s="99"/>
      <c r="G26" s="99"/>
      <c r="H26" s="99"/>
      <c r="I26" s="99"/>
      <c r="J26" s="99"/>
      <c r="K26" s="99"/>
      <c r="L26" s="99"/>
      <c r="M26" s="99"/>
      <c r="N26" s="99"/>
      <c r="O26" s="99"/>
      <c r="P26" s="99"/>
      <c r="Q26" s="99"/>
      <c r="R26" s="99"/>
      <c r="S26" s="99"/>
      <c r="T26" s="99"/>
      <c r="U26" s="99"/>
      <c r="V26" s="99"/>
      <c r="W26" s="99"/>
      <c r="X26" s="99"/>
      <c r="Y26" s="99"/>
      <c r="Z26" s="99"/>
      <c r="AA26" s="99"/>
      <c r="AB26" s="99"/>
      <c r="AC26" s="99"/>
      <c r="AD26" s="99"/>
      <c r="AE26" s="99"/>
      <c r="AF26" s="99"/>
      <c r="AG26" s="99"/>
      <c r="AH26" s="100">
        <f t="shared" si="4"/>
        <v>0</v>
      </c>
    </row>
    <row r="27" spans="1:34" ht="15">
      <c r="A27" s="73" t="s">
        <v>149</v>
      </c>
      <c r="B27" s="53">
        <f t="shared" si="3"/>
        <v>0</v>
      </c>
      <c r="C27" s="116"/>
      <c r="D27" s="99"/>
      <c r="E27" s="99"/>
      <c r="F27" s="99"/>
      <c r="G27" s="99"/>
      <c r="H27" s="99"/>
      <c r="I27" s="99"/>
      <c r="J27" s="99"/>
      <c r="K27" s="99"/>
      <c r="L27" s="99"/>
      <c r="M27" s="99"/>
      <c r="N27" s="99"/>
      <c r="O27" s="99"/>
      <c r="P27" s="99"/>
      <c r="Q27" s="99"/>
      <c r="R27" s="99"/>
      <c r="S27" s="99"/>
      <c r="T27" s="99"/>
      <c r="U27" s="99"/>
      <c r="V27" s="99"/>
      <c r="W27" s="99"/>
      <c r="X27" s="99"/>
      <c r="Y27" s="99"/>
      <c r="Z27" s="99"/>
      <c r="AA27" s="99"/>
      <c r="AB27" s="99"/>
      <c r="AC27" s="99"/>
      <c r="AD27" s="99"/>
      <c r="AE27" s="99"/>
      <c r="AF27" s="99"/>
      <c r="AG27" s="99"/>
      <c r="AH27" s="100">
        <f t="shared" si="4"/>
        <v>0</v>
      </c>
    </row>
    <row r="28" spans="1:34" ht="15">
      <c r="A28" s="73" t="s">
        <v>150</v>
      </c>
      <c r="B28" s="53">
        <f t="shared" si="3"/>
        <v>0</v>
      </c>
      <c r="C28" s="116"/>
      <c r="D28" s="99"/>
      <c r="E28" s="99"/>
      <c r="F28" s="99"/>
      <c r="G28" s="99"/>
      <c r="H28" s="99"/>
      <c r="I28" s="99"/>
      <c r="J28" s="99"/>
      <c r="K28" s="99"/>
      <c r="L28" s="99"/>
      <c r="M28" s="99"/>
      <c r="N28" s="99"/>
      <c r="O28" s="99"/>
      <c r="P28" s="99"/>
      <c r="Q28" s="99"/>
      <c r="R28" s="99"/>
      <c r="S28" s="99"/>
      <c r="T28" s="99"/>
      <c r="U28" s="99"/>
      <c r="V28" s="99"/>
      <c r="W28" s="99"/>
      <c r="X28" s="99"/>
      <c r="Y28" s="99"/>
      <c r="Z28" s="99"/>
      <c r="AA28" s="99"/>
      <c r="AB28" s="99"/>
      <c r="AC28" s="99"/>
      <c r="AD28" s="99"/>
      <c r="AE28" s="99"/>
      <c r="AF28" s="99"/>
      <c r="AG28" s="99"/>
      <c r="AH28" s="100">
        <f t="shared" si="4"/>
        <v>0</v>
      </c>
    </row>
    <row r="29" spans="1:34" ht="15">
      <c r="A29" s="73" t="s">
        <v>151</v>
      </c>
      <c r="B29" s="53">
        <f t="shared" si="3"/>
        <v>0</v>
      </c>
      <c r="C29" s="384" t="s">
        <v>318</v>
      </c>
      <c r="D29" s="384" t="s">
        <v>318</v>
      </c>
      <c r="E29" s="384" t="s">
        <v>318</v>
      </c>
      <c r="F29" s="384" t="s">
        <v>318</v>
      </c>
      <c r="G29" s="384" t="s">
        <v>318</v>
      </c>
      <c r="H29" s="384" t="s">
        <v>318</v>
      </c>
      <c r="I29" s="384" t="s">
        <v>318</v>
      </c>
      <c r="J29" s="384" t="s">
        <v>318</v>
      </c>
      <c r="K29" s="384" t="s">
        <v>318</v>
      </c>
      <c r="L29" s="384" t="s">
        <v>318</v>
      </c>
      <c r="M29" s="384" t="s">
        <v>318</v>
      </c>
      <c r="N29" s="384" t="s">
        <v>318</v>
      </c>
      <c r="O29" s="384" t="s">
        <v>318</v>
      </c>
      <c r="P29" s="384" t="s">
        <v>318</v>
      </c>
      <c r="Q29" s="384" t="s">
        <v>318</v>
      </c>
      <c r="R29" s="384" t="s">
        <v>318</v>
      </c>
      <c r="S29" s="384" t="s">
        <v>318</v>
      </c>
      <c r="T29" s="384" t="s">
        <v>318</v>
      </c>
      <c r="U29" s="384" t="s">
        <v>318</v>
      </c>
      <c r="V29" s="384" t="s">
        <v>318</v>
      </c>
      <c r="W29" s="384" t="s">
        <v>318</v>
      </c>
      <c r="X29" s="384" t="s">
        <v>318</v>
      </c>
      <c r="Y29" s="384" t="s">
        <v>318</v>
      </c>
      <c r="Z29" s="384" t="s">
        <v>318</v>
      </c>
      <c r="AA29" s="384" t="s">
        <v>318</v>
      </c>
      <c r="AB29" s="384" t="s">
        <v>318</v>
      </c>
      <c r="AC29" s="384" t="s">
        <v>318</v>
      </c>
      <c r="AD29" s="384" t="s">
        <v>318</v>
      </c>
      <c r="AE29" s="384" t="s">
        <v>318</v>
      </c>
      <c r="AF29" s="384" t="s">
        <v>318</v>
      </c>
      <c r="AG29" s="384" t="s">
        <v>318</v>
      </c>
      <c r="AH29" s="100">
        <f t="shared" si="4"/>
        <v>0</v>
      </c>
    </row>
    <row r="30" spans="1:34" ht="15">
      <c r="A30" s="73" t="s">
        <v>152</v>
      </c>
      <c r="B30" s="53">
        <f t="shared" si="3"/>
        <v>0</v>
      </c>
      <c r="C30" s="384" t="s">
        <v>318</v>
      </c>
      <c r="D30" s="384" t="s">
        <v>318</v>
      </c>
      <c r="E30" s="384" t="s">
        <v>318</v>
      </c>
      <c r="F30" s="384" t="s">
        <v>318</v>
      </c>
      <c r="G30" s="384" t="s">
        <v>318</v>
      </c>
      <c r="H30" s="384" t="s">
        <v>318</v>
      </c>
      <c r="I30" s="384" t="s">
        <v>318</v>
      </c>
      <c r="J30" s="384" t="s">
        <v>318</v>
      </c>
      <c r="K30" s="384" t="s">
        <v>318</v>
      </c>
      <c r="L30" s="384" t="s">
        <v>318</v>
      </c>
      <c r="M30" s="384" t="s">
        <v>318</v>
      </c>
      <c r="N30" s="384" t="s">
        <v>318</v>
      </c>
      <c r="O30" s="384" t="s">
        <v>318</v>
      </c>
      <c r="P30" s="384" t="s">
        <v>318</v>
      </c>
      <c r="Q30" s="384" t="s">
        <v>318</v>
      </c>
      <c r="R30" s="384" t="s">
        <v>318</v>
      </c>
      <c r="S30" s="384" t="s">
        <v>318</v>
      </c>
      <c r="T30" s="384" t="s">
        <v>318</v>
      </c>
      <c r="U30" s="384" t="s">
        <v>318</v>
      </c>
      <c r="V30" s="384" t="s">
        <v>318</v>
      </c>
      <c r="W30" s="384" t="s">
        <v>318</v>
      </c>
      <c r="X30" s="384" t="s">
        <v>318</v>
      </c>
      <c r="Y30" s="384" t="s">
        <v>318</v>
      </c>
      <c r="Z30" s="384" t="s">
        <v>318</v>
      </c>
      <c r="AA30" s="384" t="s">
        <v>318</v>
      </c>
      <c r="AB30" s="384" t="s">
        <v>318</v>
      </c>
      <c r="AC30" s="384" t="s">
        <v>318</v>
      </c>
      <c r="AD30" s="384" t="s">
        <v>318</v>
      </c>
      <c r="AE30" s="384" t="s">
        <v>318</v>
      </c>
      <c r="AF30" s="384" t="s">
        <v>318</v>
      </c>
      <c r="AG30" s="384" t="s">
        <v>318</v>
      </c>
      <c r="AH30" s="100">
        <f t="shared" si="4"/>
        <v>0</v>
      </c>
    </row>
    <row r="31" spans="1:34" ht="15">
      <c r="A31" s="73" t="s">
        <v>153</v>
      </c>
      <c r="B31" s="53">
        <f t="shared" si="3"/>
        <v>1.083</v>
      </c>
      <c r="C31" s="116"/>
      <c r="D31" s="99"/>
      <c r="E31" s="99"/>
      <c r="F31" s="99"/>
      <c r="G31" s="99"/>
      <c r="H31" s="99"/>
      <c r="I31" s="99"/>
      <c r="J31" s="99"/>
      <c r="K31" s="99"/>
      <c r="L31" s="99"/>
      <c r="M31" s="99"/>
      <c r="N31" s="99">
        <v>0.36799999999999999</v>
      </c>
      <c r="O31" s="99"/>
      <c r="P31" s="99"/>
      <c r="Q31" s="99"/>
      <c r="R31" s="99"/>
      <c r="S31" s="99"/>
      <c r="T31" s="99"/>
      <c r="U31" s="99"/>
      <c r="V31" s="99">
        <v>0.71499999999999997</v>
      </c>
      <c r="W31" s="99"/>
      <c r="X31" s="99"/>
      <c r="Y31" s="99"/>
      <c r="Z31" s="99"/>
      <c r="AA31" s="99"/>
      <c r="AB31" s="99"/>
      <c r="AC31" s="99"/>
      <c r="AD31" s="99"/>
      <c r="AE31" s="99"/>
      <c r="AF31" s="99"/>
      <c r="AG31" s="99"/>
      <c r="AH31" s="100">
        <f>SUM(C31:AG31)</f>
        <v>1.083</v>
      </c>
    </row>
    <row r="32" spans="1:34" ht="15">
      <c r="A32" s="73" t="s">
        <v>154</v>
      </c>
      <c r="B32" s="53">
        <f t="shared" si="3"/>
        <v>0</v>
      </c>
      <c r="C32" s="116"/>
      <c r="D32" s="99"/>
      <c r="E32" s="99"/>
      <c r="F32" s="99"/>
      <c r="G32" s="99"/>
      <c r="H32" s="99"/>
      <c r="I32" s="99"/>
      <c r="J32" s="99"/>
      <c r="K32" s="99"/>
      <c r="L32" s="99"/>
      <c r="M32" s="99"/>
      <c r="N32" s="99"/>
      <c r="O32" s="99"/>
      <c r="P32" s="99"/>
      <c r="Q32" s="99"/>
      <c r="R32" s="99"/>
      <c r="S32" s="99"/>
      <c r="T32" s="99"/>
      <c r="U32" s="99"/>
      <c r="V32" s="99"/>
      <c r="W32" s="99"/>
      <c r="X32" s="99"/>
      <c r="Y32" s="99"/>
      <c r="Z32" s="99"/>
      <c r="AA32" s="99"/>
      <c r="AB32" s="99"/>
      <c r="AC32" s="99"/>
      <c r="AD32" s="99"/>
      <c r="AE32" s="99"/>
      <c r="AF32" s="99"/>
      <c r="AG32" s="99"/>
      <c r="AH32" s="100">
        <f>SUM(C32:AG32)</f>
        <v>0</v>
      </c>
    </row>
    <row r="33" spans="1:34" ht="15">
      <c r="A33" s="73" t="s">
        <v>155</v>
      </c>
      <c r="B33" s="53">
        <f t="shared" si="3"/>
        <v>0</v>
      </c>
      <c r="C33" s="116"/>
      <c r="D33" s="99"/>
      <c r="E33" s="99"/>
      <c r="F33" s="99"/>
      <c r="G33" s="99"/>
      <c r="H33" s="99"/>
      <c r="I33" s="99"/>
      <c r="J33" s="99"/>
      <c r="K33" s="99"/>
      <c r="L33" s="99"/>
      <c r="M33" s="99"/>
      <c r="N33" s="99"/>
      <c r="O33" s="99"/>
      <c r="P33" s="99"/>
      <c r="Q33" s="99"/>
      <c r="R33" s="99"/>
      <c r="S33" s="99"/>
      <c r="T33" s="99"/>
      <c r="U33" s="99"/>
      <c r="V33" s="99"/>
      <c r="W33" s="99"/>
      <c r="X33" s="99"/>
      <c r="Y33" s="99"/>
      <c r="Z33" s="99"/>
      <c r="AA33" s="99"/>
      <c r="AB33" s="99"/>
      <c r="AC33" s="99"/>
      <c r="AD33" s="99"/>
      <c r="AE33" s="99"/>
      <c r="AF33" s="99"/>
      <c r="AG33" s="99"/>
      <c r="AH33" s="100">
        <f>SUM(C33:AG33)</f>
        <v>0</v>
      </c>
    </row>
    <row r="34" spans="1:34" ht="15">
      <c r="A34" s="73" t="s">
        <v>156</v>
      </c>
      <c r="B34" s="53">
        <f t="shared" si="3"/>
        <v>0</v>
      </c>
      <c r="C34" s="116"/>
      <c r="D34" s="99"/>
      <c r="E34" s="99"/>
      <c r="F34" s="99"/>
      <c r="G34" s="99"/>
      <c r="H34" s="99"/>
      <c r="I34" s="99"/>
      <c r="J34" s="99"/>
      <c r="K34" s="99"/>
      <c r="L34" s="99"/>
      <c r="M34" s="99"/>
      <c r="N34" s="99"/>
      <c r="O34" s="99"/>
      <c r="P34" s="99"/>
      <c r="Q34" s="99"/>
      <c r="R34" s="99"/>
      <c r="S34" s="99"/>
      <c r="T34" s="99"/>
      <c r="U34" s="99"/>
      <c r="V34" s="99"/>
      <c r="W34" s="99"/>
      <c r="X34" s="99"/>
      <c r="Y34" s="99"/>
      <c r="Z34" s="99"/>
      <c r="AA34" s="99"/>
      <c r="AB34" s="99"/>
      <c r="AC34" s="99"/>
      <c r="AD34" s="99"/>
      <c r="AE34" s="99"/>
      <c r="AF34" s="99"/>
      <c r="AG34" s="99"/>
      <c r="AH34" s="100">
        <f>SUM(C34:AG34)</f>
        <v>0</v>
      </c>
    </row>
    <row r="35" spans="1:34" ht="15">
      <c r="A35" s="200" t="s">
        <v>111</v>
      </c>
      <c r="B35" s="232">
        <f t="shared" ref="B35:AH35" si="5">SUM(B23:B34)</f>
        <v>1.083</v>
      </c>
      <c r="C35" s="100">
        <f t="shared" si="5"/>
        <v>0</v>
      </c>
      <c r="D35" s="100">
        <f t="shared" si="5"/>
        <v>0</v>
      </c>
      <c r="E35" s="100">
        <f t="shared" si="5"/>
        <v>0</v>
      </c>
      <c r="F35" s="100">
        <f t="shared" si="5"/>
        <v>0</v>
      </c>
      <c r="G35" s="100">
        <f t="shared" si="5"/>
        <v>0</v>
      </c>
      <c r="H35" s="100">
        <f t="shared" si="5"/>
        <v>0</v>
      </c>
      <c r="I35" s="100">
        <f t="shared" si="5"/>
        <v>0</v>
      </c>
      <c r="J35" s="100">
        <f t="shared" si="5"/>
        <v>0</v>
      </c>
      <c r="K35" s="100">
        <f t="shared" si="5"/>
        <v>0</v>
      </c>
      <c r="L35" s="100">
        <f t="shared" si="5"/>
        <v>0</v>
      </c>
      <c r="M35" s="100">
        <f t="shared" si="5"/>
        <v>0</v>
      </c>
      <c r="N35" s="100">
        <f t="shared" si="5"/>
        <v>0.36799999999999999</v>
      </c>
      <c r="O35" s="100">
        <f t="shared" si="5"/>
        <v>0</v>
      </c>
      <c r="P35" s="100">
        <f t="shared" si="5"/>
        <v>0</v>
      </c>
      <c r="Q35" s="100">
        <f t="shared" si="5"/>
        <v>0</v>
      </c>
      <c r="R35" s="100">
        <f t="shared" si="5"/>
        <v>0</v>
      </c>
      <c r="S35" s="100">
        <f t="shared" si="5"/>
        <v>0</v>
      </c>
      <c r="T35" s="100">
        <f t="shared" si="5"/>
        <v>0</v>
      </c>
      <c r="U35" s="100">
        <f t="shared" si="5"/>
        <v>0</v>
      </c>
      <c r="V35" s="100">
        <f t="shared" si="5"/>
        <v>0.71499999999999997</v>
      </c>
      <c r="W35" s="100">
        <f t="shared" si="5"/>
        <v>0</v>
      </c>
      <c r="X35" s="100">
        <f t="shared" si="5"/>
        <v>0</v>
      </c>
      <c r="Y35" s="100">
        <f t="shared" si="5"/>
        <v>0</v>
      </c>
      <c r="Z35" s="100">
        <f t="shared" si="5"/>
        <v>0</v>
      </c>
      <c r="AA35" s="100">
        <f t="shared" si="5"/>
        <v>0</v>
      </c>
      <c r="AB35" s="100">
        <f t="shared" si="5"/>
        <v>0</v>
      </c>
      <c r="AC35" s="100">
        <f t="shared" si="5"/>
        <v>0</v>
      </c>
      <c r="AD35" s="100">
        <f t="shared" si="5"/>
        <v>0</v>
      </c>
      <c r="AE35" s="100">
        <f t="shared" si="5"/>
        <v>0</v>
      </c>
      <c r="AF35" s="100">
        <f t="shared" si="5"/>
        <v>0</v>
      </c>
      <c r="AG35" s="100">
        <f t="shared" si="5"/>
        <v>0</v>
      </c>
      <c r="AH35" s="100">
        <f t="shared" si="5"/>
        <v>1.083</v>
      </c>
    </row>
    <row r="36" spans="1:34" ht="15">
      <c r="A36" s="117"/>
      <c r="B36" s="117"/>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row>
    <row r="37" spans="1:34" ht="15">
      <c r="A37" s="3854" t="s">
        <v>129</v>
      </c>
      <c r="B37" s="3855"/>
      <c r="C37" s="3856"/>
      <c r="D37" s="14"/>
      <c r="E37" s="14"/>
      <c r="F37" s="114"/>
      <c r="G37" s="14"/>
      <c r="H37" s="14"/>
      <c r="I37" s="14"/>
      <c r="J37" s="14"/>
      <c r="K37" s="14"/>
      <c r="L37" s="14"/>
      <c r="M37" s="98"/>
      <c r="N37" s="14"/>
      <c r="O37" s="14"/>
      <c r="P37" s="14"/>
      <c r="Q37" s="14"/>
      <c r="R37" s="14"/>
      <c r="S37" s="14"/>
      <c r="T37" s="14"/>
      <c r="U37" s="14"/>
      <c r="V37" s="14"/>
      <c r="W37" s="14"/>
      <c r="X37" s="14"/>
      <c r="Y37" s="14"/>
      <c r="Z37" s="14"/>
      <c r="AA37" s="14"/>
      <c r="AB37" s="14"/>
      <c r="AC37" s="14"/>
      <c r="AD37" s="14"/>
      <c r="AE37" s="14"/>
      <c r="AF37" s="14"/>
      <c r="AG37" s="14"/>
      <c r="AH37" s="1"/>
    </row>
    <row r="38" spans="1:34" ht="15">
      <c r="A38" s="8" t="s">
        <v>142</v>
      </c>
      <c r="B38" s="8" t="s">
        <v>143</v>
      </c>
      <c r="C38" s="73">
        <v>1</v>
      </c>
      <c r="D38" s="73">
        <v>2</v>
      </c>
      <c r="E38" s="73">
        <v>3</v>
      </c>
      <c r="F38" s="73">
        <v>4</v>
      </c>
      <c r="G38" s="73">
        <v>5</v>
      </c>
      <c r="H38" s="73">
        <v>6</v>
      </c>
      <c r="I38" s="73">
        <v>7</v>
      </c>
      <c r="J38" s="73">
        <v>8</v>
      </c>
      <c r="K38" s="73">
        <v>9</v>
      </c>
      <c r="L38" s="73">
        <v>10</v>
      </c>
      <c r="M38" s="73">
        <v>11</v>
      </c>
      <c r="N38" s="73">
        <v>12</v>
      </c>
      <c r="O38" s="73">
        <v>13</v>
      </c>
      <c r="P38" s="73">
        <v>14</v>
      </c>
      <c r="Q38" s="73">
        <v>15</v>
      </c>
      <c r="R38" s="73">
        <v>16</v>
      </c>
      <c r="S38" s="73">
        <v>17</v>
      </c>
      <c r="T38" s="73">
        <v>18</v>
      </c>
      <c r="U38" s="73">
        <v>19</v>
      </c>
      <c r="V38" s="73">
        <v>20</v>
      </c>
      <c r="W38" s="73">
        <v>21</v>
      </c>
      <c r="X38" s="73">
        <v>22</v>
      </c>
      <c r="Y38" s="73">
        <v>23</v>
      </c>
      <c r="Z38" s="73">
        <v>24</v>
      </c>
      <c r="AA38" s="73">
        <v>25</v>
      </c>
      <c r="AB38" s="73">
        <v>26</v>
      </c>
      <c r="AC38" s="73">
        <v>27</v>
      </c>
      <c r="AD38" s="73">
        <v>28</v>
      </c>
      <c r="AE38" s="73">
        <v>29</v>
      </c>
      <c r="AF38" s="73">
        <v>30</v>
      </c>
      <c r="AG38" s="73">
        <v>31</v>
      </c>
      <c r="AH38" s="87" t="s">
        <v>144</v>
      </c>
    </row>
    <row r="39" spans="1:34" ht="15">
      <c r="A39" s="73" t="s">
        <v>145</v>
      </c>
      <c r="B39" s="53">
        <f t="shared" ref="B39:B50" si="6">+AH39</f>
        <v>68.189000000000007</v>
      </c>
      <c r="C39" s="296"/>
      <c r="D39" s="296"/>
      <c r="E39" s="296">
        <v>0.93500000000000005</v>
      </c>
      <c r="F39" s="296"/>
      <c r="G39" s="296">
        <v>5.28</v>
      </c>
      <c r="H39" s="296"/>
      <c r="I39" s="296"/>
      <c r="J39" s="296">
        <v>3.9750000000000001</v>
      </c>
      <c r="K39" s="296"/>
      <c r="L39" s="296">
        <v>7.59</v>
      </c>
      <c r="M39" s="296"/>
      <c r="N39" s="296">
        <v>2.46</v>
      </c>
      <c r="O39" s="296">
        <v>3.21</v>
      </c>
      <c r="P39" s="296"/>
      <c r="Q39" s="296">
        <v>7.0150000000000006</v>
      </c>
      <c r="R39" s="303">
        <v>8.7690000000000001</v>
      </c>
      <c r="S39" s="303">
        <v>5.5650000000000004</v>
      </c>
      <c r="T39" s="303"/>
      <c r="U39" s="303">
        <v>7.9320000000000004</v>
      </c>
      <c r="V39" s="297">
        <v>0.375</v>
      </c>
      <c r="W39" s="297"/>
      <c r="X39" s="453">
        <v>4.9349999999999996</v>
      </c>
      <c r="Y39" s="453">
        <v>6.0229999999999997</v>
      </c>
      <c r="Z39" s="453"/>
      <c r="AA39" s="453">
        <v>4.125</v>
      </c>
      <c r="AB39" s="453"/>
      <c r="AC39" s="453"/>
      <c r="AD39" s="455"/>
      <c r="AE39" s="453"/>
      <c r="AF39" s="456"/>
      <c r="AG39" s="303"/>
      <c r="AH39" s="100">
        <f>SUM(C39:AG39)</f>
        <v>68.189000000000007</v>
      </c>
    </row>
    <row r="40" spans="1:34" ht="15">
      <c r="A40" s="73" t="s">
        <v>146</v>
      </c>
      <c r="B40" s="53">
        <f t="shared" si="6"/>
        <v>97.119999999999976</v>
      </c>
      <c r="C40" s="99">
        <v>4.47</v>
      </c>
      <c r="D40" s="99">
        <v>2.1</v>
      </c>
      <c r="E40" s="99">
        <v>0.82499999999999996</v>
      </c>
      <c r="F40" s="99">
        <v>3.88</v>
      </c>
      <c r="G40" s="99">
        <v>3.915</v>
      </c>
      <c r="H40" s="99">
        <v>2.9249999999999998</v>
      </c>
      <c r="I40" s="99">
        <v>3.0750000000000002</v>
      </c>
      <c r="J40" s="99">
        <v>7.125</v>
      </c>
      <c r="K40" s="99">
        <v>6.6029999999999998</v>
      </c>
      <c r="L40" s="99"/>
      <c r="M40" s="99"/>
      <c r="N40" s="99">
        <v>2.34</v>
      </c>
      <c r="O40" s="99">
        <v>9.2469999999999999</v>
      </c>
      <c r="P40" s="99"/>
      <c r="Q40" s="99">
        <v>2.1749999999999998</v>
      </c>
      <c r="R40" s="99">
        <v>3.36</v>
      </c>
      <c r="S40" s="99">
        <v>5.5460000000000003</v>
      </c>
      <c r="T40" s="99"/>
      <c r="U40" s="99">
        <v>5.6549999999999994</v>
      </c>
      <c r="V40" s="99">
        <v>0.85</v>
      </c>
      <c r="W40" s="99">
        <v>3.202</v>
      </c>
      <c r="X40" s="99">
        <v>2.1</v>
      </c>
      <c r="Y40" s="99">
        <v>8.1039999999999992</v>
      </c>
      <c r="Z40" s="99">
        <v>4.3950000000000005</v>
      </c>
      <c r="AA40" s="99"/>
      <c r="AB40" s="99">
        <v>0.78200000000000003</v>
      </c>
      <c r="AC40" s="99">
        <v>9.0650000000000013</v>
      </c>
      <c r="AD40" s="99">
        <v>1.59</v>
      </c>
      <c r="AE40" s="99">
        <v>3.7909999999999999</v>
      </c>
      <c r="AF40" s="99"/>
      <c r="AG40" s="99"/>
      <c r="AH40" s="100">
        <f t="shared" ref="AH40:AH50" si="7">SUM(C40:AG40)</f>
        <v>97.119999999999976</v>
      </c>
    </row>
    <row r="41" spans="1:34" ht="15">
      <c r="A41" s="73" t="s">
        <v>147</v>
      </c>
      <c r="B41" s="53">
        <f t="shared" si="6"/>
        <v>38.559000000000005</v>
      </c>
      <c r="C41" s="665"/>
      <c r="D41" s="455">
        <v>3.96</v>
      </c>
      <c r="E41" s="666"/>
      <c r="F41" s="666">
        <v>7.0050000000000008</v>
      </c>
      <c r="G41" s="666">
        <v>2.2050000000000001</v>
      </c>
      <c r="H41" s="666">
        <v>7.1180000000000003</v>
      </c>
      <c r="I41" s="666">
        <v>1.35</v>
      </c>
      <c r="J41" s="666">
        <v>7.1910000000000007</v>
      </c>
      <c r="K41" s="666">
        <v>1.8</v>
      </c>
      <c r="L41" s="666">
        <v>4.2300000000000004</v>
      </c>
      <c r="M41" s="666">
        <v>1.7949999999999999</v>
      </c>
      <c r="N41" s="666">
        <v>1.905</v>
      </c>
      <c r="O41" s="666"/>
      <c r="P41" s="666"/>
      <c r="Q41" s="666"/>
      <c r="R41" s="666"/>
      <c r="S41" s="828"/>
      <c r="T41" s="666"/>
      <c r="U41" s="666"/>
      <c r="V41" s="666"/>
      <c r="W41" s="666"/>
      <c r="X41" s="666"/>
      <c r="Y41" s="666"/>
      <c r="Z41" s="666"/>
      <c r="AA41" s="666"/>
      <c r="AB41" s="666"/>
      <c r="AC41" s="666"/>
      <c r="AD41" s="666"/>
      <c r="AE41" s="666"/>
      <c r="AF41" s="666"/>
      <c r="AG41" s="666"/>
      <c r="AH41" s="100">
        <f t="shared" si="7"/>
        <v>38.559000000000005</v>
      </c>
    </row>
    <row r="42" spans="1:34" ht="15">
      <c r="A42" s="73" t="s">
        <v>148</v>
      </c>
      <c r="B42" s="53">
        <f t="shared" si="6"/>
        <v>12.107999999999999</v>
      </c>
      <c r="C42" s="296"/>
      <c r="D42" s="297"/>
      <c r="E42" s="298"/>
      <c r="F42" s="298"/>
      <c r="G42" s="298"/>
      <c r="H42" s="298"/>
      <c r="I42" s="298"/>
      <c r="J42" s="298"/>
      <c r="K42" s="298">
        <v>1.1499999999999999</v>
      </c>
      <c r="L42" s="298">
        <v>3.9710000000000001</v>
      </c>
      <c r="M42" s="298"/>
      <c r="N42" s="298"/>
      <c r="O42" s="298">
        <v>0.23100000000000001</v>
      </c>
      <c r="P42" s="298"/>
      <c r="Q42" s="298"/>
      <c r="R42" s="298">
        <v>1.851</v>
      </c>
      <c r="S42" s="298">
        <v>0.93500000000000005</v>
      </c>
      <c r="T42" s="298">
        <v>0.68</v>
      </c>
      <c r="U42" s="298"/>
      <c r="V42" s="298"/>
      <c r="W42" s="298"/>
      <c r="X42" s="298">
        <v>0.95000000000000007</v>
      </c>
      <c r="Y42" s="298"/>
      <c r="Z42" s="298">
        <v>0.45</v>
      </c>
      <c r="AA42" s="298"/>
      <c r="AB42" s="298">
        <v>0.99</v>
      </c>
      <c r="AC42" s="298"/>
      <c r="AD42" s="298"/>
      <c r="AE42" s="298"/>
      <c r="AF42" s="298">
        <v>0.9</v>
      </c>
      <c r="AG42" s="298"/>
      <c r="AH42" s="100">
        <f t="shared" si="7"/>
        <v>12.107999999999999</v>
      </c>
    </row>
    <row r="43" spans="1:34" ht="15">
      <c r="A43" s="73" t="s">
        <v>149</v>
      </c>
      <c r="B43" s="53">
        <f t="shared" si="6"/>
        <v>28.355999999999998</v>
      </c>
      <c r="C43" s="296">
        <v>5.0250000000000004</v>
      </c>
      <c r="D43" s="297"/>
      <c r="E43" s="298">
        <v>1.5449999999999999</v>
      </c>
      <c r="F43" s="298"/>
      <c r="G43" s="298"/>
      <c r="H43" s="298">
        <v>2.339</v>
      </c>
      <c r="I43" s="298"/>
      <c r="J43" s="298"/>
      <c r="K43" s="298">
        <v>2.34</v>
      </c>
      <c r="L43" s="298"/>
      <c r="M43" s="298"/>
      <c r="N43" s="298"/>
      <c r="O43" s="298">
        <v>0.82499999999999996</v>
      </c>
      <c r="P43" s="298"/>
      <c r="Q43" s="298"/>
      <c r="R43" s="298"/>
      <c r="S43" s="298">
        <v>1.4690000000000001</v>
      </c>
      <c r="T43" s="298"/>
      <c r="U43" s="298">
        <v>3.07</v>
      </c>
      <c r="V43" s="298"/>
      <c r="W43" s="298">
        <v>0.75</v>
      </c>
      <c r="X43" s="298">
        <v>2.31</v>
      </c>
      <c r="Y43" s="298">
        <v>2.653</v>
      </c>
      <c r="Z43" s="298">
        <v>1.7850000000000001</v>
      </c>
      <c r="AA43" s="298"/>
      <c r="AB43" s="298"/>
      <c r="AC43" s="298"/>
      <c r="AD43" s="298">
        <v>1.02</v>
      </c>
      <c r="AE43" s="298">
        <v>0.97499999999999998</v>
      </c>
      <c r="AF43" s="298">
        <v>2.25</v>
      </c>
      <c r="AG43" s="298"/>
      <c r="AH43" s="100">
        <f t="shared" si="7"/>
        <v>28.355999999999998</v>
      </c>
    </row>
    <row r="44" spans="1:34" ht="15">
      <c r="A44" s="73" t="s">
        <v>150</v>
      </c>
      <c r="B44" s="53">
        <f t="shared" si="6"/>
        <v>62.807000000000002</v>
      </c>
      <c r="C44" s="116">
        <v>6.008</v>
      </c>
      <c r="D44" s="99"/>
      <c r="E44" s="99">
        <v>1.89</v>
      </c>
      <c r="F44" s="99">
        <v>4.9939999999999998</v>
      </c>
      <c r="G44" s="99">
        <v>4.641</v>
      </c>
      <c r="H44" s="99">
        <v>0.9</v>
      </c>
      <c r="I44" s="99">
        <v>4.6950000000000003</v>
      </c>
      <c r="J44" s="99">
        <v>7.9849999999999994</v>
      </c>
      <c r="K44" s="99"/>
      <c r="L44" s="99">
        <v>1.02</v>
      </c>
      <c r="M44" s="99">
        <v>1.899</v>
      </c>
      <c r="N44" s="99">
        <v>2.94</v>
      </c>
      <c r="O44" s="99">
        <v>2.4449999999999998</v>
      </c>
      <c r="P44" s="99">
        <v>11.254999999999999</v>
      </c>
      <c r="Q44" s="99"/>
      <c r="R44" s="99">
        <v>2.9870000000000001</v>
      </c>
      <c r="S44" s="99"/>
      <c r="T44" s="99">
        <v>2.8980000000000001</v>
      </c>
      <c r="U44" s="99">
        <v>0.67500000000000004</v>
      </c>
      <c r="V44" s="99">
        <v>0.68</v>
      </c>
      <c r="W44" s="99">
        <v>4.8949999999999996</v>
      </c>
      <c r="X44" s="99">
        <v>0</v>
      </c>
      <c r="Y44" s="99">
        <v>0</v>
      </c>
      <c r="Z44" s="99">
        <v>0</v>
      </c>
      <c r="AA44" s="99">
        <v>0</v>
      </c>
      <c r="AB44" s="99">
        <v>0</v>
      </c>
      <c r="AC44" s="99">
        <v>0</v>
      </c>
      <c r="AD44" s="99">
        <v>0</v>
      </c>
      <c r="AE44" s="99">
        <v>0</v>
      </c>
      <c r="AF44" s="99">
        <v>0</v>
      </c>
      <c r="AG44" s="99">
        <v>0</v>
      </c>
      <c r="AH44" s="100">
        <f t="shared" si="7"/>
        <v>62.807000000000002</v>
      </c>
    </row>
    <row r="45" spans="1:34" ht="15">
      <c r="A45" s="73" t="s">
        <v>151</v>
      </c>
      <c r="B45" s="53">
        <f t="shared" si="6"/>
        <v>0</v>
      </c>
      <c r="C45" s="384" t="s">
        <v>318</v>
      </c>
      <c r="D45" s="384" t="s">
        <v>318</v>
      </c>
      <c r="E45" s="384" t="s">
        <v>318</v>
      </c>
      <c r="F45" s="384" t="s">
        <v>318</v>
      </c>
      <c r="G45" s="384" t="s">
        <v>318</v>
      </c>
      <c r="H45" s="384" t="s">
        <v>318</v>
      </c>
      <c r="I45" s="384" t="s">
        <v>318</v>
      </c>
      <c r="J45" s="384" t="s">
        <v>318</v>
      </c>
      <c r="K45" s="384" t="s">
        <v>318</v>
      </c>
      <c r="L45" s="384" t="s">
        <v>318</v>
      </c>
      <c r="M45" s="384" t="s">
        <v>318</v>
      </c>
      <c r="N45" s="384" t="s">
        <v>318</v>
      </c>
      <c r="O45" s="384" t="s">
        <v>318</v>
      </c>
      <c r="P45" s="384" t="s">
        <v>318</v>
      </c>
      <c r="Q45" s="384" t="s">
        <v>318</v>
      </c>
      <c r="R45" s="384" t="s">
        <v>318</v>
      </c>
      <c r="S45" s="384" t="s">
        <v>318</v>
      </c>
      <c r="T45" s="384" t="s">
        <v>318</v>
      </c>
      <c r="U45" s="384" t="s">
        <v>318</v>
      </c>
      <c r="V45" s="384" t="s">
        <v>318</v>
      </c>
      <c r="W45" s="384" t="s">
        <v>318</v>
      </c>
      <c r="X45" s="384" t="s">
        <v>318</v>
      </c>
      <c r="Y45" s="384" t="s">
        <v>318</v>
      </c>
      <c r="Z45" s="384" t="s">
        <v>318</v>
      </c>
      <c r="AA45" s="384" t="s">
        <v>318</v>
      </c>
      <c r="AB45" s="384" t="s">
        <v>318</v>
      </c>
      <c r="AC45" s="384" t="s">
        <v>318</v>
      </c>
      <c r="AD45" s="384" t="s">
        <v>318</v>
      </c>
      <c r="AE45" s="384" t="s">
        <v>318</v>
      </c>
      <c r="AF45" s="384" t="s">
        <v>318</v>
      </c>
      <c r="AG45" s="384" t="s">
        <v>318</v>
      </c>
      <c r="AH45" s="100">
        <f t="shared" si="7"/>
        <v>0</v>
      </c>
    </row>
    <row r="46" spans="1:34" ht="15">
      <c r="A46" s="73" t="s">
        <v>152</v>
      </c>
      <c r="B46" s="53">
        <f t="shared" si="6"/>
        <v>0</v>
      </c>
      <c r="C46" s="384" t="s">
        <v>318</v>
      </c>
      <c r="D46" s="384" t="s">
        <v>318</v>
      </c>
      <c r="E46" s="384" t="s">
        <v>318</v>
      </c>
      <c r="F46" s="384" t="s">
        <v>318</v>
      </c>
      <c r="G46" s="384" t="s">
        <v>318</v>
      </c>
      <c r="H46" s="384" t="s">
        <v>318</v>
      </c>
      <c r="I46" s="384" t="s">
        <v>318</v>
      </c>
      <c r="J46" s="384" t="s">
        <v>318</v>
      </c>
      <c r="K46" s="384" t="s">
        <v>318</v>
      </c>
      <c r="L46" s="384" t="s">
        <v>318</v>
      </c>
      <c r="M46" s="384" t="s">
        <v>318</v>
      </c>
      <c r="N46" s="384" t="s">
        <v>318</v>
      </c>
      <c r="O46" s="384" t="s">
        <v>318</v>
      </c>
      <c r="P46" s="384" t="s">
        <v>318</v>
      </c>
      <c r="Q46" s="384" t="s">
        <v>318</v>
      </c>
      <c r="R46" s="384" t="s">
        <v>318</v>
      </c>
      <c r="S46" s="384" t="s">
        <v>318</v>
      </c>
      <c r="T46" s="384" t="s">
        <v>318</v>
      </c>
      <c r="U46" s="384" t="s">
        <v>318</v>
      </c>
      <c r="V46" s="384" t="s">
        <v>318</v>
      </c>
      <c r="W46" s="384" t="s">
        <v>318</v>
      </c>
      <c r="X46" s="384" t="s">
        <v>318</v>
      </c>
      <c r="Y46" s="384" t="s">
        <v>318</v>
      </c>
      <c r="Z46" s="384" t="s">
        <v>318</v>
      </c>
      <c r="AA46" s="384" t="s">
        <v>318</v>
      </c>
      <c r="AB46" s="384" t="s">
        <v>318</v>
      </c>
      <c r="AC46" s="384" t="s">
        <v>318</v>
      </c>
      <c r="AD46" s="384" t="s">
        <v>318</v>
      </c>
      <c r="AE46" s="384" t="s">
        <v>318</v>
      </c>
      <c r="AF46" s="384" t="s">
        <v>318</v>
      </c>
      <c r="AG46" s="384" t="s">
        <v>318</v>
      </c>
      <c r="AH46" s="100">
        <f t="shared" si="7"/>
        <v>0</v>
      </c>
    </row>
    <row r="47" spans="1:34" ht="15">
      <c r="A47" s="73" t="s">
        <v>153</v>
      </c>
      <c r="B47" s="53">
        <f t="shared" si="6"/>
        <v>83.789000000000001</v>
      </c>
      <c r="C47" s="302"/>
      <c r="D47" s="303">
        <v>2.0249999999999999</v>
      </c>
      <c r="E47" s="303">
        <v>6.98</v>
      </c>
      <c r="F47" s="303">
        <v>6.0150000000000006</v>
      </c>
      <c r="G47" s="303">
        <v>1.89</v>
      </c>
      <c r="H47" s="303">
        <v>13.09</v>
      </c>
      <c r="I47" s="303"/>
      <c r="J47" s="303">
        <v>0.78</v>
      </c>
      <c r="K47" s="303"/>
      <c r="L47" s="303">
        <v>7.6609999999999996</v>
      </c>
      <c r="M47" s="303">
        <v>1.3939999999999999</v>
      </c>
      <c r="N47" s="303">
        <v>1.8</v>
      </c>
      <c r="O47" s="303">
        <v>3.9950000000000001</v>
      </c>
      <c r="P47" s="303">
        <v>0.02</v>
      </c>
      <c r="Q47" s="303"/>
      <c r="R47" s="303"/>
      <c r="S47" s="303"/>
      <c r="T47" s="303"/>
      <c r="U47" s="303"/>
      <c r="V47" s="304"/>
      <c r="W47" s="303">
        <v>4.819</v>
      </c>
      <c r="X47" s="303"/>
      <c r="Y47" s="303"/>
      <c r="Z47" s="303">
        <v>4.47</v>
      </c>
      <c r="AA47" s="303">
        <v>6.3149999999999995</v>
      </c>
      <c r="AB47" s="303">
        <v>6.7550000000000008</v>
      </c>
      <c r="AC47" s="303">
        <v>8.01</v>
      </c>
      <c r="AD47" s="303">
        <v>1.8149999999999999</v>
      </c>
      <c r="AE47" s="303"/>
      <c r="AF47" s="303">
        <f>0.525+1.83+3.6</f>
        <v>5.9550000000000001</v>
      </c>
      <c r="AG47" s="303"/>
      <c r="AH47" s="100">
        <f t="shared" si="7"/>
        <v>83.789000000000001</v>
      </c>
    </row>
    <row r="48" spans="1:34" ht="15">
      <c r="A48" s="73" t="s">
        <v>154</v>
      </c>
      <c r="B48" s="53">
        <f t="shared" si="6"/>
        <v>5.9539999999999997</v>
      </c>
      <c r="C48" s="302"/>
      <c r="D48" s="303">
        <v>1.7330000000000001</v>
      </c>
      <c r="E48" s="303"/>
      <c r="F48" s="303">
        <v>0.89100000000000001</v>
      </c>
      <c r="G48" s="303"/>
      <c r="H48" s="303"/>
      <c r="I48" s="303"/>
      <c r="J48" s="303"/>
      <c r="K48" s="303"/>
      <c r="L48" s="303"/>
      <c r="M48" s="303"/>
      <c r="N48" s="303"/>
      <c r="O48" s="297"/>
      <c r="P48" s="303">
        <v>1.53</v>
      </c>
      <c r="Q48" s="303"/>
      <c r="R48" s="303"/>
      <c r="S48" s="303"/>
      <c r="T48" s="303"/>
      <c r="U48" s="303"/>
      <c r="V48" s="303"/>
      <c r="W48" s="303"/>
      <c r="X48" s="303"/>
      <c r="Y48" s="303"/>
      <c r="Z48" s="303"/>
      <c r="AA48" s="303"/>
      <c r="AB48" s="303"/>
      <c r="AC48" s="303"/>
      <c r="AD48" s="303"/>
      <c r="AE48" s="297">
        <v>1.8</v>
      </c>
      <c r="AF48" s="303"/>
      <c r="AG48" s="297"/>
      <c r="AH48" s="100">
        <f t="shared" si="7"/>
        <v>5.9539999999999997</v>
      </c>
    </row>
    <row r="49" spans="1:34" ht="15">
      <c r="A49" s="73" t="s">
        <v>155</v>
      </c>
      <c r="B49" s="53">
        <f t="shared" si="6"/>
        <v>41.108000000000004</v>
      </c>
      <c r="C49" s="302"/>
      <c r="D49" s="303"/>
      <c r="E49" s="303"/>
      <c r="F49" s="303">
        <v>3.9</v>
      </c>
      <c r="G49" s="303">
        <v>7.8119999999999994</v>
      </c>
      <c r="H49" s="303">
        <v>4.47</v>
      </c>
      <c r="I49" s="303">
        <v>2.911</v>
      </c>
      <c r="J49" s="303">
        <v>8.3949999999999996</v>
      </c>
      <c r="K49" s="303">
        <v>2.895</v>
      </c>
      <c r="L49" s="303"/>
      <c r="M49" s="303">
        <v>2.4</v>
      </c>
      <c r="N49" s="303">
        <v>8.3249999999999993</v>
      </c>
      <c r="O49" s="303"/>
      <c r="P49" s="303"/>
      <c r="Q49" s="303"/>
      <c r="R49" s="303"/>
      <c r="S49" s="303"/>
      <c r="T49" s="303"/>
      <c r="U49" s="303"/>
      <c r="V49" s="303"/>
      <c r="W49" s="303"/>
      <c r="X49" s="303"/>
      <c r="Y49" s="303"/>
      <c r="Z49" s="303"/>
      <c r="AA49" s="303"/>
      <c r="AB49" s="303"/>
      <c r="AC49" s="303"/>
      <c r="AD49" s="303"/>
      <c r="AE49" s="298"/>
      <c r="AF49" s="304"/>
      <c r="AG49" s="298"/>
      <c r="AH49" s="100">
        <f t="shared" si="7"/>
        <v>41.108000000000004</v>
      </c>
    </row>
    <row r="50" spans="1:34" ht="15">
      <c r="A50" s="118" t="s">
        <v>156</v>
      </c>
      <c r="B50" s="97">
        <f t="shared" si="6"/>
        <v>0</v>
      </c>
      <c r="C50" s="302"/>
      <c r="D50" s="303"/>
      <c r="E50" s="303"/>
      <c r="F50" s="303"/>
      <c r="G50" s="303"/>
      <c r="H50" s="303"/>
      <c r="I50" s="303"/>
      <c r="J50" s="303"/>
      <c r="K50" s="303"/>
      <c r="L50" s="303"/>
      <c r="M50" s="303"/>
      <c r="N50" s="303"/>
      <c r="O50" s="303"/>
      <c r="P50" s="303"/>
      <c r="Q50" s="303"/>
      <c r="R50" s="303"/>
      <c r="S50" s="303"/>
      <c r="T50" s="303"/>
      <c r="U50" s="303"/>
      <c r="V50" s="303"/>
      <c r="W50" s="303"/>
      <c r="X50" s="303"/>
      <c r="Y50" s="303"/>
      <c r="Z50" s="303"/>
      <c r="AA50" s="303"/>
      <c r="AB50" s="303"/>
      <c r="AC50" s="303"/>
      <c r="AD50" s="303"/>
      <c r="AE50" s="298"/>
      <c r="AF50" s="304"/>
      <c r="AG50" s="298"/>
      <c r="AH50" s="100">
        <f t="shared" si="7"/>
        <v>0</v>
      </c>
    </row>
    <row r="51" spans="1:34" ht="15">
      <c r="A51" s="200" t="s">
        <v>111</v>
      </c>
      <c r="B51" s="200">
        <f t="shared" ref="B51:AH51" si="8">SUM(B39:B50)</f>
        <v>437.98999999999995</v>
      </c>
      <c r="C51" s="100">
        <f>SUM(C39:C50)</f>
        <v>15.503</v>
      </c>
      <c r="D51" s="100">
        <f t="shared" si="8"/>
        <v>9.8180000000000014</v>
      </c>
      <c r="E51" s="100">
        <f t="shared" si="8"/>
        <v>12.175000000000001</v>
      </c>
      <c r="F51" s="100">
        <f t="shared" si="8"/>
        <v>26.685000000000002</v>
      </c>
      <c r="G51" s="100">
        <f t="shared" si="8"/>
        <v>25.743000000000002</v>
      </c>
      <c r="H51" s="100">
        <f t="shared" si="8"/>
        <v>30.841999999999999</v>
      </c>
      <c r="I51" s="100">
        <f t="shared" si="8"/>
        <v>12.031000000000001</v>
      </c>
      <c r="J51" s="100">
        <f t="shared" si="8"/>
        <v>35.451000000000001</v>
      </c>
      <c r="K51" s="100">
        <f t="shared" si="8"/>
        <v>14.788</v>
      </c>
      <c r="L51" s="100">
        <f t="shared" si="8"/>
        <v>24.472000000000001</v>
      </c>
      <c r="M51" s="100">
        <f t="shared" si="8"/>
        <v>7.4879999999999995</v>
      </c>
      <c r="N51" s="100">
        <f t="shared" si="8"/>
        <v>19.77</v>
      </c>
      <c r="O51" s="100">
        <f t="shared" si="8"/>
        <v>19.952999999999999</v>
      </c>
      <c r="P51" s="100">
        <f t="shared" si="8"/>
        <v>12.804999999999998</v>
      </c>
      <c r="Q51" s="100">
        <f t="shared" si="8"/>
        <v>9.1900000000000013</v>
      </c>
      <c r="R51" s="100">
        <f t="shared" si="8"/>
        <v>16.966999999999999</v>
      </c>
      <c r="S51" s="100">
        <f t="shared" si="8"/>
        <v>13.515000000000001</v>
      </c>
      <c r="T51" s="100">
        <f t="shared" si="8"/>
        <v>3.5780000000000003</v>
      </c>
      <c r="U51" s="100">
        <f t="shared" si="8"/>
        <v>17.332000000000001</v>
      </c>
      <c r="V51" s="100">
        <f t="shared" si="8"/>
        <v>1.9050000000000002</v>
      </c>
      <c r="W51" s="100">
        <f t="shared" si="8"/>
        <v>13.666</v>
      </c>
      <c r="X51" s="100">
        <f t="shared" si="8"/>
        <v>10.295</v>
      </c>
      <c r="Y51" s="100">
        <f t="shared" si="8"/>
        <v>16.779999999999998</v>
      </c>
      <c r="Z51" s="100">
        <f t="shared" si="8"/>
        <v>11.100000000000001</v>
      </c>
      <c r="AA51" s="100">
        <f t="shared" si="8"/>
        <v>10.44</v>
      </c>
      <c r="AB51" s="100">
        <f t="shared" si="8"/>
        <v>8.527000000000001</v>
      </c>
      <c r="AC51" s="100">
        <f t="shared" si="8"/>
        <v>17.075000000000003</v>
      </c>
      <c r="AD51" s="100">
        <f t="shared" si="8"/>
        <v>4.4250000000000007</v>
      </c>
      <c r="AE51" s="100">
        <f t="shared" si="8"/>
        <v>6.5659999999999998</v>
      </c>
      <c r="AF51" s="100">
        <f t="shared" si="8"/>
        <v>9.1050000000000004</v>
      </c>
      <c r="AG51" s="100">
        <f t="shared" si="8"/>
        <v>0</v>
      </c>
      <c r="AH51" s="100">
        <f t="shared" si="8"/>
        <v>437.98999999999995</v>
      </c>
    </row>
    <row r="52" spans="1:34" ht="15">
      <c r="A52" s="117"/>
      <c r="B52" s="117"/>
      <c r="C52" s="10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34" ht="15">
      <c r="A53" s="3854" t="s">
        <v>135</v>
      </c>
      <c r="B53" s="3855"/>
      <c r="C53" s="3856"/>
      <c r="D53" s="98"/>
      <c r="E53" s="98"/>
      <c r="F53" s="14"/>
      <c r="G53" s="14"/>
      <c r="H53" s="14"/>
      <c r="I53" s="14"/>
      <c r="J53" s="14"/>
      <c r="K53" s="14"/>
      <c r="L53" s="14"/>
      <c r="M53" s="98"/>
      <c r="N53" s="14"/>
      <c r="O53" s="14"/>
      <c r="P53" s="14"/>
      <c r="Q53" s="14"/>
      <c r="R53" s="14"/>
      <c r="S53" s="14"/>
      <c r="T53" s="14"/>
      <c r="U53" s="14"/>
      <c r="V53" s="14"/>
      <c r="W53" s="14"/>
      <c r="X53" s="14"/>
      <c r="Y53" s="14"/>
      <c r="Z53" s="14"/>
      <c r="AA53" s="14"/>
      <c r="AB53" s="14"/>
      <c r="AC53" s="14"/>
      <c r="AD53" s="14"/>
      <c r="AE53" s="14"/>
      <c r="AF53" s="14"/>
      <c r="AG53" s="14"/>
      <c r="AH53" s="1"/>
    </row>
    <row r="54" spans="1:34" ht="15">
      <c r="A54" s="119" t="s">
        <v>142</v>
      </c>
      <c r="B54" s="119" t="s">
        <v>143</v>
      </c>
      <c r="C54" s="364">
        <v>1</v>
      </c>
      <c r="D54" s="118">
        <v>2</v>
      </c>
      <c r="E54" s="118">
        <v>3</v>
      </c>
      <c r="F54" s="118">
        <v>4</v>
      </c>
      <c r="G54" s="118">
        <v>5</v>
      </c>
      <c r="H54" s="118">
        <v>6</v>
      </c>
      <c r="I54" s="118">
        <v>7</v>
      </c>
      <c r="J54" s="118">
        <v>8</v>
      </c>
      <c r="K54" s="118">
        <v>9</v>
      </c>
      <c r="L54" s="118">
        <v>10</v>
      </c>
      <c r="M54" s="118">
        <v>11</v>
      </c>
      <c r="N54" s="118">
        <v>12</v>
      </c>
      <c r="O54" s="118">
        <v>13</v>
      </c>
      <c r="P54" s="118">
        <v>14</v>
      </c>
      <c r="Q54" s="118">
        <v>15</v>
      </c>
      <c r="R54" s="118">
        <v>16</v>
      </c>
      <c r="S54" s="118">
        <v>17</v>
      </c>
      <c r="T54" s="118">
        <v>18</v>
      </c>
      <c r="U54" s="118">
        <v>19</v>
      </c>
      <c r="V54" s="118">
        <v>20</v>
      </c>
      <c r="W54" s="118">
        <v>21</v>
      </c>
      <c r="X54" s="118">
        <v>22</v>
      </c>
      <c r="Y54" s="118">
        <v>23</v>
      </c>
      <c r="Z54" s="118">
        <v>24</v>
      </c>
      <c r="AA54" s="118">
        <v>25</v>
      </c>
      <c r="AB54" s="118">
        <v>26</v>
      </c>
      <c r="AC54" s="118">
        <v>27</v>
      </c>
      <c r="AD54" s="118">
        <v>28</v>
      </c>
      <c r="AE54" s="118">
        <v>29</v>
      </c>
      <c r="AF54" s="118">
        <v>30</v>
      </c>
      <c r="AG54" s="118">
        <v>31</v>
      </c>
      <c r="AH54" s="87" t="s">
        <v>144</v>
      </c>
    </row>
    <row r="55" spans="1:34" ht="15">
      <c r="A55" s="375" t="s">
        <v>145</v>
      </c>
      <c r="B55" s="941">
        <f t="shared" ref="B55:B66" si="9">+AH55</f>
        <v>53.259</v>
      </c>
      <c r="C55" s="858">
        <v>0</v>
      </c>
      <c r="D55" s="858">
        <v>0</v>
      </c>
      <c r="E55" s="858">
        <v>8.5050000000000008</v>
      </c>
      <c r="F55" s="858">
        <v>5.1340000000000003</v>
      </c>
      <c r="G55" s="858">
        <v>6.4050000000000002</v>
      </c>
      <c r="H55" s="858">
        <v>0</v>
      </c>
      <c r="I55" s="858">
        <v>0</v>
      </c>
      <c r="J55" s="858">
        <v>0</v>
      </c>
      <c r="K55" s="858">
        <v>0</v>
      </c>
      <c r="L55" s="858">
        <v>0</v>
      </c>
      <c r="M55" s="858">
        <v>10.657</v>
      </c>
      <c r="N55" s="858">
        <v>0</v>
      </c>
      <c r="O55" s="858">
        <v>4.9770000000000003</v>
      </c>
      <c r="P55" s="858">
        <v>0</v>
      </c>
      <c r="Q55" s="858">
        <v>0</v>
      </c>
      <c r="R55" s="858">
        <v>0</v>
      </c>
      <c r="S55" s="858">
        <v>4.62</v>
      </c>
      <c r="T55" s="858">
        <v>0</v>
      </c>
      <c r="U55" s="858">
        <v>0</v>
      </c>
      <c r="V55" s="858">
        <v>3.444</v>
      </c>
      <c r="W55" s="858">
        <v>0</v>
      </c>
      <c r="X55" s="858">
        <v>0</v>
      </c>
      <c r="Y55" s="858">
        <v>0</v>
      </c>
      <c r="Z55" s="858">
        <v>3.78</v>
      </c>
      <c r="AA55" s="858">
        <v>0</v>
      </c>
      <c r="AB55" s="858">
        <v>0</v>
      </c>
      <c r="AC55" s="858">
        <v>1.6579999999999999</v>
      </c>
      <c r="AD55" s="858">
        <v>0</v>
      </c>
      <c r="AE55" s="858">
        <v>0</v>
      </c>
      <c r="AF55" s="858">
        <v>0</v>
      </c>
      <c r="AG55" s="858">
        <v>4.0789999999999997</v>
      </c>
      <c r="AH55" s="942">
        <f>SUM(C55:AG55)</f>
        <v>53.259</v>
      </c>
    </row>
    <row r="56" spans="1:34" ht="15">
      <c r="A56" s="375" t="s">
        <v>146</v>
      </c>
      <c r="B56" s="941">
        <f t="shared" si="9"/>
        <v>73.275999999999996</v>
      </c>
      <c r="C56" s="858">
        <v>7.665</v>
      </c>
      <c r="D56" s="858">
        <v>3.78</v>
      </c>
      <c r="E56" s="858">
        <v>0</v>
      </c>
      <c r="F56" s="858">
        <v>0</v>
      </c>
      <c r="G56" s="858">
        <v>0</v>
      </c>
      <c r="H56" s="858">
        <v>0</v>
      </c>
      <c r="I56" s="858">
        <v>4.2</v>
      </c>
      <c r="J56" s="858">
        <v>0</v>
      </c>
      <c r="K56" s="858">
        <v>0</v>
      </c>
      <c r="L56" s="858">
        <v>0</v>
      </c>
      <c r="M56" s="858">
        <v>2.13</v>
      </c>
      <c r="N56" s="858">
        <v>0</v>
      </c>
      <c r="O56" s="858">
        <v>8.4</v>
      </c>
      <c r="P56" s="858">
        <v>8.0389999999999997</v>
      </c>
      <c r="Q56" s="858">
        <v>0</v>
      </c>
      <c r="R56" s="858">
        <v>0</v>
      </c>
      <c r="S56" s="858">
        <v>11.343</v>
      </c>
      <c r="T56" s="858">
        <v>0</v>
      </c>
      <c r="U56" s="858">
        <v>0</v>
      </c>
      <c r="V56" s="858">
        <v>0</v>
      </c>
      <c r="W56" s="858">
        <v>0</v>
      </c>
      <c r="X56" s="858">
        <v>6.468</v>
      </c>
      <c r="Y56" s="858">
        <v>0</v>
      </c>
      <c r="Z56" s="858">
        <v>7.181</v>
      </c>
      <c r="AA56" s="858">
        <v>0</v>
      </c>
      <c r="AB56" s="858">
        <v>8.0850000000000009</v>
      </c>
      <c r="AC56" s="858">
        <v>0</v>
      </c>
      <c r="AD56" s="858">
        <v>0</v>
      </c>
      <c r="AE56" s="858">
        <v>5.9850000000000003</v>
      </c>
      <c r="AF56" s="53"/>
      <c r="AG56" s="53"/>
      <c r="AH56" s="942">
        <f t="shared" ref="AH56:AH66" si="10">SUM(C56:AG56)</f>
        <v>73.275999999999996</v>
      </c>
    </row>
    <row r="57" spans="1:34" ht="15">
      <c r="A57" s="375" t="s">
        <v>147</v>
      </c>
      <c r="B57" s="941">
        <f t="shared" si="9"/>
        <v>63.822000000000003</v>
      </c>
      <c r="C57" s="858">
        <v>0</v>
      </c>
      <c r="D57" s="858">
        <v>14.242999999999999</v>
      </c>
      <c r="E57" s="858">
        <v>0</v>
      </c>
      <c r="F57" s="858">
        <v>0</v>
      </c>
      <c r="G57" s="858">
        <v>0</v>
      </c>
      <c r="H57" s="858">
        <v>7.4550000000000001</v>
      </c>
      <c r="I57" s="858">
        <v>0</v>
      </c>
      <c r="J57" s="858">
        <v>8.423</v>
      </c>
      <c r="K57" s="858">
        <v>0</v>
      </c>
      <c r="L57" s="858">
        <v>0</v>
      </c>
      <c r="M57" s="858">
        <v>5.46</v>
      </c>
      <c r="N57" s="858">
        <v>0</v>
      </c>
      <c r="O57" s="858">
        <v>8.1479999999999997</v>
      </c>
      <c r="P57" s="858">
        <v>0</v>
      </c>
      <c r="Q57" s="858">
        <v>13.75</v>
      </c>
      <c r="R57" s="858">
        <v>0</v>
      </c>
      <c r="S57" s="858">
        <v>0</v>
      </c>
      <c r="T57" s="858">
        <v>0</v>
      </c>
      <c r="U57" s="858">
        <v>6.343</v>
      </c>
      <c r="V57" s="858">
        <v>0</v>
      </c>
      <c r="W57" s="858">
        <v>0</v>
      </c>
      <c r="X57" s="53">
        <v>0</v>
      </c>
      <c r="Y57" s="53">
        <v>0</v>
      </c>
      <c r="Z57" s="53">
        <v>0</v>
      </c>
      <c r="AA57" s="53">
        <v>0</v>
      </c>
      <c r="AB57" s="53">
        <v>0</v>
      </c>
      <c r="AC57" s="53">
        <v>0</v>
      </c>
      <c r="AD57" s="53">
        <v>0</v>
      </c>
      <c r="AE57" s="53">
        <v>0</v>
      </c>
      <c r="AF57" s="53">
        <v>0</v>
      </c>
      <c r="AG57" s="53">
        <v>0</v>
      </c>
      <c r="AH57" s="942">
        <f t="shared" si="10"/>
        <v>63.822000000000003</v>
      </c>
    </row>
    <row r="58" spans="1:34" s="392" customFormat="1" ht="15">
      <c r="A58" s="363" t="s">
        <v>148</v>
      </c>
      <c r="B58" s="941">
        <f t="shared" si="9"/>
        <v>51.263999999999996</v>
      </c>
      <c r="C58" s="858">
        <v>0</v>
      </c>
      <c r="D58" s="858">
        <v>5.5620000000000003</v>
      </c>
      <c r="E58" s="858">
        <v>12.6</v>
      </c>
      <c r="F58" s="858">
        <v>0</v>
      </c>
      <c r="G58" s="858">
        <v>0</v>
      </c>
      <c r="H58" s="858">
        <v>0</v>
      </c>
      <c r="I58" s="858">
        <v>0</v>
      </c>
      <c r="J58" s="858">
        <v>0</v>
      </c>
      <c r="K58" s="858">
        <v>0</v>
      </c>
      <c r="L58" s="858">
        <v>0</v>
      </c>
      <c r="M58" s="858">
        <v>0</v>
      </c>
      <c r="N58" s="858">
        <v>4.2</v>
      </c>
      <c r="O58" s="858">
        <v>8.1470000000000002</v>
      </c>
      <c r="P58" s="858">
        <v>0</v>
      </c>
      <c r="Q58" s="858">
        <v>0</v>
      </c>
      <c r="R58" s="858">
        <v>0</v>
      </c>
      <c r="S58" s="858">
        <v>0</v>
      </c>
      <c r="T58" s="858">
        <v>0</v>
      </c>
      <c r="U58" s="858">
        <v>3.99</v>
      </c>
      <c r="V58" s="858">
        <v>0</v>
      </c>
      <c r="W58" s="858">
        <v>0</v>
      </c>
      <c r="X58" s="858">
        <v>0</v>
      </c>
      <c r="Y58" s="858">
        <v>8.5749999999999993</v>
      </c>
      <c r="Z58" s="858">
        <v>0</v>
      </c>
      <c r="AA58" s="858">
        <v>5.04</v>
      </c>
      <c r="AB58" s="858">
        <v>3.15</v>
      </c>
      <c r="AC58" s="858">
        <v>0</v>
      </c>
      <c r="AD58" s="858">
        <v>0</v>
      </c>
      <c r="AE58" s="858">
        <v>0</v>
      </c>
      <c r="AF58" s="858">
        <v>0</v>
      </c>
      <c r="AG58" s="858">
        <v>0</v>
      </c>
      <c r="AH58" s="942">
        <f t="shared" si="10"/>
        <v>51.263999999999996</v>
      </c>
    </row>
    <row r="59" spans="1:34" ht="15">
      <c r="A59" s="363" t="s">
        <v>149</v>
      </c>
      <c r="B59" s="941">
        <f t="shared" si="9"/>
        <v>40.601999999999997</v>
      </c>
      <c r="C59" s="858">
        <v>0</v>
      </c>
      <c r="D59" s="858">
        <v>0</v>
      </c>
      <c r="E59" s="858">
        <v>15.302999999999999</v>
      </c>
      <c r="F59" s="858">
        <v>0</v>
      </c>
      <c r="G59" s="858">
        <v>0</v>
      </c>
      <c r="H59" s="858">
        <v>0</v>
      </c>
      <c r="I59" s="858">
        <v>0</v>
      </c>
      <c r="J59" s="858">
        <v>0</v>
      </c>
      <c r="K59" s="858">
        <v>0</v>
      </c>
      <c r="L59" s="858">
        <v>0</v>
      </c>
      <c r="M59" s="858">
        <v>6.3</v>
      </c>
      <c r="N59" s="858">
        <v>0</v>
      </c>
      <c r="O59" s="858">
        <v>0</v>
      </c>
      <c r="P59" s="858">
        <v>8.1039999999999992</v>
      </c>
      <c r="Q59" s="858">
        <v>0</v>
      </c>
      <c r="R59" s="858">
        <v>0</v>
      </c>
      <c r="S59" s="858">
        <v>0</v>
      </c>
      <c r="T59" s="858">
        <v>4.2</v>
      </c>
      <c r="U59" s="858">
        <v>0</v>
      </c>
      <c r="V59" s="858">
        <v>0</v>
      </c>
      <c r="W59" s="858">
        <v>0</v>
      </c>
      <c r="X59" s="858">
        <v>0</v>
      </c>
      <c r="Y59" s="858">
        <v>0</v>
      </c>
      <c r="Z59" s="858">
        <v>0</v>
      </c>
      <c r="AA59" s="858">
        <v>3.78</v>
      </c>
      <c r="AB59" s="858">
        <v>0</v>
      </c>
      <c r="AC59" s="858">
        <v>0</v>
      </c>
      <c r="AD59" s="858">
        <v>0</v>
      </c>
      <c r="AE59" s="858">
        <v>0</v>
      </c>
      <c r="AF59" s="858">
        <v>0</v>
      </c>
      <c r="AG59" s="858">
        <v>2.915</v>
      </c>
      <c r="AH59" s="942">
        <f t="shared" si="10"/>
        <v>40.601999999999997</v>
      </c>
    </row>
    <row r="60" spans="1:34" ht="15">
      <c r="A60" s="363" t="s">
        <v>150</v>
      </c>
      <c r="B60" s="944">
        <f t="shared" si="9"/>
        <v>8.9250000000000007</v>
      </c>
      <c r="C60" s="103">
        <v>4.7249999999999996</v>
      </c>
      <c r="D60" s="53">
        <v>0</v>
      </c>
      <c r="E60" s="53">
        <v>0</v>
      </c>
      <c r="F60" s="53">
        <v>4.2</v>
      </c>
      <c r="G60" s="53">
        <v>0</v>
      </c>
      <c r="H60" s="53">
        <v>0</v>
      </c>
      <c r="I60" s="53">
        <v>0</v>
      </c>
      <c r="J60" s="53">
        <v>0</v>
      </c>
      <c r="K60" s="53">
        <v>0</v>
      </c>
      <c r="L60" s="53">
        <v>0</v>
      </c>
      <c r="M60" s="53">
        <v>0</v>
      </c>
      <c r="N60" s="53">
        <v>0</v>
      </c>
      <c r="O60" s="53">
        <v>0</v>
      </c>
      <c r="P60" s="53">
        <v>0</v>
      </c>
      <c r="Q60" s="53">
        <v>0</v>
      </c>
      <c r="R60" s="53">
        <v>0</v>
      </c>
      <c r="S60" s="53">
        <v>0</v>
      </c>
      <c r="T60" s="53">
        <v>0</v>
      </c>
      <c r="U60" s="53">
        <v>0</v>
      </c>
      <c r="V60" s="53">
        <v>0</v>
      </c>
      <c r="W60" s="53">
        <v>0</v>
      </c>
      <c r="X60" s="53">
        <v>0</v>
      </c>
      <c r="Y60" s="53">
        <v>0</v>
      </c>
      <c r="Z60" s="53">
        <v>0</v>
      </c>
      <c r="AA60" s="53">
        <v>0</v>
      </c>
      <c r="AB60" s="53">
        <v>0</v>
      </c>
      <c r="AC60" s="53">
        <v>0</v>
      </c>
      <c r="AD60" s="53">
        <v>0</v>
      </c>
      <c r="AE60" s="53">
        <v>0</v>
      </c>
      <c r="AF60" s="53">
        <v>0</v>
      </c>
      <c r="AG60" s="53">
        <v>0</v>
      </c>
      <c r="AH60" s="942">
        <f t="shared" si="10"/>
        <v>8.9250000000000007</v>
      </c>
    </row>
    <row r="61" spans="1:34" ht="15">
      <c r="A61" s="314" t="s">
        <v>151</v>
      </c>
      <c r="B61" s="944">
        <f t="shared" si="9"/>
        <v>0</v>
      </c>
      <c r="C61" s="2033" t="s">
        <v>311</v>
      </c>
      <c r="D61" s="384" t="s">
        <v>318</v>
      </c>
      <c r="E61" s="384" t="s">
        <v>318</v>
      </c>
      <c r="F61" s="384" t="s">
        <v>318</v>
      </c>
      <c r="G61" s="384" t="s">
        <v>318</v>
      </c>
      <c r="H61" s="384" t="s">
        <v>318</v>
      </c>
      <c r="I61" s="384" t="s">
        <v>318</v>
      </c>
      <c r="J61" s="384" t="s">
        <v>318</v>
      </c>
      <c r="K61" s="384" t="s">
        <v>318</v>
      </c>
      <c r="L61" s="384" t="s">
        <v>318</v>
      </c>
      <c r="M61" s="384" t="s">
        <v>318</v>
      </c>
      <c r="N61" s="384" t="s">
        <v>318</v>
      </c>
      <c r="O61" s="384" t="s">
        <v>318</v>
      </c>
      <c r="P61" s="384" t="s">
        <v>318</v>
      </c>
      <c r="Q61" s="384" t="s">
        <v>318</v>
      </c>
      <c r="R61" s="384" t="s">
        <v>318</v>
      </c>
      <c r="S61" s="384" t="s">
        <v>318</v>
      </c>
      <c r="T61" s="384" t="s">
        <v>318</v>
      </c>
      <c r="U61" s="384" t="s">
        <v>318</v>
      </c>
      <c r="V61" s="384" t="s">
        <v>318</v>
      </c>
      <c r="W61" s="384" t="s">
        <v>318</v>
      </c>
      <c r="X61" s="384" t="s">
        <v>318</v>
      </c>
      <c r="Y61" s="384" t="s">
        <v>318</v>
      </c>
      <c r="Z61" s="384" t="s">
        <v>318</v>
      </c>
      <c r="AA61" s="384" t="s">
        <v>318</v>
      </c>
      <c r="AB61" s="384" t="s">
        <v>318</v>
      </c>
      <c r="AC61" s="384" t="s">
        <v>318</v>
      </c>
      <c r="AD61" s="384" t="s">
        <v>318</v>
      </c>
      <c r="AE61" s="384" t="s">
        <v>318</v>
      </c>
      <c r="AF61" s="384" t="s">
        <v>318</v>
      </c>
      <c r="AG61" s="384" t="s">
        <v>318</v>
      </c>
      <c r="AH61" s="100">
        <f t="shared" si="10"/>
        <v>0</v>
      </c>
    </row>
    <row r="62" spans="1:34" ht="15">
      <c r="A62" s="314" t="s">
        <v>152</v>
      </c>
      <c r="B62" s="944">
        <f t="shared" si="9"/>
        <v>0</v>
      </c>
      <c r="C62" s="384" t="s">
        <v>318</v>
      </c>
      <c r="D62" s="384" t="s">
        <v>318</v>
      </c>
      <c r="E62" s="384" t="s">
        <v>318</v>
      </c>
      <c r="F62" s="384" t="s">
        <v>318</v>
      </c>
      <c r="G62" s="384" t="s">
        <v>318</v>
      </c>
      <c r="H62" s="384" t="s">
        <v>318</v>
      </c>
      <c r="I62" s="384" t="s">
        <v>318</v>
      </c>
      <c r="J62" s="384" t="s">
        <v>318</v>
      </c>
      <c r="K62" s="384" t="s">
        <v>318</v>
      </c>
      <c r="L62" s="384" t="s">
        <v>318</v>
      </c>
      <c r="M62" s="384" t="s">
        <v>318</v>
      </c>
      <c r="N62" s="384" t="s">
        <v>318</v>
      </c>
      <c r="O62" s="384" t="s">
        <v>318</v>
      </c>
      <c r="P62" s="384" t="s">
        <v>318</v>
      </c>
      <c r="Q62" s="384" t="s">
        <v>318</v>
      </c>
      <c r="R62" s="384" t="s">
        <v>318</v>
      </c>
      <c r="S62" s="384" t="s">
        <v>318</v>
      </c>
      <c r="T62" s="384" t="s">
        <v>318</v>
      </c>
      <c r="U62" s="384" t="s">
        <v>318</v>
      </c>
      <c r="V62" s="384" t="s">
        <v>318</v>
      </c>
      <c r="W62" s="384" t="s">
        <v>318</v>
      </c>
      <c r="X62" s="384" t="s">
        <v>318</v>
      </c>
      <c r="Y62" s="384" t="s">
        <v>318</v>
      </c>
      <c r="Z62" s="384" t="s">
        <v>318</v>
      </c>
      <c r="AA62" s="384" t="s">
        <v>318</v>
      </c>
      <c r="AB62" s="384" t="s">
        <v>318</v>
      </c>
      <c r="AC62" s="384" t="s">
        <v>318</v>
      </c>
      <c r="AD62" s="384" t="s">
        <v>318</v>
      </c>
      <c r="AE62" s="384" t="s">
        <v>318</v>
      </c>
      <c r="AF62" s="384" t="s">
        <v>318</v>
      </c>
      <c r="AG62" s="384" t="s">
        <v>318</v>
      </c>
      <c r="AH62" s="100">
        <f t="shared" si="10"/>
        <v>0</v>
      </c>
    </row>
    <row r="63" spans="1:34" ht="15">
      <c r="A63" s="375" t="s">
        <v>153</v>
      </c>
      <c r="B63" s="944">
        <f t="shared" si="9"/>
        <v>59.874000000000002</v>
      </c>
      <c r="C63" s="116">
        <v>0</v>
      </c>
      <c r="D63" s="99">
        <v>0</v>
      </c>
      <c r="E63" s="99">
        <v>14.844999999999999</v>
      </c>
      <c r="F63" s="99">
        <v>0</v>
      </c>
      <c r="G63" s="99">
        <v>6.77</v>
      </c>
      <c r="H63" s="99">
        <v>0</v>
      </c>
      <c r="I63" s="99">
        <v>4.2149999999999999</v>
      </c>
      <c r="J63" s="99">
        <v>0</v>
      </c>
      <c r="K63" s="99">
        <v>0</v>
      </c>
      <c r="L63" s="99">
        <v>0</v>
      </c>
      <c r="M63" s="99">
        <v>10.968999999999999</v>
      </c>
      <c r="N63" s="99">
        <v>0</v>
      </c>
      <c r="O63" s="99">
        <v>0</v>
      </c>
      <c r="P63" s="99">
        <v>0</v>
      </c>
      <c r="Q63" s="99">
        <v>0</v>
      </c>
      <c r="R63" s="99">
        <v>0</v>
      </c>
      <c r="S63" s="99">
        <v>0</v>
      </c>
      <c r="T63" s="99">
        <v>0</v>
      </c>
      <c r="U63" s="99">
        <v>0</v>
      </c>
      <c r="V63" s="99">
        <v>0</v>
      </c>
      <c r="W63" s="99">
        <v>0</v>
      </c>
      <c r="X63" s="99">
        <v>0</v>
      </c>
      <c r="Y63" s="99">
        <v>0</v>
      </c>
      <c r="Z63" s="99">
        <v>7.35</v>
      </c>
      <c r="AA63" s="99">
        <v>8.9329999999999998</v>
      </c>
      <c r="AB63" s="99">
        <v>0</v>
      </c>
      <c r="AC63" s="99">
        <v>0</v>
      </c>
      <c r="AD63" s="99">
        <v>0</v>
      </c>
      <c r="AE63" s="99">
        <v>0</v>
      </c>
      <c r="AF63" s="99">
        <v>0</v>
      </c>
      <c r="AG63" s="2765">
        <v>6.7919999999999998</v>
      </c>
      <c r="AH63" s="100">
        <f t="shared" si="10"/>
        <v>59.874000000000002</v>
      </c>
    </row>
    <row r="64" spans="1:34" ht="15">
      <c r="A64" s="375" t="s">
        <v>154</v>
      </c>
      <c r="B64" s="944">
        <f t="shared" si="9"/>
        <v>62.540999999999997</v>
      </c>
      <c r="C64" s="116"/>
      <c r="D64" s="99"/>
      <c r="E64" s="99"/>
      <c r="F64" s="99"/>
      <c r="G64" s="99"/>
      <c r="H64" s="99"/>
      <c r="I64" s="99"/>
      <c r="J64" s="99"/>
      <c r="K64" s="99"/>
      <c r="L64" s="99"/>
      <c r="M64" s="99"/>
      <c r="N64" s="99"/>
      <c r="O64" s="99"/>
      <c r="P64" s="99"/>
      <c r="Q64" s="99"/>
      <c r="R64" s="99"/>
      <c r="S64" s="99"/>
      <c r="T64" s="99"/>
      <c r="U64" s="99"/>
      <c r="V64" s="99"/>
      <c r="W64" s="99"/>
      <c r="X64" s="99"/>
      <c r="Y64" s="99"/>
      <c r="Z64" s="99"/>
      <c r="AA64" s="99"/>
      <c r="AB64" s="99"/>
      <c r="AC64" s="99"/>
      <c r="AD64" s="99"/>
      <c r="AE64" s="99"/>
      <c r="AF64" s="99"/>
      <c r="AG64" s="2766">
        <v>62.540999999999997</v>
      </c>
      <c r="AH64" s="100">
        <f t="shared" si="10"/>
        <v>62.540999999999997</v>
      </c>
    </row>
    <row r="65" spans="1:34" ht="15">
      <c r="A65" s="375" t="s">
        <v>155</v>
      </c>
      <c r="B65" s="944">
        <f t="shared" si="9"/>
        <v>18.728999999999999</v>
      </c>
      <c r="C65" s="116"/>
      <c r="D65" s="99"/>
      <c r="E65" s="99"/>
      <c r="F65" s="99"/>
      <c r="G65" s="99"/>
      <c r="H65" s="99"/>
      <c r="I65" s="99"/>
      <c r="J65" s="99"/>
      <c r="K65" s="99"/>
      <c r="L65" s="99"/>
      <c r="M65" s="99"/>
      <c r="N65" s="99"/>
      <c r="O65" s="99"/>
      <c r="P65" s="99"/>
      <c r="Q65" s="99"/>
      <c r="R65" s="99"/>
      <c r="S65" s="99"/>
      <c r="T65" s="99"/>
      <c r="U65" s="99"/>
      <c r="V65" s="99"/>
      <c r="W65" s="99"/>
      <c r="X65" s="99"/>
      <c r="Y65" s="99"/>
      <c r="Z65" s="99"/>
      <c r="AA65" s="99"/>
      <c r="AB65" s="99"/>
      <c r="AC65" s="99"/>
      <c r="AD65" s="99"/>
      <c r="AE65" s="99"/>
      <c r="AF65" s="99"/>
      <c r="AG65" s="2766">
        <v>18.728999999999999</v>
      </c>
      <c r="AH65" s="100">
        <f t="shared" si="10"/>
        <v>18.728999999999999</v>
      </c>
    </row>
    <row r="66" spans="1:34" ht="15">
      <c r="A66" s="375" t="s">
        <v>156</v>
      </c>
      <c r="B66" s="944">
        <f t="shared" si="9"/>
        <v>0</v>
      </c>
      <c r="C66" s="116"/>
      <c r="D66" s="99"/>
      <c r="E66" s="99"/>
      <c r="F66" s="99"/>
      <c r="G66" s="99"/>
      <c r="H66" s="99"/>
      <c r="I66" s="99"/>
      <c r="J66" s="99"/>
      <c r="K66" s="99"/>
      <c r="L66" s="99"/>
      <c r="M66" s="99"/>
      <c r="N66" s="99"/>
      <c r="O66" s="99"/>
      <c r="P66" s="99"/>
      <c r="Q66" s="99"/>
      <c r="R66" s="99"/>
      <c r="S66" s="99"/>
      <c r="T66" s="99"/>
      <c r="U66" s="99"/>
      <c r="V66" s="99"/>
      <c r="W66" s="99"/>
      <c r="X66" s="99"/>
      <c r="Y66" s="99"/>
      <c r="Z66" s="99"/>
      <c r="AA66" s="99"/>
      <c r="AB66" s="99"/>
      <c r="AC66" s="99"/>
      <c r="AD66" s="99"/>
      <c r="AE66" s="99"/>
      <c r="AF66" s="99"/>
      <c r="AG66" s="99"/>
      <c r="AH66" s="100">
        <f t="shared" si="10"/>
        <v>0</v>
      </c>
    </row>
    <row r="67" spans="1:34" ht="15">
      <c r="A67" s="200" t="s">
        <v>111</v>
      </c>
      <c r="B67" s="200">
        <f>SUM(B55:B66)</f>
        <v>432.29199999999997</v>
      </c>
      <c r="C67" s="100">
        <f>SUM(C55:C66)</f>
        <v>12.39</v>
      </c>
      <c r="D67" s="100">
        <f t="shared" ref="D67:AG67" si="11">SUM(D55:D66)</f>
        <v>23.585000000000001</v>
      </c>
      <c r="E67" s="100">
        <f t="shared" si="11"/>
        <v>51.253</v>
      </c>
      <c r="F67" s="100">
        <f t="shared" si="11"/>
        <v>9.3339999999999996</v>
      </c>
      <c r="G67" s="100">
        <f t="shared" si="11"/>
        <v>13.175000000000001</v>
      </c>
      <c r="H67" s="100">
        <f t="shared" si="11"/>
        <v>7.4550000000000001</v>
      </c>
      <c r="I67" s="100">
        <f t="shared" si="11"/>
        <v>8.4149999999999991</v>
      </c>
      <c r="J67" s="100">
        <f t="shared" si="11"/>
        <v>8.423</v>
      </c>
      <c r="K67" s="100">
        <f t="shared" si="11"/>
        <v>0</v>
      </c>
      <c r="L67" s="100">
        <f t="shared" si="11"/>
        <v>0</v>
      </c>
      <c r="M67" s="100">
        <f t="shared" si="11"/>
        <v>35.515999999999998</v>
      </c>
      <c r="N67" s="100">
        <f t="shared" si="11"/>
        <v>4.2</v>
      </c>
      <c r="O67" s="100">
        <f t="shared" si="11"/>
        <v>29.671999999999997</v>
      </c>
      <c r="P67" s="100">
        <f t="shared" si="11"/>
        <v>16.143000000000001</v>
      </c>
      <c r="Q67" s="100">
        <f t="shared" si="11"/>
        <v>13.75</v>
      </c>
      <c r="R67" s="100">
        <f t="shared" si="11"/>
        <v>0</v>
      </c>
      <c r="S67" s="100">
        <f t="shared" si="11"/>
        <v>15.963000000000001</v>
      </c>
      <c r="T67" s="100">
        <f t="shared" si="11"/>
        <v>4.2</v>
      </c>
      <c r="U67" s="100">
        <f t="shared" si="11"/>
        <v>10.333</v>
      </c>
      <c r="V67" s="100">
        <f t="shared" si="11"/>
        <v>3.444</v>
      </c>
      <c r="W67" s="100">
        <f t="shared" si="11"/>
        <v>0</v>
      </c>
      <c r="X67" s="100">
        <f t="shared" si="11"/>
        <v>6.468</v>
      </c>
      <c r="Y67" s="100">
        <f t="shared" si="11"/>
        <v>8.5749999999999993</v>
      </c>
      <c r="Z67" s="100">
        <f t="shared" si="11"/>
        <v>18.311</v>
      </c>
      <c r="AA67" s="100">
        <f t="shared" si="11"/>
        <v>17.753</v>
      </c>
      <c r="AB67" s="100">
        <f t="shared" si="11"/>
        <v>11.235000000000001</v>
      </c>
      <c r="AC67" s="100">
        <f t="shared" si="11"/>
        <v>1.6579999999999999</v>
      </c>
      <c r="AD67" s="100">
        <f t="shared" si="11"/>
        <v>0</v>
      </c>
      <c r="AE67" s="100">
        <f t="shared" si="11"/>
        <v>5.9850000000000003</v>
      </c>
      <c r="AF67" s="100">
        <f t="shared" si="11"/>
        <v>0</v>
      </c>
      <c r="AG67" s="100">
        <f t="shared" si="11"/>
        <v>95.055999999999997</v>
      </c>
      <c r="AH67" s="100">
        <f>SUM(AH55:AH66)</f>
        <v>432.29199999999997</v>
      </c>
    </row>
    <row r="68" spans="1:34" ht="15">
      <c r="A68" s="49"/>
      <c r="B68" s="49"/>
      <c r="C68" s="161"/>
      <c r="D68" s="161"/>
      <c r="E68" s="16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spans="1:34" ht="15">
      <c r="A69" s="3854" t="s">
        <v>137</v>
      </c>
      <c r="B69" s="3855"/>
      <c r="C69" s="3856"/>
      <c r="D69" s="14"/>
      <c r="E69" s="14"/>
      <c r="F69" s="14"/>
      <c r="G69" s="14"/>
      <c r="H69" s="14"/>
      <c r="I69" s="14"/>
      <c r="J69" s="14"/>
      <c r="K69" s="14"/>
      <c r="L69" s="14"/>
      <c r="M69" s="98"/>
      <c r="N69" s="14"/>
      <c r="O69" s="14"/>
      <c r="P69" s="14"/>
      <c r="Q69" s="14"/>
      <c r="R69" s="14"/>
      <c r="S69" s="14"/>
      <c r="T69" s="14"/>
      <c r="U69" s="14"/>
      <c r="V69" s="14"/>
      <c r="W69" s="14"/>
      <c r="X69" s="14"/>
      <c r="Y69" s="14"/>
      <c r="Z69" s="14"/>
      <c r="AA69" s="14"/>
      <c r="AB69" s="14"/>
      <c r="AC69" s="14"/>
      <c r="AD69" s="14"/>
      <c r="AE69" s="14"/>
      <c r="AF69" s="14"/>
      <c r="AG69" s="14"/>
      <c r="AH69" s="1"/>
    </row>
    <row r="70" spans="1:34" ht="15">
      <c r="A70" s="119" t="s">
        <v>142</v>
      </c>
      <c r="B70" s="119" t="s">
        <v>143</v>
      </c>
      <c r="C70" s="73">
        <v>1</v>
      </c>
      <c r="D70" s="73">
        <v>2</v>
      </c>
      <c r="E70" s="73">
        <v>3</v>
      </c>
      <c r="F70" s="73">
        <v>4</v>
      </c>
      <c r="G70" s="73">
        <v>5</v>
      </c>
      <c r="H70" s="73">
        <v>6</v>
      </c>
      <c r="I70" s="73">
        <v>7</v>
      </c>
      <c r="J70" s="73">
        <v>8</v>
      </c>
      <c r="K70" s="73">
        <v>9</v>
      </c>
      <c r="L70" s="73">
        <v>10</v>
      </c>
      <c r="M70" s="73">
        <v>11</v>
      </c>
      <c r="N70" s="73">
        <v>12</v>
      </c>
      <c r="O70" s="73">
        <v>13</v>
      </c>
      <c r="P70" s="73">
        <v>14</v>
      </c>
      <c r="Q70" s="73">
        <v>15</v>
      </c>
      <c r="R70" s="73">
        <v>16</v>
      </c>
      <c r="S70" s="73">
        <v>17</v>
      </c>
      <c r="T70" s="73">
        <v>18</v>
      </c>
      <c r="U70" s="73">
        <v>19</v>
      </c>
      <c r="V70" s="73">
        <v>20</v>
      </c>
      <c r="W70" s="73">
        <v>21</v>
      </c>
      <c r="X70" s="73">
        <v>22</v>
      </c>
      <c r="Y70" s="73">
        <v>23</v>
      </c>
      <c r="Z70" s="73">
        <v>24</v>
      </c>
      <c r="AA70" s="73">
        <v>25</v>
      </c>
      <c r="AB70" s="73">
        <v>26</v>
      </c>
      <c r="AC70" s="73">
        <v>27</v>
      </c>
      <c r="AD70" s="73">
        <v>28</v>
      </c>
      <c r="AE70" s="73">
        <v>29</v>
      </c>
      <c r="AF70" s="73">
        <v>30</v>
      </c>
      <c r="AG70" s="73">
        <v>31</v>
      </c>
      <c r="AH70" s="87" t="s">
        <v>144</v>
      </c>
    </row>
    <row r="71" spans="1:34" ht="15">
      <c r="A71" s="73" t="s">
        <v>145</v>
      </c>
      <c r="B71" s="53">
        <f t="shared" ref="B71:B82" si="12">+AH71</f>
        <v>0</v>
      </c>
      <c r="C71" s="116"/>
      <c r="D71" s="99"/>
      <c r="E71" s="99"/>
      <c r="F71" s="99"/>
      <c r="G71" s="99"/>
      <c r="H71" s="99"/>
      <c r="I71" s="99"/>
      <c r="J71" s="99"/>
      <c r="K71" s="99"/>
      <c r="L71" s="99"/>
      <c r="M71" s="99"/>
      <c r="N71" s="99"/>
      <c r="O71" s="99"/>
      <c r="P71" s="99"/>
      <c r="Q71" s="99"/>
      <c r="R71" s="99"/>
      <c r="S71" s="99"/>
      <c r="T71" s="99"/>
      <c r="U71" s="99"/>
      <c r="V71" s="99"/>
      <c r="W71" s="99"/>
      <c r="X71" s="99"/>
      <c r="Y71" s="99"/>
      <c r="Z71" s="99"/>
      <c r="AA71" s="99"/>
      <c r="AB71" s="99"/>
      <c r="AC71" s="99"/>
      <c r="AD71" s="99"/>
      <c r="AE71" s="99"/>
      <c r="AF71" s="99"/>
      <c r="AG71" s="99"/>
      <c r="AH71" s="100">
        <f>SUM(C71:AG71)</f>
        <v>0</v>
      </c>
    </row>
    <row r="72" spans="1:34" ht="15">
      <c r="A72" s="73" t="s">
        <v>146</v>
      </c>
      <c r="B72" s="53">
        <f t="shared" si="12"/>
        <v>0</v>
      </c>
      <c r="C72" s="116"/>
      <c r="D72" s="99"/>
      <c r="E72" s="99"/>
      <c r="F72" s="99"/>
      <c r="G72" s="99"/>
      <c r="H72" s="99"/>
      <c r="I72" s="99"/>
      <c r="J72" s="99"/>
      <c r="K72" s="99"/>
      <c r="L72" s="99"/>
      <c r="M72" s="99"/>
      <c r="N72" s="99"/>
      <c r="O72" s="99"/>
      <c r="P72" s="99"/>
      <c r="Q72" s="99"/>
      <c r="R72" s="99"/>
      <c r="S72" s="99"/>
      <c r="T72" s="99"/>
      <c r="U72" s="99"/>
      <c r="V72" s="99"/>
      <c r="W72" s="99"/>
      <c r="X72" s="99"/>
      <c r="Y72" s="99"/>
      <c r="Z72" s="99"/>
      <c r="AA72" s="99"/>
      <c r="AB72" s="99"/>
      <c r="AC72" s="99"/>
      <c r="AD72" s="99"/>
      <c r="AE72" s="99"/>
      <c r="AF72" s="99"/>
      <c r="AG72" s="99"/>
      <c r="AH72" s="100">
        <f t="shared" ref="AH72:AH82" si="13">SUM(C72:AG72)</f>
        <v>0</v>
      </c>
    </row>
    <row r="73" spans="1:34" ht="15">
      <c r="A73" s="73" t="s">
        <v>147</v>
      </c>
      <c r="B73" s="53">
        <f t="shared" si="12"/>
        <v>0</v>
      </c>
      <c r="C73" s="116"/>
      <c r="D73" s="99"/>
      <c r="E73" s="99"/>
      <c r="F73" s="99"/>
      <c r="G73" s="99"/>
      <c r="H73" s="99"/>
      <c r="I73" s="99"/>
      <c r="J73" s="99"/>
      <c r="K73" s="99"/>
      <c r="L73" s="99"/>
      <c r="M73" s="99"/>
      <c r="N73" s="99"/>
      <c r="O73" s="99"/>
      <c r="P73" s="99"/>
      <c r="Q73" s="99"/>
      <c r="R73" s="99"/>
      <c r="S73" s="99"/>
      <c r="T73" s="99"/>
      <c r="U73" s="99"/>
      <c r="V73" s="99"/>
      <c r="W73" s="99"/>
      <c r="X73" s="99"/>
      <c r="Y73" s="99"/>
      <c r="Z73" s="99"/>
      <c r="AA73" s="99"/>
      <c r="AB73" s="99"/>
      <c r="AC73" s="99"/>
      <c r="AD73" s="99"/>
      <c r="AE73" s="99"/>
      <c r="AF73" s="99"/>
      <c r="AG73" s="99"/>
      <c r="AH73" s="100">
        <f t="shared" si="13"/>
        <v>0</v>
      </c>
    </row>
    <row r="74" spans="1:34" ht="15">
      <c r="A74" s="73" t="s">
        <v>148</v>
      </c>
      <c r="B74" s="53">
        <f t="shared" si="12"/>
        <v>0</v>
      </c>
      <c r="C74" s="116"/>
      <c r="D74" s="99"/>
      <c r="E74" s="99"/>
      <c r="F74" s="99"/>
      <c r="G74" s="99"/>
      <c r="H74" s="99"/>
      <c r="I74" s="99"/>
      <c r="J74" s="99"/>
      <c r="K74" s="99"/>
      <c r="L74" s="99"/>
      <c r="M74" s="99"/>
      <c r="N74" s="99"/>
      <c r="O74" s="99"/>
      <c r="P74" s="99"/>
      <c r="Q74" s="99"/>
      <c r="R74" s="99"/>
      <c r="S74" s="99"/>
      <c r="T74" s="99"/>
      <c r="U74" s="99"/>
      <c r="V74" s="99"/>
      <c r="W74" s="99"/>
      <c r="X74" s="99"/>
      <c r="Y74" s="99"/>
      <c r="Z74" s="99"/>
      <c r="AA74" s="99"/>
      <c r="AB74" s="99"/>
      <c r="AC74" s="99"/>
      <c r="AD74" s="99"/>
      <c r="AE74" s="99"/>
      <c r="AF74" s="99"/>
      <c r="AG74" s="99"/>
      <c r="AH74" s="100">
        <f t="shared" si="13"/>
        <v>0</v>
      </c>
    </row>
    <row r="75" spans="1:34" ht="15">
      <c r="A75" s="73" t="s">
        <v>149</v>
      </c>
      <c r="B75" s="53">
        <f t="shared" si="12"/>
        <v>0</v>
      </c>
      <c r="C75" s="116"/>
      <c r="D75" s="99"/>
      <c r="E75" s="99"/>
      <c r="F75" s="99"/>
      <c r="G75" s="99"/>
      <c r="H75" s="99"/>
      <c r="I75" s="99"/>
      <c r="J75" s="99"/>
      <c r="K75" s="99"/>
      <c r="L75" s="99"/>
      <c r="M75" s="99"/>
      <c r="N75" s="99"/>
      <c r="O75" s="99"/>
      <c r="P75" s="99"/>
      <c r="Q75" s="99"/>
      <c r="R75" s="99"/>
      <c r="S75" s="99"/>
      <c r="T75" s="99"/>
      <c r="U75" s="99"/>
      <c r="V75" s="99"/>
      <c r="W75" s="99"/>
      <c r="X75" s="99"/>
      <c r="Y75" s="99"/>
      <c r="Z75" s="99"/>
      <c r="AA75" s="99"/>
      <c r="AB75" s="99"/>
      <c r="AC75" s="99"/>
      <c r="AD75" s="99"/>
      <c r="AE75" s="99"/>
      <c r="AF75" s="99"/>
      <c r="AG75" s="99"/>
      <c r="AH75" s="100">
        <f t="shared" si="13"/>
        <v>0</v>
      </c>
    </row>
    <row r="76" spans="1:34" ht="15">
      <c r="A76" s="73" t="s">
        <v>150</v>
      </c>
      <c r="B76" s="53">
        <f t="shared" si="12"/>
        <v>0</v>
      </c>
      <c r="C76" s="116"/>
      <c r="D76" s="99"/>
      <c r="E76" s="99"/>
      <c r="F76" s="99"/>
      <c r="G76" s="99"/>
      <c r="H76" s="99"/>
      <c r="I76" s="99"/>
      <c r="J76" s="99"/>
      <c r="K76" s="99"/>
      <c r="L76" s="99"/>
      <c r="M76" s="99"/>
      <c r="N76" s="99"/>
      <c r="O76" s="99"/>
      <c r="P76" s="99"/>
      <c r="Q76" s="99"/>
      <c r="R76" s="99"/>
      <c r="S76" s="99"/>
      <c r="T76" s="99"/>
      <c r="U76" s="99"/>
      <c r="V76" s="99"/>
      <c r="W76" s="99"/>
      <c r="X76" s="99"/>
      <c r="Y76" s="99"/>
      <c r="Z76" s="99"/>
      <c r="AA76" s="99"/>
      <c r="AB76" s="99"/>
      <c r="AC76" s="99"/>
      <c r="AD76" s="99"/>
      <c r="AE76" s="99"/>
      <c r="AF76" s="99"/>
      <c r="AG76" s="99"/>
      <c r="AH76" s="100">
        <f t="shared" si="13"/>
        <v>0</v>
      </c>
    </row>
    <row r="77" spans="1:34" ht="15">
      <c r="A77" s="73" t="s">
        <v>151</v>
      </c>
      <c r="B77" s="53">
        <f t="shared" si="12"/>
        <v>0</v>
      </c>
      <c r="C77" s="116"/>
      <c r="D77" s="99"/>
      <c r="E77" s="99"/>
      <c r="F77" s="99"/>
      <c r="G77" s="99"/>
      <c r="H77" s="99"/>
      <c r="I77" s="99"/>
      <c r="J77" s="99"/>
      <c r="K77" s="99"/>
      <c r="L77" s="99"/>
      <c r="M77" s="99"/>
      <c r="N77" s="99"/>
      <c r="O77" s="99"/>
      <c r="P77" s="99"/>
      <c r="Q77" s="99"/>
      <c r="R77" s="99"/>
      <c r="S77" s="99"/>
      <c r="T77" s="99"/>
      <c r="U77" s="99"/>
      <c r="V77" s="99"/>
      <c r="W77" s="99"/>
      <c r="X77" s="99"/>
      <c r="Y77" s="99"/>
      <c r="Z77" s="99"/>
      <c r="AA77" s="99"/>
      <c r="AB77" s="99"/>
      <c r="AC77" s="99"/>
      <c r="AD77" s="99"/>
      <c r="AE77" s="99"/>
      <c r="AF77" s="99"/>
      <c r="AG77" s="99"/>
      <c r="AH77" s="100">
        <f t="shared" si="13"/>
        <v>0</v>
      </c>
    </row>
    <row r="78" spans="1:34" ht="15">
      <c r="A78" s="73" t="s">
        <v>152</v>
      </c>
      <c r="B78" s="53">
        <f t="shared" si="12"/>
        <v>0</v>
      </c>
      <c r="C78" s="116"/>
      <c r="D78" s="99"/>
      <c r="E78" s="99"/>
      <c r="F78" s="99"/>
      <c r="G78" s="99"/>
      <c r="H78" s="99"/>
      <c r="I78" s="99"/>
      <c r="J78" s="99"/>
      <c r="K78" s="99"/>
      <c r="L78" s="99"/>
      <c r="M78" s="99"/>
      <c r="N78" s="99"/>
      <c r="O78" s="99"/>
      <c r="P78" s="99"/>
      <c r="Q78" s="99"/>
      <c r="R78" s="99"/>
      <c r="S78" s="99"/>
      <c r="T78" s="99"/>
      <c r="U78" s="99"/>
      <c r="V78" s="99"/>
      <c r="W78" s="99"/>
      <c r="X78" s="99"/>
      <c r="Y78" s="99"/>
      <c r="Z78" s="99"/>
      <c r="AA78" s="99"/>
      <c r="AB78" s="99"/>
      <c r="AC78" s="99"/>
      <c r="AD78" s="99"/>
      <c r="AE78" s="99"/>
      <c r="AF78" s="99"/>
      <c r="AG78" s="99"/>
      <c r="AH78" s="100">
        <f t="shared" si="13"/>
        <v>0</v>
      </c>
    </row>
    <row r="79" spans="1:34" ht="15">
      <c r="A79" s="73" t="s">
        <v>153</v>
      </c>
      <c r="B79" s="53">
        <f t="shared" si="12"/>
        <v>0</v>
      </c>
      <c r="C79" s="116"/>
      <c r="D79" s="99"/>
      <c r="E79" s="99"/>
      <c r="F79" s="99"/>
      <c r="G79" s="99"/>
      <c r="H79" s="99"/>
      <c r="I79" s="99"/>
      <c r="J79" s="99"/>
      <c r="K79" s="99"/>
      <c r="L79" s="99"/>
      <c r="M79" s="99"/>
      <c r="N79" s="99"/>
      <c r="O79" s="99"/>
      <c r="P79" s="99"/>
      <c r="Q79" s="99"/>
      <c r="R79" s="99"/>
      <c r="S79" s="99"/>
      <c r="T79" s="99"/>
      <c r="U79" s="99"/>
      <c r="V79" s="99"/>
      <c r="W79" s="99"/>
      <c r="X79" s="99"/>
      <c r="Y79" s="99"/>
      <c r="Z79" s="99"/>
      <c r="AA79" s="99"/>
      <c r="AB79" s="99"/>
      <c r="AC79" s="99"/>
      <c r="AD79" s="99"/>
      <c r="AE79" s="99"/>
      <c r="AF79" s="99"/>
      <c r="AG79" s="99"/>
      <c r="AH79" s="100">
        <f t="shared" si="13"/>
        <v>0</v>
      </c>
    </row>
    <row r="80" spans="1:34" ht="15">
      <c r="A80" s="73" t="s">
        <v>154</v>
      </c>
      <c r="B80" s="53">
        <f t="shared" si="12"/>
        <v>0</v>
      </c>
      <c r="C80" s="116"/>
      <c r="D80" s="99"/>
      <c r="E80" s="99"/>
      <c r="F80" s="99"/>
      <c r="G80" s="99"/>
      <c r="H80" s="99"/>
      <c r="I80" s="99"/>
      <c r="J80" s="99"/>
      <c r="K80" s="99"/>
      <c r="L80" s="99"/>
      <c r="M80" s="99"/>
      <c r="N80" s="99"/>
      <c r="O80" s="99"/>
      <c r="P80" s="99"/>
      <c r="Q80" s="99"/>
      <c r="R80" s="99"/>
      <c r="S80" s="99"/>
      <c r="T80" s="99"/>
      <c r="U80" s="99"/>
      <c r="V80" s="99"/>
      <c r="W80" s="99"/>
      <c r="X80" s="99"/>
      <c r="Y80" s="99"/>
      <c r="Z80" s="99"/>
      <c r="AA80" s="99"/>
      <c r="AB80" s="99"/>
      <c r="AC80" s="99"/>
      <c r="AD80" s="99"/>
      <c r="AE80" s="99"/>
      <c r="AF80" s="99"/>
      <c r="AG80" s="99"/>
      <c r="AH80" s="100">
        <f t="shared" si="13"/>
        <v>0</v>
      </c>
    </row>
    <row r="81" spans="1:34" ht="15">
      <c r="A81" s="73" t="s">
        <v>155</v>
      </c>
      <c r="B81" s="53">
        <f t="shared" si="12"/>
        <v>0</v>
      </c>
      <c r="C81" s="116"/>
      <c r="D81" s="99"/>
      <c r="E81" s="99"/>
      <c r="F81" s="99"/>
      <c r="G81" s="99"/>
      <c r="H81" s="99"/>
      <c r="I81" s="99"/>
      <c r="J81" s="99"/>
      <c r="K81" s="99"/>
      <c r="L81" s="99"/>
      <c r="M81" s="99"/>
      <c r="N81" s="99"/>
      <c r="O81" s="99"/>
      <c r="P81" s="99"/>
      <c r="Q81" s="99"/>
      <c r="R81" s="99"/>
      <c r="S81" s="99"/>
      <c r="T81" s="99"/>
      <c r="U81" s="99"/>
      <c r="V81" s="99"/>
      <c r="W81" s="99"/>
      <c r="X81" s="99"/>
      <c r="Y81" s="99"/>
      <c r="Z81" s="99"/>
      <c r="AA81" s="99"/>
      <c r="AB81" s="99"/>
      <c r="AC81" s="99"/>
      <c r="AD81" s="99"/>
      <c r="AE81" s="99"/>
      <c r="AF81" s="99"/>
      <c r="AG81" s="99"/>
      <c r="AH81" s="100">
        <f t="shared" si="13"/>
        <v>0</v>
      </c>
    </row>
    <row r="82" spans="1:34" ht="15">
      <c r="A82" s="73" t="s">
        <v>156</v>
      </c>
      <c r="B82" s="53">
        <f t="shared" si="12"/>
        <v>0</v>
      </c>
      <c r="C82" s="116"/>
      <c r="D82" s="99"/>
      <c r="E82" s="99"/>
      <c r="F82" s="99"/>
      <c r="G82" s="99"/>
      <c r="H82" s="99"/>
      <c r="I82" s="99"/>
      <c r="J82" s="99"/>
      <c r="K82" s="99"/>
      <c r="L82" s="99"/>
      <c r="M82" s="99"/>
      <c r="N82" s="99"/>
      <c r="O82" s="99"/>
      <c r="P82" s="99"/>
      <c r="Q82" s="99"/>
      <c r="R82" s="99"/>
      <c r="S82" s="99"/>
      <c r="T82" s="99"/>
      <c r="U82" s="99"/>
      <c r="V82" s="99"/>
      <c r="W82" s="99"/>
      <c r="X82" s="99"/>
      <c r="Y82" s="99"/>
      <c r="Z82" s="99"/>
      <c r="AA82" s="99"/>
      <c r="AB82" s="99"/>
      <c r="AC82" s="99"/>
      <c r="AD82" s="99"/>
      <c r="AE82" s="99"/>
      <c r="AF82" s="99"/>
      <c r="AG82" s="99"/>
      <c r="AH82" s="100">
        <f t="shared" si="13"/>
        <v>0</v>
      </c>
    </row>
    <row r="83" spans="1:34" ht="15">
      <c r="A83" s="200" t="s">
        <v>111</v>
      </c>
      <c r="B83" s="200">
        <f t="shared" ref="B83:AH83" si="14">SUM(B71:B82)</f>
        <v>0</v>
      </c>
      <c r="C83" s="100">
        <f t="shared" si="14"/>
        <v>0</v>
      </c>
      <c r="D83" s="100">
        <f t="shared" si="14"/>
        <v>0</v>
      </c>
      <c r="E83" s="100">
        <f t="shared" si="14"/>
        <v>0</v>
      </c>
      <c r="F83" s="100">
        <f t="shared" si="14"/>
        <v>0</v>
      </c>
      <c r="G83" s="100">
        <f t="shared" si="14"/>
        <v>0</v>
      </c>
      <c r="H83" s="100">
        <f t="shared" si="14"/>
        <v>0</v>
      </c>
      <c r="I83" s="100">
        <f t="shared" si="14"/>
        <v>0</v>
      </c>
      <c r="J83" s="100">
        <f t="shared" si="14"/>
        <v>0</v>
      </c>
      <c r="K83" s="100">
        <f t="shared" si="14"/>
        <v>0</v>
      </c>
      <c r="L83" s="100">
        <f t="shared" si="14"/>
        <v>0</v>
      </c>
      <c r="M83" s="100">
        <f t="shared" si="14"/>
        <v>0</v>
      </c>
      <c r="N83" s="100">
        <f t="shared" si="14"/>
        <v>0</v>
      </c>
      <c r="O83" s="100">
        <f t="shared" si="14"/>
        <v>0</v>
      </c>
      <c r="P83" s="100">
        <f t="shared" si="14"/>
        <v>0</v>
      </c>
      <c r="Q83" s="100">
        <f t="shared" si="14"/>
        <v>0</v>
      </c>
      <c r="R83" s="100">
        <f t="shared" si="14"/>
        <v>0</v>
      </c>
      <c r="S83" s="100">
        <f t="shared" si="14"/>
        <v>0</v>
      </c>
      <c r="T83" s="100">
        <f t="shared" si="14"/>
        <v>0</v>
      </c>
      <c r="U83" s="100">
        <f t="shared" si="14"/>
        <v>0</v>
      </c>
      <c r="V83" s="100">
        <f t="shared" si="14"/>
        <v>0</v>
      </c>
      <c r="W83" s="100">
        <f t="shared" si="14"/>
        <v>0</v>
      </c>
      <c r="X83" s="100">
        <f t="shared" si="14"/>
        <v>0</v>
      </c>
      <c r="Y83" s="100">
        <f t="shared" si="14"/>
        <v>0</v>
      </c>
      <c r="Z83" s="100">
        <f t="shared" si="14"/>
        <v>0</v>
      </c>
      <c r="AA83" s="100">
        <f t="shared" si="14"/>
        <v>0</v>
      </c>
      <c r="AB83" s="100">
        <f t="shared" si="14"/>
        <v>0</v>
      </c>
      <c r="AC83" s="100">
        <f t="shared" si="14"/>
        <v>0</v>
      </c>
      <c r="AD83" s="100">
        <f t="shared" si="14"/>
        <v>0</v>
      </c>
      <c r="AE83" s="100">
        <f t="shared" si="14"/>
        <v>0</v>
      </c>
      <c r="AF83" s="100">
        <f t="shared" si="14"/>
        <v>0</v>
      </c>
      <c r="AG83" s="100">
        <f t="shared" si="14"/>
        <v>0</v>
      </c>
      <c r="AH83" s="100">
        <f t="shared" si="14"/>
        <v>0</v>
      </c>
    </row>
    <row r="84" spans="1:34" ht="15">
      <c r="A84" s="49"/>
      <c r="B84" s="49"/>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34" ht="15">
      <c r="A85" s="3854" t="s">
        <v>138</v>
      </c>
      <c r="B85" s="3855"/>
      <c r="C85" s="3856"/>
      <c r="D85" s="14"/>
      <c r="E85" s="14"/>
      <c r="F85" s="14"/>
      <c r="G85" s="14"/>
      <c r="H85" s="14"/>
      <c r="I85" s="14"/>
      <c r="J85" s="14"/>
      <c r="K85" s="14"/>
      <c r="L85" s="14"/>
      <c r="M85" s="98"/>
      <c r="N85" s="14"/>
      <c r="O85" s="14"/>
      <c r="P85" s="14"/>
      <c r="Q85" s="14"/>
      <c r="R85" s="14"/>
      <c r="S85" s="14"/>
      <c r="T85" s="14"/>
      <c r="U85" s="14"/>
      <c r="V85" s="14"/>
      <c r="W85" s="14"/>
      <c r="X85" s="14"/>
      <c r="Y85" s="14"/>
      <c r="Z85" s="14"/>
      <c r="AA85" s="14"/>
      <c r="AB85" s="14"/>
      <c r="AC85" s="14"/>
      <c r="AD85" s="14"/>
      <c r="AE85" s="14"/>
      <c r="AF85" s="14"/>
      <c r="AG85" s="14"/>
      <c r="AH85" s="1"/>
    </row>
    <row r="86" spans="1:34" ht="15">
      <c r="A86" s="119" t="s">
        <v>142</v>
      </c>
      <c r="B86" s="119" t="s">
        <v>143</v>
      </c>
      <c r="C86" s="73">
        <v>1</v>
      </c>
      <c r="D86" s="73">
        <v>2</v>
      </c>
      <c r="E86" s="73">
        <v>3</v>
      </c>
      <c r="F86" s="73">
        <v>4</v>
      </c>
      <c r="G86" s="73">
        <v>5</v>
      </c>
      <c r="H86" s="73">
        <v>6</v>
      </c>
      <c r="I86" s="73">
        <v>7</v>
      </c>
      <c r="J86" s="73">
        <v>8</v>
      </c>
      <c r="K86" s="73">
        <v>9</v>
      </c>
      <c r="L86" s="73">
        <v>10</v>
      </c>
      <c r="M86" s="73">
        <v>11</v>
      </c>
      <c r="N86" s="73">
        <v>12</v>
      </c>
      <c r="O86" s="73">
        <v>13</v>
      </c>
      <c r="P86" s="73">
        <v>14</v>
      </c>
      <c r="Q86" s="73">
        <v>15</v>
      </c>
      <c r="R86" s="73">
        <v>16</v>
      </c>
      <c r="S86" s="73">
        <v>17</v>
      </c>
      <c r="T86" s="73">
        <v>18</v>
      </c>
      <c r="U86" s="73">
        <v>19</v>
      </c>
      <c r="V86" s="73">
        <v>20</v>
      </c>
      <c r="W86" s="73">
        <v>21</v>
      </c>
      <c r="X86" s="73">
        <v>22</v>
      </c>
      <c r="Y86" s="73">
        <v>23</v>
      </c>
      <c r="Z86" s="73">
        <v>24</v>
      </c>
      <c r="AA86" s="73">
        <v>25</v>
      </c>
      <c r="AB86" s="73">
        <v>26</v>
      </c>
      <c r="AC86" s="73">
        <v>27</v>
      </c>
      <c r="AD86" s="73">
        <v>28</v>
      </c>
      <c r="AE86" s="73">
        <v>29</v>
      </c>
      <c r="AF86" s="73">
        <v>30</v>
      </c>
      <c r="AG86" s="73">
        <v>31</v>
      </c>
      <c r="AH86" s="87" t="s">
        <v>144</v>
      </c>
    </row>
    <row r="87" spans="1:34" ht="15">
      <c r="A87" s="73" t="s">
        <v>145</v>
      </c>
      <c r="B87" s="53">
        <f t="shared" ref="B87:B98" si="15">+AH87</f>
        <v>0</v>
      </c>
      <c r="C87" s="116"/>
      <c r="D87" s="99"/>
      <c r="E87" s="99"/>
      <c r="F87" s="99"/>
      <c r="G87" s="99"/>
      <c r="H87" s="99"/>
      <c r="I87" s="99"/>
      <c r="J87" s="99"/>
      <c r="K87" s="99"/>
      <c r="L87" s="99"/>
      <c r="M87" s="99"/>
      <c r="N87" s="99"/>
      <c r="O87" s="99"/>
      <c r="P87" s="99"/>
      <c r="Q87" s="99"/>
      <c r="R87" s="99"/>
      <c r="S87" s="99"/>
      <c r="T87" s="99"/>
      <c r="U87" s="99"/>
      <c r="V87" s="99"/>
      <c r="W87" s="99"/>
      <c r="X87" s="99"/>
      <c r="Y87" s="99"/>
      <c r="Z87" s="99"/>
      <c r="AA87" s="99"/>
      <c r="AB87" s="99"/>
      <c r="AC87" s="99"/>
      <c r="AD87" s="99"/>
      <c r="AE87" s="99"/>
      <c r="AF87" s="99"/>
      <c r="AG87" s="99"/>
      <c r="AH87" s="100">
        <f>SUM(C87:AG87)</f>
        <v>0</v>
      </c>
    </row>
    <row r="88" spans="1:34" ht="15">
      <c r="A88" s="73" t="s">
        <v>146</v>
      </c>
      <c r="B88" s="53">
        <f t="shared" si="15"/>
        <v>0</v>
      </c>
      <c r="C88" s="116"/>
      <c r="D88" s="99"/>
      <c r="E88" s="99"/>
      <c r="F88" s="99"/>
      <c r="G88" s="99"/>
      <c r="H88" s="99"/>
      <c r="I88" s="99"/>
      <c r="J88" s="99"/>
      <c r="K88" s="99"/>
      <c r="L88" s="99"/>
      <c r="M88" s="99"/>
      <c r="N88" s="99"/>
      <c r="O88" s="99"/>
      <c r="P88" s="99"/>
      <c r="Q88" s="99"/>
      <c r="R88" s="99"/>
      <c r="S88" s="99"/>
      <c r="T88" s="99"/>
      <c r="U88" s="99"/>
      <c r="V88" s="99"/>
      <c r="W88" s="99"/>
      <c r="X88" s="99"/>
      <c r="Y88" s="99"/>
      <c r="Z88" s="99"/>
      <c r="AA88" s="99"/>
      <c r="AB88" s="99"/>
      <c r="AC88" s="99"/>
      <c r="AD88" s="99"/>
      <c r="AE88" s="99"/>
      <c r="AF88" s="99"/>
      <c r="AG88" s="99"/>
      <c r="AH88" s="100">
        <f t="shared" ref="AH88:AH98" si="16">SUM(C88:AG88)</f>
        <v>0</v>
      </c>
    </row>
    <row r="89" spans="1:34" ht="15">
      <c r="A89" s="73" t="s">
        <v>147</v>
      </c>
      <c r="B89" s="53">
        <f t="shared" si="15"/>
        <v>0</v>
      </c>
      <c r="C89" s="116"/>
      <c r="D89" s="99"/>
      <c r="E89" s="99"/>
      <c r="F89" s="99"/>
      <c r="G89" s="99"/>
      <c r="H89" s="99"/>
      <c r="I89" s="99"/>
      <c r="J89" s="99"/>
      <c r="K89" s="99"/>
      <c r="L89" s="99"/>
      <c r="M89" s="99"/>
      <c r="N89" s="99"/>
      <c r="O89" s="99"/>
      <c r="P89" s="99"/>
      <c r="Q89" s="99"/>
      <c r="R89" s="99"/>
      <c r="S89" s="99"/>
      <c r="T89" s="99"/>
      <c r="U89" s="99"/>
      <c r="V89" s="99"/>
      <c r="W89" s="99"/>
      <c r="X89" s="99"/>
      <c r="Y89" s="99"/>
      <c r="Z89" s="99"/>
      <c r="AA89" s="99"/>
      <c r="AB89" s="99"/>
      <c r="AC89" s="99"/>
      <c r="AD89" s="99"/>
      <c r="AE89" s="99"/>
      <c r="AF89" s="99"/>
      <c r="AG89" s="99"/>
      <c r="AH89" s="100">
        <f t="shared" si="16"/>
        <v>0</v>
      </c>
    </row>
    <row r="90" spans="1:34" ht="15">
      <c r="A90" s="73" t="s">
        <v>148</v>
      </c>
      <c r="B90" s="53">
        <f t="shared" si="15"/>
        <v>0</v>
      </c>
      <c r="C90" s="116"/>
      <c r="D90" s="99"/>
      <c r="E90" s="99"/>
      <c r="F90" s="99"/>
      <c r="G90" s="99"/>
      <c r="H90" s="99"/>
      <c r="I90" s="99"/>
      <c r="J90" s="99"/>
      <c r="K90" s="99"/>
      <c r="L90" s="99"/>
      <c r="M90" s="99"/>
      <c r="N90" s="99"/>
      <c r="O90" s="99"/>
      <c r="P90" s="99"/>
      <c r="Q90" s="99"/>
      <c r="R90" s="99"/>
      <c r="S90" s="99"/>
      <c r="T90" s="99"/>
      <c r="U90" s="99"/>
      <c r="V90" s="99"/>
      <c r="W90" s="99"/>
      <c r="X90" s="99"/>
      <c r="Y90" s="99"/>
      <c r="Z90" s="99"/>
      <c r="AA90" s="99"/>
      <c r="AB90" s="99"/>
      <c r="AC90" s="99"/>
      <c r="AD90" s="99"/>
      <c r="AE90" s="99"/>
      <c r="AF90" s="99"/>
      <c r="AG90" s="99"/>
      <c r="AH90" s="100">
        <f t="shared" si="16"/>
        <v>0</v>
      </c>
    </row>
    <row r="91" spans="1:34" ht="15">
      <c r="A91" s="73" t="s">
        <v>149</v>
      </c>
      <c r="B91" s="53">
        <f t="shared" si="15"/>
        <v>0</v>
      </c>
      <c r="C91" s="116"/>
      <c r="D91" s="99"/>
      <c r="E91" s="99"/>
      <c r="F91" s="99"/>
      <c r="G91" s="99"/>
      <c r="H91" s="99"/>
      <c r="I91" s="99"/>
      <c r="J91" s="99"/>
      <c r="K91" s="99"/>
      <c r="L91" s="99"/>
      <c r="M91" s="99"/>
      <c r="N91" s="99"/>
      <c r="O91" s="99"/>
      <c r="P91" s="99"/>
      <c r="Q91" s="99"/>
      <c r="R91" s="99"/>
      <c r="S91" s="99"/>
      <c r="T91" s="99"/>
      <c r="U91" s="99"/>
      <c r="V91" s="99"/>
      <c r="W91" s="99"/>
      <c r="X91" s="99"/>
      <c r="Y91" s="99"/>
      <c r="Z91" s="99"/>
      <c r="AA91" s="99"/>
      <c r="AB91" s="99"/>
      <c r="AC91" s="99"/>
      <c r="AD91" s="99"/>
      <c r="AE91" s="99"/>
      <c r="AF91" s="99"/>
      <c r="AG91" s="99"/>
      <c r="AH91" s="100">
        <f t="shared" si="16"/>
        <v>0</v>
      </c>
    </row>
    <row r="92" spans="1:34" ht="15">
      <c r="A92" s="73" t="s">
        <v>150</v>
      </c>
      <c r="B92" s="53">
        <f t="shared" si="15"/>
        <v>0</v>
      </c>
      <c r="C92" s="116"/>
      <c r="D92" s="99"/>
      <c r="E92" s="99"/>
      <c r="F92" s="99"/>
      <c r="G92" s="99"/>
      <c r="H92" s="99"/>
      <c r="I92" s="99"/>
      <c r="J92" s="99"/>
      <c r="K92" s="99"/>
      <c r="L92" s="99"/>
      <c r="M92" s="99"/>
      <c r="N92" s="99"/>
      <c r="O92" s="99"/>
      <c r="P92" s="99"/>
      <c r="Q92" s="99"/>
      <c r="R92" s="99"/>
      <c r="S92" s="99"/>
      <c r="T92" s="99"/>
      <c r="U92" s="99"/>
      <c r="V92" s="99"/>
      <c r="W92" s="99"/>
      <c r="X92" s="99"/>
      <c r="Y92" s="99"/>
      <c r="Z92" s="99"/>
      <c r="AA92" s="99"/>
      <c r="AB92" s="99"/>
      <c r="AC92" s="99"/>
      <c r="AD92" s="99"/>
      <c r="AE92" s="99"/>
      <c r="AF92" s="99"/>
      <c r="AG92" s="99"/>
      <c r="AH92" s="100">
        <f t="shared" si="16"/>
        <v>0</v>
      </c>
    </row>
    <row r="93" spans="1:34" ht="15">
      <c r="A93" s="73" t="s">
        <v>151</v>
      </c>
      <c r="B93" s="53">
        <f t="shared" si="15"/>
        <v>0</v>
      </c>
      <c r="C93" s="116"/>
      <c r="D93" s="99"/>
      <c r="E93" s="99"/>
      <c r="F93" s="99"/>
      <c r="G93" s="99"/>
      <c r="H93" s="99"/>
      <c r="I93" s="99"/>
      <c r="J93" s="99"/>
      <c r="K93" s="99"/>
      <c r="L93" s="99"/>
      <c r="M93" s="99"/>
      <c r="N93" s="99"/>
      <c r="O93" s="99"/>
      <c r="P93" s="99"/>
      <c r="Q93" s="99"/>
      <c r="R93" s="99"/>
      <c r="S93" s="99"/>
      <c r="T93" s="99"/>
      <c r="U93" s="99"/>
      <c r="V93" s="99"/>
      <c r="W93" s="99"/>
      <c r="X93" s="99"/>
      <c r="Y93" s="99"/>
      <c r="Z93" s="99"/>
      <c r="AA93" s="99"/>
      <c r="AB93" s="99"/>
      <c r="AC93" s="99"/>
      <c r="AD93" s="99"/>
      <c r="AE93" s="99"/>
      <c r="AF93" s="99"/>
      <c r="AG93" s="99"/>
      <c r="AH93" s="100">
        <f t="shared" si="16"/>
        <v>0</v>
      </c>
    </row>
    <row r="94" spans="1:34" ht="15">
      <c r="A94" s="73" t="s">
        <v>152</v>
      </c>
      <c r="B94" s="53">
        <f t="shared" si="15"/>
        <v>0</v>
      </c>
      <c r="C94" s="116"/>
      <c r="D94" s="99"/>
      <c r="E94" s="99"/>
      <c r="F94" s="99"/>
      <c r="G94" s="99"/>
      <c r="H94" s="99"/>
      <c r="I94" s="99"/>
      <c r="J94" s="99"/>
      <c r="K94" s="99"/>
      <c r="L94" s="99"/>
      <c r="M94" s="99"/>
      <c r="N94" s="99"/>
      <c r="O94" s="99"/>
      <c r="P94" s="99"/>
      <c r="Q94" s="99"/>
      <c r="R94" s="99"/>
      <c r="S94" s="99"/>
      <c r="T94" s="99"/>
      <c r="U94" s="99"/>
      <c r="V94" s="99"/>
      <c r="W94" s="99"/>
      <c r="X94" s="99"/>
      <c r="Y94" s="99"/>
      <c r="Z94" s="99"/>
      <c r="AA94" s="99"/>
      <c r="AB94" s="99"/>
      <c r="AC94" s="99"/>
      <c r="AD94" s="99"/>
      <c r="AE94" s="99"/>
      <c r="AF94" s="99"/>
      <c r="AG94" s="99"/>
      <c r="AH94" s="100">
        <f t="shared" si="16"/>
        <v>0</v>
      </c>
    </row>
    <row r="95" spans="1:34" ht="15">
      <c r="A95" s="73" t="s">
        <v>153</v>
      </c>
      <c r="B95" s="53">
        <f t="shared" si="15"/>
        <v>0</v>
      </c>
      <c r="C95" s="116"/>
      <c r="D95" s="99"/>
      <c r="E95" s="99"/>
      <c r="F95" s="99"/>
      <c r="G95" s="99"/>
      <c r="H95" s="99"/>
      <c r="I95" s="99"/>
      <c r="J95" s="99"/>
      <c r="K95" s="99"/>
      <c r="L95" s="99"/>
      <c r="M95" s="99"/>
      <c r="N95" s="99"/>
      <c r="O95" s="99"/>
      <c r="P95" s="99"/>
      <c r="Q95" s="99"/>
      <c r="R95" s="99"/>
      <c r="S95" s="99"/>
      <c r="T95" s="99"/>
      <c r="U95" s="99"/>
      <c r="V95" s="99"/>
      <c r="W95" s="99"/>
      <c r="X95" s="99"/>
      <c r="Y95" s="99"/>
      <c r="Z95" s="99"/>
      <c r="AA95" s="99"/>
      <c r="AB95" s="99"/>
      <c r="AC95" s="99"/>
      <c r="AD95" s="99"/>
      <c r="AE95" s="99"/>
      <c r="AF95" s="99"/>
      <c r="AG95" s="99"/>
      <c r="AH95" s="100">
        <f t="shared" si="16"/>
        <v>0</v>
      </c>
    </row>
    <row r="96" spans="1:34" ht="15">
      <c r="A96" s="73" t="s">
        <v>154</v>
      </c>
      <c r="B96" s="53">
        <f t="shared" si="15"/>
        <v>0</v>
      </c>
      <c r="C96" s="116"/>
      <c r="D96" s="99"/>
      <c r="E96" s="99"/>
      <c r="F96" s="99"/>
      <c r="G96" s="99"/>
      <c r="H96" s="99"/>
      <c r="I96" s="99"/>
      <c r="J96" s="99"/>
      <c r="K96" s="99"/>
      <c r="L96" s="99"/>
      <c r="M96" s="99"/>
      <c r="N96" s="99"/>
      <c r="O96" s="99"/>
      <c r="P96" s="99"/>
      <c r="Q96" s="99"/>
      <c r="R96" s="99"/>
      <c r="S96" s="99"/>
      <c r="T96" s="99"/>
      <c r="U96" s="99"/>
      <c r="V96" s="99"/>
      <c r="W96" s="99"/>
      <c r="X96" s="99"/>
      <c r="Y96" s="99"/>
      <c r="Z96" s="99"/>
      <c r="AA96" s="99"/>
      <c r="AB96" s="99"/>
      <c r="AC96" s="99"/>
      <c r="AD96" s="99"/>
      <c r="AE96" s="99"/>
      <c r="AF96" s="99"/>
      <c r="AG96" s="99"/>
      <c r="AH96" s="100">
        <f t="shared" si="16"/>
        <v>0</v>
      </c>
    </row>
    <row r="97" spans="1:34" ht="15">
      <c r="A97" s="73" t="s">
        <v>155</v>
      </c>
      <c r="B97" s="53">
        <f t="shared" si="15"/>
        <v>0</v>
      </c>
      <c r="C97" s="116"/>
      <c r="D97" s="99"/>
      <c r="E97" s="99"/>
      <c r="F97" s="99"/>
      <c r="G97" s="99"/>
      <c r="H97" s="99"/>
      <c r="I97" s="99"/>
      <c r="J97" s="99"/>
      <c r="K97" s="99"/>
      <c r="L97" s="99"/>
      <c r="M97" s="99"/>
      <c r="N97" s="99"/>
      <c r="O97" s="99"/>
      <c r="P97" s="99"/>
      <c r="Q97" s="99"/>
      <c r="R97" s="99"/>
      <c r="S97" s="99"/>
      <c r="T97" s="99"/>
      <c r="U97" s="99"/>
      <c r="V97" s="99"/>
      <c r="W97" s="99"/>
      <c r="X97" s="99"/>
      <c r="Y97" s="99"/>
      <c r="Z97" s="99"/>
      <c r="AA97" s="99"/>
      <c r="AB97" s="99"/>
      <c r="AC97" s="99"/>
      <c r="AD97" s="99"/>
      <c r="AE97" s="99"/>
      <c r="AF97" s="99"/>
      <c r="AG97" s="99"/>
      <c r="AH97" s="100">
        <f t="shared" si="16"/>
        <v>0</v>
      </c>
    </row>
    <row r="98" spans="1:34" ht="15">
      <c r="A98" s="73" t="s">
        <v>156</v>
      </c>
      <c r="B98" s="53">
        <f t="shared" si="15"/>
        <v>0</v>
      </c>
      <c r="C98" s="116"/>
      <c r="D98" s="99"/>
      <c r="E98" s="99"/>
      <c r="F98" s="99"/>
      <c r="G98" s="99"/>
      <c r="H98" s="99"/>
      <c r="I98" s="99"/>
      <c r="J98" s="99"/>
      <c r="K98" s="99"/>
      <c r="L98" s="99"/>
      <c r="M98" s="99"/>
      <c r="N98" s="99"/>
      <c r="O98" s="99"/>
      <c r="P98" s="99"/>
      <c r="Q98" s="99"/>
      <c r="R98" s="99"/>
      <c r="S98" s="99"/>
      <c r="T98" s="99"/>
      <c r="U98" s="99"/>
      <c r="V98" s="99"/>
      <c r="W98" s="99"/>
      <c r="X98" s="99"/>
      <c r="Y98" s="99"/>
      <c r="Z98" s="99"/>
      <c r="AA98" s="99"/>
      <c r="AB98" s="99"/>
      <c r="AC98" s="99"/>
      <c r="AD98" s="99"/>
      <c r="AE98" s="99"/>
      <c r="AF98" s="99"/>
      <c r="AG98" s="99"/>
      <c r="AH98" s="100">
        <f t="shared" si="16"/>
        <v>0</v>
      </c>
    </row>
    <row r="99" spans="1:34" ht="15">
      <c r="A99" s="200" t="s">
        <v>111</v>
      </c>
      <c r="B99" s="200">
        <f t="shared" ref="B99:AH99" si="17">SUM(B87:B98)</f>
        <v>0</v>
      </c>
      <c r="C99" s="100">
        <f t="shared" si="17"/>
        <v>0</v>
      </c>
      <c r="D99" s="100">
        <f t="shared" si="17"/>
        <v>0</v>
      </c>
      <c r="E99" s="100">
        <f t="shared" si="17"/>
        <v>0</v>
      </c>
      <c r="F99" s="100">
        <f t="shared" si="17"/>
        <v>0</v>
      </c>
      <c r="G99" s="100">
        <f t="shared" si="17"/>
        <v>0</v>
      </c>
      <c r="H99" s="100">
        <f t="shared" si="17"/>
        <v>0</v>
      </c>
      <c r="I99" s="100">
        <f t="shared" si="17"/>
        <v>0</v>
      </c>
      <c r="J99" s="100">
        <f t="shared" si="17"/>
        <v>0</v>
      </c>
      <c r="K99" s="100">
        <f t="shared" si="17"/>
        <v>0</v>
      </c>
      <c r="L99" s="100">
        <f t="shared" si="17"/>
        <v>0</v>
      </c>
      <c r="M99" s="100">
        <f t="shared" si="17"/>
        <v>0</v>
      </c>
      <c r="N99" s="100">
        <f t="shared" si="17"/>
        <v>0</v>
      </c>
      <c r="O99" s="100">
        <f t="shared" si="17"/>
        <v>0</v>
      </c>
      <c r="P99" s="100">
        <f t="shared" si="17"/>
        <v>0</v>
      </c>
      <c r="Q99" s="100">
        <f t="shared" si="17"/>
        <v>0</v>
      </c>
      <c r="R99" s="100">
        <f t="shared" si="17"/>
        <v>0</v>
      </c>
      <c r="S99" s="100">
        <f t="shared" si="17"/>
        <v>0</v>
      </c>
      <c r="T99" s="100">
        <f t="shared" si="17"/>
        <v>0</v>
      </c>
      <c r="U99" s="100">
        <f t="shared" si="17"/>
        <v>0</v>
      </c>
      <c r="V99" s="100">
        <f t="shared" si="17"/>
        <v>0</v>
      </c>
      <c r="W99" s="100">
        <f t="shared" si="17"/>
        <v>0</v>
      </c>
      <c r="X99" s="100">
        <f t="shared" si="17"/>
        <v>0</v>
      </c>
      <c r="Y99" s="100">
        <f t="shared" si="17"/>
        <v>0</v>
      </c>
      <c r="Z99" s="100">
        <f t="shared" si="17"/>
        <v>0</v>
      </c>
      <c r="AA99" s="100">
        <f t="shared" si="17"/>
        <v>0</v>
      </c>
      <c r="AB99" s="100">
        <f t="shared" si="17"/>
        <v>0</v>
      </c>
      <c r="AC99" s="100">
        <f t="shared" si="17"/>
        <v>0</v>
      </c>
      <c r="AD99" s="100">
        <f t="shared" si="17"/>
        <v>0</v>
      </c>
      <c r="AE99" s="100">
        <f t="shared" si="17"/>
        <v>0</v>
      </c>
      <c r="AF99" s="100">
        <f t="shared" si="17"/>
        <v>0</v>
      </c>
      <c r="AG99" s="100">
        <f t="shared" si="17"/>
        <v>0</v>
      </c>
      <c r="AH99" s="100">
        <f t="shared" si="17"/>
        <v>0</v>
      </c>
    </row>
    <row r="100" spans="1:34" ht="15">
      <c r="A100" s="49"/>
      <c r="B100" s="49"/>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5">
      <c r="A101" s="3854" t="s">
        <v>112</v>
      </c>
      <c r="B101" s="3855"/>
      <c r="C101" s="3856"/>
      <c r="D101" s="14"/>
      <c r="E101" s="14"/>
      <c r="F101" s="14"/>
      <c r="G101" s="14"/>
      <c r="H101" s="14"/>
      <c r="I101" s="14"/>
      <c r="J101" s="14"/>
      <c r="K101" s="14"/>
      <c r="L101" s="14"/>
      <c r="M101" s="98"/>
      <c r="N101" s="14"/>
      <c r="O101" s="14"/>
      <c r="P101" s="14"/>
      <c r="Q101" s="14"/>
      <c r="R101" s="14"/>
      <c r="S101" s="14"/>
      <c r="T101" s="14"/>
      <c r="U101" s="14"/>
      <c r="V101" s="14"/>
      <c r="W101" s="14"/>
      <c r="X101" s="14"/>
      <c r="Y101" s="14"/>
      <c r="Z101" s="14"/>
      <c r="AA101" s="14"/>
      <c r="AB101" s="14"/>
      <c r="AC101" s="14"/>
      <c r="AD101" s="14"/>
      <c r="AE101" s="14"/>
      <c r="AF101" s="14"/>
      <c r="AG101" s="14"/>
      <c r="AH101" s="1"/>
    </row>
    <row r="102" spans="1:34" ht="15">
      <c r="A102" s="119" t="s">
        <v>142</v>
      </c>
      <c r="B102" s="119" t="s">
        <v>143</v>
      </c>
      <c r="C102" s="73">
        <v>1</v>
      </c>
      <c r="D102" s="73">
        <v>2</v>
      </c>
      <c r="E102" s="73">
        <v>3</v>
      </c>
      <c r="F102" s="73">
        <v>4</v>
      </c>
      <c r="G102" s="73">
        <v>5</v>
      </c>
      <c r="H102" s="73">
        <v>6</v>
      </c>
      <c r="I102" s="73">
        <v>7</v>
      </c>
      <c r="J102" s="73">
        <v>8</v>
      </c>
      <c r="K102" s="73">
        <v>9</v>
      </c>
      <c r="L102" s="73">
        <v>10</v>
      </c>
      <c r="M102" s="73">
        <v>11</v>
      </c>
      <c r="N102" s="73">
        <v>12</v>
      </c>
      <c r="O102" s="73">
        <v>13</v>
      </c>
      <c r="P102" s="73">
        <v>14</v>
      </c>
      <c r="Q102" s="73">
        <v>15</v>
      </c>
      <c r="R102" s="73">
        <v>16</v>
      </c>
      <c r="S102" s="73">
        <v>17</v>
      </c>
      <c r="T102" s="73">
        <v>18</v>
      </c>
      <c r="U102" s="73">
        <v>19</v>
      </c>
      <c r="V102" s="73">
        <v>20</v>
      </c>
      <c r="W102" s="73">
        <v>21</v>
      </c>
      <c r="X102" s="73">
        <v>22</v>
      </c>
      <c r="Y102" s="73">
        <v>23</v>
      </c>
      <c r="Z102" s="73">
        <v>24</v>
      </c>
      <c r="AA102" s="73">
        <v>25</v>
      </c>
      <c r="AB102" s="73">
        <v>26</v>
      </c>
      <c r="AC102" s="73">
        <v>27</v>
      </c>
      <c r="AD102" s="73">
        <v>28</v>
      </c>
      <c r="AE102" s="73">
        <v>29</v>
      </c>
      <c r="AF102" s="73">
        <v>30</v>
      </c>
      <c r="AG102" s="73">
        <v>31</v>
      </c>
      <c r="AH102" s="87" t="s">
        <v>144</v>
      </c>
    </row>
    <row r="103" spans="1:34" ht="15">
      <c r="A103" s="73" t="s">
        <v>145</v>
      </c>
      <c r="B103" s="53">
        <f t="shared" ref="B103:B114" si="18">+AH103</f>
        <v>0</v>
      </c>
      <c r="C103" s="116"/>
      <c r="D103" s="99"/>
      <c r="E103" s="99"/>
      <c r="F103" s="99"/>
      <c r="G103" s="99"/>
      <c r="H103" s="99"/>
      <c r="I103" s="99"/>
      <c r="J103" s="99"/>
      <c r="K103" s="99"/>
      <c r="L103" s="99"/>
      <c r="M103" s="99"/>
      <c r="N103" s="99"/>
      <c r="O103" s="99"/>
      <c r="P103" s="99"/>
      <c r="Q103" s="99"/>
      <c r="R103" s="99"/>
      <c r="S103" s="99"/>
      <c r="T103" s="99"/>
      <c r="U103" s="99"/>
      <c r="V103" s="99"/>
      <c r="W103" s="99"/>
      <c r="X103" s="99"/>
      <c r="Y103" s="99"/>
      <c r="Z103" s="99"/>
      <c r="AA103" s="99"/>
      <c r="AB103" s="99"/>
      <c r="AC103" s="99"/>
      <c r="AD103" s="99"/>
      <c r="AE103" s="99"/>
      <c r="AF103" s="99"/>
      <c r="AG103" s="99"/>
      <c r="AH103" s="100">
        <f>SUM(C103:AG103)</f>
        <v>0</v>
      </c>
    </row>
    <row r="104" spans="1:34" ht="15">
      <c r="A104" s="73" t="s">
        <v>146</v>
      </c>
      <c r="B104" s="53">
        <f t="shared" si="18"/>
        <v>0</v>
      </c>
      <c r="C104" s="116"/>
      <c r="D104" s="99"/>
      <c r="E104" s="99"/>
      <c r="F104" s="99"/>
      <c r="G104" s="99"/>
      <c r="H104" s="99"/>
      <c r="I104" s="99"/>
      <c r="J104" s="99"/>
      <c r="K104" s="99"/>
      <c r="L104" s="99"/>
      <c r="M104" s="99"/>
      <c r="N104" s="99"/>
      <c r="O104" s="99"/>
      <c r="P104" s="99"/>
      <c r="Q104" s="99"/>
      <c r="R104" s="99"/>
      <c r="S104" s="99"/>
      <c r="T104" s="99"/>
      <c r="U104" s="99"/>
      <c r="V104" s="99"/>
      <c r="W104" s="99"/>
      <c r="X104" s="99"/>
      <c r="Y104" s="99"/>
      <c r="Z104" s="99"/>
      <c r="AA104" s="99"/>
      <c r="AB104" s="99"/>
      <c r="AC104" s="99"/>
      <c r="AD104" s="99"/>
      <c r="AE104" s="99"/>
      <c r="AF104" s="99"/>
      <c r="AG104" s="99"/>
      <c r="AH104" s="100">
        <f t="shared" ref="AH104:AH114" si="19">SUM(C104:AG104)</f>
        <v>0</v>
      </c>
    </row>
    <row r="105" spans="1:34" ht="15">
      <c r="A105" s="73" t="s">
        <v>147</v>
      </c>
      <c r="B105" s="53">
        <f t="shared" si="18"/>
        <v>0</v>
      </c>
      <c r="C105" s="116"/>
      <c r="D105" s="99"/>
      <c r="E105" s="99"/>
      <c r="F105" s="99"/>
      <c r="G105" s="99"/>
      <c r="H105" s="99"/>
      <c r="I105" s="99"/>
      <c r="J105" s="99"/>
      <c r="K105" s="99"/>
      <c r="L105" s="99"/>
      <c r="M105" s="99"/>
      <c r="N105" s="99"/>
      <c r="O105" s="99"/>
      <c r="P105" s="99"/>
      <c r="Q105" s="99"/>
      <c r="R105" s="99"/>
      <c r="S105" s="99"/>
      <c r="T105" s="99"/>
      <c r="U105" s="99"/>
      <c r="V105" s="99"/>
      <c r="W105" s="99"/>
      <c r="X105" s="99"/>
      <c r="Y105" s="99"/>
      <c r="Z105" s="99"/>
      <c r="AA105" s="99"/>
      <c r="AB105" s="99"/>
      <c r="AC105" s="99"/>
      <c r="AD105" s="99"/>
      <c r="AE105" s="99"/>
      <c r="AF105" s="99"/>
      <c r="AG105" s="99"/>
      <c r="AH105" s="100">
        <f t="shared" si="19"/>
        <v>0</v>
      </c>
    </row>
    <row r="106" spans="1:34" ht="15">
      <c r="A106" s="73" t="s">
        <v>148</v>
      </c>
      <c r="B106" s="53">
        <f t="shared" si="18"/>
        <v>0</v>
      </c>
      <c r="C106" s="116"/>
      <c r="D106" s="99"/>
      <c r="E106" s="99"/>
      <c r="F106" s="99"/>
      <c r="G106" s="99"/>
      <c r="H106" s="99"/>
      <c r="I106" s="99"/>
      <c r="J106" s="99"/>
      <c r="K106" s="99"/>
      <c r="L106" s="99"/>
      <c r="M106" s="99"/>
      <c r="N106" s="99"/>
      <c r="O106" s="99"/>
      <c r="P106" s="99"/>
      <c r="Q106" s="99"/>
      <c r="R106" s="99"/>
      <c r="S106" s="99"/>
      <c r="T106" s="99"/>
      <c r="U106" s="99"/>
      <c r="V106" s="99"/>
      <c r="W106" s="99"/>
      <c r="X106" s="99"/>
      <c r="Y106" s="99"/>
      <c r="Z106" s="99"/>
      <c r="AA106" s="99"/>
      <c r="AB106" s="99"/>
      <c r="AC106" s="99"/>
      <c r="AD106" s="99"/>
      <c r="AE106" s="99"/>
      <c r="AF106" s="99"/>
      <c r="AG106" s="99"/>
      <c r="AH106" s="100">
        <f t="shared" si="19"/>
        <v>0</v>
      </c>
    </row>
    <row r="107" spans="1:34" ht="15">
      <c r="A107" s="73" t="s">
        <v>149</v>
      </c>
      <c r="B107" s="53">
        <f t="shared" si="18"/>
        <v>0</v>
      </c>
      <c r="C107" s="116"/>
      <c r="D107" s="99"/>
      <c r="E107" s="99"/>
      <c r="F107" s="99"/>
      <c r="G107" s="99"/>
      <c r="H107" s="99"/>
      <c r="I107" s="99"/>
      <c r="J107" s="99"/>
      <c r="K107" s="99"/>
      <c r="L107" s="99"/>
      <c r="M107" s="99"/>
      <c r="N107" s="99"/>
      <c r="O107" s="99"/>
      <c r="P107" s="99"/>
      <c r="Q107" s="99"/>
      <c r="R107" s="99"/>
      <c r="S107" s="99"/>
      <c r="T107" s="99"/>
      <c r="U107" s="99"/>
      <c r="V107" s="99"/>
      <c r="W107" s="99"/>
      <c r="X107" s="99"/>
      <c r="Y107" s="99"/>
      <c r="Z107" s="99"/>
      <c r="AA107" s="99"/>
      <c r="AB107" s="99"/>
      <c r="AC107" s="99"/>
      <c r="AD107" s="99"/>
      <c r="AE107" s="99"/>
      <c r="AF107" s="99"/>
      <c r="AG107" s="99"/>
      <c r="AH107" s="100">
        <f t="shared" si="19"/>
        <v>0</v>
      </c>
    </row>
    <row r="108" spans="1:34" ht="15">
      <c r="A108" s="73" t="s">
        <v>150</v>
      </c>
      <c r="B108" s="53">
        <f t="shared" si="18"/>
        <v>0</v>
      </c>
      <c r="C108" s="116"/>
      <c r="D108" s="99"/>
      <c r="E108" s="99"/>
      <c r="F108" s="99"/>
      <c r="G108" s="99"/>
      <c r="H108" s="99"/>
      <c r="I108" s="99"/>
      <c r="J108" s="99"/>
      <c r="K108" s="99"/>
      <c r="L108" s="99"/>
      <c r="M108" s="99"/>
      <c r="N108" s="99"/>
      <c r="O108" s="99"/>
      <c r="P108" s="99"/>
      <c r="Q108" s="99"/>
      <c r="R108" s="99"/>
      <c r="S108" s="99"/>
      <c r="T108" s="99"/>
      <c r="U108" s="99"/>
      <c r="V108" s="99"/>
      <c r="W108" s="99"/>
      <c r="X108" s="99"/>
      <c r="Y108" s="99"/>
      <c r="Z108" s="99"/>
      <c r="AA108" s="99"/>
      <c r="AB108" s="99"/>
      <c r="AC108" s="99"/>
      <c r="AD108" s="99"/>
      <c r="AE108" s="99"/>
      <c r="AF108" s="99"/>
      <c r="AG108" s="99"/>
      <c r="AH108" s="100">
        <f t="shared" si="19"/>
        <v>0</v>
      </c>
    </row>
    <row r="109" spans="1:34" ht="15">
      <c r="A109" s="73" t="s">
        <v>151</v>
      </c>
      <c r="B109" s="53">
        <f t="shared" si="18"/>
        <v>0</v>
      </c>
      <c r="C109" s="116"/>
      <c r="D109" s="99"/>
      <c r="E109" s="99"/>
      <c r="F109" s="99"/>
      <c r="G109" s="99"/>
      <c r="H109" s="99"/>
      <c r="I109" s="99"/>
      <c r="J109" s="99"/>
      <c r="K109" s="99"/>
      <c r="L109" s="99"/>
      <c r="M109" s="99"/>
      <c r="N109" s="99"/>
      <c r="O109" s="99"/>
      <c r="P109" s="99"/>
      <c r="Q109" s="99"/>
      <c r="R109" s="99"/>
      <c r="S109" s="99"/>
      <c r="T109" s="99"/>
      <c r="U109" s="99"/>
      <c r="V109" s="99"/>
      <c r="W109" s="99"/>
      <c r="X109" s="99"/>
      <c r="Y109" s="99"/>
      <c r="Z109" s="99"/>
      <c r="AA109" s="99"/>
      <c r="AB109" s="99"/>
      <c r="AC109" s="99"/>
      <c r="AD109" s="99"/>
      <c r="AE109" s="99"/>
      <c r="AF109" s="99"/>
      <c r="AG109" s="99"/>
      <c r="AH109" s="100">
        <f t="shared" si="19"/>
        <v>0</v>
      </c>
    </row>
    <row r="110" spans="1:34" ht="15">
      <c r="A110" s="73" t="s">
        <v>152</v>
      </c>
      <c r="B110" s="53">
        <f t="shared" si="18"/>
        <v>0</v>
      </c>
      <c r="C110" s="116"/>
      <c r="D110" s="99"/>
      <c r="E110" s="99"/>
      <c r="F110" s="99"/>
      <c r="G110" s="99"/>
      <c r="H110" s="99"/>
      <c r="I110" s="99"/>
      <c r="J110" s="99"/>
      <c r="K110" s="99"/>
      <c r="L110" s="99"/>
      <c r="M110" s="99"/>
      <c r="N110" s="99"/>
      <c r="O110" s="99"/>
      <c r="P110" s="99"/>
      <c r="Q110" s="99"/>
      <c r="R110" s="99"/>
      <c r="S110" s="99"/>
      <c r="T110" s="99"/>
      <c r="U110" s="99"/>
      <c r="V110" s="99"/>
      <c r="W110" s="99"/>
      <c r="X110" s="99"/>
      <c r="Y110" s="99"/>
      <c r="Z110" s="99"/>
      <c r="AA110" s="99"/>
      <c r="AB110" s="99"/>
      <c r="AC110" s="99"/>
      <c r="AD110" s="99"/>
      <c r="AE110" s="99"/>
      <c r="AF110" s="99"/>
      <c r="AG110" s="99"/>
      <c r="AH110" s="100">
        <f t="shared" si="19"/>
        <v>0</v>
      </c>
    </row>
    <row r="111" spans="1:34" ht="15">
      <c r="A111" s="73" t="s">
        <v>153</v>
      </c>
      <c r="B111" s="53">
        <f t="shared" si="18"/>
        <v>0</v>
      </c>
      <c r="C111" s="116"/>
      <c r="D111" s="99"/>
      <c r="E111" s="99"/>
      <c r="F111" s="99"/>
      <c r="G111" s="99"/>
      <c r="H111" s="99"/>
      <c r="I111" s="99"/>
      <c r="J111" s="99"/>
      <c r="K111" s="99"/>
      <c r="L111" s="99"/>
      <c r="M111" s="99"/>
      <c r="N111" s="99"/>
      <c r="O111" s="99"/>
      <c r="P111" s="99"/>
      <c r="Q111" s="99"/>
      <c r="R111" s="99"/>
      <c r="S111" s="99"/>
      <c r="T111" s="99"/>
      <c r="U111" s="99"/>
      <c r="V111" s="99"/>
      <c r="W111" s="99"/>
      <c r="X111" s="99"/>
      <c r="Y111" s="99"/>
      <c r="Z111" s="99"/>
      <c r="AA111" s="99"/>
      <c r="AB111" s="99"/>
      <c r="AC111" s="99"/>
      <c r="AD111" s="99"/>
      <c r="AE111" s="99"/>
      <c r="AF111" s="99"/>
      <c r="AG111" s="99"/>
      <c r="AH111" s="100">
        <f t="shared" si="19"/>
        <v>0</v>
      </c>
    </row>
    <row r="112" spans="1:34" ht="15">
      <c r="A112" s="73" t="s">
        <v>154</v>
      </c>
      <c r="B112" s="53">
        <f t="shared" si="18"/>
        <v>0</v>
      </c>
      <c r="C112" s="116"/>
      <c r="D112" s="99"/>
      <c r="E112" s="99"/>
      <c r="F112" s="99"/>
      <c r="G112" s="99"/>
      <c r="H112" s="99"/>
      <c r="I112" s="99"/>
      <c r="J112" s="99"/>
      <c r="K112" s="99"/>
      <c r="L112" s="99"/>
      <c r="M112" s="99"/>
      <c r="N112" s="99"/>
      <c r="O112" s="99"/>
      <c r="P112" s="99"/>
      <c r="Q112" s="99"/>
      <c r="R112" s="99"/>
      <c r="S112" s="99"/>
      <c r="T112" s="99"/>
      <c r="U112" s="99"/>
      <c r="V112" s="99"/>
      <c r="W112" s="99"/>
      <c r="X112" s="99"/>
      <c r="Y112" s="99"/>
      <c r="Z112" s="99"/>
      <c r="AA112" s="99"/>
      <c r="AB112" s="99"/>
      <c r="AC112" s="99"/>
      <c r="AD112" s="99"/>
      <c r="AE112" s="99"/>
      <c r="AF112" s="99"/>
      <c r="AG112" s="99"/>
      <c r="AH112" s="100">
        <f t="shared" si="19"/>
        <v>0</v>
      </c>
    </row>
    <row r="113" spans="1:34" ht="15">
      <c r="A113" s="73" t="s">
        <v>155</v>
      </c>
      <c r="B113" s="53">
        <f t="shared" si="18"/>
        <v>0</v>
      </c>
      <c r="C113" s="116"/>
      <c r="D113" s="99"/>
      <c r="E113" s="99"/>
      <c r="F113" s="99"/>
      <c r="G113" s="99"/>
      <c r="H113" s="99"/>
      <c r="I113" s="99"/>
      <c r="J113" s="99"/>
      <c r="K113" s="99"/>
      <c r="L113" s="99"/>
      <c r="M113" s="99"/>
      <c r="N113" s="99"/>
      <c r="O113" s="99"/>
      <c r="P113" s="99"/>
      <c r="Q113" s="99"/>
      <c r="R113" s="99"/>
      <c r="S113" s="99"/>
      <c r="T113" s="99"/>
      <c r="U113" s="99"/>
      <c r="V113" s="99"/>
      <c r="W113" s="99"/>
      <c r="X113" s="99"/>
      <c r="Y113" s="99"/>
      <c r="Z113" s="99"/>
      <c r="AA113" s="99"/>
      <c r="AB113" s="99"/>
      <c r="AC113" s="99"/>
      <c r="AD113" s="99"/>
      <c r="AE113" s="99"/>
      <c r="AF113" s="99"/>
      <c r="AG113" s="99"/>
      <c r="AH113" s="100">
        <f t="shared" si="19"/>
        <v>0</v>
      </c>
    </row>
    <row r="114" spans="1:34" ht="15">
      <c r="A114" s="73" t="s">
        <v>156</v>
      </c>
      <c r="B114" s="53">
        <f t="shared" si="18"/>
        <v>0</v>
      </c>
      <c r="C114" s="116"/>
      <c r="D114" s="99"/>
      <c r="E114" s="99"/>
      <c r="F114" s="99"/>
      <c r="G114" s="99"/>
      <c r="H114" s="99"/>
      <c r="I114" s="99"/>
      <c r="J114" s="99"/>
      <c r="K114" s="99"/>
      <c r="L114" s="99"/>
      <c r="M114" s="99"/>
      <c r="N114" s="99"/>
      <c r="O114" s="99"/>
      <c r="P114" s="99"/>
      <c r="Q114" s="99"/>
      <c r="R114" s="99"/>
      <c r="S114" s="99"/>
      <c r="T114" s="99"/>
      <c r="U114" s="99"/>
      <c r="V114" s="99"/>
      <c r="W114" s="99"/>
      <c r="X114" s="99"/>
      <c r="Y114" s="99"/>
      <c r="Z114" s="99"/>
      <c r="AA114" s="99"/>
      <c r="AB114" s="99"/>
      <c r="AC114" s="99"/>
      <c r="AD114" s="99"/>
      <c r="AE114" s="99"/>
      <c r="AF114" s="99"/>
      <c r="AG114" s="99"/>
      <c r="AH114" s="100">
        <f t="shared" si="19"/>
        <v>0</v>
      </c>
    </row>
    <row r="115" spans="1:34" ht="15">
      <c r="A115" s="200" t="s">
        <v>111</v>
      </c>
      <c r="B115" s="200">
        <f t="shared" ref="B115:AH115" si="20">SUM(B103:B114)</f>
        <v>0</v>
      </c>
      <c r="C115" s="100">
        <f t="shared" si="20"/>
        <v>0</v>
      </c>
      <c r="D115" s="100">
        <f t="shared" si="20"/>
        <v>0</v>
      </c>
      <c r="E115" s="100">
        <f t="shared" si="20"/>
        <v>0</v>
      </c>
      <c r="F115" s="100">
        <f t="shared" si="20"/>
        <v>0</v>
      </c>
      <c r="G115" s="100">
        <f t="shared" si="20"/>
        <v>0</v>
      </c>
      <c r="H115" s="100">
        <f t="shared" si="20"/>
        <v>0</v>
      </c>
      <c r="I115" s="100">
        <f t="shared" si="20"/>
        <v>0</v>
      </c>
      <c r="J115" s="100">
        <f t="shared" si="20"/>
        <v>0</v>
      </c>
      <c r="K115" s="100">
        <f t="shared" si="20"/>
        <v>0</v>
      </c>
      <c r="L115" s="100">
        <f t="shared" si="20"/>
        <v>0</v>
      </c>
      <c r="M115" s="100">
        <f t="shared" si="20"/>
        <v>0</v>
      </c>
      <c r="N115" s="100">
        <f t="shared" si="20"/>
        <v>0</v>
      </c>
      <c r="O115" s="100">
        <f t="shared" si="20"/>
        <v>0</v>
      </c>
      <c r="P115" s="100">
        <f t="shared" si="20"/>
        <v>0</v>
      </c>
      <c r="Q115" s="100">
        <f t="shared" si="20"/>
        <v>0</v>
      </c>
      <c r="R115" s="100">
        <f t="shared" si="20"/>
        <v>0</v>
      </c>
      <c r="S115" s="100">
        <f t="shared" si="20"/>
        <v>0</v>
      </c>
      <c r="T115" s="100">
        <f t="shared" si="20"/>
        <v>0</v>
      </c>
      <c r="U115" s="100">
        <f t="shared" si="20"/>
        <v>0</v>
      </c>
      <c r="V115" s="100">
        <f t="shared" si="20"/>
        <v>0</v>
      </c>
      <c r="W115" s="100">
        <f t="shared" si="20"/>
        <v>0</v>
      </c>
      <c r="X115" s="100">
        <f t="shared" si="20"/>
        <v>0</v>
      </c>
      <c r="Y115" s="100">
        <f t="shared" si="20"/>
        <v>0</v>
      </c>
      <c r="Z115" s="100">
        <f t="shared" si="20"/>
        <v>0</v>
      </c>
      <c r="AA115" s="100">
        <f t="shared" si="20"/>
        <v>0</v>
      </c>
      <c r="AB115" s="100">
        <f t="shared" si="20"/>
        <v>0</v>
      </c>
      <c r="AC115" s="100">
        <f t="shared" si="20"/>
        <v>0</v>
      </c>
      <c r="AD115" s="100">
        <f t="shared" si="20"/>
        <v>0</v>
      </c>
      <c r="AE115" s="100">
        <f t="shared" si="20"/>
        <v>0</v>
      </c>
      <c r="AF115" s="100">
        <f t="shared" si="20"/>
        <v>0</v>
      </c>
      <c r="AG115" s="100">
        <f t="shared" si="20"/>
        <v>0</v>
      </c>
      <c r="AH115" s="100">
        <f t="shared" si="20"/>
        <v>0</v>
      </c>
    </row>
  </sheetData>
  <mergeCells count="8">
    <mergeCell ref="A85:C85"/>
    <mergeCell ref="A101:C101"/>
    <mergeCell ref="A2:T2"/>
    <mergeCell ref="A5:C5"/>
    <mergeCell ref="A21:C21"/>
    <mergeCell ref="A37:C37"/>
    <mergeCell ref="A53:C53"/>
    <mergeCell ref="A69:C69"/>
  </mergeCells>
  <phoneticPr fontId="0" type="noConversion"/>
  <pageMargins left="0.75" right="0.75" top="1" bottom="1" header="0" footer="0"/>
  <pageSetup orientation="portrait" r:id="rId1"/>
  <headerFooter alignWithMargins="0"/>
  <legacyDrawing r:id="rId2"/>
  <oleObjects>
    <oleObject progId="MSPhotoEd.3" shapeId="12289" r:id="rId3"/>
  </oleObjects>
</worksheet>
</file>

<file path=xl/worksheets/sheet19.xml><?xml version="1.0" encoding="utf-8"?>
<worksheet xmlns="http://schemas.openxmlformats.org/spreadsheetml/2006/main" xmlns:r="http://schemas.openxmlformats.org/officeDocument/2006/relationships">
  <dimension ref="A2:AH35"/>
  <sheetViews>
    <sheetView topLeftCell="A19" zoomScale="90" zoomScaleNormal="90" workbookViewId="0">
      <selection activeCell="G21" sqref="G21"/>
    </sheetView>
  </sheetViews>
  <sheetFormatPr baseColWidth="10" defaultColWidth="11.44140625" defaultRowHeight="13.2"/>
  <cols>
    <col min="1" max="2" width="11.44140625" style="189"/>
    <col min="3" max="33" width="8.5546875" style="189" customWidth="1"/>
    <col min="34" max="16384" width="11.44140625" style="189"/>
  </cols>
  <sheetData>
    <row r="2" spans="1:34" ht="15">
      <c r="A2" s="3854" t="s">
        <v>393</v>
      </c>
      <c r="B2" s="3855"/>
      <c r="C2" s="3855"/>
      <c r="D2" s="3855"/>
      <c r="E2" s="3855"/>
      <c r="F2" s="3855"/>
      <c r="G2" s="3855"/>
      <c r="H2" s="3855"/>
      <c r="I2" s="3855"/>
      <c r="J2" s="3855"/>
      <c r="K2" s="3855"/>
      <c r="L2" s="3855"/>
      <c r="M2" s="3855"/>
      <c r="N2" s="3855"/>
      <c r="O2" s="3855"/>
      <c r="P2" s="3855"/>
      <c r="Q2" s="3855"/>
      <c r="R2" s="3855"/>
      <c r="S2" s="3855"/>
      <c r="T2" s="3856"/>
      <c r="U2" s="14"/>
      <c r="V2" s="14"/>
      <c r="W2" s="14"/>
      <c r="X2" s="14"/>
      <c r="Y2" s="14"/>
      <c r="Z2" s="14"/>
      <c r="AA2" s="14"/>
      <c r="AB2" s="14"/>
      <c r="AC2" s="14"/>
      <c r="AD2" s="14"/>
      <c r="AE2" s="14"/>
      <c r="AF2" s="14"/>
      <c r="AG2" s="14"/>
      <c r="AH2" s="1"/>
    </row>
    <row r="3" spans="1:34" s="190" customFormat="1" ht="15">
      <c r="A3" s="104"/>
      <c r="B3" s="104"/>
      <c r="C3" s="104"/>
      <c r="D3" s="104"/>
      <c r="E3" s="104"/>
      <c r="F3" s="104"/>
      <c r="G3" s="104"/>
      <c r="H3" s="104"/>
      <c r="I3" s="104"/>
      <c r="J3" s="104"/>
      <c r="K3" s="104"/>
      <c r="L3" s="104"/>
      <c r="M3" s="104"/>
      <c r="N3" s="104"/>
      <c r="O3" s="104"/>
      <c r="P3" s="104"/>
      <c r="Q3" s="104"/>
      <c r="R3" s="104"/>
      <c r="S3" s="104"/>
      <c r="T3" s="104"/>
      <c r="U3" s="14"/>
      <c r="V3" s="14"/>
      <c r="W3" s="14"/>
      <c r="X3" s="14"/>
      <c r="Y3" s="14"/>
      <c r="Z3" s="14"/>
      <c r="AA3" s="14"/>
      <c r="AB3" s="14"/>
      <c r="AC3" s="14"/>
      <c r="AD3" s="14"/>
      <c r="AE3" s="14"/>
      <c r="AF3" s="14"/>
      <c r="AG3" s="14"/>
      <c r="AH3" s="14"/>
    </row>
    <row r="4" spans="1:34" ht="15">
      <c r="A4" s="49"/>
      <c r="B4" s="49"/>
      <c r="C4" s="1"/>
      <c r="D4" s="14"/>
      <c r="E4" s="14"/>
      <c r="F4" s="14"/>
      <c r="G4" s="14"/>
      <c r="H4" s="14"/>
      <c r="I4" s="14"/>
      <c r="J4" s="14"/>
      <c r="K4" s="14"/>
      <c r="L4" s="98"/>
      <c r="M4" s="14"/>
      <c r="N4" s="14"/>
      <c r="O4" s="14"/>
      <c r="P4" s="14"/>
      <c r="Q4" s="14"/>
      <c r="R4" s="14"/>
      <c r="S4" s="14"/>
      <c r="T4" s="14"/>
      <c r="U4" s="14"/>
      <c r="V4" s="14"/>
      <c r="W4" s="14"/>
      <c r="X4" s="14"/>
      <c r="Y4" s="14"/>
      <c r="Z4" s="14"/>
      <c r="AA4" s="14"/>
      <c r="AB4" s="14"/>
      <c r="AC4" s="14"/>
      <c r="AD4" s="14"/>
      <c r="AE4" s="14"/>
      <c r="AF4" s="14"/>
      <c r="AG4" s="14"/>
      <c r="AH4" s="1"/>
    </row>
    <row r="5" spans="1:34" ht="15">
      <c r="A5" s="3854" t="s">
        <v>158</v>
      </c>
      <c r="B5" s="3855"/>
      <c r="C5" s="3856"/>
      <c r="D5" s="14"/>
      <c r="E5" s="14"/>
      <c r="F5" s="14"/>
      <c r="G5" s="14"/>
      <c r="H5" s="14"/>
      <c r="I5" s="14"/>
      <c r="J5" s="14"/>
      <c r="K5" s="14"/>
      <c r="L5" s="14"/>
      <c r="M5" s="98"/>
      <c r="N5" s="14"/>
      <c r="O5" s="14"/>
      <c r="P5" s="14"/>
      <c r="Q5" s="14"/>
      <c r="R5" s="14"/>
      <c r="S5" s="14"/>
      <c r="T5" s="14"/>
      <c r="U5" s="14"/>
      <c r="V5" s="14"/>
      <c r="W5" s="14"/>
      <c r="X5" s="14"/>
      <c r="Y5" s="14"/>
      <c r="Z5" s="14"/>
      <c r="AA5" s="14"/>
      <c r="AB5" s="14"/>
      <c r="AC5" s="14"/>
      <c r="AD5" s="14"/>
      <c r="AE5" s="14"/>
      <c r="AF5" s="14"/>
      <c r="AG5" s="14"/>
      <c r="AH5" s="1"/>
    </row>
    <row r="6" spans="1:34" ht="15">
      <c r="A6" s="8" t="s">
        <v>142</v>
      </c>
      <c r="B6" s="8" t="s">
        <v>143</v>
      </c>
      <c r="C6" s="73">
        <v>1</v>
      </c>
      <c r="D6" s="73">
        <v>2</v>
      </c>
      <c r="E6" s="73">
        <v>3</v>
      </c>
      <c r="F6" s="73">
        <v>4</v>
      </c>
      <c r="G6" s="73">
        <v>5</v>
      </c>
      <c r="H6" s="73">
        <v>6</v>
      </c>
      <c r="I6" s="73">
        <v>7</v>
      </c>
      <c r="J6" s="73">
        <v>8</v>
      </c>
      <c r="K6" s="73">
        <v>9</v>
      </c>
      <c r="L6" s="73">
        <v>10</v>
      </c>
      <c r="M6" s="73">
        <v>11</v>
      </c>
      <c r="N6" s="73">
        <v>12</v>
      </c>
      <c r="O6" s="73">
        <v>13</v>
      </c>
      <c r="P6" s="73">
        <v>14</v>
      </c>
      <c r="Q6" s="73">
        <v>15</v>
      </c>
      <c r="R6" s="73">
        <v>16</v>
      </c>
      <c r="S6" s="73">
        <v>17</v>
      </c>
      <c r="T6" s="73">
        <v>18</v>
      </c>
      <c r="U6" s="73">
        <v>19</v>
      </c>
      <c r="V6" s="73">
        <v>20</v>
      </c>
      <c r="W6" s="73">
        <v>21</v>
      </c>
      <c r="X6" s="73">
        <v>22</v>
      </c>
      <c r="Y6" s="73">
        <v>23</v>
      </c>
      <c r="Z6" s="73">
        <v>24</v>
      </c>
      <c r="AA6" s="73">
        <v>25</v>
      </c>
      <c r="AB6" s="73">
        <v>26</v>
      </c>
      <c r="AC6" s="73">
        <v>27</v>
      </c>
      <c r="AD6" s="73">
        <v>28</v>
      </c>
      <c r="AE6" s="73">
        <v>29</v>
      </c>
      <c r="AF6" s="73">
        <v>30</v>
      </c>
      <c r="AG6" s="73">
        <v>31</v>
      </c>
      <c r="AH6" s="58" t="s">
        <v>111</v>
      </c>
    </row>
    <row r="7" spans="1:34" ht="15">
      <c r="A7" s="73" t="s">
        <v>145</v>
      </c>
      <c r="B7" s="53">
        <f t="shared" ref="B7:B18" si="0">+AH7</f>
        <v>0</v>
      </c>
      <c r="C7" s="188" t="s">
        <v>162</v>
      </c>
      <c r="D7" s="188" t="s">
        <v>162</v>
      </c>
      <c r="E7" s="188" t="s">
        <v>162</v>
      </c>
      <c r="F7" s="188" t="s">
        <v>162</v>
      </c>
      <c r="G7" s="188" t="s">
        <v>162</v>
      </c>
      <c r="H7" s="188" t="s">
        <v>162</v>
      </c>
      <c r="I7" s="188" t="s">
        <v>162</v>
      </c>
      <c r="J7" s="188" t="s">
        <v>162</v>
      </c>
      <c r="K7" s="188" t="s">
        <v>162</v>
      </c>
      <c r="L7" s="188" t="s">
        <v>162</v>
      </c>
      <c r="M7" s="188" t="s">
        <v>162</v>
      </c>
      <c r="N7" s="188" t="s">
        <v>162</v>
      </c>
      <c r="O7" s="188" t="s">
        <v>162</v>
      </c>
      <c r="P7" s="188" t="s">
        <v>162</v>
      </c>
      <c r="Q7" s="188" t="s">
        <v>162</v>
      </c>
      <c r="R7" s="188" t="s">
        <v>162</v>
      </c>
      <c r="S7" s="188" t="s">
        <v>162</v>
      </c>
      <c r="T7" s="188" t="s">
        <v>162</v>
      </c>
      <c r="U7" s="188" t="s">
        <v>162</v>
      </c>
      <c r="V7" s="188" t="s">
        <v>162</v>
      </c>
      <c r="W7" s="188" t="s">
        <v>162</v>
      </c>
      <c r="X7" s="188" t="s">
        <v>162</v>
      </c>
      <c r="Y7" s="188" t="s">
        <v>162</v>
      </c>
      <c r="Z7" s="188" t="s">
        <v>162</v>
      </c>
      <c r="AA7" s="188" t="s">
        <v>162</v>
      </c>
      <c r="AB7" s="188" t="s">
        <v>162</v>
      </c>
      <c r="AC7" s="188" t="s">
        <v>162</v>
      </c>
      <c r="AD7" s="188" t="s">
        <v>162</v>
      </c>
      <c r="AE7" s="188" t="s">
        <v>162</v>
      </c>
      <c r="AF7" s="188" t="s">
        <v>162</v>
      </c>
      <c r="AG7" s="188" t="s">
        <v>162</v>
      </c>
      <c r="AH7" s="103">
        <f>SUM(C7:AG7)</f>
        <v>0</v>
      </c>
    </row>
    <row r="8" spans="1:34" ht="15">
      <c r="A8" s="73" t="s">
        <v>146</v>
      </c>
      <c r="B8" s="53">
        <f t="shared" si="0"/>
        <v>0</v>
      </c>
      <c r="C8" s="188" t="s">
        <v>162</v>
      </c>
      <c r="D8" s="188" t="s">
        <v>162</v>
      </c>
      <c r="E8" s="188" t="s">
        <v>162</v>
      </c>
      <c r="F8" s="188" t="s">
        <v>162</v>
      </c>
      <c r="G8" s="188" t="s">
        <v>162</v>
      </c>
      <c r="H8" s="188" t="s">
        <v>162</v>
      </c>
      <c r="I8" s="188" t="s">
        <v>162</v>
      </c>
      <c r="J8" s="188" t="s">
        <v>162</v>
      </c>
      <c r="K8" s="188" t="s">
        <v>162</v>
      </c>
      <c r="L8" s="188" t="s">
        <v>162</v>
      </c>
      <c r="M8" s="188" t="s">
        <v>162</v>
      </c>
      <c r="N8" s="188" t="s">
        <v>162</v>
      </c>
      <c r="O8" s="188" t="s">
        <v>162</v>
      </c>
      <c r="P8" s="188" t="s">
        <v>162</v>
      </c>
      <c r="Q8" s="188" t="s">
        <v>162</v>
      </c>
      <c r="R8" s="188" t="s">
        <v>162</v>
      </c>
      <c r="S8" s="188" t="s">
        <v>162</v>
      </c>
      <c r="T8" s="188" t="s">
        <v>162</v>
      </c>
      <c r="U8" s="188" t="s">
        <v>162</v>
      </c>
      <c r="V8" s="188" t="s">
        <v>162</v>
      </c>
      <c r="W8" s="188" t="s">
        <v>162</v>
      </c>
      <c r="X8" s="188" t="s">
        <v>162</v>
      </c>
      <c r="Y8" s="188" t="s">
        <v>162</v>
      </c>
      <c r="Z8" s="188" t="s">
        <v>162</v>
      </c>
      <c r="AA8" s="188" t="s">
        <v>162</v>
      </c>
      <c r="AB8" s="188" t="s">
        <v>162</v>
      </c>
      <c r="AC8" s="188" t="s">
        <v>162</v>
      </c>
      <c r="AD8" s="188" t="s">
        <v>162</v>
      </c>
      <c r="AE8" s="188" t="s">
        <v>162</v>
      </c>
      <c r="AF8" s="188" t="s">
        <v>162</v>
      </c>
      <c r="AG8" s="188" t="s">
        <v>162</v>
      </c>
      <c r="AH8" s="103">
        <f>SUM(C8:AG8)</f>
        <v>0</v>
      </c>
    </row>
    <row r="9" spans="1:34" ht="15">
      <c r="A9" s="73" t="s">
        <v>147</v>
      </c>
      <c r="B9" s="53">
        <f t="shared" si="0"/>
        <v>0</v>
      </c>
      <c r="C9" s="188" t="s">
        <v>162</v>
      </c>
      <c r="D9" s="188" t="s">
        <v>162</v>
      </c>
      <c r="E9" s="188" t="s">
        <v>162</v>
      </c>
      <c r="F9" s="188" t="s">
        <v>162</v>
      </c>
      <c r="G9" s="188" t="s">
        <v>162</v>
      </c>
      <c r="H9" s="188" t="s">
        <v>162</v>
      </c>
      <c r="I9" s="188" t="s">
        <v>162</v>
      </c>
      <c r="J9" s="188" t="s">
        <v>162</v>
      </c>
      <c r="K9" s="188" t="s">
        <v>162</v>
      </c>
      <c r="L9" s="188" t="s">
        <v>162</v>
      </c>
      <c r="M9" s="188" t="s">
        <v>162</v>
      </c>
      <c r="N9" s="188" t="s">
        <v>162</v>
      </c>
      <c r="O9" s="188" t="s">
        <v>162</v>
      </c>
      <c r="P9" s="188" t="s">
        <v>162</v>
      </c>
      <c r="Q9" s="188" t="s">
        <v>162</v>
      </c>
      <c r="R9" s="188" t="s">
        <v>162</v>
      </c>
      <c r="S9" s="188" t="s">
        <v>162</v>
      </c>
      <c r="T9" s="188" t="s">
        <v>162</v>
      </c>
      <c r="U9" s="188" t="s">
        <v>162</v>
      </c>
      <c r="V9" s="188" t="s">
        <v>162</v>
      </c>
      <c r="W9" s="188" t="s">
        <v>162</v>
      </c>
      <c r="X9" s="188" t="s">
        <v>162</v>
      </c>
      <c r="Y9" s="188" t="s">
        <v>162</v>
      </c>
      <c r="Z9" s="188" t="s">
        <v>162</v>
      </c>
      <c r="AA9" s="188" t="s">
        <v>162</v>
      </c>
      <c r="AB9" s="188" t="s">
        <v>162</v>
      </c>
      <c r="AC9" s="188" t="s">
        <v>162</v>
      </c>
      <c r="AD9" s="188" t="s">
        <v>162</v>
      </c>
      <c r="AE9" s="188" t="s">
        <v>162</v>
      </c>
      <c r="AF9" s="188" t="s">
        <v>162</v>
      </c>
      <c r="AG9" s="188" t="s">
        <v>162</v>
      </c>
      <c r="AH9" s="103">
        <f>SUM(C9:AG9)</f>
        <v>0</v>
      </c>
    </row>
    <row r="10" spans="1:34" ht="15">
      <c r="A10" s="73" t="s">
        <v>148</v>
      </c>
      <c r="B10" s="53">
        <f t="shared" si="0"/>
        <v>0</v>
      </c>
      <c r="C10" s="116"/>
      <c r="D10" s="99"/>
      <c r="E10" s="99"/>
      <c r="F10" s="99"/>
      <c r="G10" s="99"/>
      <c r="H10" s="99"/>
      <c r="I10" s="99"/>
      <c r="J10" s="99"/>
      <c r="K10" s="99"/>
      <c r="L10" s="99"/>
      <c r="M10" s="99"/>
      <c r="N10" s="99"/>
      <c r="O10" s="99"/>
      <c r="P10" s="99"/>
      <c r="Q10" s="99"/>
      <c r="R10" s="99"/>
      <c r="S10" s="99"/>
      <c r="T10" s="99"/>
      <c r="U10" s="99"/>
      <c r="V10" s="99"/>
      <c r="W10" s="99"/>
      <c r="X10" s="99"/>
      <c r="Y10" s="99"/>
      <c r="Z10" s="99"/>
      <c r="AA10" s="99"/>
      <c r="AB10" s="99"/>
      <c r="AC10" s="99"/>
      <c r="AD10" s="99"/>
      <c r="AE10" s="99"/>
      <c r="AF10" s="99"/>
      <c r="AG10" s="99"/>
      <c r="AH10" s="103">
        <f t="shared" ref="AH10:AH19" si="1">SUM(C10:AG10)</f>
        <v>0</v>
      </c>
    </row>
    <row r="11" spans="1:34" ht="15">
      <c r="A11" s="73" t="s">
        <v>149</v>
      </c>
      <c r="B11" s="53">
        <f t="shared" si="0"/>
        <v>0</v>
      </c>
      <c r="C11" s="116"/>
      <c r="D11" s="99"/>
      <c r="E11" s="99"/>
      <c r="F11" s="99"/>
      <c r="G11" s="99"/>
      <c r="H11" s="99"/>
      <c r="I11" s="99"/>
      <c r="J11" s="99"/>
      <c r="K11" s="99"/>
      <c r="L11" s="99"/>
      <c r="M11" s="99"/>
      <c r="N11" s="99"/>
      <c r="O11" s="99"/>
      <c r="P11" s="99"/>
      <c r="Q11" s="99"/>
      <c r="R11" s="99"/>
      <c r="S11" s="99"/>
      <c r="T11" s="99"/>
      <c r="U11" s="99"/>
      <c r="V11" s="99"/>
      <c r="W11" s="99"/>
      <c r="X11" s="99"/>
      <c r="Y11" s="99"/>
      <c r="Z11" s="99"/>
      <c r="AA11" s="99"/>
      <c r="AB11" s="99"/>
      <c r="AC11" s="99"/>
      <c r="AD11" s="99"/>
      <c r="AE11" s="99"/>
      <c r="AF11" s="99"/>
      <c r="AG11" s="99"/>
      <c r="AH11" s="103">
        <f t="shared" si="1"/>
        <v>0</v>
      </c>
    </row>
    <row r="12" spans="1:34" ht="15">
      <c r="A12" s="73" t="s">
        <v>150</v>
      </c>
      <c r="B12" s="53">
        <f t="shared" si="0"/>
        <v>0</v>
      </c>
      <c r="C12" s="116"/>
      <c r="D12" s="99"/>
      <c r="E12" s="99"/>
      <c r="F12" s="99"/>
      <c r="G12" s="99"/>
      <c r="H12" s="99"/>
      <c r="I12" s="99"/>
      <c r="J12" s="99"/>
      <c r="K12" s="99"/>
      <c r="L12" s="99"/>
      <c r="M12" s="99"/>
      <c r="N12" s="99"/>
      <c r="O12" s="99"/>
      <c r="P12" s="99"/>
      <c r="Q12" s="99"/>
      <c r="R12" s="99"/>
      <c r="S12" s="99"/>
      <c r="T12" s="99"/>
      <c r="U12" s="99"/>
      <c r="V12" s="99"/>
      <c r="W12" s="99"/>
      <c r="X12" s="99"/>
      <c r="Y12" s="99"/>
      <c r="Z12" s="99"/>
      <c r="AA12" s="99"/>
      <c r="AB12" s="99"/>
      <c r="AC12" s="99"/>
      <c r="AD12" s="99"/>
      <c r="AE12" s="99"/>
      <c r="AF12" s="99"/>
      <c r="AG12" s="99"/>
      <c r="AH12" s="103">
        <f t="shared" si="1"/>
        <v>0</v>
      </c>
    </row>
    <row r="13" spans="1:34" ht="15">
      <c r="A13" s="73" t="s">
        <v>151</v>
      </c>
      <c r="B13" s="53">
        <f t="shared" si="0"/>
        <v>0</v>
      </c>
      <c r="C13" s="116"/>
      <c r="D13" s="99"/>
      <c r="E13" s="99"/>
      <c r="F13" s="99"/>
      <c r="G13" s="99"/>
      <c r="H13" s="99"/>
      <c r="I13" s="99"/>
      <c r="J13" s="99"/>
      <c r="K13" s="99"/>
      <c r="L13" s="99"/>
      <c r="M13" s="99"/>
      <c r="N13" s="99"/>
      <c r="O13" s="99"/>
      <c r="P13" s="99"/>
      <c r="Q13" s="99"/>
      <c r="R13" s="99"/>
      <c r="S13" s="99"/>
      <c r="T13" s="99"/>
      <c r="U13" s="99"/>
      <c r="V13" s="99"/>
      <c r="W13" s="99"/>
      <c r="X13" s="99"/>
      <c r="Y13" s="99"/>
      <c r="Z13" s="99"/>
      <c r="AA13" s="99"/>
      <c r="AB13" s="99"/>
      <c r="AC13" s="99"/>
      <c r="AD13" s="99"/>
      <c r="AE13" s="99"/>
      <c r="AF13" s="99"/>
      <c r="AG13" s="99"/>
      <c r="AH13" s="103">
        <f t="shared" si="1"/>
        <v>0</v>
      </c>
    </row>
    <row r="14" spans="1:34" ht="15">
      <c r="A14" s="73" t="s">
        <v>152</v>
      </c>
      <c r="B14" s="53">
        <f t="shared" si="0"/>
        <v>0</v>
      </c>
      <c r="C14" s="116"/>
      <c r="D14" s="99"/>
      <c r="E14" s="99"/>
      <c r="F14" s="99"/>
      <c r="G14" s="99"/>
      <c r="H14" s="99"/>
      <c r="I14" s="99"/>
      <c r="J14" s="99"/>
      <c r="K14" s="99"/>
      <c r="L14" s="99"/>
      <c r="M14" s="99"/>
      <c r="N14" s="99"/>
      <c r="O14" s="99"/>
      <c r="P14" s="99"/>
      <c r="Q14" s="99"/>
      <c r="R14" s="99"/>
      <c r="S14" s="99"/>
      <c r="T14" s="99"/>
      <c r="U14" s="99"/>
      <c r="V14" s="99"/>
      <c r="W14" s="99"/>
      <c r="X14" s="99"/>
      <c r="Y14" s="99"/>
      <c r="Z14" s="99"/>
      <c r="AA14" s="99"/>
      <c r="AB14" s="99"/>
      <c r="AC14" s="99"/>
      <c r="AD14" s="99"/>
      <c r="AE14" s="99"/>
      <c r="AF14" s="99"/>
      <c r="AG14" s="99"/>
      <c r="AH14" s="103">
        <f t="shared" si="1"/>
        <v>0</v>
      </c>
    </row>
    <row r="15" spans="1:34" ht="15">
      <c r="A15" s="73" t="s">
        <v>153</v>
      </c>
      <c r="B15" s="53">
        <f t="shared" si="0"/>
        <v>13.638</v>
      </c>
      <c r="C15" s="458"/>
      <c r="D15" s="458"/>
      <c r="E15" s="458"/>
      <c r="F15" s="458"/>
      <c r="G15" s="458"/>
      <c r="H15" s="458"/>
      <c r="I15" s="458"/>
      <c r="J15" s="458"/>
      <c r="K15" s="458">
        <v>4.59</v>
      </c>
      <c r="L15" s="458"/>
      <c r="M15" s="458">
        <v>4.59</v>
      </c>
      <c r="N15" s="458"/>
      <c r="O15" s="458">
        <v>3.968</v>
      </c>
      <c r="P15" s="458"/>
      <c r="Q15" s="458"/>
      <c r="R15" s="458"/>
      <c r="S15" s="458"/>
      <c r="T15" s="458"/>
      <c r="U15" s="458"/>
      <c r="V15" s="458"/>
      <c r="W15" s="458">
        <v>0.49</v>
      </c>
      <c r="X15" s="458"/>
      <c r="Y15" s="458"/>
      <c r="Z15" s="458"/>
      <c r="AA15" s="458"/>
      <c r="AB15" s="458"/>
      <c r="AC15" s="458"/>
      <c r="AD15" s="458"/>
      <c r="AE15" s="458"/>
      <c r="AF15" s="458"/>
      <c r="AG15" s="458"/>
      <c r="AH15" s="548">
        <f t="shared" si="1"/>
        <v>13.638</v>
      </c>
    </row>
    <row r="16" spans="1:34" ht="15">
      <c r="A16" s="73" t="s">
        <v>154</v>
      </c>
      <c r="B16" s="53">
        <f t="shared" si="0"/>
        <v>0</v>
      </c>
      <c r="C16" s="2430"/>
      <c r="D16" s="339"/>
      <c r="E16" s="339"/>
      <c r="F16" s="339"/>
      <c r="G16" s="339"/>
      <c r="H16" s="339"/>
      <c r="I16" s="339"/>
      <c r="J16" s="339"/>
      <c r="K16" s="339"/>
      <c r="L16" s="339"/>
      <c r="M16" s="339"/>
      <c r="N16" s="339"/>
      <c r="O16" s="339"/>
      <c r="P16" s="339"/>
      <c r="Q16" s="339"/>
      <c r="R16" s="339"/>
      <c r="S16" s="339"/>
      <c r="T16" s="339"/>
      <c r="U16" s="339"/>
      <c r="V16" s="339"/>
      <c r="W16" s="339"/>
      <c r="X16" s="339"/>
      <c r="Y16" s="339"/>
      <c r="Z16" s="339"/>
      <c r="AA16" s="339"/>
      <c r="AB16" s="339"/>
      <c r="AC16" s="339"/>
      <c r="AD16" s="339"/>
      <c r="AE16" s="339"/>
      <c r="AF16" s="339"/>
      <c r="AG16" s="339"/>
      <c r="AH16" s="103">
        <f t="shared" si="1"/>
        <v>0</v>
      </c>
    </row>
    <row r="17" spans="1:34" ht="15">
      <c r="A17" s="73" t="s">
        <v>155</v>
      </c>
      <c r="B17" s="53">
        <f t="shared" si="0"/>
        <v>0</v>
      </c>
      <c r="C17" s="116"/>
      <c r="D17" s="99"/>
      <c r="E17" s="99"/>
      <c r="F17" s="99"/>
      <c r="G17" s="99"/>
      <c r="H17" s="99"/>
      <c r="I17" s="99"/>
      <c r="J17" s="99"/>
      <c r="K17" s="99"/>
      <c r="L17" s="99"/>
      <c r="M17" s="99"/>
      <c r="N17" s="99"/>
      <c r="O17" s="99"/>
      <c r="P17" s="99"/>
      <c r="Q17" s="99"/>
      <c r="R17" s="99"/>
      <c r="S17" s="99"/>
      <c r="T17" s="99"/>
      <c r="U17" s="99"/>
      <c r="V17" s="99"/>
      <c r="W17" s="99"/>
      <c r="X17" s="99"/>
      <c r="Y17" s="99"/>
      <c r="Z17" s="99"/>
      <c r="AA17" s="99"/>
      <c r="AB17" s="99"/>
      <c r="AC17" s="99"/>
      <c r="AD17" s="99"/>
      <c r="AE17" s="99"/>
      <c r="AF17" s="99"/>
      <c r="AG17" s="99"/>
      <c r="AH17" s="103">
        <f t="shared" si="1"/>
        <v>0</v>
      </c>
    </row>
    <row r="18" spans="1:34" ht="15">
      <c r="A18" s="73" t="s">
        <v>156</v>
      </c>
      <c r="B18" s="53">
        <f t="shared" si="0"/>
        <v>0</v>
      </c>
      <c r="C18" s="116"/>
      <c r="D18" s="99"/>
      <c r="E18" s="99"/>
      <c r="F18" s="99"/>
      <c r="G18" s="99"/>
      <c r="H18" s="99"/>
      <c r="I18" s="99"/>
      <c r="J18" s="99"/>
      <c r="K18" s="99"/>
      <c r="L18" s="99"/>
      <c r="M18" s="99"/>
      <c r="N18" s="99"/>
      <c r="O18" s="99"/>
      <c r="P18" s="99"/>
      <c r="Q18" s="99"/>
      <c r="R18" s="99"/>
      <c r="S18" s="99"/>
      <c r="T18" s="99"/>
      <c r="U18" s="99"/>
      <c r="V18" s="99"/>
      <c r="W18" s="99"/>
      <c r="X18" s="99"/>
      <c r="Y18" s="99"/>
      <c r="Z18" s="99"/>
      <c r="AA18" s="99"/>
      <c r="AB18" s="99"/>
      <c r="AC18" s="99"/>
      <c r="AD18" s="99"/>
      <c r="AE18" s="99"/>
      <c r="AF18" s="99"/>
      <c r="AG18" s="99"/>
      <c r="AH18" s="103">
        <f t="shared" si="1"/>
        <v>0</v>
      </c>
    </row>
    <row r="19" spans="1:34" ht="15">
      <c r="A19" s="200" t="s">
        <v>111</v>
      </c>
      <c r="B19" s="200">
        <f>SUM(B7:B18)</f>
        <v>13.638</v>
      </c>
      <c r="C19" s="100"/>
      <c r="D19" s="100"/>
      <c r="E19" s="100"/>
      <c r="F19" s="100"/>
      <c r="G19" s="100"/>
      <c r="H19" s="100"/>
      <c r="I19" s="100"/>
      <c r="J19" s="100"/>
      <c r="K19" s="100"/>
      <c r="L19" s="100"/>
      <c r="M19" s="100"/>
      <c r="N19" s="100"/>
      <c r="O19" s="100"/>
      <c r="P19" s="100"/>
      <c r="Q19" s="100"/>
      <c r="R19" s="100"/>
      <c r="S19" s="100"/>
      <c r="T19" s="100"/>
      <c r="U19" s="100"/>
      <c r="V19" s="100"/>
      <c r="W19" s="100"/>
      <c r="X19" s="100"/>
      <c r="Y19" s="100"/>
      <c r="Z19" s="100"/>
      <c r="AA19" s="100"/>
      <c r="AB19" s="100"/>
      <c r="AC19" s="100"/>
      <c r="AD19" s="100"/>
      <c r="AE19" s="100"/>
      <c r="AF19" s="100"/>
      <c r="AG19" s="100"/>
      <c r="AH19" s="103">
        <f t="shared" si="1"/>
        <v>0</v>
      </c>
    </row>
    <row r="20" spans="1:34" ht="15">
      <c r="A20" s="117"/>
      <c r="B20" s="117"/>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34" ht="15">
      <c r="A21" s="3854" t="s">
        <v>129</v>
      </c>
      <c r="B21" s="3855"/>
      <c r="C21" s="3856"/>
      <c r="D21" s="14"/>
      <c r="E21" s="14"/>
      <c r="F21" s="14"/>
      <c r="G21" s="3313"/>
      <c r="H21" s="14"/>
      <c r="I21" s="14"/>
      <c r="J21" s="14"/>
      <c r="K21" s="14"/>
      <c r="L21" s="14"/>
      <c r="M21" s="98"/>
      <c r="N21" s="14"/>
      <c r="O21" s="14"/>
      <c r="P21" s="14"/>
      <c r="Q21" s="14"/>
      <c r="R21" s="14"/>
      <c r="S21" s="14"/>
      <c r="T21" s="14"/>
      <c r="U21" s="14"/>
      <c r="V21" s="14"/>
      <c r="W21" s="14"/>
      <c r="X21" s="14"/>
      <c r="Y21" s="14"/>
      <c r="Z21" s="14"/>
      <c r="AA21" s="14"/>
      <c r="AB21" s="14"/>
      <c r="AC21" s="14"/>
      <c r="AD21" s="14"/>
      <c r="AE21" s="14"/>
      <c r="AF21" s="14"/>
      <c r="AG21" s="14"/>
      <c r="AH21" s="1"/>
    </row>
    <row r="22" spans="1:34" ht="15">
      <c r="A22" s="8" t="s">
        <v>142</v>
      </c>
      <c r="B22" s="8" t="s">
        <v>143</v>
      </c>
      <c r="C22" s="73">
        <v>1</v>
      </c>
      <c r="D22" s="73">
        <v>2</v>
      </c>
      <c r="E22" s="73">
        <v>3</v>
      </c>
      <c r="F22" s="73">
        <v>4</v>
      </c>
      <c r="G22" s="73">
        <v>5</v>
      </c>
      <c r="H22" s="73">
        <v>6</v>
      </c>
      <c r="I22" s="73">
        <v>7</v>
      </c>
      <c r="J22" s="73">
        <v>8</v>
      </c>
      <c r="K22" s="73">
        <v>9</v>
      </c>
      <c r="L22" s="73">
        <v>10</v>
      </c>
      <c r="M22" s="73">
        <v>11</v>
      </c>
      <c r="N22" s="73">
        <v>12</v>
      </c>
      <c r="O22" s="73">
        <v>13</v>
      </c>
      <c r="P22" s="73">
        <v>14</v>
      </c>
      <c r="Q22" s="73">
        <v>15</v>
      </c>
      <c r="R22" s="73">
        <v>16</v>
      </c>
      <c r="S22" s="73">
        <v>17</v>
      </c>
      <c r="T22" s="73">
        <v>18</v>
      </c>
      <c r="U22" s="73">
        <v>19</v>
      </c>
      <c r="V22" s="73">
        <v>20</v>
      </c>
      <c r="W22" s="73">
        <v>21</v>
      </c>
      <c r="X22" s="73">
        <v>22</v>
      </c>
      <c r="Y22" s="73">
        <v>23</v>
      </c>
      <c r="Z22" s="73">
        <v>24</v>
      </c>
      <c r="AA22" s="73">
        <v>25</v>
      </c>
      <c r="AB22" s="73">
        <v>26</v>
      </c>
      <c r="AC22" s="73">
        <v>27</v>
      </c>
      <c r="AD22" s="73">
        <v>28</v>
      </c>
      <c r="AE22" s="73">
        <v>29</v>
      </c>
      <c r="AF22" s="73">
        <v>30</v>
      </c>
      <c r="AG22" s="73">
        <v>31</v>
      </c>
      <c r="AH22" s="58" t="s">
        <v>111</v>
      </c>
    </row>
    <row r="23" spans="1:34" ht="15">
      <c r="A23" s="73" t="s">
        <v>145</v>
      </c>
      <c r="B23" s="53">
        <f t="shared" ref="B23:B34" si="2">+AH23</f>
        <v>0</v>
      </c>
      <c r="C23" s="188" t="s">
        <v>162</v>
      </c>
      <c r="D23" s="188" t="s">
        <v>162</v>
      </c>
      <c r="E23" s="188" t="s">
        <v>162</v>
      </c>
      <c r="F23" s="188" t="s">
        <v>162</v>
      </c>
      <c r="G23" s="188" t="s">
        <v>162</v>
      </c>
      <c r="H23" s="188" t="s">
        <v>162</v>
      </c>
      <c r="I23" s="188" t="s">
        <v>162</v>
      </c>
      <c r="J23" s="188" t="s">
        <v>162</v>
      </c>
      <c r="K23" s="188" t="s">
        <v>162</v>
      </c>
      <c r="L23" s="188" t="s">
        <v>162</v>
      </c>
      <c r="M23" s="188" t="s">
        <v>162</v>
      </c>
      <c r="N23" s="188" t="s">
        <v>162</v>
      </c>
      <c r="O23" s="188" t="s">
        <v>162</v>
      </c>
      <c r="P23" s="188" t="s">
        <v>162</v>
      </c>
      <c r="Q23" s="188" t="s">
        <v>162</v>
      </c>
      <c r="R23" s="188" t="s">
        <v>162</v>
      </c>
      <c r="S23" s="188" t="s">
        <v>162</v>
      </c>
      <c r="T23" s="188" t="s">
        <v>162</v>
      </c>
      <c r="U23" s="188" t="s">
        <v>162</v>
      </c>
      <c r="V23" s="188" t="s">
        <v>162</v>
      </c>
      <c r="W23" s="188" t="s">
        <v>162</v>
      </c>
      <c r="X23" s="188" t="s">
        <v>162</v>
      </c>
      <c r="Y23" s="188" t="s">
        <v>162</v>
      </c>
      <c r="Z23" s="188" t="s">
        <v>162</v>
      </c>
      <c r="AA23" s="188" t="s">
        <v>162</v>
      </c>
      <c r="AB23" s="188" t="s">
        <v>162</v>
      </c>
      <c r="AC23" s="188" t="s">
        <v>162</v>
      </c>
      <c r="AD23" s="188" t="s">
        <v>162</v>
      </c>
      <c r="AE23" s="188" t="s">
        <v>162</v>
      </c>
      <c r="AF23" s="188" t="s">
        <v>162</v>
      </c>
      <c r="AG23" s="188" t="s">
        <v>162</v>
      </c>
      <c r="AH23" s="103">
        <f>SUM(C23:AG23)</f>
        <v>0</v>
      </c>
    </row>
    <row r="24" spans="1:34" ht="15">
      <c r="A24" s="73" t="s">
        <v>146</v>
      </c>
      <c r="B24" s="53">
        <f t="shared" si="2"/>
        <v>0</v>
      </c>
      <c r="C24" s="188" t="s">
        <v>162</v>
      </c>
      <c r="D24" s="188" t="s">
        <v>162</v>
      </c>
      <c r="E24" s="188" t="s">
        <v>162</v>
      </c>
      <c r="F24" s="188" t="s">
        <v>162</v>
      </c>
      <c r="G24" s="188" t="s">
        <v>162</v>
      </c>
      <c r="H24" s="188" t="s">
        <v>162</v>
      </c>
      <c r="I24" s="188" t="s">
        <v>162</v>
      </c>
      <c r="J24" s="188" t="s">
        <v>162</v>
      </c>
      <c r="K24" s="188" t="s">
        <v>162</v>
      </c>
      <c r="L24" s="188" t="s">
        <v>162</v>
      </c>
      <c r="M24" s="188" t="s">
        <v>162</v>
      </c>
      <c r="N24" s="188" t="s">
        <v>162</v>
      </c>
      <c r="O24" s="188" t="s">
        <v>162</v>
      </c>
      <c r="P24" s="188" t="s">
        <v>162</v>
      </c>
      <c r="Q24" s="188" t="s">
        <v>162</v>
      </c>
      <c r="R24" s="188" t="s">
        <v>162</v>
      </c>
      <c r="S24" s="188" t="s">
        <v>162</v>
      </c>
      <c r="T24" s="188" t="s">
        <v>162</v>
      </c>
      <c r="U24" s="188" t="s">
        <v>162</v>
      </c>
      <c r="V24" s="188" t="s">
        <v>162</v>
      </c>
      <c r="W24" s="188" t="s">
        <v>162</v>
      </c>
      <c r="X24" s="188" t="s">
        <v>162</v>
      </c>
      <c r="Y24" s="188" t="s">
        <v>162</v>
      </c>
      <c r="Z24" s="188" t="s">
        <v>162</v>
      </c>
      <c r="AA24" s="188" t="s">
        <v>162</v>
      </c>
      <c r="AB24" s="188" t="s">
        <v>162</v>
      </c>
      <c r="AC24" s="188" t="s">
        <v>162</v>
      </c>
      <c r="AD24" s="188" t="s">
        <v>162</v>
      </c>
      <c r="AE24" s="188" t="s">
        <v>162</v>
      </c>
      <c r="AF24" s="188" t="s">
        <v>162</v>
      </c>
      <c r="AG24" s="188" t="s">
        <v>162</v>
      </c>
      <c r="AH24" s="103">
        <f>SUM(C24:AG24)</f>
        <v>0</v>
      </c>
    </row>
    <row r="25" spans="1:34" ht="15">
      <c r="A25" s="73" t="s">
        <v>147</v>
      </c>
      <c r="B25" s="53">
        <f t="shared" si="2"/>
        <v>0</v>
      </c>
      <c r="C25" s="188" t="s">
        <v>162</v>
      </c>
      <c r="D25" s="188" t="s">
        <v>162</v>
      </c>
      <c r="E25" s="188" t="s">
        <v>162</v>
      </c>
      <c r="F25" s="188" t="s">
        <v>162</v>
      </c>
      <c r="G25" s="188" t="s">
        <v>162</v>
      </c>
      <c r="H25" s="188" t="s">
        <v>162</v>
      </c>
      <c r="I25" s="188" t="s">
        <v>162</v>
      </c>
      <c r="J25" s="188" t="s">
        <v>162</v>
      </c>
      <c r="K25" s="188" t="s">
        <v>162</v>
      </c>
      <c r="L25" s="188" t="s">
        <v>162</v>
      </c>
      <c r="M25" s="188" t="s">
        <v>162</v>
      </c>
      <c r="N25" s="188" t="s">
        <v>162</v>
      </c>
      <c r="O25" s="188" t="s">
        <v>162</v>
      </c>
      <c r="P25" s="188" t="s">
        <v>162</v>
      </c>
      <c r="Q25" s="188" t="s">
        <v>162</v>
      </c>
      <c r="R25" s="188" t="s">
        <v>162</v>
      </c>
      <c r="S25" s="188" t="s">
        <v>162</v>
      </c>
      <c r="T25" s="188" t="s">
        <v>162</v>
      </c>
      <c r="U25" s="188" t="s">
        <v>162</v>
      </c>
      <c r="V25" s="188" t="s">
        <v>162</v>
      </c>
      <c r="W25" s="188" t="s">
        <v>162</v>
      </c>
      <c r="X25" s="188" t="s">
        <v>162</v>
      </c>
      <c r="Y25" s="188" t="s">
        <v>162</v>
      </c>
      <c r="Z25" s="188" t="s">
        <v>162</v>
      </c>
      <c r="AA25" s="188" t="s">
        <v>162</v>
      </c>
      <c r="AB25" s="188" t="s">
        <v>162</v>
      </c>
      <c r="AC25" s="188" t="s">
        <v>162</v>
      </c>
      <c r="AD25" s="188" t="s">
        <v>162</v>
      </c>
      <c r="AE25" s="188" t="s">
        <v>162</v>
      </c>
      <c r="AF25" s="188" t="s">
        <v>162</v>
      </c>
      <c r="AG25" s="188" t="s">
        <v>162</v>
      </c>
      <c r="AH25" s="103">
        <f>SUM(C25:AG25)</f>
        <v>0</v>
      </c>
    </row>
    <row r="26" spans="1:34" ht="15">
      <c r="A26" s="73" t="s">
        <v>148</v>
      </c>
      <c r="B26" s="53">
        <f t="shared" si="2"/>
        <v>284.024</v>
      </c>
      <c r="C26" s="296">
        <v>13.702999999999999</v>
      </c>
      <c r="D26" s="297">
        <v>19.53</v>
      </c>
      <c r="E26" s="298">
        <v>19.433</v>
      </c>
      <c r="F26" s="298">
        <v>10.926</v>
      </c>
      <c r="G26" s="298"/>
      <c r="H26" s="298"/>
      <c r="I26" s="298"/>
      <c r="J26" s="298">
        <v>18.338999999999999</v>
      </c>
      <c r="K26" s="298">
        <v>18.784000000000002</v>
      </c>
      <c r="L26" s="298">
        <v>22.44</v>
      </c>
      <c r="M26" s="298">
        <v>6.8380000000000001</v>
      </c>
      <c r="N26" s="298">
        <v>20.414000000000001</v>
      </c>
      <c r="O26" s="298">
        <v>3.0449999999999999</v>
      </c>
      <c r="P26" s="298"/>
      <c r="Q26" s="298">
        <v>8.620000000000001</v>
      </c>
      <c r="R26" s="298">
        <v>10.940000000000001</v>
      </c>
      <c r="S26" s="298">
        <v>4.3259999999999996</v>
      </c>
      <c r="T26" s="298">
        <v>11.038</v>
      </c>
      <c r="U26" s="298">
        <v>25.152999999999999</v>
      </c>
      <c r="V26" s="298">
        <v>0.80100000000000005</v>
      </c>
      <c r="W26" s="298"/>
      <c r="X26" s="298">
        <v>6.1320000000000006</v>
      </c>
      <c r="Y26" s="298">
        <v>19.356999999999999</v>
      </c>
      <c r="Z26" s="298">
        <v>14.097</v>
      </c>
      <c r="AA26" s="298">
        <v>8.2200000000000006</v>
      </c>
      <c r="AB26" s="298">
        <v>6.6859999999999999</v>
      </c>
      <c r="AC26" s="298">
        <v>15.202000000000002</v>
      </c>
      <c r="AD26" s="298"/>
      <c r="AE26" s="298"/>
      <c r="AF26" s="298"/>
      <c r="AG26" s="298"/>
      <c r="AH26" s="103">
        <f>SUM(C26:AG26)</f>
        <v>284.024</v>
      </c>
    </row>
    <row r="27" spans="1:34" ht="15">
      <c r="A27" s="73" t="s">
        <v>149</v>
      </c>
      <c r="B27" s="53">
        <f t="shared" si="2"/>
        <v>120.54899999999998</v>
      </c>
      <c r="C27" s="298">
        <v>7.25</v>
      </c>
      <c r="D27" s="297">
        <v>0.04</v>
      </c>
      <c r="E27" s="298">
        <v>3.024</v>
      </c>
      <c r="F27" s="298"/>
      <c r="G27" s="298"/>
      <c r="H27" s="298">
        <v>20.954000000000001</v>
      </c>
      <c r="I27" s="298">
        <v>6.266</v>
      </c>
      <c r="J27" s="298">
        <v>6.4820000000000002</v>
      </c>
      <c r="K27" s="298">
        <v>6.23</v>
      </c>
      <c r="L27" s="298">
        <v>13.122</v>
      </c>
      <c r="M27" s="298">
        <v>8.91</v>
      </c>
      <c r="N27" s="298"/>
      <c r="O27" s="298">
        <v>9.8000000000000007</v>
      </c>
      <c r="P27" s="298">
        <v>7.476</v>
      </c>
      <c r="Q27" s="297">
        <v>8.6739999999999995</v>
      </c>
      <c r="R27" s="298"/>
      <c r="S27" s="298">
        <v>22.321000000000002</v>
      </c>
      <c r="T27" s="298"/>
      <c r="U27" s="1482"/>
      <c r="V27" s="1482"/>
      <c r="W27" s="1482"/>
      <c r="X27" s="1482"/>
      <c r="Y27" s="1482"/>
      <c r="Z27" s="1482"/>
      <c r="AA27" s="1482"/>
      <c r="AB27" s="1482"/>
      <c r="AC27" s="1482"/>
      <c r="AD27" s="1482"/>
      <c r="AE27" s="1482"/>
      <c r="AF27" s="1482"/>
      <c r="AG27" s="1482"/>
      <c r="AH27" s="103">
        <f>SUM(C27:AG27)</f>
        <v>120.54899999999998</v>
      </c>
    </row>
    <row r="28" spans="1:34" ht="15">
      <c r="A28" s="73" t="s">
        <v>150</v>
      </c>
      <c r="B28" s="53">
        <f t="shared" si="2"/>
        <v>0</v>
      </c>
      <c r="C28" s="384"/>
      <c r="D28" s="384"/>
      <c r="E28" s="384"/>
      <c r="F28" s="384"/>
      <c r="G28" s="384"/>
      <c r="H28" s="384"/>
      <c r="I28" s="384"/>
      <c r="J28" s="384"/>
      <c r="K28" s="384"/>
      <c r="L28" s="384"/>
      <c r="M28" s="384"/>
      <c r="N28" s="384"/>
      <c r="O28" s="384"/>
      <c r="P28" s="384"/>
      <c r="Q28" s="384"/>
      <c r="R28" s="384"/>
      <c r="S28" s="384"/>
      <c r="T28" s="384"/>
      <c r="U28" s="384"/>
      <c r="V28" s="384"/>
      <c r="W28" s="384"/>
      <c r="X28" s="384"/>
      <c r="Y28" s="384"/>
      <c r="Z28" s="384"/>
      <c r="AA28" s="384"/>
      <c r="AB28" s="384"/>
      <c r="AC28" s="384"/>
      <c r="AD28" s="384"/>
      <c r="AE28" s="384"/>
      <c r="AF28" s="384"/>
      <c r="AG28" s="384"/>
      <c r="AH28" s="103">
        <f t="shared" ref="AH28:AH34" si="3">SUM(C28:AG28)</f>
        <v>0</v>
      </c>
    </row>
    <row r="29" spans="1:34" ht="15">
      <c r="A29" s="73" t="s">
        <v>151</v>
      </c>
      <c r="B29" s="53">
        <f t="shared" si="2"/>
        <v>237.84800000000001</v>
      </c>
      <c r="C29" s="116"/>
      <c r="D29" s="99">
        <v>0.53200000000000003</v>
      </c>
      <c r="E29" s="99">
        <v>1.9140000000000001</v>
      </c>
      <c r="F29" s="99">
        <v>7.6630000000000003</v>
      </c>
      <c r="G29" s="99">
        <v>13.673</v>
      </c>
      <c r="H29" s="99">
        <v>11.65</v>
      </c>
      <c r="I29" s="99">
        <v>5.22</v>
      </c>
      <c r="J29" s="99">
        <v>13.964</v>
      </c>
      <c r="K29" s="99">
        <v>16.498000000000001</v>
      </c>
      <c r="L29" s="99">
        <v>18.564</v>
      </c>
      <c r="M29" s="99">
        <v>11.068000000000001</v>
      </c>
      <c r="N29" s="99">
        <v>20.725000000000001</v>
      </c>
      <c r="O29" s="99">
        <v>11.722000000000001</v>
      </c>
      <c r="P29" s="99"/>
      <c r="Q29" s="99"/>
      <c r="R29" s="99">
        <v>8.4179999999999993</v>
      </c>
      <c r="S29" s="99">
        <v>16.294</v>
      </c>
      <c r="T29" s="99">
        <v>19.658999999999999</v>
      </c>
      <c r="U29" s="99">
        <v>11.634</v>
      </c>
      <c r="V29" s="99">
        <v>8.98</v>
      </c>
      <c r="W29" s="99">
        <v>1.29</v>
      </c>
      <c r="X29" s="99">
        <v>8.4750000000000014</v>
      </c>
      <c r="Y29" s="99">
        <v>13.138999999999999</v>
      </c>
      <c r="Z29" s="99">
        <v>8.4919999999999991</v>
      </c>
      <c r="AA29" s="99">
        <v>8.2740000000000009</v>
      </c>
      <c r="AB29" s="99"/>
      <c r="AC29" s="99"/>
      <c r="AD29" s="99"/>
      <c r="AE29" s="99"/>
      <c r="AF29" s="99"/>
      <c r="AG29" s="99"/>
      <c r="AH29" s="103">
        <f t="shared" si="3"/>
        <v>237.84800000000001</v>
      </c>
    </row>
    <row r="30" spans="1:34" ht="15">
      <c r="A30" s="73" t="s">
        <v>152</v>
      </c>
      <c r="B30" s="53">
        <f t="shared" si="2"/>
        <v>0</v>
      </c>
      <c r="C30" s="116"/>
      <c r="D30" s="99"/>
      <c r="E30" s="99"/>
      <c r="F30" s="99"/>
      <c r="G30" s="99"/>
      <c r="H30" s="99"/>
      <c r="I30" s="99"/>
      <c r="J30" s="99"/>
      <c r="K30" s="99"/>
      <c r="L30" s="99"/>
      <c r="M30" s="99"/>
      <c r="N30" s="99"/>
      <c r="O30" s="99"/>
      <c r="P30" s="99"/>
      <c r="Q30" s="99"/>
      <c r="R30" s="99"/>
      <c r="S30" s="99"/>
      <c r="T30" s="99"/>
      <c r="U30" s="99"/>
      <c r="V30" s="99"/>
      <c r="W30" s="99"/>
      <c r="X30" s="99"/>
      <c r="Y30" s="99"/>
      <c r="Z30" s="99"/>
      <c r="AA30" s="99"/>
      <c r="AB30" s="99"/>
      <c r="AC30" s="99"/>
      <c r="AD30" s="99"/>
      <c r="AE30" s="99"/>
      <c r="AF30" s="99"/>
      <c r="AG30" s="99"/>
      <c r="AH30" s="103">
        <f t="shared" si="3"/>
        <v>0</v>
      </c>
    </row>
    <row r="31" spans="1:34" ht="15">
      <c r="A31" s="73" t="s">
        <v>153</v>
      </c>
      <c r="B31" s="53">
        <f t="shared" si="2"/>
        <v>0</v>
      </c>
      <c r="C31" s="116"/>
      <c r="D31" s="99"/>
      <c r="E31" s="99"/>
      <c r="F31" s="99"/>
      <c r="G31" s="99"/>
      <c r="H31" s="99"/>
      <c r="I31" s="99"/>
      <c r="J31" s="99"/>
      <c r="K31" s="99"/>
      <c r="L31" s="99"/>
      <c r="M31" s="99"/>
      <c r="N31" s="99"/>
      <c r="O31" s="99"/>
      <c r="P31" s="99"/>
      <c r="Q31" s="99"/>
      <c r="R31" s="99"/>
      <c r="S31" s="99"/>
      <c r="T31" s="99"/>
      <c r="U31" s="99"/>
      <c r="V31" s="99"/>
      <c r="W31" s="99"/>
      <c r="X31" s="99"/>
      <c r="Y31" s="99"/>
      <c r="Z31" s="99"/>
      <c r="AA31" s="99"/>
      <c r="AB31" s="99"/>
      <c r="AC31" s="99"/>
      <c r="AD31" s="99"/>
      <c r="AE31" s="99"/>
      <c r="AF31" s="99"/>
      <c r="AG31" s="99"/>
      <c r="AH31" s="103">
        <f t="shared" si="3"/>
        <v>0</v>
      </c>
    </row>
    <row r="32" spans="1:34" ht="15">
      <c r="A32" s="73" t="s">
        <v>154</v>
      </c>
      <c r="B32" s="53">
        <f t="shared" si="2"/>
        <v>175.30099999999999</v>
      </c>
      <c r="C32" s="116">
        <v>6.1349999999999998</v>
      </c>
      <c r="D32" s="99">
        <v>2.9580000000000002</v>
      </c>
      <c r="E32" s="99">
        <v>1.008</v>
      </c>
      <c r="F32" s="99">
        <v>6.6630000000000003</v>
      </c>
      <c r="G32" s="99">
        <v>3.6819999999999999</v>
      </c>
      <c r="H32" s="99"/>
      <c r="I32" s="99">
        <v>15.413999999999998</v>
      </c>
      <c r="J32" s="99">
        <v>6.0670000000000002</v>
      </c>
      <c r="K32" s="99">
        <v>7.2590000000000003</v>
      </c>
      <c r="L32" s="99"/>
      <c r="M32" s="99">
        <v>7.0419999999999998</v>
      </c>
      <c r="N32" s="99">
        <v>14.318999999999999</v>
      </c>
      <c r="O32" s="99"/>
      <c r="P32" s="99">
        <v>5.085</v>
      </c>
      <c r="Q32" s="99">
        <v>18.36</v>
      </c>
      <c r="R32" s="99">
        <v>18.852</v>
      </c>
      <c r="S32" s="99">
        <v>16.960999999999999</v>
      </c>
      <c r="T32" s="99">
        <v>9.9260000000000002</v>
      </c>
      <c r="U32" s="99">
        <v>6.0449999999999999</v>
      </c>
      <c r="V32" s="99"/>
      <c r="W32" s="99">
        <v>9.4699999999999989</v>
      </c>
      <c r="X32" s="99">
        <v>7.9950000000000001</v>
      </c>
      <c r="Y32" s="99">
        <v>6.8100000000000005</v>
      </c>
      <c r="Z32" s="99">
        <v>5.25</v>
      </c>
      <c r="AA32" s="99"/>
      <c r="AB32" s="99"/>
      <c r="AC32" s="99"/>
      <c r="AD32" s="99"/>
      <c r="AE32" s="99"/>
      <c r="AF32" s="99"/>
      <c r="AG32" s="99"/>
      <c r="AH32" s="103">
        <f t="shared" si="3"/>
        <v>175.30099999999999</v>
      </c>
    </row>
    <row r="33" spans="1:34" ht="15">
      <c r="A33" s="73" t="s">
        <v>155</v>
      </c>
      <c r="B33" s="53">
        <f t="shared" si="2"/>
        <v>0</v>
      </c>
      <c r="C33" s="116"/>
      <c r="D33" s="99"/>
      <c r="E33" s="99"/>
      <c r="F33" s="99"/>
      <c r="G33" s="99"/>
      <c r="H33" s="99"/>
      <c r="I33" s="99"/>
      <c r="J33" s="99"/>
      <c r="K33" s="99"/>
      <c r="L33" s="99"/>
      <c r="M33" s="99"/>
      <c r="N33" s="99"/>
      <c r="O33" s="99"/>
      <c r="P33" s="99"/>
      <c r="Q33" s="99"/>
      <c r="R33" s="99"/>
      <c r="S33" s="99"/>
      <c r="T33" s="99"/>
      <c r="U33" s="99"/>
      <c r="V33" s="99"/>
      <c r="W33" s="99"/>
      <c r="X33" s="99"/>
      <c r="Y33" s="99"/>
      <c r="Z33" s="99"/>
      <c r="AA33" s="99"/>
      <c r="AB33" s="99"/>
      <c r="AC33" s="99"/>
      <c r="AD33" s="99"/>
      <c r="AE33" s="99"/>
      <c r="AF33" s="99"/>
      <c r="AG33" s="99"/>
      <c r="AH33" s="103">
        <f t="shared" si="3"/>
        <v>0</v>
      </c>
    </row>
    <row r="34" spans="1:34" ht="15">
      <c r="A34" s="118" t="s">
        <v>156</v>
      </c>
      <c r="B34" s="53">
        <f t="shared" si="2"/>
        <v>0</v>
      </c>
      <c r="C34" s="116"/>
      <c r="D34" s="99"/>
      <c r="E34" s="99"/>
      <c r="F34" s="99"/>
      <c r="G34" s="99"/>
      <c r="H34" s="99"/>
      <c r="I34" s="99"/>
      <c r="J34" s="99"/>
      <c r="K34" s="99"/>
      <c r="L34" s="99"/>
      <c r="M34" s="99"/>
      <c r="N34" s="99"/>
      <c r="O34" s="99"/>
      <c r="P34" s="99"/>
      <c r="Q34" s="99"/>
      <c r="R34" s="99"/>
      <c r="S34" s="99"/>
      <c r="T34" s="99"/>
      <c r="U34" s="99"/>
      <c r="V34" s="99"/>
      <c r="W34" s="99"/>
      <c r="X34" s="99"/>
      <c r="Y34" s="99"/>
      <c r="Z34" s="99"/>
      <c r="AA34" s="99"/>
      <c r="AB34" s="99"/>
      <c r="AC34" s="99"/>
      <c r="AD34" s="99"/>
      <c r="AE34" s="99"/>
      <c r="AF34" s="99"/>
      <c r="AG34" s="99"/>
      <c r="AH34" s="103">
        <f t="shared" si="3"/>
        <v>0</v>
      </c>
    </row>
    <row r="35" spans="1:34" ht="15">
      <c r="A35" s="200" t="s">
        <v>111</v>
      </c>
      <c r="B35" s="200">
        <f>SUM(B23:B34)</f>
        <v>817.72199999999998</v>
      </c>
      <c r="C35" s="100"/>
      <c r="D35" s="100"/>
      <c r="E35" s="100"/>
      <c r="F35" s="100"/>
      <c r="G35" s="100"/>
      <c r="H35" s="100"/>
      <c r="I35" s="100"/>
      <c r="J35" s="100"/>
      <c r="K35" s="100"/>
      <c r="L35" s="100"/>
      <c r="M35" s="100"/>
      <c r="N35" s="100"/>
      <c r="O35" s="100"/>
      <c r="P35" s="100"/>
      <c r="Q35" s="100"/>
      <c r="R35" s="100"/>
      <c r="S35" s="100"/>
      <c r="T35" s="100"/>
      <c r="U35" s="100"/>
      <c r="V35" s="100"/>
      <c r="W35" s="100"/>
      <c r="X35" s="100"/>
      <c r="Y35" s="100"/>
      <c r="Z35" s="100"/>
      <c r="AA35" s="100"/>
      <c r="AB35" s="100"/>
      <c r="AC35" s="100"/>
      <c r="AD35" s="100"/>
      <c r="AE35" s="100"/>
      <c r="AF35" s="100"/>
      <c r="AG35" s="100"/>
      <c r="AH35" s="120"/>
    </row>
  </sheetData>
  <mergeCells count="3">
    <mergeCell ref="A2:T2"/>
    <mergeCell ref="A5:C5"/>
    <mergeCell ref="A21:C21"/>
  </mergeCells>
  <phoneticPr fontId="0" type="noConversion"/>
  <pageMargins left="0.75" right="0.75" top="1" bottom="1" header="0" footer="0"/>
  <headerFooter alignWithMargins="0"/>
  <legacyDrawing r:id="rId1"/>
  <oleObjects>
    <oleObject progId="MSPhotoEd.3" shapeId="16385" r:id="rId2"/>
  </oleObjects>
</worksheet>
</file>

<file path=xl/worksheets/sheet20.xml><?xml version="1.0" encoding="utf-8"?>
<worksheet xmlns="http://schemas.openxmlformats.org/spreadsheetml/2006/main" xmlns:r="http://schemas.openxmlformats.org/officeDocument/2006/relationships">
  <dimension ref="A2:AH51"/>
  <sheetViews>
    <sheetView topLeftCell="A34" zoomScale="80" zoomScaleNormal="80" workbookViewId="0">
      <selection activeCell="I54" sqref="I54"/>
    </sheetView>
  </sheetViews>
  <sheetFormatPr baseColWidth="10" defaultColWidth="11.44140625" defaultRowHeight="13.2"/>
  <cols>
    <col min="1" max="16384" width="11.44140625" style="189"/>
  </cols>
  <sheetData>
    <row r="2" spans="1:34" ht="15">
      <c r="A2" s="3854" t="s">
        <v>394</v>
      </c>
      <c r="B2" s="3855"/>
      <c r="C2" s="3855"/>
      <c r="D2" s="3855"/>
      <c r="E2" s="3855"/>
      <c r="F2" s="3855"/>
      <c r="G2" s="3855"/>
      <c r="H2" s="3855"/>
      <c r="I2" s="3855"/>
      <c r="J2" s="3855"/>
      <c r="K2" s="3855"/>
      <c r="L2" s="3855"/>
      <c r="M2" s="3855"/>
      <c r="N2" s="3855"/>
      <c r="O2" s="3855"/>
      <c r="P2" s="3855"/>
      <c r="Q2" s="3855"/>
      <c r="R2" s="3855"/>
      <c r="S2" s="3855"/>
      <c r="T2" s="3856"/>
      <c r="U2" s="14"/>
      <c r="V2" s="14"/>
      <c r="W2" s="14"/>
      <c r="X2" s="14"/>
      <c r="Y2" s="14"/>
      <c r="Z2" s="14"/>
      <c r="AA2" s="14"/>
      <c r="AB2" s="14"/>
      <c r="AC2" s="14"/>
      <c r="AD2" s="14"/>
      <c r="AE2" s="14"/>
      <c r="AF2" s="14"/>
      <c r="AG2" s="14"/>
      <c r="AH2" s="1"/>
    </row>
    <row r="3" spans="1:34" s="190" customFormat="1" ht="15">
      <c r="A3" s="104"/>
      <c r="B3" s="104"/>
      <c r="C3" s="104"/>
      <c r="D3" s="104"/>
      <c r="E3" s="104"/>
      <c r="F3" s="104"/>
      <c r="G3" s="104"/>
      <c r="H3" s="104"/>
      <c r="I3" s="104"/>
      <c r="J3" s="104"/>
      <c r="K3" s="104"/>
      <c r="L3" s="104"/>
      <c r="M3" s="104"/>
      <c r="N3" s="104"/>
      <c r="O3" s="104"/>
      <c r="P3" s="104"/>
      <c r="Q3" s="104"/>
      <c r="R3" s="104"/>
      <c r="S3" s="104"/>
      <c r="T3" s="104"/>
      <c r="U3" s="14"/>
      <c r="V3" s="14"/>
      <c r="W3" s="14"/>
      <c r="X3" s="14"/>
      <c r="Y3" s="14"/>
      <c r="Z3" s="14"/>
      <c r="AA3" s="14"/>
      <c r="AB3" s="14"/>
      <c r="AC3" s="14"/>
      <c r="AD3" s="14"/>
      <c r="AE3" s="14"/>
      <c r="AF3" s="14"/>
      <c r="AG3" s="14"/>
      <c r="AH3" s="14"/>
    </row>
    <row r="4" spans="1:34" ht="15">
      <c r="A4" s="49"/>
      <c r="B4" s="49"/>
      <c r="C4" s="1"/>
      <c r="D4" s="14"/>
      <c r="E4" s="14"/>
      <c r="F4" s="14"/>
      <c r="G4" s="14"/>
      <c r="H4" s="14"/>
      <c r="I4" s="14"/>
      <c r="J4" s="14"/>
      <c r="K4" s="14"/>
      <c r="L4" s="98"/>
      <c r="M4" s="14"/>
      <c r="N4" s="14"/>
      <c r="O4" s="14"/>
      <c r="P4" s="14"/>
      <c r="Q4" s="14"/>
      <c r="R4" s="14"/>
      <c r="S4" s="14"/>
      <c r="T4" s="14"/>
      <c r="U4" s="14"/>
      <c r="V4" s="14"/>
      <c r="W4" s="14"/>
      <c r="X4" s="14"/>
      <c r="Y4" s="14"/>
      <c r="Z4" s="14"/>
      <c r="AA4" s="14"/>
      <c r="AB4" s="14"/>
      <c r="AC4" s="14"/>
      <c r="AD4" s="14"/>
      <c r="AE4" s="14"/>
      <c r="AF4" s="14"/>
      <c r="AG4" s="14"/>
      <c r="AH4" s="1"/>
    </row>
    <row r="5" spans="1:34" ht="15">
      <c r="A5" s="3854" t="s">
        <v>157</v>
      </c>
      <c r="B5" s="3855"/>
      <c r="C5" s="3856"/>
      <c r="D5" s="14"/>
      <c r="E5" s="14"/>
      <c r="F5" s="14"/>
      <c r="G5" s="14"/>
      <c r="H5" s="14"/>
      <c r="I5" s="14"/>
      <c r="J5" s="14"/>
      <c r="K5" s="14"/>
      <c r="L5" s="14"/>
      <c r="M5" s="98"/>
      <c r="N5" s="14"/>
      <c r="O5" s="14"/>
      <c r="P5" s="14"/>
      <c r="Q5" s="14"/>
      <c r="R5" s="14"/>
      <c r="S5" s="14"/>
      <c r="T5" s="14"/>
      <c r="U5" s="14"/>
      <c r="V5" s="14"/>
      <c r="W5" s="14"/>
      <c r="X5" s="14"/>
      <c r="Y5" s="14"/>
      <c r="Z5" s="14"/>
      <c r="AA5" s="14"/>
      <c r="AB5" s="14"/>
      <c r="AC5" s="14"/>
      <c r="AD5" s="14"/>
      <c r="AE5" s="14"/>
      <c r="AF5" s="14"/>
      <c r="AG5" s="14"/>
      <c r="AH5" s="1"/>
    </row>
    <row r="6" spans="1:34" ht="15">
      <c r="A6" s="8" t="s">
        <v>142</v>
      </c>
      <c r="B6" s="8" t="s">
        <v>143</v>
      </c>
      <c r="C6" s="73">
        <v>1</v>
      </c>
      <c r="D6" s="73">
        <v>2</v>
      </c>
      <c r="E6" s="73">
        <v>3</v>
      </c>
      <c r="F6" s="73">
        <v>4</v>
      </c>
      <c r="G6" s="73">
        <v>5</v>
      </c>
      <c r="H6" s="73">
        <v>6</v>
      </c>
      <c r="I6" s="73">
        <v>7</v>
      </c>
      <c r="J6" s="73">
        <v>8</v>
      </c>
      <c r="K6" s="73">
        <v>9</v>
      </c>
      <c r="L6" s="73">
        <v>10</v>
      </c>
      <c r="M6" s="73">
        <v>11</v>
      </c>
      <c r="N6" s="73">
        <v>12</v>
      </c>
      <c r="O6" s="73">
        <v>13</v>
      </c>
      <c r="P6" s="73">
        <v>14</v>
      </c>
      <c r="Q6" s="73">
        <v>15</v>
      </c>
      <c r="R6" s="73">
        <v>16</v>
      </c>
      <c r="S6" s="73">
        <v>17</v>
      </c>
      <c r="T6" s="73">
        <v>18</v>
      </c>
      <c r="U6" s="73">
        <v>19</v>
      </c>
      <c r="V6" s="73">
        <v>20</v>
      </c>
      <c r="W6" s="73">
        <v>21</v>
      </c>
      <c r="X6" s="73">
        <v>22</v>
      </c>
      <c r="Y6" s="73">
        <v>23</v>
      </c>
      <c r="Z6" s="73">
        <v>24</v>
      </c>
      <c r="AA6" s="73">
        <v>25</v>
      </c>
      <c r="AB6" s="73">
        <v>26</v>
      </c>
      <c r="AC6" s="73">
        <v>27</v>
      </c>
      <c r="AD6" s="73">
        <v>28</v>
      </c>
      <c r="AE6" s="73">
        <v>29</v>
      </c>
      <c r="AF6" s="73">
        <v>30</v>
      </c>
      <c r="AG6" s="73">
        <v>31</v>
      </c>
      <c r="AH6" s="87" t="s">
        <v>144</v>
      </c>
    </row>
    <row r="7" spans="1:34" ht="15">
      <c r="A7" s="73" t="s">
        <v>145</v>
      </c>
      <c r="B7" s="53">
        <f>AH7</f>
        <v>0</v>
      </c>
      <c r="C7" s="188" t="s">
        <v>311</v>
      </c>
      <c r="D7" s="188" t="s">
        <v>311</v>
      </c>
      <c r="E7" s="188" t="s">
        <v>311</v>
      </c>
      <c r="F7" s="188" t="s">
        <v>311</v>
      </c>
      <c r="G7" s="188" t="s">
        <v>311</v>
      </c>
      <c r="H7" s="188" t="s">
        <v>311</v>
      </c>
      <c r="I7" s="188" t="s">
        <v>311</v>
      </c>
      <c r="J7" s="188" t="s">
        <v>311</v>
      </c>
      <c r="K7" s="188" t="s">
        <v>311</v>
      </c>
      <c r="L7" s="188" t="s">
        <v>311</v>
      </c>
      <c r="M7" s="188" t="s">
        <v>311</v>
      </c>
      <c r="N7" s="188" t="s">
        <v>311</v>
      </c>
      <c r="O7" s="188" t="s">
        <v>311</v>
      </c>
      <c r="P7" s="188" t="s">
        <v>311</v>
      </c>
      <c r="Q7" s="188" t="s">
        <v>311</v>
      </c>
      <c r="R7" s="188" t="s">
        <v>311</v>
      </c>
      <c r="S7" s="188" t="s">
        <v>311</v>
      </c>
      <c r="T7" s="188" t="s">
        <v>311</v>
      </c>
      <c r="U7" s="188" t="s">
        <v>311</v>
      </c>
      <c r="V7" s="188" t="s">
        <v>311</v>
      </c>
      <c r="W7" s="188" t="s">
        <v>311</v>
      </c>
      <c r="X7" s="188" t="s">
        <v>311</v>
      </c>
      <c r="Y7" s="188" t="s">
        <v>311</v>
      </c>
      <c r="Z7" s="188" t="s">
        <v>311</v>
      </c>
      <c r="AA7" s="188" t="s">
        <v>311</v>
      </c>
      <c r="AB7" s="188" t="s">
        <v>311</v>
      </c>
      <c r="AC7" s="188" t="s">
        <v>311</v>
      </c>
      <c r="AD7" s="188" t="s">
        <v>311</v>
      </c>
      <c r="AE7" s="188" t="s">
        <v>311</v>
      </c>
      <c r="AF7" s="188" t="s">
        <v>311</v>
      </c>
      <c r="AG7" s="188" t="s">
        <v>311</v>
      </c>
      <c r="AH7" s="100">
        <f>SUM(C7:AG7)</f>
        <v>0</v>
      </c>
    </row>
    <row r="8" spans="1:34" ht="15">
      <c r="A8" s="73" t="s">
        <v>146</v>
      </c>
      <c r="B8" s="53">
        <f t="shared" ref="B8:B18" si="0">AH8</f>
        <v>0</v>
      </c>
      <c r="C8" s="188" t="s">
        <v>311</v>
      </c>
      <c r="D8" s="188" t="s">
        <v>311</v>
      </c>
      <c r="E8" s="188" t="s">
        <v>311</v>
      </c>
      <c r="F8" s="188" t="s">
        <v>311</v>
      </c>
      <c r="G8" s="188" t="s">
        <v>311</v>
      </c>
      <c r="H8" s="188" t="s">
        <v>311</v>
      </c>
      <c r="I8" s="188" t="s">
        <v>311</v>
      </c>
      <c r="J8" s="188" t="s">
        <v>311</v>
      </c>
      <c r="K8" s="188" t="s">
        <v>311</v>
      </c>
      <c r="L8" s="188" t="s">
        <v>311</v>
      </c>
      <c r="M8" s="188" t="s">
        <v>311</v>
      </c>
      <c r="N8" s="188" t="s">
        <v>311</v>
      </c>
      <c r="O8" s="188" t="s">
        <v>311</v>
      </c>
      <c r="P8" s="188" t="s">
        <v>311</v>
      </c>
      <c r="Q8" s="188" t="s">
        <v>311</v>
      </c>
      <c r="R8" s="188" t="s">
        <v>311</v>
      </c>
      <c r="S8" s="188" t="s">
        <v>311</v>
      </c>
      <c r="T8" s="188" t="s">
        <v>311</v>
      </c>
      <c r="U8" s="188" t="s">
        <v>311</v>
      </c>
      <c r="V8" s="188" t="s">
        <v>311</v>
      </c>
      <c r="W8" s="188" t="s">
        <v>311</v>
      </c>
      <c r="X8" s="188" t="s">
        <v>311</v>
      </c>
      <c r="Y8" s="188" t="s">
        <v>311</v>
      </c>
      <c r="Z8" s="188" t="s">
        <v>311</v>
      </c>
      <c r="AA8" s="188" t="s">
        <v>311</v>
      </c>
      <c r="AB8" s="188" t="s">
        <v>311</v>
      </c>
      <c r="AC8" s="188" t="s">
        <v>311</v>
      </c>
      <c r="AD8" s="188" t="s">
        <v>311</v>
      </c>
      <c r="AE8" s="188" t="s">
        <v>311</v>
      </c>
      <c r="AF8" s="188" t="s">
        <v>311</v>
      </c>
      <c r="AG8" s="188" t="s">
        <v>311</v>
      </c>
      <c r="AH8" s="100">
        <f t="shared" ref="AH8:AH18" si="1">SUM(C8:AG8)</f>
        <v>0</v>
      </c>
    </row>
    <row r="9" spans="1:34" ht="15">
      <c r="A9" s="73" t="s">
        <v>147</v>
      </c>
      <c r="B9" s="53">
        <f t="shared" si="0"/>
        <v>0</v>
      </c>
      <c r="C9" s="188" t="s">
        <v>311</v>
      </c>
      <c r="D9" s="188" t="s">
        <v>311</v>
      </c>
      <c r="E9" s="188" t="s">
        <v>311</v>
      </c>
      <c r="F9" s="188" t="s">
        <v>311</v>
      </c>
      <c r="G9" s="188" t="s">
        <v>311</v>
      </c>
      <c r="H9" s="188" t="s">
        <v>311</v>
      </c>
      <c r="I9" s="188" t="s">
        <v>311</v>
      </c>
      <c r="J9" s="188" t="s">
        <v>311</v>
      </c>
      <c r="K9" s="188" t="s">
        <v>311</v>
      </c>
      <c r="L9" s="188" t="s">
        <v>311</v>
      </c>
      <c r="M9" s="188" t="s">
        <v>311</v>
      </c>
      <c r="N9" s="188" t="s">
        <v>311</v>
      </c>
      <c r="O9" s="188" t="s">
        <v>311</v>
      </c>
      <c r="P9" s="188" t="s">
        <v>311</v>
      </c>
      <c r="Q9" s="188" t="s">
        <v>311</v>
      </c>
      <c r="R9" s="188" t="s">
        <v>311</v>
      </c>
      <c r="S9" s="188" t="s">
        <v>311</v>
      </c>
      <c r="T9" s="188" t="s">
        <v>311</v>
      </c>
      <c r="U9" s="188" t="s">
        <v>311</v>
      </c>
      <c r="V9" s="188" t="s">
        <v>311</v>
      </c>
      <c r="W9" s="188" t="s">
        <v>311</v>
      </c>
      <c r="X9" s="188" t="s">
        <v>311</v>
      </c>
      <c r="Y9" s="188" t="s">
        <v>311</v>
      </c>
      <c r="Z9" s="188" t="s">
        <v>311</v>
      </c>
      <c r="AA9" s="188" t="s">
        <v>311</v>
      </c>
      <c r="AB9" s="188" t="s">
        <v>311</v>
      </c>
      <c r="AC9" s="188" t="s">
        <v>311</v>
      </c>
      <c r="AD9" s="188" t="s">
        <v>311</v>
      </c>
      <c r="AE9" s="188" t="s">
        <v>311</v>
      </c>
      <c r="AF9" s="188" t="s">
        <v>311</v>
      </c>
      <c r="AG9" s="188" t="s">
        <v>311</v>
      </c>
      <c r="AH9" s="100">
        <f t="shared" si="1"/>
        <v>0</v>
      </c>
    </row>
    <row r="10" spans="1:34" ht="15">
      <c r="A10" s="73" t="s">
        <v>148</v>
      </c>
      <c r="B10" s="53">
        <f t="shared" si="0"/>
        <v>0</v>
      </c>
      <c r="C10" s="296"/>
      <c r="D10" s="297"/>
      <c r="E10" s="298"/>
      <c r="F10" s="298"/>
      <c r="G10" s="298"/>
      <c r="H10" s="298"/>
      <c r="I10" s="298"/>
      <c r="J10" s="298"/>
      <c r="K10" s="298"/>
      <c r="L10" s="298"/>
      <c r="M10" s="298"/>
      <c r="N10" s="298"/>
      <c r="O10" s="298"/>
      <c r="P10" s="298"/>
      <c r="Q10" s="298"/>
      <c r="R10" s="298"/>
      <c r="S10" s="298"/>
      <c r="T10" s="298"/>
      <c r="U10" s="298"/>
      <c r="V10" s="298"/>
      <c r="W10" s="298"/>
      <c r="X10" s="298"/>
      <c r="Y10" s="298"/>
      <c r="Z10" s="298"/>
      <c r="AA10" s="298"/>
      <c r="AB10" s="298"/>
      <c r="AC10" s="298"/>
      <c r="AD10" s="298"/>
      <c r="AE10" s="298"/>
      <c r="AF10" s="298"/>
      <c r="AG10" s="298"/>
      <c r="AH10" s="100">
        <f t="shared" si="1"/>
        <v>0</v>
      </c>
    </row>
    <row r="11" spans="1:34" ht="15">
      <c r="A11" s="73" t="s">
        <v>149</v>
      </c>
      <c r="B11" s="53">
        <f t="shared" si="0"/>
        <v>0</v>
      </c>
      <c r="C11" s="296"/>
      <c r="D11" s="297"/>
      <c r="E11" s="298"/>
      <c r="F11" s="298"/>
      <c r="G11" s="298"/>
      <c r="H11" s="298"/>
      <c r="I11" s="298"/>
      <c r="J11" s="298"/>
      <c r="K11" s="298"/>
      <c r="L11" s="298"/>
      <c r="M11" s="298"/>
      <c r="N11" s="298"/>
      <c r="O11" s="298"/>
      <c r="P11" s="298"/>
      <c r="Q11" s="298"/>
      <c r="R11" s="298"/>
      <c r="S11" s="298"/>
      <c r="T11" s="298"/>
      <c r="U11" s="298"/>
      <c r="V11" s="298"/>
      <c r="W11" s="298"/>
      <c r="X11" s="298"/>
      <c r="Y11" s="298"/>
      <c r="Z11" s="298"/>
      <c r="AA11" s="298"/>
      <c r="AB11" s="298"/>
      <c r="AC11" s="298"/>
      <c r="AD11" s="298"/>
      <c r="AE11" s="298"/>
      <c r="AF11" s="298"/>
      <c r="AG11" s="298"/>
      <c r="AH11" s="100">
        <f t="shared" si="1"/>
        <v>0</v>
      </c>
    </row>
    <row r="12" spans="1:34" ht="15">
      <c r="A12" s="73" t="s">
        <v>150</v>
      </c>
      <c r="B12" s="53">
        <f t="shared" si="0"/>
        <v>0</v>
      </c>
      <c r="C12" s="296"/>
      <c r="D12" s="297"/>
      <c r="E12" s="298"/>
      <c r="F12" s="298"/>
      <c r="G12" s="298"/>
      <c r="H12" s="298"/>
      <c r="I12" s="298"/>
      <c r="J12" s="298"/>
      <c r="K12" s="298"/>
      <c r="L12" s="298"/>
      <c r="M12" s="298"/>
      <c r="N12" s="298"/>
      <c r="O12" s="298"/>
      <c r="P12" s="298"/>
      <c r="Q12" s="298"/>
      <c r="R12" s="298"/>
      <c r="S12" s="298"/>
      <c r="T12" s="298"/>
      <c r="U12" s="298"/>
      <c r="V12" s="298"/>
      <c r="W12" s="298"/>
      <c r="X12" s="298"/>
      <c r="Y12" s="298"/>
      <c r="Z12" s="298"/>
      <c r="AA12" s="298"/>
      <c r="AB12" s="298"/>
      <c r="AC12" s="298"/>
      <c r="AD12" s="298"/>
      <c r="AE12" s="298"/>
      <c r="AF12" s="298"/>
      <c r="AG12" s="298"/>
      <c r="AH12" s="100">
        <f t="shared" si="1"/>
        <v>0</v>
      </c>
    </row>
    <row r="13" spans="1:34" ht="15">
      <c r="A13" s="73" t="s">
        <v>151</v>
      </c>
      <c r="B13" s="53">
        <f t="shared" si="0"/>
        <v>0</v>
      </c>
      <c r="C13" s="299"/>
      <c r="D13" s="297"/>
      <c r="E13" s="298"/>
      <c r="F13" s="298"/>
      <c r="G13" s="298"/>
      <c r="H13" s="298"/>
      <c r="I13" s="298"/>
      <c r="J13" s="298"/>
      <c r="K13" s="298"/>
      <c r="L13" s="298"/>
      <c r="M13" s="298"/>
      <c r="N13" s="298"/>
      <c r="O13" s="298"/>
      <c r="P13" s="298"/>
      <c r="Q13" s="298"/>
      <c r="R13" s="298"/>
      <c r="S13" s="298"/>
      <c r="T13" s="298"/>
      <c r="U13" s="298"/>
      <c r="V13" s="298"/>
      <c r="W13" s="298"/>
      <c r="X13" s="298"/>
      <c r="Y13" s="298"/>
      <c r="Z13" s="298"/>
      <c r="AA13" s="298"/>
      <c r="AB13" s="298"/>
      <c r="AC13" s="298"/>
      <c r="AD13" s="298"/>
      <c r="AE13" s="298"/>
      <c r="AF13" s="298"/>
      <c r="AG13" s="298"/>
      <c r="AH13" s="100">
        <f t="shared" si="1"/>
        <v>0</v>
      </c>
    </row>
    <row r="14" spans="1:34" ht="15">
      <c r="A14" s="73" t="s">
        <v>152</v>
      </c>
      <c r="B14" s="53">
        <f t="shared" si="0"/>
        <v>0</v>
      </c>
      <c r="C14" s="300"/>
      <c r="D14" s="301"/>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100">
        <f t="shared" si="1"/>
        <v>0</v>
      </c>
    </row>
    <row r="15" spans="1:34" ht="15">
      <c r="A15" s="73" t="s">
        <v>153</v>
      </c>
      <c r="B15" s="53">
        <f t="shared" si="0"/>
        <v>0</v>
      </c>
      <c r="C15" s="302"/>
      <c r="D15" s="303"/>
      <c r="E15" s="303"/>
      <c r="F15" s="303"/>
      <c r="G15" s="303"/>
      <c r="H15" s="303"/>
      <c r="I15" s="303"/>
      <c r="J15" s="303"/>
      <c r="K15" s="303"/>
      <c r="L15" s="303"/>
      <c r="M15" s="303"/>
      <c r="N15" s="303"/>
      <c r="O15" s="303"/>
      <c r="P15" s="303"/>
      <c r="Q15" s="303"/>
      <c r="R15" s="303"/>
      <c r="S15" s="303"/>
      <c r="T15" s="303"/>
      <c r="U15" s="303"/>
      <c r="V15" s="304"/>
      <c r="W15" s="304"/>
      <c r="X15" s="303"/>
      <c r="Y15" s="303"/>
      <c r="Z15" s="303"/>
      <c r="AA15" s="303"/>
      <c r="AB15" s="304"/>
      <c r="AC15" s="304"/>
      <c r="AD15" s="304"/>
      <c r="AE15" s="304"/>
      <c r="AF15" s="304"/>
      <c r="AG15" s="304"/>
      <c r="AH15" s="100">
        <f t="shared" si="1"/>
        <v>0</v>
      </c>
    </row>
    <row r="16" spans="1:34" ht="15">
      <c r="A16" s="73" t="s">
        <v>154</v>
      </c>
      <c r="B16" s="53">
        <f t="shared" si="0"/>
        <v>0</v>
      </c>
      <c r="C16" s="302"/>
      <c r="D16" s="303"/>
      <c r="E16" s="303"/>
      <c r="F16" s="303"/>
      <c r="G16" s="303"/>
      <c r="H16" s="303"/>
      <c r="I16" s="303"/>
      <c r="J16" s="303"/>
      <c r="K16" s="305"/>
      <c r="L16" s="303"/>
      <c r="M16" s="303"/>
      <c r="N16" s="303"/>
      <c r="O16" s="297"/>
      <c r="P16" s="303"/>
      <c r="Q16" s="303"/>
      <c r="R16" s="303"/>
      <c r="S16" s="303"/>
      <c r="T16" s="303"/>
      <c r="U16" s="303"/>
      <c r="V16" s="303"/>
      <c r="W16" s="303"/>
      <c r="X16" s="303"/>
      <c r="Y16" s="303"/>
      <c r="Z16" s="303"/>
      <c r="AA16" s="303"/>
      <c r="AB16" s="303"/>
      <c r="AC16" s="303"/>
      <c r="AD16" s="303"/>
      <c r="AE16" s="298"/>
      <c r="AF16" s="304"/>
      <c r="AG16" s="298"/>
      <c r="AH16" s="100">
        <f t="shared" si="1"/>
        <v>0</v>
      </c>
    </row>
    <row r="17" spans="1:34" ht="15">
      <c r="A17" s="73" t="s">
        <v>155</v>
      </c>
      <c r="B17" s="53">
        <f t="shared" si="0"/>
        <v>0</v>
      </c>
      <c r="C17" s="302"/>
      <c r="D17" s="303"/>
      <c r="E17" s="303"/>
      <c r="F17" s="303"/>
      <c r="G17" s="303"/>
      <c r="H17" s="303"/>
      <c r="I17" s="303"/>
      <c r="J17" s="303"/>
      <c r="K17" s="303"/>
      <c r="L17" s="303"/>
      <c r="M17" s="303"/>
      <c r="N17" s="303"/>
      <c r="O17" s="303"/>
      <c r="P17" s="303"/>
      <c r="Q17" s="303"/>
      <c r="R17" s="303"/>
      <c r="S17" s="303"/>
      <c r="T17" s="303"/>
      <c r="U17" s="303"/>
      <c r="V17" s="303"/>
      <c r="W17" s="303"/>
      <c r="X17" s="303"/>
      <c r="Y17" s="303"/>
      <c r="Z17" s="303"/>
      <c r="AA17" s="303"/>
      <c r="AB17" s="303"/>
      <c r="AC17" s="303"/>
      <c r="AD17" s="303"/>
      <c r="AE17" s="298"/>
      <c r="AF17" s="304"/>
      <c r="AG17" s="298"/>
      <c r="AH17" s="100">
        <f t="shared" si="1"/>
        <v>0</v>
      </c>
    </row>
    <row r="18" spans="1:34" ht="15">
      <c r="A18" s="73" t="s">
        <v>156</v>
      </c>
      <c r="B18" s="53">
        <f t="shared" si="0"/>
        <v>0</v>
      </c>
      <c r="C18" s="302"/>
      <c r="D18" s="303"/>
      <c r="E18" s="303"/>
      <c r="F18" s="303"/>
      <c r="G18" s="303"/>
      <c r="H18" s="303"/>
      <c r="I18" s="303"/>
      <c r="J18" s="303"/>
      <c r="K18" s="303"/>
      <c r="L18" s="303"/>
      <c r="M18" s="303"/>
      <c r="N18" s="303"/>
      <c r="O18" s="303"/>
      <c r="P18" s="303"/>
      <c r="Q18" s="303"/>
      <c r="R18" s="303"/>
      <c r="S18" s="303"/>
      <c r="T18" s="303"/>
      <c r="U18" s="303"/>
      <c r="V18" s="303"/>
      <c r="W18" s="303"/>
      <c r="X18" s="303"/>
      <c r="Y18" s="303"/>
      <c r="Z18" s="303"/>
      <c r="AA18" s="303"/>
      <c r="AB18" s="303"/>
      <c r="AC18" s="303"/>
      <c r="AD18" s="303"/>
      <c r="AE18" s="298"/>
      <c r="AF18" s="304"/>
      <c r="AG18" s="298"/>
      <c r="AH18" s="100">
        <f t="shared" si="1"/>
        <v>0</v>
      </c>
    </row>
    <row r="19" spans="1:34" ht="15">
      <c r="A19" s="200" t="s">
        <v>111</v>
      </c>
      <c r="B19" s="200">
        <f>SUM(B7:B18)</f>
        <v>0</v>
      </c>
      <c r="C19" s="100"/>
      <c r="D19" s="100"/>
      <c r="E19" s="100"/>
      <c r="F19" s="100"/>
      <c r="G19" s="100"/>
      <c r="H19" s="100"/>
      <c r="I19" s="100"/>
      <c r="J19" s="100"/>
      <c r="K19" s="100"/>
      <c r="L19" s="100"/>
      <c r="M19" s="100"/>
      <c r="N19" s="100"/>
      <c r="O19" s="100"/>
      <c r="P19" s="100"/>
      <c r="Q19" s="100"/>
      <c r="R19" s="100"/>
      <c r="S19" s="100"/>
      <c r="T19" s="100"/>
      <c r="U19" s="100"/>
      <c r="V19" s="100"/>
      <c r="W19" s="100"/>
      <c r="X19" s="100"/>
      <c r="Y19" s="100"/>
      <c r="Z19" s="100"/>
      <c r="AA19" s="100"/>
      <c r="AB19" s="100"/>
      <c r="AC19" s="100"/>
      <c r="AD19" s="100"/>
      <c r="AE19" s="100"/>
      <c r="AF19" s="100"/>
      <c r="AG19" s="100"/>
      <c r="AH19" s="100">
        <f>SUM(AH7:AH18)</f>
        <v>0</v>
      </c>
    </row>
    <row r="20" spans="1:34" ht="15">
      <c r="A20" s="117"/>
      <c r="B20" s="117"/>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34" ht="15">
      <c r="A21" s="3854" t="s">
        <v>158</v>
      </c>
      <c r="B21" s="3855"/>
      <c r="C21" s="3856"/>
      <c r="D21" s="14"/>
      <c r="E21" s="14"/>
      <c r="F21" s="14"/>
      <c r="G21" s="1115" t="s">
        <v>984</v>
      </c>
      <c r="H21" s="1115"/>
      <c r="I21" s="14"/>
      <c r="J21" s="14"/>
      <c r="K21" s="14"/>
      <c r="L21" s="14"/>
      <c r="M21" s="98"/>
      <c r="N21" s="14"/>
      <c r="O21" s="14"/>
      <c r="P21" s="14"/>
      <c r="Q21" s="14"/>
      <c r="R21" s="14"/>
      <c r="S21" s="14"/>
      <c r="T21" s="14"/>
      <c r="U21" s="14"/>
      <c r="V21" s="14"/>
      <c r="W21" s="14"/>
      <c r="X21" s="14"/>
      <c r="Y21" s="14"/>
      <c r="Z21" s="14"/>
      <c r="AA21" s="14"/>
      <c r="AB21" s="14"/>
      <c r="AC21" s="14"/>
      <c r="AD21" s="14"/>
      <c r="AE21" s="14"/>
      <c r="AF21" s="14"/>
      <c r="AG21" s="14"/>
      <c r="AH21" s="1"/>
    </row>
    <row r="22" spans="1:34" ht="15">
      <c r="A22" s="8" t="s">
        <v>142</v>
      </c>
      <c r="B22" s="8" t="s">
        <v>143</v>
      </c>
      <c r="C22" s="73">
        <v>1</v>
      </c>
      <c r="D22" s="73">
        <v>2</v>
      </c>
      <c r="E22" s="73">
        <v>3</v>
      </c>
      <c r="F22" s="73">
        <v>4</v>
      </c>
      <c r="G22" s="73">
        <v>5</v>
      </c>
      <c r="H22" s="73">
        <v>6</v>
      </c>
      <c r="I22" s="73">
        <v>7</v>
      </c>
      <c r="J22" s="73">
        <v>8</v>
      </c>
      <c r="K22" s="73">
        <v>9</v>
      </c>
      <c r="L22" s="73">
        <v>10</v>
      </c>
      <c r="M22" s="73">
        <v>11</v>
      </c>
      <c r="N22" s="73">
        <v>12</v>
      </c>
      <c r="O22" s="73">
        <v>13</v>
      </c>
      <c r="P22" s="73">
        <v>14</v>
      </c>
      <c r="Q22" s="73">
        <v>15</v>
      </c>
      <c r="R22" s="73">
        <v>16</v>
      </c>
      <c r="S22" s="73">
        <v>17</v>
      </c>
      <c r="T22" s="73">
        <v>18</v>
      </c>
      <c r="U22" s="73">
        <v>19</v>
      </c>
      <c r="V22" s="73">
        <v>20</v>
      </c>
      <c r="W22" s="73">
        <v>21</v>
      </c>
      <c r="X22" s="73">
        <v>22</v>
      </c>
      <c r="Y22" s="73">
        <v>23</v>
      </c>
      <c r="Z22" s="73">
        <v>24</v>
      </c>
      <c r="AA22" s="73">
        <v>25</v>
      </c>
      <c r="AB22" s="73">
        <v>26</v>
      </c>
      <c r="AC22" s="73">
        <v>27</v>
      </c>
      <c r="AD22" s="73">
        <v>28</v>
      </c>
      <c r="AE22" s="73">
        <v>29</v>
      </c>
      <c r="AF22" s="73">
        <v>30</v>
      </c>
      <c r="AG22" s="73">
        <v>31</v>
      </c>
      <c r="AH22" s="87" t="s">
        <v>144</v>
      </c>
    </row>
    <row r="23" spans="1:34" ht="15">
      <c r="A23" s="73" t="s">
        <v>145</v>
      </c>
      <c r="B23" s="53">
        <f>+AH23</f>
        <v>0</v>
      </c>
      <c r="C23" s="188" t="s">
        <v>314</v>
      </c>
      <c r="D23" s="188" t="s">
        <v>314</v>
      </c>
      <c r="E23" s="188" t="s">
        <v>314</v>
      </c>
      <c r="F23" s="188" t="s">
        <v>314</v>
      </c>
      <c r="G23" s="188" t="s">
        <v>314</v>
      </c>
      <c r="H23" s="188" t="s">
        <v>314</v>
      </c>
      <c r="I23" s="188" t="s">
        <v>314</v>
      </c>
      <c r="J23" s="188" t="s">
        <v>314</v>
      </c>
      <c r="K23" s="188" t="s">
        <v>314</v>
      </c>
      <c r="L23" s="188" t="s">
        <v>314</v>
      </c>
      <c r="M23" s="188" t="s">
        <v>314</v>
      </c>
      <c r="N23" s="188" t="s">
        <v>314</v>
      </c>
      <c r="O23" s="188" t="s">
        <v>314</v>
      </c>
      <c r="P23" s="188" t="s">
        <v>314</v>
      </c>
      <c r="Q23" s="188" t="s">
        <v>314</v>
      </c>
      <c r="R23" s="188" t="s">
        <v>314</v>
      </c>
      <c r="S23" s="188" t="s">
        <v>314</v>
      </c>
      <c r="T23" s="188" t="s">
        <v>314</v>
      </c>
      <c r="U23" s="188" t="s">
        <v>314</v>
      </c>
      <c r="V23" s="188" t="s">
        <v>314</v>
      </c>
      <c r="W23" s="188" t="s">
        <v>314</v>
      </c>
      <c r="X23" s="188" t="s">
        <v>314</v>
      </c>
      <c r="Y23" s="188" t="s">
        <v>314</v>
      </c>
      <c r="Z23" s="188" t="s">
        <v>314</v>
      </c>
      <c r="AA23" s="188" t="s">
        <v>314</v>
      </c>
      <c r="AB23" s="188" t="s">
        <v>314</v>
      </c>
      <c r="AC23" s="188" t="s">
        <v>314</v>
      </c>
      <c r="AD23" s="188" t="s">
        <v>314</v>
      </c>
      <c r="AE23" s="188" t="s">
        <v>314</v>
      </c>
      <c r="AF23" s="188" t="s">
        <v>314</v>
      </c>
      <c r="AG23" s="188" t="s">
        <v>314</v>
      </c>
      <c r="AH23" s="100"/>
    </row>
    <row r="24" spans="1:34" ht="15">
      <c r="A24" s="73" t="s">
        <v>146</v>
      </c>
      <c r="B24" s="53">
        <f>+AH24</f>
        <v>0</v>
      </c>
      <c r="C24" s="188" t="s">
        <v>314</v>
      </c>
      <c r="D24" s="188" t="s">
        <v>314</v>
      </c>
      <c r="E24" s="188" t="s">
        <v>314</v>
      </c>
      <c r="F24" s="188" t="s">
        <v>314</v>
      </c>
      <c r="G24" s="188" t="s">
        <v>314</v>
      </c>
      <c r="H24" s="188" t="s">
        <v>314</v>
      </c>
      <c r="I24" s="188" t="s">
        <v>314</v>
      </c>
      <c r="J24" s="188" t="s">
        <v>314</v>
      </c>
      <c r="K24" s="188" t="s">
        <v>314</v>
      </c>
      <c r="L24" s="188" t="s">
        <v>314</v>
      </c>
      <c r="M24" s="188" t="s">
        <v>314</v>
      </c>
      <c r="N24" s="188" t="s">
        <v>314</v>
      </c>
      <c r="O24" s="188" t="s">
        <v>314</v>
      </c>
      <c r="P24" s="188" t="s">
        <v>314</v>
      </c>
      <c r="Q24" s="188" t="s">
        <v>314</v>
      </c>
      <c r="R24" s="188" t="s">
        <v>314</v>
      </c>
      <c r="S24" s="188" t="s">
        <v>314</v>
      </c>
      <c r="T24" s="188" t="s">
        <v>314</v>
      </c>
      <c r="U24" s="188" t="s">
        <v>314</v>
      </c>
      <c r="V24" s="188" t="s">
        <v>314</v>
      </c>
      <c r="W24" s="188" t="s">
        <v>314</v>
      </c>
      <c r="X24" s="188" t="s">
        <v>314</v>
      </c>
      <c r="Y24" s="188" t="s">
        <v>314</v>
      </c>
      <c r="Z24" s="188" t="s">
        <v>314</v>
      </c>
      <c r="AA24" s="188" t="s">
        <v>314</v>
      </c>
      <c r="AB24" s="188" t="s">
        <v>314</v>
      </c>
      <c r="AC24" s="188" t="s">
        <v>314</v>
      </c>
      <c r="AD24" s="188" t="s">
        <v>314</v>
      </c>
      <c r="AE24" s="188" t="s">
        <v>314</v>
      </c>
      <c r="AF24" s="188" t="s">
        <v>314</v>
      </c>
      <c r="AG24" s="188" t="s">
        <v>314</v>
      </c>
      <c r="AH24" s="100"/>
    </row>
    <row r="25" spans="1:34" ht="15">
      <c r="A25" s="73" t="s">
        <v>147</v>
      </c>
      <c r="B25" s="53">
        <f>+AH25</f>
        <v>0</v>
      </c>
      <c r="C25" s="188" t="s">
        <v>314</v>
      </c>
      <c r="D25" s="188" t="s">
        <v>314</v>
      </c>
      <c r="E25" s="188" t="s">
        <v>314</v>
      </c>
      <c r="F25" s="188" t="s">
        <v>314</v>
      </c>
      <c r="G25" s="188" t="s">
        <v>314</v>
      </c>
      <c r="H25" s="188" t="s">
        <v>314</v>
      </c>
      <c r="I25" s="188" t="s">
        <v>314</v>
      </c>
      <c r="J25" s="188" t="s">
        <v>314</v>
      </c>
      <c r="K25" s="188" t="s">
        <v>314</v>
      </c>
      <c r="L25" s="188" t="s">
        <v>314</v>
      </c>
      <c r="M25" s="188" t="s">
        <v>314</v>
      </c>
      <c r="N25" s="188" t="s">
        <v>314</v>
      </c>
      <c r="O25" s="188" t="s">
        <v>314</v>
      </c>
      <c r="P25" s="188" t="s">
        <v>314</v>
      </c>
      <c r="Q25" s="188" t="s">
        <v>314</v>
      </c>
      <c r="R25" s="188" t="s">
        <v>314</v>
      </c>
      <c r="S25" s="188" t="s">
        <v>314</v>
      </c>
      <c r="T25" s="188" t="s">
        <v>314</v>
      </c>
      <c r="U25" s="188" t="s">
        <v>314</v>
      </c>
      <c r="V25" s="188" t="s">
        <v>314</v>
      </c>
      <c r="W25" s="188" t="s">
        <v>314</v>
      </c>
      <c r="X25" s="188" t="s">
        <v>314</v>
      </c>
      <c r="Y25" s="188" t="s">
        <v>314</v>
      </c>
      <c r="Z25" s="188" t="s">
        <v>314</v>
      </c>
      <c r="AA25" s="188" t="s">
        <v>314</v>
      </c>
      <c r="AB25" s="188" t="s">
        <v>314</v>
      </c>
      <c r="AC25" s="188" t="s">
        <v>314</v>
      </c>
      <c r="AD25" s="188" t="s">
        <v>314</v>
      </c>
      <c r="AE25" s="188" t="s">
        <v>314</v>
      </c>
      <c r="AF25" s="188" t="s">
        <v>314</v>
      </c>
      <c r="AG25" s="188" t="s">
        <v>314</v>
      </c>
      <c r="AH25" s="100"/>
    </row>
    <row r="26" spans="1:34" ht="15">
      <c r="A26" s="73" t="s">
        <v>148</v>
      </c>
      <c r="B26" s="53">
        <f>+AH26</f>
        <v>0</v>
      </c>
      <c r="C26" s="116"/>
      <c r="D26" s="99"/>
      <c r="E26" s="99"/>
      <c r="F26" s="99"/>
      <c r="G26" s="99"/>
      <c r="H26" s="99"/>
      <c r="I26" s="99"/>
      <c r="J26" s="99"/>
      <c r="K26" s="99"/>
      <c r="L26" s="99"/>
      <c r="M26" s="99"/>
      <c r="N26" s="99"/>
      <c r="O26" s="99"/>
      <c r="P26" s="99"/>
      <c r="Q26" s="99"/>
      <c r="R26" s="99"/>
      <c r="S26" s="99"/>
      <c r="T26" s="99"/>
      <c r="U26" s="99"/>
      <c r="V26" s="99"/>
      <c r="W26" s="99"/>
      <c r="X26" s="99"/>
      <c r="Y26" s="99"/>
      <c r="Z26" s="99"/>
      <c r="AA26" s="99"/>
      <c r="AB26" s="99"/>
      <c r="AC26" s="99"/>
      <c r="AD26" s="99"/>
      <c r="AE26" s="99"/>
      <c r="AF26" s="99"/>
      <c r="AG26" s="99"/>
      <c r="AH26" s="103">
        <f>SUM(C26:AG26)</f>
        <v>0</v>
      </c>
    </row>
    <row r="27" spans="1:34" ht="15">
      <c r="A27" s="73" t="s">
        <v>149</v>
      </c>
      <c r="B27" s="53">
        <f t="shared" ref="B27:B34" si="2">+AH27</f>
        <v>0</v>
      </c>
      <c r="C27" s="116"/>
      <c r="D27" s="99"/>
      <c r="E27" s="99"/>
      <c r="F27" s="99"/>
      <c r="G27" s="99"/>
      <c r="H27" s="99"/>
      <c r="I27" s="99"/>
      <c r="J27" s="99"/>
      <c r="K27" s="99"/>
      <c r="L27" s="99"/>
      <c r="M27" s="99"/>
      <c r="N27" s="99"/>
      <c r="O27" s="99"/>
      <c r="P27" s="99"/>
      <c r="Q27" s="99"/>
      <c r="R27" s="99"/>
      <c r="S27" s="99"/>
      <c r="T27" s="99"/>
      <c r="U27" s="99"/>
      <c r="V27" s="99"/>
      <c r="W27" s="99"/>
      <c r="X27" s="99"/>
      <c r="Y27" s="99"/>
      <c r="Z27" s="99"/>
      <c r="AA27" s="99"/>
      <c r="AB27" s="99"/>
      <c r="AC27" s="99"/>
      <c r="AD27" s="99"/>
      <c r="AE27" s="99"/>
      <c r="AF27" s="99"/>
      <c r="AG27" s="99"/>
      <c r="AH27" s="103">
        <f t="shared" ref="AH27:AH34" si="3">SUM(C27:AG27)</f>
        <v>0</v>
      </c>
    </row>
    <row r="28" spans="1:34" ht="15">
      <c r="A28" s="73" t="s">
        <v>150</v>
      </c>
      <c r="B28" s="53">
        <f t="shared" si="2"/>
        <v>0</v>
      </c>
      <c r="C28" s="116"/>
      <c r="D28" s="99"/>
      <c r="E28" s="99"/>
      <c r="F28" s="99"/>
      <c r="G28" s="99"/>
      <c r="H28" s="99"/>
      <c r="I28" s="99"/>
      <c r="J28" s="99"/>
      <c r="K28" s="99"/>
      <c r="L28" s="99"/>
      <c r="M28" s="99"/>
      <c r="N28" s="99"/>
      <c r="O28" s="99"/>
      <c r="P28" s="99"/>
      <c r="Q28" s="99"/>
      <c r="R28" s="99"/>
      <c r="S28" s="99"/>
      <c r="T28" s="99"/>
      <c r="U28" s="99"/>
      <c r="V28" s="99"/>
      <c r="W28" s="99"/>
      <c r="X28" s="99"/>
      <c r="Y28" s="99"/>
      <c r="Z28" s="99"/>
      <c r="AA28" s="99"/>
      <c r="AB28" s="99"/>
      <c r="AC28" s="99"/>
      <c r="AD28" s="99"/>
      <c r="AE28" s="99"/>
      <c r="AF28" s="99"/>
      <c r="AG28" s="99"/>
      <c r="AH28" s="103">
        <f t="shared" si="3"/>
        <v>0</v>
      </c>
    </row>
    <row r="29" spans="1:34" ht="15">
      <c r="A29" s="73" t="s">
        <v>151</v>
      </c>
      <c r="B29" s="53">
        <f t="shared" si="2"/>
        <v>0</v>
      </c>
      <c r="C29" s="116"/>
      <c r="D29" s="99"/>
      <c r="E29" s="99"/>
      <c r="F29" s="99"/>
      <c r="G29" s="99"/>
      <c r="H29" s="99"/>
      <c r="I29" s="99"/>
      <c r="J29" s="99"/>
      <c r="K29" s="99"/>
      <c r="L29" s="99"/>
      <c r="M29" s="99"/>
      <c r="N29" s="99"/>
      <c r="O29" s="99"/>
      <c r="P29" s="99"/>
      <c r="Q29" s="99"/>
      <c r="R29" s="99"/>
      <c r="S29" s="99"/>
      <c r="T29" s="99"/>
      <c r="U29" s="99"/>
      <c r="V29" s="99"/>
      <c r="W29" s="99"/>
      <c r="X29" s="99"/>
      <c r="Y29" s="99"/>
      <c r="Z29" s="99"/>
      <c r="AA29" s="99"/>
      <c r="AB29" s="99"/>
      <c r="AC29" s="99"/>
      <c r="AD29" s="99"/>
      <c r="AE29" s="99"/>
      <c r="AF29" s="99"/>
      <c r="AG29" s="99"/>
      <c r="AH29" s="103">
        <f t="shared" si="3"/>
        <v>0</v>
      </c>
    </row>
    <row r="30" spans="1:34" ht="15">
      <c r="A30" s="73" t="s">
        <v>152</v>
      </c>
      <c r="B30" s="53">
        <f t="shared" si="2"/>
        <v>0</v>
      </c>
      <c r="C30" s="116"/>
      <c r="D30" s="99"/>
      <c r="E30" s="99"/>
      <c r="F30" s="99"/>
      <c r="G30" s="99"/>
      <c r="H30" s="99"/>
      <c r="I30" s="99"/>
      <c r="J30" s="99"/>
      <c r="K30" s="99"/>
      <c r="L30" s="99"/>
      <c r="M30" s="99"/>
      <c r="N30" s="99"/>
      <c r="O30" s="99"/>
      <c r="P30" s="99"/>
      <c r="Q30" s="99"/>
      <c r="R30" s="99"/>
      <c r="S30" s="99"/>
      <c r="T30" s="99"/>
      <c r="U30" s="99"/>
      <c r="V30" s="99"/>
      <c r="W30" s="99"/>
      <c r="X30" s="99"/>
      <c r="Y30" s="99"/>
      <c r="Z30" s="99"/>
      <c r="AA30" s="99"/>
      <c r="AB30" s="99"/>
      <c r="AC30" s="99"/>
      <c r="AD30" s="99"/>
      <c r="AE30" s="99"/>
      <c r="AF30" s="99"/>
      <c r="AG30" s="99"/>
      <c r="AH30" s="103">
        <f t="shared" si="3"/>
        <v>0</v>
      </c>
    </row>
    <row r="31" spans="1:34" ht="15">
      <c r="A31" s="73" t="s">
        <v>153</v>
      </c>
      <c r="B31" s="53">
        <f t="shared" si="2"/>
        <v>0</v>
      </c>
      <c r="C31" s="116"/>
      <c r="D31" s="99"/>
      <c r="E31" s="99"/>
      <c r="F31" s="99"/>
      <c r="G31" s="99"/>
      <c r="H31" s="99"/>
      <c r="I31" s="99"/>
      <c r="J31" s="99"/>
      <c r="K31" s="99"/>
      <c r="L31" s="99"/>
      <c r="M31" s="99"/>
      <c r="N31" s="99"/>
      <c r="O31" s="99"/>
      <c r="P31" s="99"/>
      <c r="Q31" s="99"/>
      <c r="R31" s="99"/>
      <c r="S31" s="99"/>
      <c r="T31" s="99"/>
      <c r="U31" s="99"/>
      <c r="V31" s="99"/>
      <c r="W31" s="99"/>
      <c r="X31" s="99"/>
      <c r="Y31" s="99"/>
      <c r="Z31" s="99"/>
      <c r="AA31" s="99"/>
      <c r="AB31" s="99"/>
      <c r="AC31" s="99"/>
      <c r="AD31" s="99"/>
      <c r="AE31" s="99"/>
      <c r="AF31" s="99"/>
      <c r="AG31" s="99"/>
      <c r="AH31" s="103">
        <f t="shared" si="3"/>
        <v>0</v>
      </c>
    </row>
    <row r="32" spans="1:34" ht="15">
      <c r="A32" s="73" t="s">
        <v>154</v>
      </c>
      <c r="B32" s="53">
        <f t="shared" si="2"/>
        <v>0</v>
      </c>
      <c r="C32" s="116"/>
      <c r="D32" s="99"/>
      <c r="E32" s="99"/>
      <c r="F32" s="99"/>
      <c r="G32" s="99"/>
      <c r="H32" s="99"/>
      <c r="I32" s="99"/>
      <c r="J32" s="99"/>
      <c r="K32" s="99"/>
      <c r="L32" s="99"/>
      <c r="M32" s="99"/>
      <c r="N32" s="99"/>
      <c r="O32" s="99"/>
      <c r="P32" s="99"/>
      <c r="Q32" s="99"/>
      <c r="R32" s="99"/>
      <c r="S32" s="99"/>
      <c r="T32" s="99"/>
      <c r="U32" s="99"/>
      <c r="V32" s="99"/>
      <c r="W32" s="99"/>
      <c r="X32" s="99"/>
      <c r="Y32" s="99"/>
      <c r="Z32" s="99"/>
      <c r="AA32" s="99"/>
      <c r="AB32" s="99"/>
      <c r="AC32" s="99"/>
      <c r="AD32" s="99"/>
      <c r="AE32" s="99"/>
      <c r="AF32" s="99"/>
      <c r="AG32" s="99"/>
      <c r="AH32" s="103">
        <f t="shared" si="3"/>
        <v>0</v>
      </c>
    </row>
    <row r="33" spans="1:34" ht="15">
      <c r="A33" s="73" t="s">
        <v>155</v>
      </c>
      <c r="B33" s="53">
        <f t="shared" si="2"/>
        <v>0</v>
      </c>
      <c r="C33" s="116"/>
      <c r="D33" s="99"/>
      <c r="E33" s="99"/>
      <c r="F33" s="99"/>
      <c r="G33" s="99"/>
      <c r="H33" s="99"/>
      <c r="I33" s="99"/>
      <c r="J33" s="99"/>
      <c r="K33" s="99"/>
      <c r="L33" s="99"/>
      <c r="M33" s="99"/>
      <c r="N33" s="99"/>
      <c r="O33" s="99"/>
      <c r="P33" s="99"/>
      <c r="Q33" s="99"/>
      <c r="R33" s="99"/>
      <c r="S33" s="99"/>
      <c r="T33" s="99"/>
      <c r="U33" s="99"/>
      <c r="V33" s="99"/>
      <c r="W33" s="99"/>
      <c r="X33" s="99"/>
      <c r="Y33" s="99"/>
      <c r="Z33" s="99"/>
      <c r="AA33" s="99"/>
      <c r="AB33" s="99"/>
      <c r="AC33" s="99"/>
      <c r="AD33" s="99"/>
      <c r="AE33" s="99"/>
      <c r="AF33" s="99"/>
      <c r="AG33" s="99"/>
      <c r="AH33" s="103">
        <f t="shared" si="3"/>
        <v>0</v>
      </c>
    </row>
    <row r="34" spans="1:34" ht="15">
      <c r="A34" s="73" t="s">
        <v>156</v>
      </c>
      <c r="B34" s="53">
        <f t="shared" si="2"/>
        <v>0</v>
      </c>
      <c r="C34" s="116"/>
      <c r="D34" s="99"/>
      <c r="E34" s="99"/>
      <c r="F34" s="99"/>
      <c r="G34" s="99"/>
      <c r="H34" s="99"/>
      <c r="I34" s="99"/>
      <c r="J34" s="99"/>
      <c r="K34" s="99"/>
      <c r="L34" s="99"/>
      <c r="M34" s="99"/>
      <c r="N34" s="99"/>
      <c r="O34" s="99"/>
      <c r="P34" s="99"/>
      <c r="Q34" s="99"/>
      <c r="R34" s="99"/>
      <c r="S34" s="99"/>
      <c r="T34" s="99"/>
      <c r="U34" s="99"/>
      <c r="V34" s="99"/>
      <c r="W34" s="99"/>
      <c r="X34" s="99"/>
      <c r="Y34" s="99"/>
      <c r="Z34" s="99"/>
      <c r="AA34" s="99"/>
      <c r="AB34" s="99"/>
      <c r="AC34" s="99"/>
      <c r="AD34" s="99"/>
      <c r="AE34" s="99"/>
      <c r="AF34" s="99"/>
      <c r="AG34" s="99"/>
      <c r="AH34" s="103">
        <f t="shared" si="3"/>
        <v>0</v>
      </c>
    </row>
    <row r="35" spans="1:34" ht="15">
      <c r="A35" s="200" t="s">
        <v>111</v>
      </c>
      <c r="B35" s="200">
        <f>SUM(B23:B34)</f>
        <v>0</v>
      </c>
      <c r="C35" s="100"/>
      <c r="D35" s="100"/>
      <c r="E35" s="100"/>
      <c r="F35" s="100"/>
      <c r="G35" s="100"/>
      <c r="H35" s="100"/>
      <c r="I35" s="100"/>
      <c r="J35" s="100"/>
      <c r="K35" s="100"/>
      <c r="L35" s="100"/>
      <c r="M35" s="100"/>
      <c r="N35" s="100"/>
      <c r="O35" s="100"/>
      <c r="P35" s="100"/>
      <c r="Q35" s="100"/>
      <c r="R35" s="100"/>
      <c r="S35" s="100"/>
      <c r="T35" s="100"/>
      <c r="U35" s="100"/>
      <c r="V35" s="100"/>
      <c r="W35" s="100"/>
      <c r="X35" s="100"/>
      <c r="Y35" s="100"/>
      <c r="Z35" s="100"/>
      <c r="AA35" s="100"/>
      <c r="AB35" s="100"/>
      <c r="AC35" s="100"/>
      <c r="AD35" s="100"/>
      <c r="AE35" s="100"/>
      <c r="AF35" s="100"/>
      <c r="AG35" s="100"/>
      <c r="AH35" s="100">
        <f>SUM(AH26:AH34)</f>
        <v>0</v>
      </c>
    </row>
    <row r="36" spans="1:34" ht="15">
      <c r="A36" s="117"/>
      <c r="B36" s="117"/>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row>
    <row r="37" spans="1:34" ht="15">
      <c r="A37" s="3854" t="s">
        <v>129</v>
      </c>
      <c r="B37" s="3855"/>
      <c r="C37" s="3856"/>
      <c r="D37" s="14"/>
      <c r="E37" s="114"/>
      <c r="F37" s="14"/>
      <c r="G37" s="14"/>
      <c r="H37" s="14"/>
      <c r="I37" s="14"/>
      <c r="J37" s="14"/>
      <c r="K37" s="14"/>
      <c r="L37" s="14"/>
      <c r="M37" s="98"/>
      <c r="N37" s="14"/>
      <c r="O37" s="14"/>
      <c r="P37" s="14"/>
      <c r="Q37" s="14"/>
      <c r="R37" s="14"/>
      <c r="S37" s="14"/>
      <c r="T37" s="14"/>
      <c r="U37" s="14"/>
      <c r="V37" s="14"/>
      <c r="W37" s="14"/>
      <c r="X37" s="14"/>
      <c r="Y37" s="14"/>
      <c r="Z37" s="14"/>
      <c r="AA37" s="14"/>
      <c r="AB37" s="14"/>
      <c r="AC37" s="14"/>
      <c r="AD37" s="14"/>
      <c r="AE37" s="14"/>
      <c r="AF37" s="14"/>
      <c r="AG37" s="14"/>
      <c r="AH37" s="1"/>
    </row>
    <row r="38" spans="1:34" ht="15">
      <c r="A38" s="8" t="s">
        <v>142</v>
      </c>
      <c r="B38" s="8" t="s">
        <v>143</v>
      </c>
      <c r="C38" s="73">
        <v>1</v>
      </c>
      <c r="D38" s="73">
        <v>2</v>
      </c>
      <c r="E38" s="73">
        <v>3</v>
      </c>
      <c r="F38" s="73">
        <v>4</v>
      </c>
      <c r="G38" s="73">
        <v>5</v>
      </c>
      <c r="H38" s="73">
        <v>6</v>
      </c>
      <c r="I38" s="73">
        <v>7</v>
      </c>
      <c r="J38" s="73">
        <v>8</v>
      </c>
      <c r="K38" s="73">
        <v>9</v>
      </c>
      <c r="L38" s="73">
        <v>10</v>
      </c>
      <c r="M38" s="73">
        <v>11</v>
      </c>
      <c r="N38" s="73">
        <v>12</v>
      </c>
      <c r="O38" s="73">
        <v>13</v>
      </c>
      <c r="P38" s="73">
        <v>14</v>
      </c>
      <c r="Q38" s="73">
        <v>15</v>
      </c>
      <c r="R38" s="73">
        <v>16</v>
      </c>
      <c r="S38" s="73">
        <v>17</v>
      </c>
      <c r="T38" s="73">
        <v>18</v>
      </c>
      <c r="U38" s="73">
        <v>19</v>
      </c>
      <c r="V38" s="73">
        <v>20</v>
      </c>
      <c r="W38" s="73">
        <v>21</v>
      </c>
      <c r="X38" s="73">
        <v>22</v>
      </c>
      <c r="Y38" s="73">
        <v>23</v>
      </c>
      <c r="Z38" s="73">
        <v>24</v>
      </c>
      <c r="AA38" s="73">
        <v>25</v>
      </c>
      <c r="AB38" s="73">
        <v>26</v>
      </c>
      <c r="AC38" s="73">
        <v>27</v>
      </c>
      <c r="AD38" s="73">
        <v>28</v>
      </c>
      <c r="AE38" s="73">
        <v>29</v>
      </c>
      <c r="AF38" s="73">
        <v>30</v>
      </c>
      <c r="AG38" s="73">
        <v>31</v>
      </c>
      <c r="AH38" s="87" t="s">
        <v>144</v>
      </c>
    </row>
    <row r="39" spans="1:34" ht="15">
      <c r="A39" s="73" t="s">
        <v>145</v>
      </c>
      <c r="B39" s="53">
        <f t="shared" ref="B39:B50" si="4">+AH39</f>
        <v>0</v>
      </c>
      <c r="C39" s="188" t="s">
        <v>314</v>
      </c>
      <c r="D39" s="188" t="s">
        <v>314</v>
      </c>
      <c r="E39" s="188" t="s">
        <v>314</v>
      </c>
      <c r="F39" s="188" t="s">
        <v>314</v>
      </c>
      <c r="G39" s="188" t="s">
        <v>314</v>
      </c>
      <c r="H39" s="188" t="s">
        <v>314</v>
      </c>
      <c r="I39" s="188" t="s">
        <v>314</v>
      </c>
      <c r="J39" s="188" t="s">
        <v>314</v>
      </c>
      <c r="K39" s="188" t="s">
        <v>314</v>
      </c>
      <c r="L39" s="188" t="s">
        <v>314</v>
      </c>
      <c r="M39" s="188" t="s">
        <v>314</v>
      </c>
      <c r="N39" s="188" t="s">
        <v>314</v>
      </c>
      <c r="O39" s="188" t="s">
        <v>314</v>
      </c>
      <c r="P39" s="188" t="s">
        <v>314</v>
      </c>
      <c r="Q39" s="188" t="s">
        <v>314</v>
      </c>
      <c r="R39" s="188" t="s">
        <v>314</v>
      </c>
      <c r="S39" s="188" t="s">
        <v>314</v>
      </c>
      <c r="T39" s="188" t="s">
        <v>314</v>
      </c>
      <c r="U39" s="188" t="s">
        <v>314</v>
      </c>
      <c r="V39" s="188" t="s">
        <v>314</v>
      </c>
      <c r="W39" s="188" t="s">
        <v>314</v>
      </c>
      <c r="X39" s="188" t="s">
        <v>314</v>
      </c>
      <c r="Y39" s="188" t="s">
        <v>314</v>
      </c>
      <c r="Z39" s="188" t="s">
        <v>314</v>
      </c>
      <c r="AA39" s="188" t="s">
        <v>314</v>
      </c>
      <c r="AB39" s="188" t="s">
        <v>314</v>
      </c>
      <c r="AC39" s="188" t="s">
        <v>314</v>
      </c>
      <c r="AD39" s="188" t="s">
        <v>314</v>
      </c>
      <c r="AE39" s="188" t="s">
        <v>314</v>
      </c>
      <c r="AF39" s="188" t="s">
        <v>314</v>
      </c>
      <c r="AG39" s="188" t="s">
        <v>314</v>
      </c>
      <c r="AH39" s="100">
        <f>SUM(C39:AG39)</f>
        <v>0</v>
      </c>
    </row>
    <row r="40" spans="1:34" ht="15">
      <c r="A40" s="73" t="s">
        <v>146</v>
      </c>
      <c r="B40" s="53">
        <f t="shared" si="4"/>
        <v>0</v>
      </c>
      <c r="C40" s="188" t="s">
        <v>314</v>
      </c>
      <c r="D40" s="188" t="s">
        <v>314</v>
      </c>
      <c r="E40" s="188" t="s">
        <v>314</v>
      </c>
      <c r="F40" s="188" t="s">
        <v>314</v>
      </c>
      <c r="G40" s="188" t="s">
        <v>314</v>
      </c>
      <c r="H40" s="188" t="s">
        <v>314</v>
      </c>
      <c r="I40" s="188" t="s">
        <v>314</v>
      </c>
      <c r="J40" s="188" t="s">
        <v>314</v>
      </c>
      <c r="K40" s="188" t="s">
        <v>314</v>
      </c>
      <c r="L40" s="188" t="s">
        <v>314</v>
      </c>
      <c r="M40" s="188" t="s">
        <v>314</v>
      </c>
      <c r="N40" s="188" t="s">
        <v>314</v>
      </c>
      <c r="O40" s="188" t="s">
        <v>314</v>
      </c>
      <c r="P40" s="188" t="s">
        <v>314</v>
      </c>
      <c r="Q40" s="188" t="s">
        <v>314</v>
      </c>
      <c r="R40" s="188" t="s">
        <v>314</v>
      </c>
      <c r="S40" s="188" t="s">
        <v>314</v>
      </c>
      <c r="T40" s="188" t="s">
        <v>314</v>
      </c>
      <c r="U40" s="188" t="s">
        <v>314</v>
      </c>
      <c r="V40" s="188" t="s">
        <v>314</v>
      </c>
      <c r="W40" s="188" t="s">
        <v>314</v>
      </c>
      <c r="X40" s="188" t="s">
        <v>314</v>
      </c>
      <c r="Y40" s="188" t="s">
        <v>314</v>
      </c>
      <c r="Z40" s="188" t="s">
        <v>314</v>
      </c>
      <c r="AA40" s="188" t="s">
        <v>314</v>
      </c>
      <c r="AB40" s="188" t="s">
        <v>314</v>
      </c>
      <c r="AC40" s="188" t="s">
        <v>314</v>
      </c>
      <c r="AD40" s="188" t="s">
        <v>314</v>
      </c>
      <c r="AE40" s="188" t="s">
        <v>314</v>
      </c>
      <c r="AF40" s="188" t="s">
        <v>314</v>
      </c>
      <c r="AG40" s="188" t="s">
        <v>314</v>
      </c>
      <c r="AH40" s="100">
        <f t="shared" ref="AH40:AH50" si="5">SUM(C40:AG40)</f>
        <v>0</v>
      </c>
    </row>
    <row r="41" spans="1:34" ht="15">
      <c r="A41" s="73" t="s">
        <v>147</v>
      </c>
      <c r="B41" s="53">
        <f t="shared" si="4"/>
        <v>0</v>
      </c>
      <c r="C41" s="188" t="s">
        <v>314</v>
      </c>
      <c r="D41" s="188" t="s">
        <v>314</v>
      </c>
      <c r="E41" s="188" t="s">
        <v>314</v>
      </c>
      <c r="F41" s="188" t="s">
        <v>314</v>
      </c>
      <c r="G41" s="188" t="s">
        <v>314</v>
      </c>
      <c r="H41" s="188" t="s">
        <v>314</v>
      </c>
      <c r="I41" s="188" t="s">
        <v>314</v>
      </c>
      <c r="J41" s="188" t="s">
        <v>314</v>
      </c>
      <c r="K41" s="188" t="s">
        <v>314</v>
      </c>
      <c r="L41" s="188" t="s">
        <v>314</v>
      </c>
      <c r="M41" s="188" t="s">
        <v>314</v>
      </c>
      <c r="N41" s="188" t="s">
        <v>314</v>
      </c>
      <c r="O41" s="188" t="s">
        <v>314</v>
      </c>
      <c r="P41" s="188" t="s">
        <v>314</v>
      </c>
      <c r="Q41" s="188" t="s">
        <v>314</v>
      </c>
      <c r="R41" s="188" t="s">
        <v>314</v>
      </c>
      <c r="S41" s="188" t="s">
        <v>314</v>
      </c>
      <c r="T41" s="188" t="s">
        <v>314</v>
      </c>
      <c r="U41" s="188" t="s">
        <v>314</v>
      </c>
      <c r="V41" s="188" t="s">
        <v>314</v>
      </c>
      <c r="W41" s="188" t="s">
        <v>314</v>
      </c>
      <c r="X41" s="188" t="s">
        <v>314</v>
      </c>
      <c r="Y41" s="188" t="s">
        <v>314</v>
      </c>
      <c r="Z41" s="188" t="s">
        <v>314</v>
      </c>
      <c r="AA41" s="188" t="s">
        <v>314</v>
      </c>
      <c r="AB41" s="188" t="s">
        <v>314</v>
      </c>
      <c r="AC41" s="188" t="s">
        <v>314</v>
      </c>
      <c r="AD41" s="188" t="s">
        <v>314</v>
      </c>
      <c r="AE41" s="188" t="s">
        <v>314</v>
      </c>
      <c r="AF41" s="188" t="s">
        <v>314</v>
      </c>
      <c r="AG41" s="188" t="s">
        <v>314</v>
      </c>
      <c r="AH41" s="100">
        <f t="shared" si="5"/>
        <v>0</v>
      </c>
    </row>
    <row r="42" spans="1:34" ht="15">
      <c r="A42" s="73" t="s">
        <v>148</v>
      </c>
      <c r="B42" s="53">
        <f t="shared" si="4"/>
        <v>44.433</v>
      </c>
      <c r="C42" s="296"/>
      <c r="D42" s="297"/>
      <c r="E42" s="298"/>
      <c r="F42" s="298"/>
      <c r="G42" s="298"/>
      <c r="H42" s="298"/>
      <c r="I42" s="298"/>
      <c r="J42" s="298"/>
      <c r="K42" s="298"/>
      <c r="L42" s="298"/>
      <c r="M42" s="298"/>
      <c r="N42" s="298"/>
      <c r="O42" s="298"/>
      <c r="P42" s="298"/>
      <c r="Q42" s="298"/>
      <c r="R42" s="298"/>
      <c r="S42" s="298"/>
      <c r="T42" s="298"/>
      <c r="U42" s="298"/>
      <c r="V42" s="298">
        <v>3.496</v>
      </c>
      <c r="W42" s="298"/>
      <c r="X42" s="298">
        <v>2.633</v>
      </c>
      <c r="Y42" s="298"/>
      <c r="Z42" s="298"/>
      <c r="AA42" s="298">
        <v>14.449000000000002</v>
      </c>
      <c r="AB42" s="298">
        <v>9.0289999999999999</v>
      </c>
      <c r="AC42" s="298">
        <v>7.6609999999999996</v>
      </c>
      <c r="AD42" s="298"/>
      <c r="AE42" s="298">
        <v>7.165</v>
      </c>
      <c r="AF42" s="298"/>
      <c r="AG42" s="298"/>
      <c r="AH42" s="100">
        <f t="shared" si="5"/>
        <v>44.433</v>
      </c>
    </row>
    <row r="43" spans="1:34" ht="15">
      <c r="A43" s="73" t="s">
        <v>149</v>
      </c>
      <c r="B43" s="53">
        <f>+AH43</f>
        <v>122.346</v>
      </c>
      <c r="C43" s="296">
        <v>0.1</v>
      </c>
      <c r="D43" s="297"/>
      <c r="E43" s="298"/>
      <c r="F43" s="298"/>
      <c r="G43" s="298"/>
      <c r="H43" s="298">
        <v>1.26</v>
      </c>
      <c r="I43" s="298">
        <v>17.716000000000001</v>
      </c>
      <c r="J43" s="298">
        <v>8.7889999999999997</v>
      </c>
      <c r="K43" s="298">
        <v>10.568</v>
      </c>
      <c r="L43" s="298">
        <v>9.4220000000000006</v>
      </c>
      <c r="M43" s="298">
        <v>6.64</v>
      </c>
      <c r="N43" s="298"/>
      <c r="O43" s="298"/>
      <c r="P43" s="298">
        <v>6.3579999999999997</v>
      </c>
      <c r="Q43" s="298">
        <v>9.08</v>
      </c>
      <c r="R43" s="298"/>
      <c r="S43" s="298"/>
      <c r="T43" s="298"/>
      <c r="U43" s="298"/>
      <c r="V43" s="298"/>
      <c r="W43" s="298">
        <v>5.5259999999999998</v>
      </c>
      <c r="X43" s="298">
        <v>15.875</v>
      </c>
      <c r="Y43" s="298">
        <v>9.1959999999999997</v>
      </c>
      <c r="Z43" s="298">
        <v>11.259</v>
      </c>
      <c r="AA43" s="298">
        <v>6.1349999999999998</v>
      </c>
      <c r="AB43" s="298"/>
      <c r="AC43" s="298"/>
      <c r="AD43" s="298"/>
      <c r="AE43" s="298"/>
      <c r="AF43" s="298">
        <v>4.4219999999999997</v>
      </c>
      <c r="AG43" s="298"/>
      <c r="AH43" s="100">
        <f t="shared" si="5"/>
        <v>122.346</v>
      </c>
    </row>
    <row r="44" spans="1:34" ht="15">
      <c r="A44" s="73" t="s">
        <v>150</v>
      </c>
      <c r="B44" s="53">
        <f t="shared" si="4"/>
        <v>97.787000000000006</v>
      </c>
      <c r="C44" s="296">
        <v>8.8810000000000002</v>
      </c>
      <c r="D44" s="297"/>
      <c r="E44" s="298">
        <v>10.522</v>
      </c>
      <c r="F44" s="298"/>
      <c r="G44" s="298">
        <v>5.3289999999999997</v>
      </c>
      <c r="H44" s="298">
        <v>6.258</v>
      </c>
      <c r="I44" s="298">
        <v>5.1130000000000004</v>
      </c>
      <c r="J44" s="298"/>
      <c r="K44" s="298"/>
      <c r="L44" s="298">
        <v>8.82</v>
      </c>
      <c r="M44" s="298">
        <v>16.46</v>
      </c>
      <c r="N44" s="298"/>
      <c r="O44" s="298"/>
      <c r="P44" s="298">
        <v>7.5190000000000001</v>
      </c>
      <c r="Q44" s="298"/>
      <c r="R44" s="298"/>
      <c r="S44" s="298">
        <v>7.63</v>
      </c>
      <c r="T44" s="298">
        <v>3.5999999999999997E-2</v>
      </c>
      <c r="U44" s="298">
        <v>10.292</v>
      </c>
      <c r="V44" s="298">
        <v>10.927</v>
      </c>
      <c r="W44" s="1890"/>
      <c r="X44" s="1890"/>
      <c r="Y44" s="1890"/>
      <c r="Z44" s="1890"/>
      <c r="AA44" s="1890"/>
      <c r="AB44" s="1890"/>
      <c r="AC44" s="1890"/>
      <c r="AD44" s="1890"/>
      <c r="AE44" s="1890"/>
      <c r="AF44" s="1890"/>
      <c r="AG44" s="298"/>
      <c r="AH44" s="100">
        <f t="shared" si="5"/>
        <v>97.787000000000006</v>
      </c>
    </row>
    <row r="45" spans="1:34" ht="15">
      <c r="A45" s="73" t="s">
        <v>151</v>
      </c>
      <c r="B45" s="53">
        <f t="shared" si="4"/>
        <v>10.781000000000001</v>
      </c>
      <c r="C45" s="299"/>
      <c r="D45" s="297"/>
      <c r="E45" s="298"/>
      <c r="F45" s="298"/>
      <c r="G45" s="298"/>
      <c r="H45" s="298"/>
      <c r="I45" s="298"/>
      <c r="J45" s="298"/>
      <c r="K45" s="298"/>
      <c r="L45" s="298"/>
      <c r="M45" s="298"/>
      <c r="N45" s="298"/>
      <c r="O45" s="298"/>
      <c r="P45" s="298"/>
      <c r="Q45" s="298"/>
      <c r="R45" s="298"/>
      <c r="S45" s="298"/>
      <c r="T45" s="298"/>
      <c r="U45" s="298"/>
      <c r="V45" s="298"/>
      <c r="W45" s="298"/>
      <c r="X45" s="298"/>
      <c r="Y45" s="298">
        <v>0.39</v>
      </c>
      <c r="Z45" s="298"/>
      <c r="AA45" s="298"/>
      <c r="AB45" s="298"/>
      <c r="AC45" s="298"/>
      <c r="AD45" s="298"/>
      <c r="AE45" s="298"/>
      <c r="AF45" s="298">
        <v>10.391</v>
      </c>
      <c r="AG45" s="298"/>
      <c r="AH45" s="100">
        <f t="shared" si="5"/>
        <v>10.781000000000001</v>
      </c>
    </row>
    <row r="46" spans="1:34" ht="15">
      <c r="A46" s="73" t="s">
        <v>152</v>
      </c>
      <c r="B46" s="53">
        <f t="shared" si="4"/>
        <v>171.708</v>
      </c>
      <c r="C46" s="300">
        <v>17.21</v>
      </c>
      <c r="D46" s="301">
        <v>12.427</v>
      </c>
      <c r="E46" s="297"/>
      <c r="F46" s="297"/>
      <c r="G46" s="297">
        <v>15.936</v>
      </c>
      <c r="H46" s="297">
        <v>31.678999999999998</v>
      </c>
      <c r="I46" s="297">
        <v>11.006</v>
      </c>
      <c r="J46" s="297">
        <v>20.616</v>
      </c>
      <c r="K46" s="297">
        <v>17.114999999999998</v>
      </c>
      <c r="L46" s="297">
        <v>16.655000000000001</v>
      </c>
      <c r="M46" s="297"/>
      <c r="N46" s="297"/>
      <c r="O46" s="297"/>
      <c r="P46" s="297"/>
      <c r="Q46" s="297"/>
      <c r="R46" s="297"/>
      <c r="S46" s="297"/>
      <c r="T46" s="297"/>
      <c r="U46" s="297">
        <v>15.423</v>
      </c>
      <c r="V46" s="297">
        <v>13.641</v>
      </c>
      <c r="W46" s="297"/>
      <c r="X46" s="297"/>
      <c r="Y46" s="297"/>
      <c r="Z46" s="297"/>
      <c r="AA46" s="297"/>
      <c r="AB46" s="297"/>
      <c r="AC46" s="297"/>
      <c r="AD46" s="297"/>
      <c r="AE46" s="297"/>
      <c r="AF46" s="297"/>
      <c r="AG46" s="297"/>
      <c r="AH46" s="100">
        <f t="shared" si="5"/>
        <v>171.708</v>
      </c>
    </row>
    <row r="47" spans="1:34" ht="15">
      <c r="A47" s="73" t="s">
        <v>153</v>
      </c>
      <c r="B47" s="53">
        <f t="shared" si="4"/>
        <v>0</v>
      </c>
      <c r="C47" s="302"/>
      <c r="D47" s="303"/>
      <c r="E47" s="303"/>
      <c r="F47" s="303"/>
      <c r="G47" s="303"/>
      <c r="H47" s="303"/>
      <c r="I47" s="303"/>
      <c r="J47" s="303"/>
      <c r="K47" s="303"/>
      <c r="L47" s="303"/>
      <c r="M47" s="303"/>
      <c r="N47" s="303"/>
      <c r="O47" s="303"/>
      <c r="P47" s="303"/>
      <c r="Q47" s="303"/>
      <c r="R47" s="303"/>
      <c r="S47" s="303"/>
      <c r="T47" s="303"/>
      <c r="U47" s="303"/>
      <c r="V47" s="304"/>
      <c r="W47" s="304"/>
      <c r="X47" s="303"/>
      <c r="Y47" s="303"/>
      <c r="Z47" s="303"/>
      <c r="AA47" s="303"/>
      <c r="AB47" s="304"/>
      <c r="AC47" s="304"/>
      <c r="AD47" s="304"/>
      <c r="AE47" s="304"/>
      <c r="AF47" s="304"/>
      <c r="AG47" s="304"/>
      <c r="AH47" s="100">
        <f t="shared" si="5"/>
        <v>0</v>
      </c>
    </row>
    <row r="48" spans="1:34" ht="15">
      <c r="A48" s="73" t="s">
        <v>154</v>
      </c>
      <c r="B48" s="53">
        <f t="shared" si="4"/>
        <v>69.51100000000001</v>
      </c>
      <c r="C48" s="302"/>
      <c r="D48" s="303"/>
      <c r="E48" s="303"/>
      <c r="F48" s="303"/>
      <c r="G48" s="303"/>
      <c r="H48" s="303"/>
      <c r="I48" s="303"/>
      <c r="J48" s="303"/>
      <c r="K48" s="305"/>
      <c r="L48" s="303"/>
      <c r="M48" s="303"/>
      <c r="N48" s="303"/>
      <c r="O48" s="297"/>
      <c r="P48" s="303"/>
      <c r="Q48" s="303"/>
      <c r="R48" s="303"/>
      <c r="S48" s="303"/>
      <c r="T48" s="303"/>
      <c r="U48" s="303">
        <v>2.16</v>
      </c>
      <c r="V48" s="303"/>
      <c r="W48" s="303">
        <v>6.242</v>
      </c>
      <c r="X48" s="303">
        <v>4.032</v>
      </c>
      <c r="Y48" s="303">
        <v>6.2080000000000002</v>
      </c>
      <c r="Z48" s="303">
        <v>5.3280000000000003</v>
      </c>
      <c r="AA48" s="303">
        <v>7.0760000000000005</v>
      </c>
      <c r="AB48" s="303">
        <v>10.074999999999999</v>
      </c>
      <c r="AC48" s="303">
        <v>3.5550000000000002</v>
      </c>
      <c r="AD48" s="303">
        <v>5.3920000000000003</v>
      </c>
      <c r="AE48" s="298">
        <v>9.9009999999999998</v>
      </c>
      <c r="AF48" s="304">
        <v>4.7569999999999997</v>
      </c>
      <c r="AG48" s="298">
        <v>4.7850000000000001</v>
      </c>
      <c r="AH48" s="100">
        <f t="shared" si="5"/>
        <v>69.51100000000001</v>
      </c>
    </row>
    <row r="49" spans="1:34" ht="15">
      <c r="A49" s="73" t="s">
        <v>155</v>
      </c>
      <c r="B49" s="53">
        <f t="shared" si="4"/>
        <v>0</v>
      </c>
      <c r="C49" s="302"/>
      <c r="D49" s="303"/>
      <c r="E49" s="303"/>
      <c r="F49" s="303"/>
      <c r="G49" s="303"/>
      <c r="H49" s="303"/>
      <c r="I49" s="303"/>
      <c r="J49" s="303"/>
      <c r="K49" s="303"/>
      <c r="L49" s="303"/>
      <c r="M49" s="303"/>
      <c r="N49" s="303"/>
      <c r="O49" s="303"/>
      <c r="P49" s="303"/>
      <c r="Q49" s="303"/>
      <c r="R49" s="303"/>
      <c r="S49" s="303"/>
      <c r="T49" s="303"/>
      <c r="U49" s="303"/>
      <c r="V49" s="303"/>
      <c r="W49" s="303"/>
      <c r="X49" s="303"/>
      <c r="Y49" s="303"/>
      <c r="Z49" s="303"/>
      <c r="AA49" s="303"/>
      <c r="AB49" s="303"/>
      <c r="AC49" s="303"/>
      <c r="AD49" s="303"/>
      <c r="AE49" s="298"/>
      <c r="AF49" s="304"/>
      <c r="AG49" s="298"/>
      <c r="AH49" s="100">
        <f t="shared" si="5"/>
        <v>0</v>
      </c>
    </row>
    <row r="50" spans="1:34" ht="15">
      <c r="A50" s="118" t="s">
        <v>156</v>
      </c>
      <c r="B50" s="97">
        <f t="shared" si="4"/>
        <v>0</v>
      </c>
      <c r="C50" s="302"/>
      <c r="D50" s="303"/>
      <c r="E50" s="303"/>
      <c r="F50" s="303"/>
      <c r="G50" s="303"/>
      <c r="H50" s="303"/>
      <c r="I50" s="303"/>
      <c r="J50" s="303"/>
      <c r="K50" s="303"/>
      <c r="L50" s="303"/>
      <c r="M50" s="303"/>
      <c r="N50" s="303"/>
      <c r="O50" s="303"/>
      <c r="P50" s="303"/>
      <c r="Q50" s="303"/>
      <c r="R50" s="303"/>
      <c r="S50" s="303"/>
      <c r="T50" s="303"/>
      <c r="U50" s="303"/>
      <c r="V50" s="303"/>
      <c r="W50" s="303"/>
      <c r="X50" s="303"/>
      <c r="Y50" s="303"/>
      <c r="Z50" s="303"/>
      <c r="AA50" s="303"/>
      <c r="AB50" s="303"/>
      <c r="AC50" s="303"/>
      <c r="AD50" s="303"/>
      <c r="AE50" s="298"/>
      <c r="AF50" s="304"/>
      <c r="AG50" s="298"/>
      <c r="AH50" s="100">
        <f t="shared" si="5"/>
        <v>0</v>
      </c>
    </row>
    <row r="51" spans="1:34" ht="15">
      <c r="A51" s="200" t="s">
        <v>111</v>
      </c>
      <c r="B51" s="200">
        <f>SUM(B39:B50)</f>
        <v>516.56600000000003</v>
      </c>
      <c r="C51" s="100"/>
      <c r="D51" s="100"/>
      <c r="E51" s="100"/>
      <c r="F51" s="100"/>
      <c r="G51" s="100"/>
      <c r="H51" s="100"/>
      <c r="I51" s="100"/>
      <c r="J51" s="100"/>
      <c r="K51" s="100"/>
      <c r="L51" s="100"/>
      <c r="M51" s="100"/>
      <c r="N51" s="100"/>
      <c r="O51" s="100"/>
      <c r="P51" s="100"/>
      <c r="Q51" s="100"/>
      <c r="R51" s="100"/>
      <c r="S51" s="100"/>
      <c r="T51" s="100"/>
      <c r="U51" s="100"/>
      <c r="V51" s="100"/>
      <c r="W51" s="100"/>
      <c r="X51" s="100"/>
      <c r="Y51" s="100"/>
      <c r="Z51" s="100"/>
      <c r="AA51" s="100"/>
      <c r="AB51" s="100"/>
      <c r="AC51" s="100"/>
      <c r="AD51" s="100"/>
      <c r="AE51" s="100"/>
      <c r="AF51" s="100"/>
      <c r="AG51" s="100"/>
      <c r="AH51" s="100">
        <f>SUM(AH39:AH50)</f>
        <v>516.56600000000003</v>
      </c>
    </row>
  </sheetData>
  <mergeCells count="4">
    <mergeCell ref="A2:T2"/>
    <mergeCell ref="A5:C5"/>
    <mergeCell ref="A21:C21"/>
    <mergeCell ref="A37:C37"/>
  </mergeCells>
  <phoneticPr fontId="0" type="noConversion"/>
  <pageMargins left="0.75" right="0.75" top="1" bottom="1" header="0" footer="0"/>
  <headerFooter alignWithMargins="0"/>
  <legacyDrawing r:id="rId1"/>
  <oleObjects>
    <oleObject progId="MSPhotoEd.3" shapeId="17409" r:id="rId2"/>
  </oleObjects>
</worksheet>
</file>

<file path=xl/worksheets/sheet21.xml><?xml version="1.0" encoding="utf-8"?>
<worksheet xmlns="http://schemas.openxmlformats.org/spreadsheetml/2006/main" xmlns:r="http://schemas.openxmlformats.org/officeDocument/2006/relationships">
  <dimension ref="A1:U78"/>
  <sheetViews>
    <sheetView topLeftCell="A31" zoomScale="67" zoomScaleNormal="67" workbookViewId="0">
      <selection activeCell="K55" sqref="K55"/>
    </sheetView>
  </sheetViews>
  <sheetFormatPr baseColWidth="10" defaultColWidth="11.44140625" defaultRowHeight="13.2"/>
  <cols>
    <col min="1" max="1" width="8.33203125" style="189" customWidth="1"/>
    <col min="2" max="2" width="14.109375" style="189" hidden="1" customWidth="1"/>
    <col min="3" max="3" width="17.109375" style="189" hidden="1" customWidth="1"/>
    <col min="4" max="4" width="20.88671875" style="189" hidden="1" customWidth="1"/>
    <col min="5" max="5" width="9.33203125" style="189" hidden="1" customWidth="1"/>
    <col min="6" max="6" width="11" style="189" customWidth="1"/>
    <col min="7" max="7" width="14.44140625" style="189" bestFit="1" customWidth="1"/>
    <col min="8" max="8" width="8.21875" style="189" customWidth="1"/>
    <col min="9" max="9" width="28.109375" style="189" bestFit="1" customWidth="1"/>
    <col min="10" max="10" width="12" style="189" bestFit="1" customWidth="1"/>
    <col min="11" max="11" width="19.6640625" style="189" customWidth="1"/>
    <col min="12" max="12" width="13.6640625" style="189" customWidth="1"/>
    <col min="13" max="13" width="12.109375" style="189" bestFit="1" customWidth="1"/>
    <col min="14" max="14" width="23.109375" style="195" customWidth="1"/>
    <col min="15" max="15" width="26.33203125" style="192" customWidth="1"/>
    <col min="16" max="16" width="25.88671875" style="189" customWidth="1"/>
    <col min="17" max="17" width="7" style="189" hidden="1" customWidth="1"/>
    <col min="18" max="18" width="13.88671875" style="189" customWidth="1"/>
    <col min="19" max="19" width="12.88671875" style="189" customWidth="1"/>
    <col min="20" max="20" width="13" style="189" customWidth="1"/>
    <col min="21" max="21" width="28.88671875" style="189" customWidth="1"/>
    <col min="22" max="16384" width="11.44140625" style="189"/>
  </cols>
  <sheetData>
    <row r="1" spans="1:20">
      <c r="P1" s="312"/>
      <c r="Q1" s="312"/>
    </row>
    <row r="2" spans="1:20" ht="15">
      <c r="A2" s="3854" t="s">
        <v>329</v>
      </c>
      <c r="B2" s="3855"/>
      <c r="C2" s="3855"/>
      <c r="D2" s="3855"/>
      <c r="E2" s="3855"/>
      <c r="F2" s="3855"/>
      <c r="G2" s="3855"/>
      <c r="H2" s="3855"/>
      <c r="I2" s="3855"/>
      <c r="J2" s="3855"/>
      <c r="K2" s="3855"/>
      <c r="L2" s="3855"/>
      <c r="M2" s="3855"/>
      <c r="N2" s="3856"/>
      <c r="P2" s="312"/>
      <c r="Q2" s="312"/>
    </row>
    <row r="3" spans="1:20" s="190" customFormat="1" ht="15">
      <c r="A3" s="104"/>
      <c r="B3" s="104"/>
      <c r="C3" s="104"/>
      <c r="D3" s="104"/>
      <c r="E3" s="104"/>
      <c r="F3" s="104"/>
      <c r="G3" s="104"/>
      <c r="H3" s="104"/>
      <c r="I3" s="104"/>
      <c r="J3" s="104"/>
      <c r="K3" s="104"/>
      <c r="L3" s="104"/>
      <c r="M3" s="104"/>
      <c r="N3" s="194"/>
      <c r="O3" s="556"/>
      <c r="P3" s="312"/>
      <c r="Q3" s="312"/>
    </row>
    <row r="4" spans="1:20" ht="15">
      <c r="A4" s="104"/>
      <c r="B4" s="104"/>
      <c r="C4" s="104"/>
      <c r="D4" s="14"/>
      <c r="E4" s="14"/>
      <c r="F4" s="14"/>
      <c r="G4" s="14"/>
      <c r="H4" s="14"/>
      <c r="I4" s="14"/>
      <c r="J4" s="11"/>
      <c r="K4" s="49"/>
      <c r="L4" s="11"/>
      <c r="M4" s="11"/>
      <c r="N4" s="177"/>
      <c r="O4" s="186"/>
      <c r="P4" s="312"/>
      <c r="Q4" s="312"/>
    </row>
    <row r="5" spans="1:20" ht="15">
      <c r="A5" s="3983" t="s">
        <v>107</v>
      </c>
      <c r="B5" s="199" t="s">
        <v>165</v>
      </c>
      <c r="C5" s="199" t="s">
        <v>166</v>
      </c>
      <c r="D5" s="199" t="s">
        <v>167</v>
      </c>
      <c r="E5" s="199" t="s">
        <v>168</v>
      </c>
      <c r="F5" s="3854" t="s">
        <v>169</v>
      </c>
      <c r="G5" s="3855"/>
      <c r="H5" s="3856"/>
      <c r="I5" s="3854" t="s">
        <v>170</v>
      </c>
      <c r="J5" s="3855"/>
      <c r="K5" s="3855"/>
      <c r="L5" s="3855"/>
      <c r="M5" s="3855"/>
      <c r="N5" s="3856"/>
      <c r="O5" s="539"/>
      <c r="P5" s="312"/>
      <c r="Q5" s="312"/>
    </row>
    <row r="6" spans="1:20" ht="15.6" thickBot="1">
      <c r="A6" s="3983"/>
      <c r="B6" s="199" t="s">
        <v>171</v>
      </c>
      <c r="C6" s="199" t="s">
        <v>172</v>
      </c>
      <c r="D6" s="199" t="s">
        <v>111</v>
      </c>
      <c r="E6" s="199" t="s">
        <v>173</v>
      </c>
      <c r="F6" s="199" t="s">
        <v>174</v>
      </c>
      <c r="G6" s="199" t="s">
        <v>175</v>
      </c>
      <c r="H6" s="223" t="s">
        <v>176</v>
      </c>
      <c r="I6" s="3984" t="s">
        <v>177</v>
      </c>
      <c r="J6" s="199" t="s">
        <v>172</v>
      </c>
      <c r="K6" s="199" t="s">
        <v>178</v>
      </c>
      <c r="L6" s="845" t="s">
        <v>664</v>
      </c>
      <c r="M6" s="199" t="s">
        <v>54</v>
      </c>
      <c r="N6" s="199" t="s">
        <v>127</v>
      </c>
      <c r="O6" s="230" t="s">
        <v>128</v>
      </c>
      <c r="P6" s="192"/>
      <c r="Q6" s="312"/>
    </row>
    <row r="7" spans="1:20" ht="15">
      <c r="A7" s="3983"/>
      <c r="B7" s="199" t="s">
        <v>179</v>
      </c>
      <c r="C7" s="199" t="s">
        <v>179</v>
      </c>
      <c r="D7" s="223" t="s">
        <v>179</v>
      </c>
      <c r="E7" s="223" t="s">
        <v>179</v>
      </c>
      <c r="F7" s="223"/>
      <c r="G7" s="223" t="s">
        <v>179</v>
      </c>
      <c r="H7" s="223" t="s">
        <v>179</v>
      </c>
      <c r="I7" s="3985"/>
      <c r="J7" s="223" t="s">
        <v>179</v>
      </c>
      <c r="K7" s="223" t="s">
        <v>179</v>
      </c>
      <c r="L7" s="199" t="s">
        <v>179</v>
      </c>
      <c r="M7" s="223" t="s">
        <v>179</v>
      </c>
      <c r="N7" s="223" t="s">
        <v>179</v>
      </c>
      <c r="O7" s="657" t="s">
        <v>179</v>
      </c>
      <c r="P7" s="737" t="s">
        <v>542</v>
      </c>
      <c r="Q7" s="312"/>
    </row>
    <row r="8" spans="1:20" ht="15">
      <c r="A8" s="3975" t="s">
        <v>615</v>
      </c>
      <c r="B8" s="3809">
        <f>SUM(J8:J19)</f>
        <v>3816.9999999999991</v>
      </c>
      <c r="C8" s="3809">
        <f>SUM(M8:M19)</f>
        <v>3232.8700000000003</v>
      </c>
      <c r="D8" s="3809">
        <f>SUM(N8:N19)</f>
        <v>2642.2595555555554</v>
      </c>
      <c r="E8" s="3809">
        <f>+C8-D8</f>
        <v>590.61044444444497</v>
      </c>
      <c r="F8" s="350"/>
      <c r="G8" s="1542"/>
      <c r="H8" s="1542"/>
      <c r="I8" s="393" t="s">
        <v>330</v>
      </c>
      <c r="J8" s="1983">
        <v>1216.096</v>
      </c>
      <c r="K8" s="1654">
        <v>0</v>
      </c>
      <c r="L8" s="1984">
        <v>-180</v>
      </c>
      <c r="M8" s="1985">
        <f>+J8-K8+L8</f>
        <v>1036.096</v>
      </c>
      <c r="N8" s="1655">
        <f>872.447+69.337+23.206+24.438+21.896+10.94+12.689+0.813</f>
        <v>1035.7660000000001</v>
      </c>
      <c r="O8" s="1093">
        <f>M8-N8</f>
        <v>0.32999999999992724</v>
      </c>
      <c r="P8" s="1546"/>
      <c r="Q8" s="487">
        <f>+O8-0.33</f>
        <v>-7.2775119264179011E-14</v>
      </c>
      <c r="R8" s="1656"/>
      <c r="S8" s="1561"/>
      <c r="T8" s="312"/>
    </row>
    <row r="9" spans="1:20" ht="15">
      <c r="A9" s="3976"/>
      <c r="B9" s="3979"/>
      <c r="C9" s="3979"/>
      <c r="D9" s="3979"/>
      <c r="E9" s="3979"/>
      <c r="F9" s="341"/>
      <c r="G9" s="1544"/>
      <c r="H9" s="1544"/>
      <c r="I9" s="394" t="s">
        <v>331</v>
      </c>
      <c r="J9" s="1986">
        <v>438.19200000000001</v>
      </c>
      <c r="K9" s="1100">
        <f>+L62</f>
        <v>12.5158</v>
      </c>
      <c r="L9" s="1547"/>
      <c r="M9" s="1548">
        <f t="shared" ref="M9:M19" si="0">+J9-K9+L9</f>
        <v>425.67619999999999</v>
      </c>
      <c r="N9" s="1549">
        <f>258.032222222222+18.388+18.693+10.445+3.724+3.254+2.185+4.499+0.278+1.672</f>
        <v>321.17022222222204</v>
      </c>
      <c r="O9" s="1987">
        <f t="shared" ref="O9:O19" si="1">M9-N9</f>
        <v>104.50597777777796</v>
      </c>
      <c r="P9" s="739"/>
      <c r="Q9" s="487">
        <f>321.17-N9</f>
        <v>-2.2222222202117337E-4</v>
      </c>
      <c r="R9" s="1656"/>
      <c r="S9" s="1561"/>
      <c r="T9" s="312"/>
    </row>
    <row r="10" spans="1:20" ht="15">
      <c r="A10" s="3977"/>
      <c r="B10" s="3816"/>
      <c r="C10" s="3816"/>
      <c r="D10" s="3816"/>
      <c r="E10" s="3816"/>
      <c r="F10" s="343"/>
      <c r="G10" s="1545"/>
      <c r="H10" s="1545"/>
      <c r="I10" s="395" t="s">
        <v>332</v>
      </c>
      <c r="J10" s="1550">
        <v>341.62200000000001</v>
      </c>
      <c r="K10" s="918">
        <v>0</v>
      </c>
      <c r="L10" s="1547"/>
      <c r="M10" s="1548">
        <f t="shared" si="0"/>
        <v>341.62200000000001</v>
      </c>
      <c r="N10" s="1549">
        <f>234.394444444444+24.828+16.665+1.043+0.222+3.767+0.265+2.137</f>
        <v>283.32144444444396</v>
      </c>
      <c r="O10" s="1094">
        <f t="shared" si="1"/>
        <v>58.300555555556059</v>
      </c>
      <c r="P10" s="1551"/>
      <c r="Q10" s="487">
        <v>0</v>
      </c>
      <c r="R10" s="1656"/>
      <c r="S10" s="1561"/>
      <c r="T10" s="312"/>
    </row>
    <row r="11" spans="1:20" ht="15">
      <c r="A11" s="3977"/>
      <c r="B11" s="3816"/>
      <c r="C11" s="3816"/>
      <c r="D11" s="3816"/>
      <c r="E11" s="3816"/>
      <c r="F11" s="343"/>
      <c r="G11" s="1545"/>
      <c r="H11" s="1545"/>
      <c r="I11" s="395" t="s">
        <v>333</v>
      </c>
      <c r="J11" s="1550">
        <v>196.57599999999999</v>
      </c>
      <c r="K11" s="918">
        <v>0</v>
      </c>
      <c r="L11" s="1547">
        <v>-70.558999999999997</v>
      </c>
      <c r="M11" s="1548">
        <f>+J11-K11+L11</f>
        <v>126.017</v>
      </c>
      <c r="N11" s="1549">
        <f>50.6311111111111+5.407+7.333+4.948+2.27+0.666+2.787+1.054</f>
        <v>75.096111111111114</v>
      </c>
      <c r="O11" s="1094">
        <f>M11-N11</f>
        <v>50.920888888888882</v>
      </c>
      <c r="P11" s="1552"/>
      <c r="Q11" s="487">
        <v>0</v>
      </c>
      <c r="R11" s="1656"/>
      <c r="S11" s="1561"/>
      <c r="T11" s="312"/>
    </row>
    <row r="12" spans="1:20" ht="15">
      <c r="A12" s="3977"/>
      <c r="B12" s="3816"/>
      <c r="C12" s="3816"/>
      <c r="D12" s="3816"/>
      <c r="E12" s="3816"/>
      <c r="F12" s="1553"/>
      <c r="G12" s="1545"/>
      <c r="H12" s="1545"/>
      <c r="I12" s="395" t="s">
        <v>334</v>
      </c>
      <c r="J12" s="1550">
        <v>188.56</v>
      </c>
      <c r="K12" s="918">
        <v>0</v>
      </c>
      <c r="L12" s="1547">
        <v>-94.847999999999999</v>
      </c>
      <c r="M12" s="1548">
        <f>+J12-K12+L12</f>
        <v>93.712000000000003</v>
      </c>
      <c r="N12" s="914">
        <f>45.4488888888889+0.429+0.658+0.574+0.389</f>
        <v>47.498888888888906</v>
      </c>
      <c r="O12" s="1094">
        <f t="shared" si="1"/>
        <v>46.213111111111097</v>
      </c>
      <c r="P12" s="1551"/>
      <c r="Q12" s="487">
        <v>0</v>
      </c>
      <c r="R12" s="1656"/>
      <c r="S12" s="1561"/>
      <c r="T12" s="312"/>
    </row>
    <row r="13" spans="1:20" ht="15">
      <c r="A13" s="3977"/>
      <c r="B13" s="3816"/>
      <c r="C13" s="3816"/>
      <c r="D13" s="3816"/>
      <c r="E13" s="3816"/>
      <c r="F13" s="1553"/>
      <c r="G13" s="1545"/>
      <c r="H13" s="1545"/>
      <c r="I13" s="395" t="s">
        <v>336</v>
      </c>
      <c r="J13" s="1550">
        <v>161.077</v>
      </c>
      <c r="K13" s="918">
        <v>0</v>
      </c>
      <c r="L13" s="1988">
        <v>0</v>
      </c>
      <c r="M13" s="1548">
        <f>+J13-K13+L13</f>
        <v>161.077</v>
      </c>
      <c r="N13" s="914">
        <f>36.3444444444444+4.114+14.111+3.921+2.511+1.667+4.684</f>
        <v>67.352444444444401</v>
      </c>
      <c r="O13" s="1094">
        <f t="shared" si="1"/>
        <v>93.724555555555597</v>
      </c>
      <c r="P13" s="1551"/>
      <c r="Q13" s="487">
        <v>0</v>
      </c>
      <c r="R13" s="1656"/>
      <c r="S13" s="1561"/>
      <c r="T13" s="312"/>
    </row>
    <row r="14" spans="1:20" ht="15">
      <c r="A14" s="3977"/>
      <c r="B14" s="3816"/>
      <c r="C14" s="3816"/>
      <c r="D14" s="3816"/>
      <c r="E14" s="3816"/>
      <c r="F14" s="1553"/>
      <c r="G14" s="1545"/>
      <c r="H14" s="1545"/>
      <c r="I14" s="395" t="s">
        <v>337</v>
      </c>
      <c r="J14" s="1550">
        <v>440.1</v>
      </c>
      <c r="K14" s="918">
        <v>0</v>
      </c>
      <c r="L14" s="1547">
        <v>-221.376</v>
      </c>
      <c r="M14" s="1548">
        <f t="shared" si="0"/>
        <v>218.72400000000002</v>
      </c>
      <c r="N14" s="914">
        <f>101.336666666667+2.645+11.421+3.028+3.236+2.166+4.976</f>
        <v>128.80866666666699</v>
      </c>
      <c r="O14" s="1094">
        <f t="shared" si="1"/>
        <v>89.915333333333024</v>
      </c>
      <c r="P14" s="1551"/>
      <c r="Q14" s="487">
        <v>0</v>
      </c>
      <c r="R14" s="1656"/>
      <c r="S14" s="1561"/>
      <c r="T14" s="312"/>
    </row>
    <row r="15" spans="1:20" ht="15">
      <c r="A15" s="3977"/>
      <c r="B15" s="3816"/>
      <c r="C15" s="3816"/>
      <c r="D15" s="3816"/>
      <c r="E15" s="3816"/>
      <c r="F15" s="1553"/>
      <c r="G15" s="1545"/>
      <c r="H15" s="1545"/>
      <c r="I15" s="395" t="s">
        <v>338</v>
      </c>
      <c r="J15" s="1550">
        <v>125.57899999999999</v>
      </c>
      <c r="K15" s="918">
        <v>0</v>
      </c>
      <c r="L15" s="1554"/>
      <c r="M15" s="1548">
        <f t="shared" si="0"/>
        <v>125.57899999999999</v>
      </c>
      <c r="N15" s="914">
        <f>106.61+0.166+0.581+0.444+0.698+1.578</f>
        <v>110.077</v>
      </c>
      <c r="O15" s="1094">
        <f t="shared" si="1"/>
        <v>15.501999999999995</v>
      </c>
      <c r="P15" s="1551"/>
      <c r="Q15" s="487">
        <v>0</v>
      </c>
      <c r="R15" s="1656"/>
      <c r="S15" s="1561"/>
      <c r="T15" s="312"/>
    </row>
    <row r="16" spans="1:20" ht="15">
      <c r="A16" s="3977"/>
      <c r="B16" s="3816"/>
      <c r="C16" s="3816"/>
      <c r="D16" s="3816"/>
      <c r="E16" s="3816"/>
      <c r="F16" s="343"/>
      <c r="G16" s="1545"/>
      <c r="H16" s="1545"/>
      <c r="I16" s="395" t="s">
        <v>335</v>
      </c>
      <c r="J16" s="1550">
        <v>186.65100000000001</v>
      </c>
      <c r="K16" s="1101">
        <f>+L59</f>
        <v>2.6878500000000001</v>
      </c>
      <c r="L16" s="1554"/>
      <c r="M16" s="1548">
        <f>+J16-K16+L16</f>
        <v>183.96315000000001</v>
      </c>
      <c r="N16" s="1549">
        <f>150.63+1.987+1.111+3.444+0.778+1.778+6.555</f>
        <v>166.28299999999996</v>
      </c>
      <c r="O16" s="1094">
        <f t="shared" si="1"/>
        <v>17.680150000000054</v>
      </c>
      <c r="P16" s="1555"/>
      <c r="Q16" s="704">
        <v>0</v>
      </c>
      <c r="R16" s="1656"/>
      <c r="S16" s="1561"/>
      <c r="T16" s="312"/>
    </row>
    <row r="17" spans="1:21" ht="15">
      <c r="A17" s="3977"/>
      <c r="B17" s="3816"/>
      <c r="C17" s="3816"/>
      <c r="D17" s="3816"/>
      <c r="E17" s="3816"/>
      <c r="F17" s="343"/>
      <c r="G17" s="1545"/>
      <c r="H17" s="1545"/>
      <c r="I17" s="395" t="s">
        <v>418</v>
      </c>
      <c r="J17" s="1550">
        <v>365.28699999999998</v>
      </c>
      <c r="K17" s="918">
        <v>0</v>
      </c>
      <c r="L17" s="1547"/>
      <c r="M17" s="1548">
        <f t="shared" si="0"/>
        <v>365.28699999999998</v>
      </c>
      <c r="N17" s="1549">
        <f>233.696666666667+10.202+19.739+3.085+2.61+1.935+1.111</f>
        <v>272.37866666666696</v>
      </c>
      <c r="O17" s="1094">
        <f t="shared" si="1"/>
        <v>92.908333333333019</v>
      </c>
      <c r="P17" s="1555"/>
      <c r="Q17" s="487">
        <f>272.379-N17</f>
        <v>3.3333333306018176E-4</v>
      </c>
      <c r="R17" s="1656"/>
      <c r="S17" s="1561"/>
      <c r="T17" s="312"/>
    </row>
    <row r="18" spans="1:21" ht="15">
      <c r="A18" s="3977"/>
      <c r="B18" s="3816"/>
      <c r="C18" s="3816"/>
      <c r="D18" s="3816"/>
      <c r="E18" s="3816"/>
      <c r="F18" s="343"/>
      <c r="G18" s="312"/>
      <c r="H18" s="1545"/>
      <c r="I18" s="395" t="s">
        <v>339</v>
      </c>
      <c r="J18" s="1550">
        <v>129.77799999999999</v>
      </c>
      <c r="K18" s="1101">
        <f>+L60</f>
        <v>2.1433499999999999</v>
      </c>
      <c r="L18" s="1554"/>
      <c r="M18" s="1548">
        <f t="shared" si="0"/>
        <v>127.63464999999999</v>
      </c>
      <c r="N18" s="1549">
        <f>91.88+8.444+6.777</f>
        <v>107.101</v>
      </c>
      <c r="O18" s="1094">
        <f t="shared" si="1"/>
        <v>20.533649999999994</v>
      </c>
      <c r="P18" s="1555"/>
      <c r="Q18" s="487">
        <v>0</v>
      </c>
      <c r="R18" s="1656"/>
      <c r="S18" s="817"/>
    </row>
    <row r="19" spans="1:21" ht="15.6" thickBot="1">
      <c r="A19" s="3978"/>
      <c r="B19" s="3810"/>
      <c r="C19" s="3810"/>
      <c r="D19" s="3810"/>
      <c r="E19" s="3810"/>
      <c r="F19" s="356"/>
      <c r="G19" s="1543"/>
      <c r="H19" s="1543"/>
      <c r="I19" s="396" t="s">
        <v>206</v>
      </c>
      <c r="J19" s="1989">
        <v>27.481999999999999</v>
      </c>
      <c r="K19" s="919">
        <v>0</v>
      </c>
      <c r="L19" s="1990"/>
      <c r="M19" s="1991">
        <f t="shared" si="0"/>
        <v>27.481999999999999</v>
      </c>
      <c r="N19" s="1992">
        <f>22.6111111111111+4.795</f>
        <v>27.406111111111102</v>
      </c>
      <c r="O19" s="1095">
        <f t="shared" si="1"/>
        <v>7.5888888888897554E-2</v>
      </c>
      <c r="P19" s="1546"/>
      <c r="Q19" s="487">
        <v>0</v>
      </c>
      <c r="R19" s="3205" t="s">
        <v>1219</v>
      </c>
      <c r="S19" s="3165"/>
      <c r="T19" s="3083"/>
    </row>
    <row r="20" spans="1:21" ht="12.75" customHeight="1">
      <c r="A20" s="3980" t="s">
        <v>152</v>
      </c>
      <c r="B20" s="3972" t="s">
        <v>162</v>
      </c>
      <c r="C20" s="3972" t="s">
        <v>162</v>
      </c>
      <c r="D20" s="3972" t="str">
        <f t="shared" ref="D20:L20" si="2">+C20</f>
        <v>Veda</v>
      </c>
      <c r="E20" s="3972" t="str">
        <f t="shared" si="2"/>
        <v>Veda</v>
      </c>
      <c r="F20" s="3972" t="str">
        <f t="shared" si="2"/>
        <v>Veda</v>
      </c>
      <c r="G20" s="3972" t="str">
        <f t="shared" si="2"/>
        <v>Veda</v>
      </c>
      <c r="H20" s="3972" t="str">
        <f t="shared" si="2"/>
        <v>Veda</v>
      </c>
      <c r="I20" s="3963" t="str">
        <f t="shared" si="2"/>
        <v>Veda</v>
      </c>
      <c r="J20" s="3966" t="str">
        <f t="shared" si="2"/>
        <v>Veda</v>
      </c>
      <c r="K20" s="3963" t="str">
        <f t="shared" si="2"/>
        <v>Veda</v>
      </c>
      <c r="L20" s="3963" t="str">
        <f t="shared" si="2"/>
        <v>Veda</v>
      </c>
      <c r="M20" s="3969" t="str">
        <f>+K20</f>
        <v>Veda</v>
      </c>
      <c r="N20" s="839" t="str">
        <f>+M20</f>
        <v>Veda</v>
      </c>
      <c r="O20" s="915" t="str">
        <f>+N20</f>
        <v>Veda</v>
      </c>
      <c r="P20" s="2305"/>
      <c r="Q20" s="3133" t="s">
        <v>1203</v>
      </c>
      <c r="R20" s="3083" t="s">
        <v>1248</v>
      </c>
      <c r="S20" s="3131" t="s">
        <v>1202</v>
      </c>
      <c r="T20" s="3227" t="s">
        <v>1201</v>
      </c>
      <c r="U20" s="3122" t="s">
        <v>1200</v>
      </c>
    </row>
    <row r="21" spans="1:21" ht="12.75" hidden="1" customHeight="1">
      <c r="A21" s="3981"/>
      <c r="B21" s="3973"/>
      <c r="C21" s="3973"/>
      <c r="D21" s="3973"/>
      <c r="E21" s="3973"/>
      <c r="F21" s="3973"/>
      <c r="G21" s="3973"/>
      <c r="H21" s="3973"/>
      <c r="I21" s="3964"/>
      <c r="J21" s="3967"/>
      <c r="K21" s="3964"/>
      <c r="L21" s="3964"/>
      <c r="M21" s="3970"/>
      <c r="N21" s="840"/>
      <c r="O21" s="916"/>
      <c r="P21" s="819"/>
      <c r="Q21" s="312"/>
      <c r="S21" s="312"/>
      <c r="T21" s="3123"/>
      <c r="U21" s="3124"/>
    </row>
    <row r="22" spans="1:21" ht="15" hidden="1" customHeight="1">
      <c r="A22" s="3981"/>
      <c r="B22" s="3973"/>
      <c r="C22" s="3973"/>
      <c r="D22" s="3973"/>
      <c r="E22" s="3973"/>
      <c r="F22" s="3973"/>
      <c r="G22" s="3973"/>
      <c r="H22" s="3973"/>
      <c r="I22" s="3964"/>
      <c r="J22" s="3967"/>
      <c r="K22" s="3964"/>
      <c r="L22" s="3964"/>
      <c r="M22" s="3970"/>
      <c r="N22" s="840"/>
      <c r="O22" s="916"/>
      <c r="P22" s="738"/>
      <c r="Q22" s="312"/>
      <c r="S22" s="312"/>
      <c r="T22" s="3123"/>
      <c r="U22" s="3124"/>
    </row>
    <row r="23" spans="1:21" ht="12.75" hidden="1" customHeight="1">
      <c r="A23" s="3981"/>
      <c r="B23" s="3973"/>
      <c r="C23" s="3973"/>
      <c r="D23" s="3973"/>
      <c r="E23" s="3973"/>
      <c r="F23" s="3973"/>
      <c r="G23" s="3973"/>
      <c r="H23" s="3973"/>
      <c r="I23" s="3964"/>
      <c r="J23" s="3967"/>
      <c r="K23" s="3964"/>
      <c r="L23" s="3964"/>
      <c r="M23" s="3970"/>
      <c r="N23" s="840"/>
      <c r="O23" s="916"/>
      <c r="P23" s="738"/>
      <c r="Q23" s="312"/>
      <c r="S23" s="312"/>
      <c r="T23" s="3123"/>
      <c r="U23" s="3124"/>
    </row>
    <row r="24" spans="1:21" ht="12.75" hidden="1" customHeight="1">
      <c r="A24" s="3981"/>
      <c r="B24" s="3973"/>
      <c r="C24" s="3973"/>
      <c r="D24" s="3973"/>
      <c r="E24" s="3973"/>
      <c r="F24" s="3973"/>
      <c r="G24" s="3973"/>
      <c r="H24" s="3973"/>
      <c r="I24" s="3964"/>
      <c r="J24" s="3967"/>
      <c r="K24" s="3964"/>
      <c r="L24" s="3964"/>
      <c r="M24" s="3970"/>
      <c r="N24" s="840"/>
      <c r="O24" s="916"/>
      <c r="P24" s="738"/>
      <c r="Q24" s="312"/>
      <c r="S24" s="312"/>
      <c r="T24" s="3123"/>
      <c r="U24" s="3124"/>
    </row>
    <row r="25" spans="1:21" ht="12.75" hidden="1" customHeight="1">
      <c r="A25" s="3981"/>
      <c r="B25" s="3973"/>
      <c r="C25" s="3973"/>
      <c r="D25" s="3973"/>
      <c r="E25" s="3973"/>
      <c r="F25" s="3973"/>
      <c r="G25" s="3973"/>
      <c r="H25" s="3973"/>
      <c r="I25" s="3964"/>
      <c r="J25" s="3967"/>
      <c r="K25" s="3964"/>
      <c r="L25" s="3964"/>
      <c r="M25" s="3970"/>
      <c r="N25" s="840"/>
      <c r="O25" s="916"/>
      <c r="P25" s="738"/>
      <c r="Q25" s="312"/>
      <c r="S25" s="312"/>
      <c r="T25" s="3123"/>
      <c r="U25" s="3124"/>
    </row>
    <row r="26" spans="1:21" ht="12.75" hidden="1" customHeight="1">
      <c r="A26" s="3981"/>
      <c r="B26" s="3973"/>
      <c r="C26" s="3973"/>
      <c r="D26" s="3973"/>
      <c r="E26" s="3973"/>
      <c r="F26" s="3973"/>
      <c r="G26" s="3973"/>
      <c r="H26" s="3973"/>
      <c r="I26" s="3964"/>
      <c r="J26" s="3967"/>
      <c r="K26" s="3964"/>
      <c r="L26" s="3964"/>
      <c r="M26" s="3970"/>
      <c r="N26" s="840"/>
      <c r="O26" s="916"/>
      <c r="P26" s="738"/>
      <c r="Q26" s="312"/>
      <c r="S26" s="312"/>
      <c r="T26" s="3123"/>
      <c r="U26" s="3124"/>
    </row>
    <row r="27" spans="1:21" ht="12.75" hidden="1" customHeight="1">
      <c r="A27" s="3981"/>
      <c r="B27" s="3973"/>
      <c r="C27" s="3973"/>
      <c r="D27" s="3973"/>
      <c r="E27" s="3973"/>
      <c r="F27" s="3973"/>
      <c r="G27" s="3973"/>
      <c r="H27" s="3973"/>
      <c r="I27" s="3964"/>
      <c r="J27" s="3967"/>
      <c r="K27" s="3964"/>
      <c r="L27" s="3964"/>
      <c r="M27" s="3970"/>
      <c r="N27" s="840"/>
      <c r="O27" s="916"/>
      <c r="P27" s="738"/>
      <c r="Q27" s="312"/>
      <c r="S27" s="312"/>
      <c r="T27" s="3123"/>
      <c r="U27" s="3124"/>
    </row>
    <row r="28" spans="1:21" ht="12.75" hidden="1" customHeight="1">
      <c r="A28" s="3981"/>
      <c r="B28" s="3973"/>
      <c r="C28" s="3973"/>
      <c r="D28" s="3973"/>
      <c r="E28" s="3973"/>
      <c r="F28" s="3973"/>
      <c r="G28" s="3973"/>
      <c r="H28" s="3973"/>
      <c r="I28" s="3964"/>
      <c r="J28" s="3967"/>
      <c r="K28" s="3964"/>
      <c r="L28" s="3964"/>
      <c r="M28" s="3970"/>
      <c r="N28" s="840"/>
      <c r="O28" s="916"/>
      <c r="P28" s="738"/>
      <c r="Q28" s="312"/>
      <c r="S28" s="312"/>
      <c r="T28" s="3123"/>
      <c r="U28" s="3124"/>
    </row>
    <row r="29" spans="1:21" ht="12.75" hidden="1" customHeight="1">
      <c r="A29" s="3981"/>
      <c r="B29" s="3973"/>
      <c r="C29" s="3973"/>
      <c r="D29" s="3973"/>
      <c r="E29" s="3973"/>
      <c r="F29" s="3973"/>
      <c r="G29" s="3973"/>
      <c r="H29" s="3973"/>
      <c r="I29" s="3964"/>
      <c r="J29" s="3967"/>
      <c r="K29" s="3964"/>
      <c r="L29" s="3964"/>
      <c r="M29" s="3970"/>
      <c r="N29" s="840"/>
      <c r="O29" s="916"/>
      <c r="P29" s="738"/>
      <c r="Q29" s="312"/>
      <c r="S29" s="312"/>
      <c r="T29" s="3123"/>
      <c r="U29" s="3124"/>
    </row>
    <row r="30" spans="1:21" ht="12.75" hidden="1" customHeight="1">
      <c r="A30" s="3982"/>
      <c r="B30" s="3974"/>
      <c r="C30" s="3974"/>
      <c r="D30" s="3974"/>
      <c r="E30" s="3974"/>
      <c r="F30" s="3974"/>
      <c r="G30" s="3974"/>
      <c r="H30" s="3974"/>
      <c r="I30" s="3965"/>
      <c r="J30" s="3968"/>
      <c r="K30" s="3965"/>
      <c r="L30" s="3965"/>
      <c r="M30" s="3971"/>
      <c r="N30" s="841"/>
      <c r="O30" s="917"/>
      <c r="P30" s="738"/>
      <c r="Q30" s="312"/>
      <c r="S30" s="312"/>
      <c r="T30" s="3123"/>
      <c r="U30" s="3124"/>
    </row>
    <row r="31" spans="1:21" ht="15">
      <c r="A31" s="3938" t="s">
        <v>616</v>
      </c>
      <c r="B31" s="3959">
        <f>+SUM(J31:J42)</f>
        <v>2183</v>
      </c>
      <c r="C31" s="3959">
        <f>SUM(M31:M42)</f>
        <v>1860.6014444444447</v>
      </c>
      <c r="D31" s="3959">
        <f>SUM(N31:N42)</f>
        <v>1446.8120000000004</v>
      </c>
      <c r="E31" s="3955">
        <f>+C31-D31</f>
        <v>413.78944444444437</v>
      </c>
      <c r="F31" s="17"/>
      <c r="G31" s="17"/>
      <c r="H31" s="366"/>
      <c r="I31" s="2943" t="s">
        <v>330</v>
      </c>
      <c r="J31" s="2944">
        <v>695.50400000000002</v>
      </c>
      <c r="K31" s="2944">
        <v>0</v>
      </c>
      <c r="L31" s="2945">
        <v>-220</v>
      </c>
      <c r="M31" s="2912">
        <f>+J31-K31+L31+O8</f>
        <v>475.83399999999995</v>
      </c>
      <c r="N31" s="2912">
        <f>0.602+8.17+9.106+20.313+17.907+1.612+34.845+18.515+26.761+9.58+13.14-7.47+18.05+25.893+6.651+12.852+52.37</f>
        <v>268.89700000000005</v>
      </c>
      <c r="O31" s="2912">
        <f>M31-N31</f>
        <v>206.9369999999999</v>
      </c>
      <c r="P31" s="3491"/>
      <c r="Q31" s="487">
        <f>+O31-338.003</f>
        <v>-131.06600000000009</v>
      </c>
      <c r="R31" s="3209">
        <f>(O31-S31)</f>
        <v>3.3333333306018176E-4</v>
      </c>
      <c r="S31" s="817">
        <f>(T36)/1000</f>
        <v>206.93666666666684</v>
      </c>
      <c r="T31" s="3207">
        <v>-5901.5555555554456</v>
      </c>
      <c r="U31" s="3125" t="s">
        <v>431</v>
      </c>
    </row>
    <row r="32" spans="1:21" ht="15">
      <c r="A32" s="3939"/>
      <c r="B32" s="3960"/>
      <c r="C32" s="3960"/>
      <c r="D32" s="3960"/>
      <c r="E32" s="3956"/>
      <c r="F32" s="341"/>
      <c r="G32" s="341"/>
      <c r="H32" s="744"/>
      <c r="I32" s="2943" t="s">
        <v>331</v>
      </c>
      <c r="J32" s="2944">
        <v>250.608</v>
      </c>
      <c r="K32" s="2947">
        <f>+M62</f>
        <v>10.2402</v>
      </c>
      <c r="L32" s="2945"/>
      <c r="M32" s="2912">
        <f>+J32-K32+O9+L32</f>
        <v>344.87377777777795</v>
      </c>
      <c r="N32" s="2912">
        <f>5.268+1.166+9.966+28.87+69.908+36.766+5.95+38.037+54.899+26.897+1.13+3.22+7.53+26.732+11.157+14.022+9.257</f>
        <v>350.77499999999992</v>
      </c>
      <c r="O32" s="3678">
        <f t="shared" ref="O32:O54" si="3">M32-N32</f>
        <v>-5.9012222222219748</v>
      </c>
      <c r="P32" s="3491">
        <v>41261</v>
      </c>
      <c r="Q32" s="2935">
        <f>+O32-67.147</f>
        <v>-73.04822222222198</v>
      </c>
      <c r="R32" s="3209">
        <f t="shared" ref="R32:R42" si="4">(O32-S32)</f>
        <v>3.3333333347052019E-4</v>
      </c>
      <c r="S32" s="817">
        <f>(T31)/1000</f>
        <v>-5.9015555555554453</v>
      </c>
      <c r="T32" s="3207">
        <v>35922.111111111109</v>
      </c>
      <c r="U32" s="3125" t="s">
        <v>433</v>
      </c>
    </row>
    <row r="33" spans="1:21" ht="15">
      <c r="A33" s="3940"/>
      <c r="B33" s="3961"/>
      <c r="C33" s="3961"/>
      <c r="D33" s="3961"/>
      <c r="E33" s="3957"/>
      <c r="F33" s="33"/>
      <c r="G33" s="35"/>
      <c r="H33" s="668"/>
      <c r="I33" s="2943" t="s">
        <v>332</v>
      </c>
      <c r="J33" s="2944">
        <v>195.37899999999999</v>
      </c>
      <c r="K33" s="2944">
        <f>0.23*K65</f>
        <v>0</v>
      </c>
      <c r="L33" s="2945"/>
      <c r="M33" s="2912">
        <f>+J33-K33+O10+L33</f>
        <v>253.67955555555605</v>
      </c>
      <c r="N33" s="2912">
        <f>3.333+0.01+9.423+14.797+24.998+10.069+38.981+20.956+1.222+6.71+8.18-2.05+8.97+25.344-4.467+9.988+41.293</f>
        <v>217.75700000000001</v>
      </c>
      <c r="O33" s="2948">
        <f t="shared" si="3"/>
        <v>35.922555555556045</v>
      </c>
      <c r="P33" s="2946"/>
      <c r="Q33" s="487">
        <f>+O33-129.891</f>
        <v>-93.968444444443946</v>
      </c>
      <c r="R33" s="3209">
        <f t="shared" si="4"/>
        <v>4.4444444493763058E-4</v>
      </c>
      <c r="S33" s="817">
        <f>(T32)/1000</f>
        <v>35.922111111111107</v>
      </c>
      <c r="T33" s="3207">
        <v>-3709.2222222221899</v>
      </c>
      <c r="U33" s="3126" t="s">
        <v>435</v>
      </c>
    </row>
    <row r="34" spans="1:21" ht="15">
      <c r="A34" s="3940"/>
      <c r="B34" s="3961"/>
      <c r="C34" s="3961"/>
      <c r="D34" s="3961"/>
      <c r="E34" s="3957"/>
      <c r="F34" s="33"/>
      <c r="G34" s="35"/>
      <c r="H34" s="668"/>
      <c r="I34" s="2943" t="s">
        <v>333</v>
      </c>
      <c r="J34" s="2944">
        <v>112.425</v>
      </c>
      <c r="K34" s="2944">
        <v>0</v>
      </c>
      <c r="L34" s="2945">
        <f>-39.689+-119.183</f>
        <v>-158.87200000000001</v>
      </c>
      <c r="M34" s="2912">
        <f>+J34-K34+O11+L34</f>
        <v>4.4738888888888653</v>
      </c>
      <c r="N34" s="2912">
        <f>1.328+1.159+4.465</f>
        <v>6.952</v>
      </c>
      <c r="O34" s="2949">
        <f t="shared" si="3"/>
        <v>-2.4781111111111347</v>
      </c>
      <c r="P34" s="2950">
        <v>41200</v>
      </c>
      <c r="Q34" s="487"/>
      <c r="R34" s="3209">
        <f t="shared" si="4"/>
        <v>-3.3333333336837967E-4</v>
      </c>
      <c r="S34" s="817">
        <f>(T40)/1000</f>
        <v>-2.4777777777777663</v>
      </c>
      <c r="T34" s="3207">
        <v>48310.111111111153</v>
      </c>
      <c r="U34" s="3127" t="s">
        <v>1199</v>
      </c>
    </row>
    <row r="35" spans="1:21" ht="15">
      <c r="A35" s="3940"/>
      <c r="B35" s="3961"/>
      <c r="C35" s="3961"/>
      <c r="D35" s="3961"/>
      <c r="E35" s="3957"/>
      <c r="F35" s="2531"/>
      <c r="G35" s="2532"/>
      <c r="H35" s="2533"/>
      <c r="I35" s="2951" t="s">
        <v>334</v>
      </c>
      <c r="J35" s="2952">
        <v>107.84</v>
      </c>
      <c r="K35" s="2952">
        <v>0</v>
      </c>
      <c r="L35" s="2953">
        <f>-53.352+-91.957</f>
        <v>-145.309</v>
      </c>
      <c r="M35" s="2954">
        <f t="shared" ref="M35:M42" si="5">+J35-K35+O12+L35</f>
        <v>8.7441111111110956</v>
      </c>
      <c r="N35" s="2954">
        <f>4.681+0.73+0.407</f>
        <v>5.8179999999999996</v>
      </c>
      <c r="O35" s="2954">
        <f t="shared" si="3"/>
        <v>2.926111111111096</v>
      </c>
      <c r="P35" s="2955">
        <v>41220</v>
      </c>
      <c r="Q35" s="2935"/>
      <c r="R35" s="3209">
        <f t="shared" si="4"/>
        <v>-2.2222222225209975E-4</v>
      </c>
      <c r="S35" s="817">
        <f>(T41)/1000</f>
        <v>2.9263333333333481</v>
      </c>
      <c r="T35" s="3207">
        <v>-11634.777777777788</v>
      </c>
      <c r="U35" s="3126" t="s">
        <v>439</v>
      </c>
    </row>
    <row r="36" spans="1:21" ht="15">
      <c r="A36" s="3940"/>
      <c r="B36" s="3961"/>
      <c r="C36" s="3961"/>
      <c r="D36" s="3961"/>
      <c r="E36" s="3957"/>
      <c r="F36" s="33"/>
      <c r="G36" s="35"/>
      <c r="H36" s="668"/>
      <c r="I36" s="2943" t="s">
        <v>336</v>
      </c>
      <c r="J36" s="2944">
        <v>92.123000000000005</v>
      </c>
      <c r="K36" s="2944">
        <v>0</v>
      </c>
      <c r="L36" s="2945"/>
      <c r="M36" s="2912">
        <f t="shared" si="5"/>
        <v>185.8475555555556</v>
      </c>
      <c r="N36" s="2912">
        <f>8.841+1.778+6.378+0.158+0.157+0.28+8.014+9.778+3.525+3.69+7.89+0.001+4.74+16.269</f>
        <v>71.498999999999995</v>
      </c>
      <c r="O36" s="2912">
        <f t="shared" si="3"/>
        <v>114.34855555555561</v>
      </c>
      <c r="P36" s="2946"/>
      <c r="Q36" s="487">
        <f>+O36-146.939</f>
        <v>-32.590444444444387</v>
      </c>
      <c r="R36" s="3209">
        <f t="shared" si="4"/>
        <v>-3.3333333331597714E-4</v>
      </c>
      <c r="S36" s="817">
        <f>(T37)/1000</f>
        <v>114.34888888888892</v>
      </c>
      <c r="T36" s="3207">
        <v>206936.66666666683</v>
      </c>
      <c r="U36" s="3126" t="s">
        <v>440</v>
      </c>
    </row>
    <row r="37" spans="1:21" ht="16.2">
      <c r="A37" s="3940"/>
      <c r="B37" s="3961"/>
      <c r="C37" s="3961"/>
      <c r="D37" s="3961"/>
      <c r="E37" s="3957"/>
      <c r="F37" s="33"/>
      <c r="G37" s="35"/>
      <c r="H37" s="668"/>
      <c r="I37" s="2943" t="s">
        <v>337</v>
      </c>
      <c r="J37" s="2944">
        <v>251.7</v>
      </c>
      <c r="K37" s="2944">
        <v>0</v>
      </c>
      <c r="L37" s="2945">
        <f>-124.524+-139</f>
        <v>-263.524</v>
      </c>
      <c r="M37" s="2912">
        <f t="shared" si="5"/>
        <v>78.091333333333012</v>
      </c>
      <c r="N37" s="2912">
        <f>0.555+2.907+2.206+0+2.869+0.54+0.69+5.895+21.642+0.001+53.94</f>
        <v>91.245000000000005</v>
      </c>
      <c r="O37" s="3492">
        <f t="shared" si="3"/>
        <v>-13.153666666666993</v>
      </c>
      <c r="P37" s="2956"/>
      <c r="Q37" s="247">
        <f>+O37-69.554</f>
        <v>-82.707666666666995</v>
      </c>
      <c r="R37" s="3209">
        <f t="shared" si="4"/>
        <v>-3.3333333367835394E-4</v>
      </c>
      <c r="S37" s="817">
        <f>(T38)/1000</f>
        <v>-13.153333333333315</v>
      </c>
      <c r="T37" s="3207">
        <v>114348.88888888892</v>
      </c>
      <c r="U37" s="3128" t="s">
        <v>442</v>
      </c>
    </row>
    <row r="38" spans="1:21" ht="15">
      <c r="A38" s="3940"/>
      <c r="B38" s="3961"/>
      <c r="C38" s="3961"/>
      <c r="D38" s="3961"/>
      <c r="E38" s="3957"/>
      <c r="F38" s="33"/>
      <c r="G38" s="35"/>
      <c r="H38" s="668"/>
      <c r="I38" s="2943" t="s">
        <v>338</v>
      </c>
      <c r="J38" s="2944">
        <v>71.820999999999998</v>
      </c>
      <c r="K38" s="2944">
        <v>0</v>
      </c>
      <c r="L38" s="2945"/>
      <c r="M38" s="2912">
        <f t="shared" si="5"/>
        <v>87.322999999999993</v>
      </c>
      <c r="N38" s="2912">
        <f>2.718+0.477+12.982+4.195+6.239+3.189+4.03+3.94-0.45+7.02+1.522+1.378+1.001+6.481</f>
        <v>54.721999999999987</v>
      </c>
      <c r="O38" s="2912">
        <f t="shared" si="3"/>
        <v>32.601000000000006</v>
      </c>
      <c r="P38" s="2957"/>
      <c r="Q38" s="247">
        <f>+O38-57.523</f>
        <v>-24.921999999999997</v>
      </c>
      <c r="R38" s="3209">
        <f t="shared" si="4"/>
        <v>-1.1111111107453553E-4</v>
      </c>
      <c r="S38" s="817">
        <f>(T39)/1000</f>
        <v>32.601111111111081</v>
      </c>
      <c r="T38" s="3207">
        <v>-13153.333333333314</v>
      </c>
      <c r="U38" s="3128" t="s">
        <v>444</v>
      </c>
    </row>
    <row r="39" spans="1:21" ht="15">
      <c r="A39" s="3940"/>
      <c r="B39" s="3961"/>
      <c r="C39" s="3961"/>
      <c r="D39" s="3961"/>
      <c r="E39" s="3957"/>
      <c r="F39" s="33"/>
      <c r="G39" s="35"/>
      <c r="H39" s="668"/>
      <c r="I39" s="2943" t="s">
        <v>335</v>
      </c>
      <c r="J39" s="2958">
        <v>106.749</v>
      </c>
      <c r="K39" s="2958">
        <f>+M59</f>
        <v>2.1991499999999999</v>
      </c>
      <c r="L39" s="2945"/>
      <c r="M39" s="3206">
        <f t="shared" si="5"/>
        <v>122.23000000000005</v>
      </c>
      <c r="N39" s="2850">
        <f>3.333+0.001+10.633+4.917+6.101+0.722+16.498+5.829+8.704+6.29+5.47+0.72+9.58+20.133+8.012+13.923+5.073</f>
        <v>125.93899999999999</v>
      </c>
      <c r="O39" s="3492">
        <f t="shared" si="3"/>
        <v>-3.7089999999999463</v>
      </c>
      <c r="P39" s="3491">
        <v>41262</v>
      </c>
      <c r="Q39" s="247">
        <f>+O39-65.492</f>
        <v>-69.200999999999951</v>
      </c>
      <c r="R39" s="3209">
        <f t="shared" si="4"/>
        <v>2.2222222224366206E-4</v>
      </c>
      <c r="S39" s="817">
        <f>(T33)/1000</f>
        <v>-3.70922222222219</v>
      </c>
      <c r="T39" s="3207">
        <v>32601.111111111084</v>
      </c>
      <c r="U39" s="3128" t="s">
        <v>446</v>
      </c>
    </row>
    <row r="40" spans="1:21" ht="15">
      <c r="A40" s="3940"/>
      <c r="B40" s="3961"/>
      <c r="C40" s="3961"/>
      <c r="D40" s="3961"/>
      <c r="E40" s="3957"/>
      <c r="F40" s="33"/>
      <c r="G40" s="35"/>
      <c r="H40" s="668"/>
      <c r="I40" s="2943" t="s">
        <v>340</v>
      </c>
      <c r="J40" s="2944">
        <v>208.91300000000001</v>
      </c>
      <c r="K40" s="2944">
        <v>0</v>
      </c>
      <c r="L40" s="2945">
        <v>-111.111</v>
      </c>
      <c r="M40" s="2912">
        <f t="shared" si="5"/>
        <v>190.71033333333304</v>
      </c>
      <c r="N40" s="2912">
        <f>0.333+1.245+0.612+50.138+8.88+9.607+5.5+3.13+2.42+3.13+8.173+12.154+12.385+24.693</f>
        <v>142.4</v>
      </c>
      <c r="O40" s="2912">
        <f t="shared" si="3"/>
        <v>48.310333333333034</v>
      </c>
      <c r="P40" s="2946"/>
      <c r="Q40" s="247">
        <f>+O40-119.895</f>
        <v>-71.584666666666962</v>
      </c>
      <c r="R40" s="3209">
        <f t="shared" si="4"/>
        <v>2.2222222187906482E-4</v>
      </c>
      <c r="S40" s="817">
        <f>(T34)/1000</f>
        <v>48.310111111111155</v>
      </c>
      <c r="T40" s="3207">
        <v>-2477.7777777777665</v>
      </c>
      <c r="U40" s="3128" t="s">
        <v>448</v>
      </c>
    </row>
    <row r="41" spans="1:21" ht="15">
      <c r="A41" s="3940"/>
      <c r="B41" s="3961"/>
      <c r="C41" s="3961"/>
      <c r="D41" s="3961"/>
      <c r="E41" s="3957"/>
      <c r="F41" s="33"/>
      <c r="G41" s="35"/>
      <c r="H41" s="668"/>
      <c r="I41" s="2943" t="s">
        <v>339</v>
      </c>
      <c r="J41" s="2944">
        <v>74.221999999999994</v>
      </c>
      <c r="K41" s="2958">
        <f>+M60</f>
        <v>1.7536499999999999</v>
      </c>
      <c r="L41" s="2945"/>
      <c r="M41" s="2912">
        <f t="shared" si="5"/>
        <v>93.001999999999995</v>
      </c>
      <c r="N41" s="2912">
        <f>2.438+1.689+4.911+12.969+5.493+1.806+8.711+3.95+2.39+4.36+3.46+6.671+6.871+38.918</f>
        <v>104.637</v>
      </c>
      <c r="O41" s="3492">
        <f t="shared" si="3"/>
        <v>-11.635000000000005</v>
      </c>
      <c r="P41" s="3491">
        <v>41261</v>
      </c>
      <c r="Q41" s="247">
        <f>+O41-54.985</f>
        <v>-66.62</v>
      </c>
      <c r="R41" s="3209">
        <f t="shared" si="4"/>
        <v>-2.2222222221657262E-4</v>
      </c>
      <c r="S41" s="817">
        <f>(T35)/1000</f>
        <v>-11.634777777777789</v>
      </c>
      <c r="T41" s="3207">
        <v>2926.333333333348</v>
      </c>
      <c r="U41" s="3129" t="s">
        <v>449</v>
      </c>
    </row>
    <row r="42" spans="1:21" ht="15.6" thickBot="1">
      <c r="A42" s="3941"/>
      <c r="B42" s="3962"/>
      <c r="C42" s="3962"/>
      <c r="D42" s="3962"/>
      <c r="E42" s="3958"/>
      <c r="F42" s="21"/>
      <c r="G42" s="24"/>
      <c r="H42" s="664"/>
      <c r="I42" s="2959" t="s">
        <v>206</v>
      </c>
      <c r="J42" s="2959">
        <v>15.715999999999999</v>
      </c>
      <c r="K42" s="2959">
        <f>0.23*K66</f>
        <v>0</v>
      </c>
      <c r="L42" s="2959"/>
      <c r="M42" s="2961">
        <f t="shared" si="5"/>
        <v>15.791888888888897</v>
      </c>
      <c r="N42" s="2960">
        <f>4.666+0.667+0.838</f>
        <v>6.1710000000000003</v>
      </c>
      <c r="O42" s="2961">
        <f t="shared" si="3"/>
        <v>9.6208888888888957</v>
      </c>
      <c r="P42" s="2946"/>
      <c r="Q42" s="247"/>
      <c r="R42" s="3209">
        <f t="shared" si="4"/>
        <v>-4.4444444443847431E-4</v>
      </c>
      <c r="S42" s="3132">
        <f>(T42)/1000</f>
        <v>9.6213333333333342</v>
      </c>
      <c r="T42" s="3208">
        <v>9621.3333333333339</v>
      </c>
      <c r="U42" s="3130" t="s">
        <v>451</v>
      </c>
    </row>
    <row r="43" spans="1:21" ht="15">
      <c r="A43" s="15"/>
      <c r="B43" s="15"/>
      <c r="C43" s="15"/>
      <c r="D43" s="15"/>
      <c r="E43" s="15"/>
      <c r="F43" s="3942" t="s">
        <v>111</v>
      </c>
      <c r="G43" s="3946">
        <f>+SUM(G8:G42)</f>
        <v>0</v>
      </c>
      <c r="H43" s="3950">
        <f>+SUM(H8:H42)</f>
        <v>0</v>
      </c>
      <c r="I43" s="2776" t="s">
        <v>330</v>
      </c>
      <c r="J43" s="2777">
        <f>+J8+J31</f>
        <v>1911.6</v>
      </c>
      <c r="K43" s="2778">
        <v>0</v>
      </c>
      <c r="L43" s="2779">
        <f>+L8+L31</f>
        <v>-400</v>
      </c>
      <c r="M43" s="2780">
        <f>+J43-K43+L43</f>
        <v>1511.6</v>
      </c>
      <c r="N43" s="1137">
        <f>+N8+N31</f>
        <v>1304.663</v>
      </c>
      <c r="O43" s="2783">
        <f t="shared" si="3"/>
        <v>206.9369999999999</v>
      </c>
      <c r="P43" s="1558"/>
      <c r="Q43" s="1560"/>
      <c r="R43" s="371"/>
      <c r="T43" s="3132">
        <f>SUM(T31:T42)</f>
        <v>413789.88888888928</v>
      </c>
    </row>
    <row r="44" spans="1:21" ht="15">
      <c r="A44" s="15"/>
      <c r="B44" s="15"/>
      <c r="C44" s="15"/>
      <c r="D44" s="15"/>
      <c r="E44" s="15"/>
      <c r="F44" s="3943"/>
      <c r="G44" s="3947"/>
      <c r="H44" s="3951"/>
      <c r="I44" s="2781" t="s">
        <v>331</v>
      </c>
      <c r="J44" s="943">
        <f t="shared" ref="J44:J54" si="6">+J9+J32</f>
        <v>688.8</v>
      </c>
      <c r="K44" s="1556">
        <f>+K9+K32</f>
        <v>22.756</v>
      </c>
      <c r="L44" s="1557">
        <f t="shared" ref="L44:L54" si="7">+L9+L32</f>
        <v>0</v>
      </c>
      <c r="M44" s="2774">
        <f t="shared" ref="M44:M54" si="8">+J44-K44+L44</f>
        <v>666.04399999999998</v>
      </c>
      <c r="N44" s="2775">
        <f t="shared" ref="N44:N54" si="9">+N9+N32</f>
        <v>671.9452222222219</v>
      </c>
      <c r="O44" s="2784">
        <f t="shared" si="3"/>
        <v>-5.9012222222219179</v>
      </c>
      <c r="P44" s="1558"/>
      <c r="Q44" s="1560"/>
      <c r="R44" s="371"/>
    </row>
    <row r="45" spans="1:21" ht="15">
      <c r="A45" s="15"/>
      <c r="B45" s="129"/>
      <c r="C45" s="129"/>
      <c r="D45" s="129"/>
      <c r="E45" s="129"/>
      <c r="F45" s="3944"/>
      <c r="G45" s="3948"/>
      <c r="H45" s="3952"/>
      <c r="I45" s="2782" t="s">
        <v>332</v>
      </c>
      <c r="J45" s="943">
        <f t="shared" si="6"/>
        <v>537.00099999999998</v>
      </c>
      <c r="K45" s="1559">
        <v>0</v>
      </c>
      <c r="L45" s="1557">
        <f t="shared" si="7"/>
        <v>0</v>
      </c>
      <c r="M45" s="2774">
        <f t="shared" si="8"/>
        <v>537.00099999999998</v>
      </c>
      <c r="N45" s="2775">
        <f t="shared" si="9"/>
        <v>501.07844444444396</v>
      </c>
      <c r="O45" s="2784">
        <f t="shared" si="3"/>
        <v>35.922555555556016</v>
      </c>
      <c r="P45" s="1558"/>
      <c r="Q45" s="1560"/>
      <c r="R45" s="371"/>
    </row>
    <row r="46" spans="1:21" ht="15">
      <c r="A46" s="15"/>
      <c r="B46" s="129"/>
      <c r="C46" s="129"/>
      <c r="D46" s="129"/>
      <c r="E46" s="129"/>
      <c r="F46" s="3944"/>
      <c r="G46" s="3948"/>
      <c r="H46" s="3952"/>
      <c r="I46" s="2936" t="s">
        <v>333</v>
      </c>
      <c r="J46" s="2937">
        <f t="shared" si="6"/>
        <v>309.00099999999998</v>
      </c>
      <c r="K46" s="2938">
        <v>0</v>
      </c>
      <c r="L46" s="2939">
        <f>+L11+L34</f>
        <v>-229.43100000000001</v>
      </c>
      <c r="M46" s="2940">
        <f t="shared" si="8"/>
        <v>79.569999999999965</v>
      </c>
      <c r="N46" s="2941">
        <f t="shared" si="9"/>
        <v>82.048111111111112</v>
      </c>
      <c r="O46" s="2942">
        <f t="shared" si="3"/>
        <v>-2.4781111111111471</v>
      </c>
      <c r="P46" s="1558"/>
      <c r="Q46" s="1560"/>
      <c r="R46" s="371"/>
    </row>
    <row r="47" spans="1:21" ht="15">
      <c r="A47" s="15"/>
      <c r="B47" s="129"/>
      <c r="C47" s="129"/>
      <c r="D47" s="129"/>
      <c r="E47" s="129"/>
      <c r="F47" s="3944"/>
      <c r="G47" s="3948"/>
      <c r="H47" s="3952"/>
      <c r="I47" s="2936" t="s">
        <v>334</v>
      </c>
      <c r="J47" s="2937">
        <f t="shared" si="6"/>
        <v>296.39999999999998</v>
      </c>
      <c r="K47" s="2938">
        <v>0</v>
      </c>
      <c r="L47" s="2939">
        <f>+L12+L35</f>
        <v>-240.15699999999998</v>
      </c>
      <c r="M47" s="2940">
        <f t="shared" si="8"/>
        <v>56.242999999999995</v>
      </c>
      <c r="N47" s="2941">
        <f t="shared" si="9"/>
        <v>53.316888888888904</v>
      </c>
      <c r="O47" s="2942">
        <f t="shared" si="3"/>
        <v>2.9261111111110907</v>
      </c>
      <c r="P47" s="1558"/>
      <c r="Q47" s="1560"/>
      <c r="R47" s="3204" t="s">
        <v>417</v>
      </c>
    </row>
    <row r="48" spans="1:21" ht="15">
      <c r="A48" s="15"/>
      <c r="B48" s="129"/>
      <c r="C48" s="129"/>
      <c r="D48" s="129"/>
      <c r="E48" s="129"/>
      <c r="F48" s="3944"/>
      <c r="G48" s="3948"/>
      <c r="H48" s="3952"/>
      <c r="I48" s="2782" t="s">
        <v>336</v>
      </c>
      <c r="J48" s="943">
        <f t="shared" si="6"/>
        <v>253.2</v>
      </c>
      <c r="K48" s="1559">
        <v>0</v>
      </c>
      <c r="L48" s="1557">
        <f>+L36+L13</f>
        <v>0</v>
      </c>
      <c r="M48" s="2774">
        <f t="shared" si="8"/>
        <v>253.2</v>
      </c>
      <c r="N48" s="2775">
        <f t="shared" si="9"/>
        <v>138.85144444444438</v>
      </c>
      <c r="O48" s="2784">
        <f t="shared" si="3"/>
        <v>114.34855555555561</v>
      </c>
      <c r="P48" s="1558"/>
      <c r="Q48" s="1560"/>
      <c r="R48" s="371"/>
    </row>
    <row r="49" spans="1:18" ht="15">
      <c r="A49" s="15"/>
      <c r="B49" s="129"/>
      <c r="C49" s="129"/>
      <c r="D49" s="129"/>
      <c r="E49" s="129"/>
      <c r="F49" s="3944"/>
      <c r="G49" s="3948"/>
      <c r="H49" s="3952"/>
      <c r="I49" s="2782" t="s">
        <v>337</v>
      </c>
      <c r="J49" s="943">
        <f t="shared" si="6"/>
        <v>691.8</v>
      </c>
      <c r="K49" s="1091">
        <v>0</v>
      </c>
      <c r="L49" s="920">
        <f t="shared" si="7"/>
        <v>-484.9</v>
      </c>
      <c r="M49" s="2774">
        <f t="shared" si="8"/>
        <v>206.89999999999998</v>
      </c>
      <c r="N49" s="2775">
        <f t="shared" si="9"/>
        <v>220.053666666667</v>
      </c>
      <c r="O49" s="2784">
        <f t="shared" si="3"/>
        <v>-13.153666666667021</v>
      </c>
      <c r="P49" s="1558"/>
      <c r="Q49" s="1560"/>
      <c r="R49" s="371"/>
    </row>
    <row r="50" spans="1:18" ht="15">
      <c r="A50" s="15"/>
      <c r="B50" s="129"/>
      <c r="C50" s="129"/>
      <c r="D50" s="129"/>
      <c r="E50" s="129"/>
      <c r="F50" s="3944"/>
      <c r="G50" s="3948"/>
      <c r="H50" s="3952"/>
      <c r="I50" s="2782" t="s">
        <v>338</v>
      </c>
      <c r="J50" s="943">
        <f t="shared" si="6"/>
        <v>197.39999999999998</v>
      </c>
      <c r="K50" s="1091">
        <v>0</v>
      </c>
      <c r="L50" s="920">
        <f t="shared" si="7"/>
        <v>0</v>
      </c>
      <c r="M50" s="2774">
        <f t="shared" si="8"/>
        <v>197.39999999999998</v>
      </c>
      <c r="N50" s="2775">
        <f t="shared" si="9"/>
        <v>164.79899999999998</v>
      </c>
      <c r="O50" s="2784">
        <f t="shared" si="3"/>
        <v>32.600999999999999</v>
      </c>
      <c r="P50" s="1558"/>
      <c r="Q50" s="1560"/>
      <c r="R50" s="371"/>
    </row>
    <row r="51" spans="1:18" ht="15">
      <c r="A51" s="15"/>
      <c r="B51" s="129"/>
      <c r="C51" s="129"/>
      <c r="D51" s="129"/>
      <c r="E51" s="129"/>
      <c r="F51" s="3944"/>
      <c r="G51" s="3948"/>
      <c r="H51" s="3952"/>
      <c r="I51" s="2782" t="s">
        <v>335</v>
      </c>
      <c r="J51" s="943">
        <f t="shared" si="6"/>
        <v>293.39999999999998</v>
      </c>
      <c r="K51" s="1102">
        <f>+K39+K16</f>
        <v>4.8870000000000005</v>
      </c>
      <c r="L51" s="920">
        <f t="shared" si="7"/>
        <v>0</v>
      </c>
      <c r="M51" s="2774">
        <f t="shared" si="8"/>
        <v>288.51299999999998</v>
      </c>
      <c r="N51" s="2775">
        <f t="shared" si="9"/>
        <v>292.22199999999998</v>
      </c>
      <c r="O51" s="2784">
        <f t="shared" si="3"/>
        <v>-3.7090000000000032</v>
      </c>
      <c r="P51" s="1558"/>
      <c r="Q51" s="1560"/>
      <c r="R51" s="371"/>
    </row>
    <row r="52" spans="1:18" ht="15">
      <c r="A52" s="15"/>
      <c r="B52" s="129"/>
      <c r="C52" s="129"/>
      <c r="D52" s="129"/>
      <c r="E52" s="129"/>
      <c r="F52" s="3944"/>
      <c r="G52" s="3948"/>
      <c r="H52" s="3952"/>
      <c r="I52" s="2782" t="s">
        <v>340</v>
      </c>
      <c r="J52" s="943">
        <f t="shared" si="6"/>
        <v>574.20000000000005</v>
      </c>
      <c r="K52" s="1091">
        <v>0</v>
      </c>
      <c r="L52" s="920">
        <f t="shared" si="7"/>
        <v>-111.111</v>
      </c>
      <c r="M52" s="2774">
        <f t="shared" si="8"/>
        <v>463.08900000000006</v>
      </c>
      <c r="N52" s="2775">
        <f t="shared" si="9"/>
        <v>414.77866666666694</v>
      </c>
      <c r="O52" s="2784">
        <f t="shared" si="3"/>
        <v>48.310333333333119</v>
      </c>
      <c r="P52" s="1558"/>
      <c r="Q52" s="1560"/>
      <c r="R52" s="371"/>
    </row>
    <row r="53" spans="1:18" ht="15">
      <c r="A53" s="15"/>
      <c r="B53" s="129"/>
      <c r="C53" s="129"/>
      <c r="D53" s="129"/>
      <c r="E53" s="129"/>
      <c r="F53" s="3944"/>
      <c r="G53" s="3948"/>
      <c r="H53" s="3952"/>
      <c r="I53" s="2782" t="s">
        <v>339</v>
      </c>
      <c r="J53" s="943">
        <f t="shared" si="6"/>
        <v>204</v>
      </c>
      <c r="K53" s="1102">
        <f>+K41+K18</f>
        <v>3.8969999999999998</v>
      </c>
      <c r="L53" s="920">
        <f t="shared" si="7"/>
        <v>0</v>
      </c>
      <c r="M53" s="2774">
        <f t="shared" si="8"/>
        <v>200.10300000000001</v>
      </c>
      <c r="N53" s="2775">
        <f t="shared" si="9"/>
        <v>211.738</v>
      </c>
      <c r="O53" s="2784">
        <f t="shared" si="3"/>
        <v>-11.634999999999991</v>
      </c>
      <c r="P53" s="1558"/>
      <c r="Q53" s="1560"/>
      <c r="R53" s="371"/>
    </row>
    <row r="54" spans="1:18" ht="15.6" thickBot="1">
      <c r="A54" s="15"/>
      <c r="B54" s="129"/>
      <c r="C54" s="129"/>
      <c r="D54" s="129"/>
      <c r="E54" s="129"/>
      <c r="F54" s="3945"/>
      <c r="G54" s="3949"/>
      <c r="H54" s="3953"/>
      <c r="I54" s="3050" t="s">
        <v>206</v>
      </c>
      <c r="J54" s="3051">
        <f t="shared" si="6"/>
        <v>43.198</v>
      </c>
      <c r="K54" s="3052">
        <v>0</v>
      </c>
      <c r="L54" s="3053">
        <f t="shared" si="7"/>
        <v>0</v>
      </c>
      <c r="M54" s="3054">
        <f t="shared" si="8"/>
        <v>43.198</v>
      </c>
      <c r="N54" s="3055">
        <f t="shared" si="9"/>
        <v>33.577111111111101</v>
      </c>
      <c r="O54" s="3056">
        <f t="shared" si="3"/>
        <v>9.6208888888888993</v>
      </c>
      <c r="P54" s="1558"/>
      <c r="Q54" s="1560"/>
      <c r="R54" s="371"/>
    </row>
    <row r="55" spans="1:18" ht="15">
      <c r="A55" s="1"/>
      <c r="B55" s="14"/>
      <c r="C55" s="14"/>
      <c r="D55" s="14"/>
      <c r="E55" s="14"/>
      <c r="F55" s="3923" t="s">
        <v>180</v>
      </c>
      <c r="G55" s="3923"/>
      <c r="H55" s="3923"/>
      <c r="I55" s="3954"/>
      <c r="J55" s="3059">
        <f>SUM(J43:J54)</f>
        <v>5999.9999999999991</v>
      </c>
      <c r="K55" s="3058">
        <f>SUM(K43:K54)</f>
        <v>31.54</v>
      </c>
      <c r="L55" s="3057">
        <f>SUM(L43:L54)</f>
        <v>-1465.5989999999999</v>
      </c>
      <c r="M55" s="3060">
        <f>+J55-K55+L55</f>
        <v>4502.860999999999</v>
      </c>
      <c r="N55" s="3057">
        <f>SUM(N43:N54)</f>
        <v>4089.0715555555562</v>
      </c>
      <c r="O55" s="3057">
        <f>SUM(O43:O54)</f>
        <v>413.78944444444454</v>
      </c>
      <c r="P55" s="557"/>
      <c r="Q55" s="371"/>
      <c r="R55" s="371"/>
    </row>
    <row r="56" spans="1:18" ht="15.6" thickBot="1">
      <c r="A56" s="1"/>
      <c r="B56" s="14"/>
      <c r="C56" s="14"/>
      <c r="D56" s="14"/>
      <c r="E56" s="14"/>
      <c r="F56" s="104"/>
      <c r="G56" s="104"/>
      <c r="H56" s="104"/>
      <c r="I56" s="104"/>
      <c r="J56" s="112"/>
      <c r="K56" s="112"/>
      <c r="L56" s="112"/>
      <c r="M56" s="112"/>
      <c r="N56" s="178"/>
      <c r="O56" s="191"/>
    </row>
    <row r="57" spans="1:18" ht="15.6" thickBot="1">
      <c r="A57" s="1"/>
      <c r="B57" s="14"/>
      <c r="C57" s="14"/>
      <c r="D57" s="14"/>
      <c r="E57" s="14"/>
      <c r="F57" s="104"/>
      <c r="G57" s="104"/>
      <c r="H57" s="104"/>
      <c r="I57" s="104"/>
      <c r="J57" s="112"/>
      <c r="K57" s="112"/>
      <c r="L57" s="655" t="s">
        <v>618</v>
      </c>
      <c r="M57" s="656" t="s">
        <v>619</v>
      </c>
      <c r="N57" s="178"/>
    </row>
    <row r="58" spans="1:18" ht="15">
      <c r="A58" s="3923" t="s">
        <v>177</v>
      </c>
      <c r="B58" s="3923"/>
      <c r="C58" s="3923"/>
      <c r="D58" s="3923"/>
      <c r="E58" s="3923"/>
      <c r="F58" s="3923"/>
      <c r="G58" s="3923"/>
      <c r="H58" s="3923"/>
      <c r="I58" s="3923"/>
      <c r="J58" s="3923"/>
      <c r="K58" s="200" t="s">
        <v>414</v>
      </c>
      <c r="L58" s="653">
        <v>0.55000000000000004</v>
      </c>
      <c r="M58" s="654">
        <v>0.45</v>
      </c>
      <c r="N58" s="438"/>
      <c r="O58" s="3930" t="s">
        <v>427</v>
      </c>
      <c r="P58" s="3930"/>
    </row>
    <row r="59" spans="1:18" ht="15">
      <c r="A59" s="3927" t="s">
        <v>424</v>
      </c>
      <c r="B59" s="3928"/>
      <c r="C59" s="3928"/>
      <c r="D59" s="3928"/>
      <c r="E59" s="3928"/>
      <c r="F59" s="3928"/>
      <c r="G59" s="3928"/>
      <c r="H59" s="3928"/>
      <c r="I59" s="3928"/>
      <c r="J59" s="3929"/>
      <c r="K59" s="1090">
        <v>4.8869999999999996</v>
      </c>
      <c r="L59" s="330">
        <f>+K59*L58</f>
        <v>2.6878500000000001</v>
      </c>
      <c r="M59" s="330">
        <f>+K59*M58</f>
        <v>2.1991499999999999</v>
      </c>
      <c r="N59" s="438"/>
      <c r="O59" s="558" t="s">
        <v>428</v>
      </c>
      <c r="P59" s="440" t="s">
        <v>429</v>
      </c>
    </row>
    <row r="60" spans="1:18" ht="15">
      <c r="A60" s="3927" t="s">
        <v>426</v>
      </c>
      <c r="B60" s="3928"/>
      <c r="C60" s="3928"/>
      <c r="D60" s="3928"/>
      <c r="E60" s="3928"/>
      <c r="F60" s="3928"/>
      <c r="G60" s="3928"/>
      <c r="H60" s="3928"/>
      <c r="I60" s="3928"/>
      <c r="J60" s="3929"/>
      <c r="K60" s="1090">
        <v>3.8969999999999998</v>
      </c>
      <c r="L60" s="330">
        <f>+K60*L58</f>
        <v>2.1433499999999999</v>
      </c>
      <c r="M60" s="330">
        <f>+K60*M58</f>
        <v>1.7536499999999999</v>
      </c>
      <c r="N60" s="439"/>
      <c r="O60" s="559" t="s">
        <v>430</v>
      </c>
      <c r="P60" s="441" t="s">
        <v>431</v>
      </c>
    </row>
    <row r="61" spans="1:18" ht="15">
      <c r="A61" s="3933" t="s">
        <v>617</v>
      </c>
      <c r="B61" s="3934"/>
      <c r="C61" s="3934"/>
      <c r="D61" s="3934"/>
      <c r="E61" s="3934"/>
      <c r="F61" s="3934"/>
      <c r="G61" s="3934"/>
      <c r="H61" s="3934"/>
      <c r="I61" s="3934"/>
      <c r="J61" s="3935"/>
      <c r="K61" s="231">
        <v>0</v>
      </c>
      <c r="L61" s="645"/>
      <c r="M61" s="645"/>
      <c r="N61" s="179"/>
      <c r="O61" s="559" t="s">
        <v>432</v>
      </c>
      <c r="P61" s="441" t="s">
        <v>433</v>
      </c>
    </row>
    <row r="62" spans="1:18" ht="15">
      <c r="A62" s="3927" t="s">
        <v>425</v>
      </c>
      <c r="B62" s="3928"/>
      <c r="C62" s="3928"/>
      <c r="D62" s="3928"/>
      <c r="E62" s="3928"/>
      <c r="F62" s="3928"/>
      <c r="G62" s="3928"/>
      <c r="H62" s="3928"/>
      <c r="I62" s="3928"/>
      <c r="J62" s="3929"/>
      <c r="K62" s="1090">
        <v>22.756</v>
      </c>
      <c r="L62" s="330">
        <f>+K62*L58</f>
        <v>12.5158</v>
      </c>
      <c r="M62" s="330">
        <f>+K62*M58</f>
        <v>10.2402</v>
      </c>
      <c r="N62" s="179"/>
      <c r="O62" s="560" t="s">
        <v>434</v>
      </c>
      <c r="P62" s="445" t="s">
        <v>435</v>
      </c>
    </row>
    <row r="63" spans="1:18" ht="15">
      <c r="A63" s="3920" t="s">
        <v>181</v>
      </c>
      <c r="B63" s="3921"/>
      <c r="C63" s="3921"/>
      <c r="D63" s="3921"/>
      <c r="E63" s="3921"/>
      <c r="F63" s="3921"/>
      <c r="G63" s="3921"/>
      <c r="H63" s="3921"/>
      <c r="I63" s="3921"/>
      <c r="J63" s="3922"/>
      <c r="K63" s="231">
        <v>0</v>
      </c>
      <c r="L63" s="49"/>
      <c r="M63" s="49"/>
      <c r="N63" s="179"/>
      <c r="O63" s="559" t="s">
        <v>436</v>
      </c>
      <c r="P63" s="442" t="s">
        <v>437</v>
      </c>
    </row>
    <row r="64" spans="1:18" ht="15">
      <c r="A64" s="3920" t="s">
        <v>182</v>
      </c>
      <c r="B64" s="3921"/>
      <c r="C64" s="3921"/>
      <c r="D64" s="3921"/>
      <c r="E64" s="3921"/>
      <c r="F64" s="3921"/>
      <c r="G64" s="3921"/>
      <c r="H64" s="3921"/>
      <c r="I64" s="3921"/>
      <c r="J64" s="3922"/>
      <c r="K64" s="231">
        <v>0</v>
      </c>
      <c r="L64" s="49"/>
      <c r="M64" s="49"/>
      <c r="N64" s="179"/>
      <c r="O64" s="560" t="s">
        <v>438</v>
      </c>
      <c r="P64" s="445" t="s">
        <v>439</v>
      </c>
    </row>
    <row r="65" spans="1:16" ht="15">
      <c r="A65" s="3920" t="s">
        <v>183</v>
      </c>
      <c r="B65" s="3921"/>
      <c r="C65" s="3921"/>
      <c r="D65" s="3921"/>
      <c r="E65" s="3921"/>
      <c r="F65" s="3921"/>
      <c r="G65" s="3921"/>
      <c r="H65" s="3921"/>
      <c r="I65" s="3921"/>
      <c r="J65" s="3922"/>
      <c r="K65" s="231">
        <v>0</v>
      </c>
      <c r="L65" s="49"/>
      <c r="M65" s="49"/>
      <c r="N65" s="179"/>
      <c r="O65" s="559" t="s">
        <v>440</v>
      </c>
      <c r="P65" s="442" t="s">
        <v>440</v>
      </c>
    </row>
    <row r="66" spans="1:16" ht="15">
      <c r="A66" s="3920" t="s">
        <v>184</v>
      </c>
      <c r="B66" s="3921"/>
      <c r="C66" s="3921"/>
      <c r="D66" s="3921"/>
      <c r="E66" s="3921"/>
      <c r="F66" s="3921"/>
      <c r="G66" s="3921"/>
      <c r="H66" s="3921"/>
      <c r="I66" s="3921"/>
      <c r="J66" s="3922"/>
      <c r="K66" s="231">
        <v>0</v>
      </c>
      <c r="L66" s="49"/>
      <c r="M66" s="49"/>
      <c r="N66" s="179"/>
      <c r="O66" s="559" t="s">
        <v>441</v>
      </c>
      <c r="P66" s="443" t="s">
        <v>442</v>
      </c>
    </row>
    <row r="67" spans="1:16" ht="15">
      <c r="A67" s="3920" t="s">
        <v>185</v>
      </c>
      <c r="B67" s="3936"/>
      <c r="C67" s="3936"/>
      <c r="D67" s="3936"/>
      <c r="E67" s="3936"/>
      <c r="F67" s="3936"/>
      <c r="G67" s="3936"/>
      <c r="H67" s="3936"/>
      <c r="I67" s="3936"/>
      <c r="J67" s="3937"/>
      <c r="K67" s="652">
        <f>SUM(K59:K66)</f>
        <v>31.54</v>
      </c>
      <c r="L67" s="49"/>
      <c r="M67" s="49"/>
      <c r="N67" s="179"/>
      <c r="O67" s="559" t="s">
        <v>443</v>
      </c>
      <c r="P67" s="443" t="s">
        <v>444</v>
      </c>
    </row>
    <row r="68" spans="1:16">
      <c r="O68" s="559" t="s">
        <v>445</v>
      </c>
      <c r="P68" s="443" t="s">
        <v>446</v>
      </c>
    </row>
    <row r="69" spans="1:16">
      <c r="O69" s="561" t="s">
        <v>447</v>
      </c>
      <c r="P69" s="443" t="s">
        <v>448</v>
      </c>
    </row>
    <row r="70" spans="1:16">
      <c r="O70" s="561" t="s">
        <v>449</v>
      </c>
      <c r="P70" s="3931" t="s">
        <v>449</v>
      </c>
    </row>
    <row r="71" spans="1:16" ht="15" thickBot="1">
      <c r="A71" s="1103" t="s">
        <v>415</v>
      </c>
      <c r="B71" s="1104"/>
      <c r="C71" s="1105" t="s">
        <v>417</v>
      </c>
      <c r="D71" s="1106"/>
      <c r="E71" s="1103" t="s">
        <v>415</v>
      </c>
      <c r="F71" s="1104"/>
      <c r="G71" s="1105" t="s">
        <v>417</v>
      </c>
      <c r="H71" s="1106"/>
      <c r="O71" s="561" t="s">
        <v>450</v>
      </c>
      <c r="P71" s="3932"/>
    </row>
    <row r="72" spans="1:16" ht="36.75" customHeight="1" thickBot="1">
      <c r="A72" s="1107" t="s">
        <v>416</v>
      </c>
      <c r="B72" s="1108"/>
      <c r="C72" s="1107" t="s">
        <v>758</v>
      </c>
      <c r="D72" s="1107" t="s">
        <v>759</v>
      </c>
      <c r="E72" s="1107" t="s">
        <v>416</v>
      </c>
      <c r="F72" s="1108"/>
      <c r="G72" s="1107" t="s">
        <v>758</v>
      </c>
      <c r="H72" s="1107" t="s">
        <v>759</v>
      </c>
      <c r="J72" s="3924" t="s">
        <v>622</v>
      </c>
      <c r="K72" s="3925"/>
      <c r="L72" s="3926"/>
      <c r="O72" s="561"/>
      <c r="P72" s="444" t="s">
        <v>451</v>
      </c>
    </row>
    <row r="73" spans="1:16">
      <c r="A73" s="1107" t="s">
        <v>431</v>
      </c>
      <c r="B73" s="1109">
        <v>22756</v>
      </c>
      <c r="C73" s="1110">
        <f>B73*0.55</f>
        <v>12515.800000000001</v>
      </c>
      <c r="D73" s="1110">
        <f>0.45*B73</f>
        <v>10240.200000000001</v>
      </c>
      <c r="E73" s="1107" t="s">
        <v>431</v>
      </c>
      <c r="F73" s="1109">
        <v>22756</v>
      </c>
      <c r="G73" s="1110">
        <f>F73*0.55</f>
        <v>12515.800000000001</v>
      </c>
      <c r="H73" s="1110">
        <f>0.45*F73</f>
        <v>10240.200000000001</v>
      </c>
      <c r="J73" s="637">
        <v>110.248</v>
      </c>
      <c r="K73" s="658" t="s">
        <v>620</v>
      </c>
      <c r="L73" s="659" t="s">
        <v>621</v>
      </c>
    </row>
    <row r="74" spans="1:16">
      <c r="A74" s="1107" t="s">
        <v>435</v>
      </c>
      <c r="B74" s="1109">
        <v>4887</v>
      </c>
      <c r="C74" s="1110">
        <f>B74*0.55</f>
        <v>2687.8500000000004</v>
      </c>
      <c r="D74" s="1110">
        <f>0.45*B74</f>
        <v>2199.15</v>
      </c>
      <c r="E74" s="1107" t="s">
        <v>435</v>
      </c>
      <c r="F74" s="1109">
        <v>4887</v>
      </c>
      <c r="G74" s="1110">
        <f>F74*0.55</f>
        <v>2687.8500000000004</v>
      </c>
      <c r="H74" s="1110">
        <f>0.45*F74</f>
        <v>2199.15</v>
      </c>
      <c r="J74" s="661" t="s">
        <v>110</v>
      </c>
      <c r="K74" s="660">
        <v>0.64</v>
      </c>
      <c r="L74" s="662">
        <v>0.36</v>
      </c>
    </row>
    <row r="75" spans="1:16" ht="13.8" thickBot="1">
      <c r="A75" s="1107" t="s">
        <v>439</v>
      </c>
      <c r="B75" s="1109">
        <v>3897</v>
      </c>
      <c r="C75" s="1110">
        <f>B75*0.55</f>
        <v>2143.3500000000004</v>
      </c>
      <c r="D75" s="1110">
        <f>0.45*B75</f>
        <v>1753.65</v>
      </c>
      <c r="E75" s="1107" t="s">
        <v>439</v>
      </c>
      <c r="F75" s="1109">
        <v>3897</v>
      </c>
      <c r="G75" s="1110">
        <f>F75*0.55</f>
        <v>2143.3500000000004</v>
      </c>
      <c r="H75" s="1110">
        <f>0.45*F75</f>
        <v>1753.65</v>
      </c>
      <c r="J75" s="663"/>
      <c r="K75" s="740">
        <f>+J73*K74</f>
        <v>70.558720000000008</v>
      </c>
      <c r="L75" s="741">
        <f>+J73*L74</f>
        <v>39.689280000000004</v>
      </c>
    </row>
    <row r="76" spans="1:16">
      <c r="A76" s="1107" t="s">
        <v>417</v>
      </c>
      <c r="B76" s="1109" t="s">
        <v>417</v>
      </c>
      <c r="C76" s="1110" t="s">
        <v>417</v>
      </c>
      <c r="D76" s="1110" t="s">
        <v>417</v>
      </c>
      <c r="E76" s="1107" t="s">
        <v>417</v>
      </c>
      <c r="F76" s="1109" t="s">
        <v>417</v>
      </c>
      <c r="G76" s="1110" t="s">
        <v>417</v>
      </c>
      <c r="H76" s="1110" t="s">
        <v>417</v>
      </c>
    </row>
    <row r="77" spans="1:16" ht="13.8">
      <c r="A77" s="1107" t="s">
        <v>144</v>
      </c>
      <c r="B77" s="1111">
        <f>SUM(B73:B76)</f>
        <v>31540</v>
      </c>
      <c r="C77" s="1112">
        <f>SUM(C73:C76)</f>
        <v>17347</v>
      </c>
      <c r="D77" s="1112">
        <f>SUM(D73:D76)</f>
        <v>14193</v>
      </c>
      <c r="E77" s="1107" t="s">
        <v>144</v>
      </c>
      <c r="F77" s="1111">
        <f>SUM(F73:F76)</f>
        <v>31540</v>
      </c>
      <c r="G77" s="1112">
        <f>SUM(G73:G76)</f>
        <v>17347</v>
      </c>
      <c r="H77" s="1112">
        <f>SUM(H73:H76)</f>
        <v>14193</v>
      </c>
    </row>
    <row r="78" spans="1:16" ht="13.8">
      <c r="A78" s="1104"/>
      <c r="B78" s="1113"/>
      <c r="C78" s="1113"/>
      <c r="D78" s="1114">
        <f>SUM(C77:D77)</f>
        <v>31540</v>
      </c>
      <c r="E78" s="1104"/>
      <c r="F78" s="1113"/>
      <c r="G78" s="1113"/>
      <c r="H78" s="1114">
        <f>SUM(G77:H77)</f>
        <v>31540</v>
      </c>
    </row>
  </sheetData>
  <mergeCells count="45">
    <mergeCell ref="A2:N2"/>
    <mergeCell ref="A5:A7"/>
    <mergeCell ref="F5:H5"/>
    <mergeCell ref="I5:N5"/>
    <mergeCell ref="I6:I7"/>
    <mergeCell ref="A8:A19"/>
    <mergeCell ref="B8:B19"/>
    <mergeCell ref="C8:C19"/>
    <mergeCell ref="H20:H30"/>
    <mergeCell ref="E20:E30"/>
    <mergeCell ref="D8:D19"/>
    <mergeCell ref="E8:E19"/>
    <mergeCell ref="D20:D30"/>
    <mergeCell ref="G20:G30"/>
    <mergeCell ref="A20:A30"/>
    <mergeCell ref="B20:B30"/>
    <mergeCell ref="C20:C30"/>
    <mergeCell ref="I20:I30"/>
    <mergeCell ref="J20:J30"/>
    <mergeCell ref="K20:K30"/>
    <mergeCell ref="M20:M30"/>
    <mergeCell ref="F20:F30"/>
    <mergeCell ref="L20:L30"/>
    <mergeCell ref="A31:A42"/>
    <mergeCell ref="A59:J59"/>
    <mergeCell ref="F43:F54"/>
    <mergeCell ref="G43:G54"/>
    <mergeCell ref="H43:H54"/>
    <mergeCell ref="F55:I55"/>
    <mergeCell ref="E31:E42"/>
    <mergeCell ref="B31:B42"/>
    <mergeCell ref="D31:D42"/>
    <mergeCell ref="C31:C42"/>
    <mergeCell ref="A66:J66"/>
    <mergeCell ref="A58:J58"/>
    <mergeCell ref="J72:L72"/>
    <mergeCell ref="A60:J60"/>
    <mergeCell ref="O58:P58"/>
    <mergeCell ref="P70:P71"/>
    <mergeCell ref="A61:J61"/>
    <mergeCell ref="A62:J62"/>
    <mergeCell ref="A67:J67"/>
    <mergeCell ref="A63:J63"/>
    <mergeCell ref="A64:J64"/>
    <mergeCell ref="A65:J65"/>
  </mergeCells>
  <phoneticPr fontId="0" type="noConversion"/>
  <conditionalFormatting sqref="L31:L55 L8:L19">
    <cfRule type="cellIs" dxfId="3" priority="10" stopIfTrue="1" operator="lessThan">
      <formula>0</formula>
    </cfRule>
    <cfRule type="cellIs" dxfId="2" priority="12" stopIfTrue="1" operator="lessThan">
      <formula>0</formula>
    </cfRule>
  </conditionalFormatting>
  <conditionalFormatting sqref="L44:L55">
    <cfRule type="cellIs" dxfId="1" priority="11" stopIfTrue="1" operator="lessThan">
      <formula>0</formula>
    </cfRule>
  </conditionalFormatting>
  <pageMargins left="0.75" right="0.75" top="1" bottom="1" header="0" footer="0"/>
  <pageSetup paperSize="5" orientation="portrait" r:id="rId1"/>
  <headerFooter alignWithMargins="0"/>
  <legacyDrawing r:id="rId2"/>
  <oleObjects>
    <oleObject progId="MSPhotoEd.3" shapeId="19457" r:id="rId3"/>
  </oleObjects>
</worksheet>
</file>

<file path=xl/worksheets/sheet22.xml><?xml version="1.0" encoding="utf-8"?>
<worksheet xmlns="http://schemas.openxmlformats.org/spreadsheetml/2006/main" xmlns:r="http://schemas.openxmlformats.org/officeDocument/2006/relationships">
  <sheetPr>
    <tabColor rgb="FF00B0F0"/>
  </sheetPr>
  <dimension ref="A2:O29"/>
  <sheetViews>
    <sheetView zoomScale="54" zoomScaleNormal="54" workbookViewId="0">
      <selection activeCell="H38" sqref="H38"/>
    </sheetView>
  </sheetViews>
  <sheetFormatPr baseColWidth="10" defaultColWidth="11.44140625" defaultRowHeight="13.2"/>
  <cols>
    <col min="1" max="1" width="12.88671875" style="189" customWidth="1"/>
    <col min="2" max="2" width="12.33203125" style="189" bestFit="1" customWidth="1"/>
    <col min="3" max="3" width="15" style="189" customWidth="1"/>
    <col min="4" max="4" width="14.44140625" style="189" bestFit="1" customWidth="1"/>
    <col min="5" max="5" width="8.6640625" style="189" bestFit="1" customWidth="1"/>
    <col min="6" max="6" width="6.33203125" style="189" bestFit="1" customWidth="1"/>
    <col min="7" max="7" width="15.44140625" style="189" customWidth="1"/>
    <col min="8" max="8" width="10.88671875" style="189" bestFit="1" customWidth="1"/>
    <col min="9" max="9" width="16.5546875" style="189" customWidth="1"/>
    <col min="10" max="10" width="18.6640625" style="189" bestFit="1" customWidth="1"/>
    <col min="11" max="11" width="22.44140625" style="189" bestFit="1" customWidth="1"/>
    <col min="12" max="12" width="15.33203125" style="189" bestFit="1" customWidth="1"/>
    <col min="13" max="13" width="21" style="189" bestFit="1" customWidth="1"/>
    <col min="14" max="14" width="17" style="189" customWidth="1"/>
    <col min="15" max="16384" width="11.44140625" style="189"/>
  </cols>
  <sheetData>
    <row r="2" spans="1:14" ht="15">
      <c r="A2" s="3854" t="s">
        <v>392</v>
      </c>
      <c r="B2" s="3855"/>
      <c r="C2" s="3855"/>
      <c r="D2" s="3855"/>
      <c r="E2" s="3855"/>
      <c r="F2" s="3855"/>
      <c r="G2" s="3855"/>
      <c r="H2" s="3855"/>
      <c r="I2" s="3855"/>
      <c r="J2" s="3855"/>
      <c r="K2" s="3855"/>
      <c r="L2" s="3855"/>
      <c r="M2" s="3855"/>
      <c r="N2" s="3856"/>
    </row>
    <row r="3" spans="1:14" s="190" customFormat="1" ht="15">
      <c r="A3" s="104"/>
      <c r="B3" s="104"/>
      <c r="C3" s="104"/>
      <c r="D3" s="104"/>
      <c r="E3" s="104"/>
      <c r="F3" s="104"/>
      <c r="G3" s="104"/>
      <c r="H3" s="104"/>
      <c r="I3" s="104"/>
      <c r="J3" s="104"/>
      <c r="K3" s="117"/>
      <c r="L3" s="104"/>
      <c r="M3" s="104"/>
      <c r="N3" s="104"/>
    </row>
    <row r="4" spans="1:14" ht="15">
      <c r="A4" s="49"/>
      <c r="B4" s="49"/>
      <c r="C4" s="49"/>
      <c r="D4" s="11"/>
      <c r="E4" s="11"/>
      <c r="F4" s="11"/>
      <c r="G4" s="11"/>
      <c r="H4" s="11"/>
      <c r="I4" s="11"/>
      <c r="J4" s="10"/>
      <c r="K4" s="11"/>
      <c r="L4" s="11"/>
      <c r="M4" s="11"/>
      <c r="N4" s="10"/>
    </row>
    <row r="5" spans="1:14" ht="15">
      <c r="A5" s="3986" t="s">
        <v>142</v>
      </c>
      <c r="B5" s="199" t="s">
        <v>165</v>
      </c>
      <c r="C5" s="199" t="s">
        <v>166</v>
      </c>
      <c r="D5" s="199" t="s">
        <v>167</v>
      </c>
      <c r="E5" s="199" t="s">
        <v>168</v>
      </c>
      <c r="F5" s="3854" t="s">
        <v>169</v>
      </c>
      <c r="G5" s="3855"/>
      <c r="H5" s="3856"/>
      <c r="I5" s="3923" t="s">
        <v>170</v>
      </c>
      <c r="J5" s="3923"/>
      <c r="K5" s="3923"/>
      <c r="L5" s="3923"/>
      <c r="M5" s="3923"/>
      <c r="N5" s="3923"/>
    </row>
    <row r="6" spans="1:14" ht="15">
      <c r="A6" s="3986"/>
      <c r="B6" s="199" t="s">
        <v>171</v>
      </c>
      <c r="C6" s="199" t="s">
        <v>172</v>
      </c>
      <c r="D6" s="199" t="s">
        <v>111</v>
      </c>
      <c r="E6" s="199" t="s">
        <v>173</v>
      </c>
      <c r="F6" s="3986" t="s">
        <v>186</v>
      </c>
      <c r="G6" s="199" t="s">
        <v>175</v>
      </c>
      <c r="H6" s="223" t="s">
        <v>176</v>
      </c>
      <c r="I6" s="3986" t="s">
        <v>177</v>
      </c>
      <c r="J6" s="199" t="s">
        <v>172</v>
      </c>
      <c r="K6" s="199" t="s">
        <v>187</v>
      </c>
      <c r="L6" s="199" t="s">
        <v>54</v>
      </c>
      <c r="M6" s="199" t="s">
        <v>127</v>
      </c>
      <c r="N6" s="199" t="s">
        <v>128</v>
      </c>
    </row>
    <row r="7" spans="1:14" ht="15">
      <c r="A7" s="3984"/>
      <c r="B7" s="223" t="s">
        <v>179</v>
      </c>
      <c r="C7" s="223" t="s">
        <v>179</v>
      </c>
      <c r="D7" s="223" t="s">
        <v>179</v>
      </c>
      <c r="E7" s="223" t="s">
        <v>179</v>
      </c>
      <c r="F7" s="3984"/>
      <c r="G7" s="223" t="s">
        <v>179</v>
      </c>
      <c r="H7" s="223" t="s">
        <v>179</v>
      </c>
      <c r="I7" s="3984"/>
      <c r="J7" s="223" t="s">
        <v>179</v>
      </c>
      <c r="K7" s="223" t="s">
        <v>179</v>
      </c>
      <c r="L7" s="223" t="s">
        <v>179</v>
      </c>
      <c r="M7" s="223" t="s">
        <v>179</v>
      </c>
      <c r="N7" s="223" t="s">
        <v>179</v>
      </c>
    </row>
    <row r="8" spans="1:14" ht="15">
      <c r="A8" s="3975" t="s">
        <v>615</v>
      </c>
      <c r="B8" s="4320">
        <f>SUM(J8:J11)</f>
        <v>2321.9970000000003</v>
      </c>
      <c r="C8" s="3731">
        <f>+SUM(L8:L11)</f>
        <v>2096.98</v>
      </c>
      <c r="D8" s="3754">
        <f>SUM(M8:M11)</f>
        <v>1024.703</v>
      </c>
      <c r="E8" s="3731">
        <f>+SUM(N8:N11)</f>
        <v>1072.277</v>
      </c>
      <c r="F8" s="130"/>
      <c r="G8" s="130">
        <f>+'RAE M.sur XI'!E71</f>
        <v>0</v>
      </c>
      <c r="H8" s="694">
        <f>+'RAE M.sur XI'!G71</f>
        <v>-43.176000000000002</v>
      </c>
      <c r="I8" s="5" t="s">
        <v>188</v>
      </c>
      <c r="J8" s="123">
        <f>+'RAE M.sur XI'!D71</f>
        <v>668.90600000000018</v>
      </c>
      <c r="K8" s="123">
        <f>+'RAE M.sur XI'!H71</f>
        <v>625.73000000000013</v>
      </c>
      <c r="L8" s="123">
        <f>+'RAE M.sur XI'!I71</f>
        <v>625.73000000000013</v>
      </c>
      <c r="M8" s="123">
        <f>+'RAE M.sur XI'!J71</f>
        <v>362.94099999999992</v>
      </c>
      <c r="N8" s="399">
        <f>L8-M8</f>
        <v>262.78900000000021</v>
      </c>
    </row>
    <row r="9" spans="1:14" ht="15">
      <c r="A9" s="3977"/>
      <c r="B9" s="4321"/>
      <c r="C9" s="3729"/>
      <c r="D9" s="3755"/>
      <c r="E9" s="3729"/>
      <c r="F9" s="131"/>
      <c r="G9" s="131">
        <f>+'RAE M.sur XI'!Q56</f>
        <v>0</v>
      </c>
      <c r="H9" s="695">
        <f>+'RAE M.sur XI'!S56</f>
        <v>-53.12</v>
      </c>
      <c r="I9" s="6" t="s">
        <v>189</v>
      </c>
      <c r="J9" s="125">
        <f>+'RAE M.sur XI'!P56</f>
        <v>521.89100000000008</v>
      </c>
      <c r="K9" s="125">
        <f>+'RAE M.sur XI'!T56</f>
        <v>468.77099999999996</v>
      </c>
      <c r="L9" s="125">
        <f>+'RAE M.sur XI'!U56</f>
        <v>468.77</v>
      </c>
      <c r="M9" s="125">
        <f>+'RAE M.sur XI'!V56</f>
        <v>135.20400000000001</v>
      </c>
      <c r="N9" s="400">
        <f>L9-M9</f>
        <v>333.56599999999997</v>
      </c>
    </row>
    <row r="10" spans="1:14" ht="15">
      <c r="A10" s="3977"/>
      <c r="B10" s="4322"/>
      <c r="C10" s="3729"/>
      <c r="D10" s="3755"/>
      <c r="E10" s="3729"/>
      <c r="F10" s="131"/>
      <c r="G10" s="131">
        <f>+'RAE M.sur XI'!AC50</f>
        <v>0</v>
      </c>
      <c r="H10" s="695">
        <f>+'RAE M.sur XI'!AE50</f>
        <v>-54.959000000000003</v>
      </c>
      <c r="I10" s="6" t="s">
        <v>139</v>
      </c>
      <c r="J10" s="125">
        <f>+'RAE M.sur XI'!AB50</f>
        <v>583.13100000000009</v>
      </c>
      <c r="K10" s="125">
        <f>+'RAE M.sur XI'!AF50</f>
        <v>528.17200000000003</v>
      </c>
      <c r="L10" s="125">
        <f>+'RAE M.sur XI'!AG50</f>
        <v>528.173</v>
      </c>
      <c r="M10" s="125">
        <f>+'RAE M.sur XI'!AH50</f>
        <v>255.42000000000002</v>
      </c>
      <c r="N10" s="400">
        <f>L10-M10</f>
        <v>272.75299999999999</v>
      </c>
    </row>
    <row r="11" spans="1:14" ht="15">
      <c r="A11" s="3978"/>
      <c r="B11" s="4323"/>
      <c r="C11" s="3730"/>
      <c r="D11" s="3761"/>
      <c r="E11" s="3730"/>
      <c r="F11" s="132"/>
      <c r="G11" s="133">
        <f>+'RAE M.sur XI'!AO50</f>
        <v>0</v>
      </c>
      <c r="H11" s="696">
        <f>+'RAE M.sur XI'!AQ50</f>
        <v>-73.762</v>
      </c>
      <c r="I11" s="7" t="s">
        <v>140</v>
      </c>
      <c r="J11" s="127">
        <f>+'RAE M.sur XI'!AN50</f>
        <v>548.06899999999996</v>
      </c>
      <c r="K11" s="127">
        <f>+'RAE M.sur XI'!AR50</f>
        <v>474.30699999999996</v>
      </c>
      <c r="L11" s="127">
        <f>+'RAE M.sur XI'!AS50</f>
        <v>474.30699999999996</v>
      </c>
      <c r="M11" s="127">
        <f>+'RAE M.sur XI'!AT50</f>
        <v>271.13799999999998</v>
      </c>
      <c r="N11" s="401">
        <f>L11-M11</f>
        <v>203.16899999999998</v>
      </c>
    </row>
    <row r="12" spans="1:14" ht="15">
      <c r="A12" s="3980" t="s">
        <v>152</v>
      </c>
      <c r="B12" s="4320" t="s">
        <v>162</v>
      </c>
      <c r="C12" s="3972" t="s">
        <v>162</v>
      </c>
      <c r="D12" s="3972" t="str">
        <f>+C12</f>
        <v>Veda</v>
      </c>
      <c r="E12" s="3972" t="str">
        <f>+D12</f>
        <v>Veda</v>
      </c>
      <c r="F12" s="224"/>
      <c r="G12" s="224"/>
      <c r="H12" s="224"/>
      <c r="I12" s="224" t="s">
        <v>188</v>
      </c>
      <c r="J12" s="3990" t="s">
        <v>162</v>
      </c>
      <c r="K12" s="3990" t="str">
        <f>+J12</f>
        <v>Veda</v>
      </c>
      <c r="L12" s="3990" t="str">
        <f>+K12</f>
        <v>Veda</v>
      </c>
      <c r="M12" s="3990" t="str">
        <f>+L12</f>
        <v>Veda</v>
      </c>
      <c r="N12" s="3987" t="str">
        <f>+M12</f>
        <v>Veda</v>
      </c>
    </row>
    <row r="13" spans="1:14" ht="15">
      <c r="A13" s="3981"/>
      <c r="B13" s="4321"/>
      <c r="C13" s="3973"/>
      <c r="D13" s="3973"/>
      <c r="E13" s="3973"/>
      <c r="F13" s="225"/>
      <c r="G13" s="225"/>
      <c r="H13" s="225"/>
      <c r="I13" s="225" t="s">
        <v>189</v>
      </c>
      <c r="J13" s="3991"/>
      <c r="K13" s="3991"/>
      <c r="L13" s="3991"/>
      <c r="M13" s="3991"/>
      <c r="N13" s="3988"/>
    </row>
    <row r="14" spans="1:14" ht="15">
      <c r="A14" s="3981"/>
      <c r="B14" s="4321"/>
      <c r="C14" s="3973"/>
      <c r="D14" s="3973"/>
      <c r="E14" s="3973"/>
      <c r="F14" s="225"/>
      <c r="G14" s="225"/>
      <c r="H14" s="225"/>
      <c r="I14" s="225" t="s">
        <v>139</v>
      </c>
      <c r="J14" s="3991"/>
      <c r="K14" s="3991"/>
      <c r="L14" s="3991"/>
      <c r="M14" s="3991"/>
      <c r="N14" s="3988"/>
    </row>
    <row r="15" spans="1:14" ht="15">
      <c r="A15" s="3982"/>
      <c r="B15" s="4324"/>
      <c r="C15" s="3974"/>
      <c r="D15" s="3974"/>
      <c r="E15" s="3974"/>
      <c r="F15" s="226"/>
      <c r="G15" s="227"/>
      <c r="H15" s="227"/>
      <c r="I15" s="227" t="s">
        <v>140</v>
      </c>
      <c r="J15" s="3992"/>
      <c r="K15" s="3992"/>
      <c r="L15" s="3992"/>
      <c r="M15" s="3992"/>
      <c r="N15" s="3989"/>
    </row>
    <row r="16" spans="1:14" ht="15">
      <c r="A16" s="3975" t="s">
        <v>616</v>
      </c>
      <c r="B16" s="4320">
        <f>SUM(J16:J19)</f>
        <v>1333.9970000000001</v>
      </c>
      <c r="C16" s="3731">
        <f>+SUM(L16:L19)</f>
        <v>2274.1210000000001</v>
      </c>
      <c r="D16" s="3731">
        <f>SUM(M16:M19)</f>
        <v>929.8900000000001</v>
      </c>
      <c r="E16" s="3731">
        <f>+SUM(N16:N19)</f>
        <v>1344.2310000000002</v>
      </c>
      <c r="F16" s="130"/>
      <c r="G16" s="130">
        <f>+'RAE M.sur XI'!E72</f>
        <v>3.097</v>
      </c>
      <c r="H16" s="694">
        <f>+'RAE M.sur XI'!G72</f>
        <v>-28.454000000000001</v>
      </c>
      <c r="I16" s="5" t="s">
        <v>188</v>
      </c>
      <c r="J16" s="123">
        <f>+'RAE M.sur XI'!D72</f>
        <v>384.29300000000001</v>
      </c>
      <c r="K16" s="123">
        <f>+'RAE M.sur XI'!H72</f>
        <v>358.93600000000009</v>
      </c>
      <c r="L16" s="123">
        <f>+'RAE M.sur XI'!I72</f>
        <v>621.72500000000002</v>
      </c>
      <c r="M16" s="123">
        <f>+'RAE M.sur XI'!J72</f>
        <v>207.12799999999999</v>
      </c>
      <c r="N16" s="124">
        <f>L16-M16</f>
        <v>414.59700000000004</v>
      </c>
    </row>
    <row r="17" spans="1:15" ht="15">
      <c r="A17" s="3977"/>
      <c r="B17" s="4321"/>
      <c r="C17" s="3729"/>
      <c r="D17" s="3729"/>
      <c r="E17" s="3729"/>
      <c r="F17" s="131"/>
      <c r="G17" s="131">
        <f>+'RAE M.sur XI'!Q57</f>
        <v>0</v>
      </c>
      <c r="H17" s="695">
        <f>+'RAE M.sur XI'!S57</f>
        <v>-31.196999999999999</v>
      </c>
      <c r="I17" s="6" t="s">
        <v>189</v>
      </c>
      <c r="J17" s="125">
        <f>+'RAE M.sur XI'!P57</f>
        <v>299.827</v>
      </c>
      <c r="K17" s="125">
        <f>+'RAE M.sur XI'!T57</f>
        <v>268.63</v>
      </c>
      <c r="L17" s="125">
        <f>+'RAE M.sur XI'!U57</f>
        <v>602.19600000000003</v>
      </c>
      <c r="M17" s="125">
        <f>+'RAE M.sur XI'!V57</f>
        <v>237.05800000000002</v>
      </c>
      <c r="N17" s="126">
        <f>L17-M17</f>
        <v>365.13800000000003</v>
      </c>
    </row>
    <row r="18" spans="1:15" ht="15">
      <c r="A18" s="3977"/>
      <c r="B18" s="4322"/>
      <c r="C18" s="3729"/>
      <c r="D18" s="3729"/>
      <c r="E18" s="3729"/>
      <c r="F18" s="131"/>
      <c r="G18" s="131">
        <f>+'RAE M.sur XI'!AC51</f>
        <v>0</v>
      </c>
      <c r="H18" s="695">
        <f>+'RAE M.sur XI'!AE51</f>
        <v>-32.277000000000001</v>
      </c>
      <c r="I18" s="6" t="s">
        <v>139</v>
      </c>
      <c r="J18" s="125">
        <f>+'RAE M.sur XI'!AB51</f>
        <v>335.01200000000006</v>
      </c>
      <c r="K18" s="125">
        <f>+'RAE M.sur XI'!AF51</f>
        <v>302.73500000000001</v>
      </c>
      <c r="L18" s="125">
        <f>+'RAE M.sur XI'!AG51</f>
        <v>575.48800000000006</v>
      </c>
      <c r="M18" s="125">
        <f>+'RAE M.sur XI'!AH51</f>
        <v>263.899</v>
      </c>
      <c r="N18" s="126">
        <f>L18-M18</f>
        <v>311.58900000000006</v>
      </c>
      <c r="O18" s="392" t="s">
        <v>417</v>
      </c>
    </row>
    <row r="19" spans="1:15" ht="15">
      <c r="A19" s="3978"/>
      <c r="B19" s="4323"/>
      <c r="C19" s="3730"/>
      <c r="D19" s="3730"/>
      <c r="E19" s="3730"/>
      <c r="F19" s="132"/>
      <c r="G19" s="133">
        <f>+'RAE M.sur XI'!AO51</f>
        <v>0</v>
      </c>
      <c r="H19" s="696">
        <f>+'RAE M.sur XI'!AQ51</f>
        <v>-43.322000000000003</v>
      </c>
      <c r="I19" s="7" t="s">
        <v>140</v>
      </c>
      <c r="J19" s="136">
        <f>+'RAE M.sur XI'!AN51</f>
        <v>314.86500000000001</v>
      </c>
      <c r="K19" s="700">
        <f>+'RAE M.sur XI'!AR51</f>
        <v>271.54300000000006</v>
      </c>
      <c r="L19" s="136">
        <f>+'RAE M.sur XI'!AS51</f>
        <v>474.71200000000005</v>
      </c>
      <c r="M19" s="701">
        <f>+'RAE M.sur XI'!AT51</f>
        <v>221.80500000000001</v>
      </c>
      <c r="N19" s="128">
        <f>L19-M19</f>
        <v>252.90700000000004</v>
      </c>
    </row>
    <row r="20" spans="1:15" ht="15">
      <c r="A20" s="15"/>
      <c r="B20" s="135"/>
      <c r="C20" s="135"/>
      <c r="D20" s="15"/>
      <c r="E20" s="15"/>
      <c r="F20" s="3993" t="s">
        <v>111</v>
      </c>
      <c r="G20" s="3996">
        <f>+SUM(G8:G19)</f>
        <v>3.097</v>
      </c>
      <c r="H20" s="3999">
        <f>+SUM(H8:H19)</f>
        <v>-360.267</v>
      </c>
      <c r="I20" s="134" t="s">
        <v>188</v>
      </c>
      <c r="J20" s="692">
        <f t="shared" ref="J20:K23" si="0">+J8+J16</f>
        <v>1053.1990000000001</v>
      </c>
      <c r="K20" s="698">
        <f t="shared" si="0"/>
        <v>984.66600000000017</v>
      </c>
      <c r="L20" s="692">
        <f>+L16+L8</f>
        <v>1247.4550000000002</v>
      </c>
      <c r="M20" s="699">
        <f>+M8+M16</f>
        <v>570.06899999999996</v>
      </c>
      <c r="N20" s="693">
        <f>+N8+N16</f>
        <v>677.38600000000019</v>
      </c>
      <c r="O20" s="247"/>
    </row>
    <row r="21" spans="1:15" ht="15">
      <c r="A21" s="1"/>
      <c r="B21" s="1"/>
      <c r="C21" s="1"/>
      <c r="D21" s="1"/>
      <c r="E21" s="1"/>
      <c r="F21" s="3994"/>
      <c r="G21" s="3997"/>
      <c r="H21" s="4000"/>
      <c r="I21" s="6" t="s">
        <v>189</v>
      </c>
      <c r="J21" s="692">
        <f t="shared" si="0"/>
        <v>821.71800000000007</v>
      </c>
      <c r="K21" s="698">
        <f t="shared" si="0"/>
        <v>737.40099999999995</v>
      </c>
      <c r="L21" s="736">
        <f>+L17+L9</f>
        <v>1070.9659999999999</v>
      </c>
      <c r="M21" s="699">
        <f t="shared" ref="M21:N23" si="1">+M9+M17</f>
        <v>372.26200000000006</v>
      </c>
      <c r="N21" s="693">
        <f t="shared" si="1"/>
        <v>698.70399999999995</v>
      </c>
      <c r="O21" s="247"/>
    </row>
    <row r="22" spans="1:15" ht="15">
      <c r="A22" s="1"/>
      <c r="B22" s="1"/>
      <c r="C22" s="1"/>
      <c r="D22" s="1"/>
      <c r="E22" s="14"/>
      <c r="F22" s="3994"/>
      <c r="G22" s="3997"/>
      <c r="H22" s="4000"/>
      <c r="I22" s="6" t="s">
        <v>139</v>
      </c>
      <c r="J22" s="692">
        <f t="shared" si="0"/>
        <v>918.14300000000014</v>
      </c>
      <c r="K22" s="698">
        <f t="shared" si="0"/>
        <v>830.90700000000004</v>
      </c>
      <c r="L22" s="736">
        <f>+L18+L10</f>
        <v>1103.6610000000001</v>
      </c>
      <c r="M22" s="699">
        <f t="shared" si="1"/>
        <v>519.31899999999996</v>
      </c>
      <c r="N22" s="693">
        <f t="shared" si="1"/>
        <v>584.3420000000001</v>
      </c>
    </row>
    <row r="23" spans="1:15" ht="15">
      <c r="A23" s="1"/>
      <c r="B23" s="14"/>
      <c r="C23" s="14"/>
      <c r="D23" s="1"/>
      <c r="E23" s="1"/>
      <c r="F23" s="3995"/>
      <c r="G23" s="3998"/>
      <c r="H23" s="4001"/>
      <c r="I23" s="7" t="s">
        <v>140</v>
      </c>
      <c r="J23" s="697">
        <f t="shared" si="0"/>
        <v>862.93399999999997</v>
      </c>
      <c r="K23" s="700">
        <f t="shared" si="0"/>
        <v>745.85</v>
      </c>
      <c r="L23" s="136">
        <f>+L19+L11</f>
        <v>949.01900000000001</v>
      </c>
      <c r="M23" s="701">
        <f t="shared" si="1"/>
        <v>492.94299999999998</v>
      </c>
      <c r="N23" s="137">
        <f t="shared" si="1"/>
        <v>456.07600000000002</v>
      </c>
      <c r="O23" s="247"/>
    </row>
    <row r="24" spans="1:15" ht="15">
      <c r="A24" s="1"/>
      <c r="B24" s="138"/>
      <c r="C24" s="1"/>
      <c r="D24" s="1"/>
      <c r="E24" s="1"/>
      <c r="F24" s="3954" t="s">
        <v>180</v>
      </c>
      <c r="G24" s="3954"/>
      <c r="H24" s="3954"/>
      <c r="I24" s="3954"/>
      <c r="J24" s="228">
        <f>SUM(J20:J23)</f>
        <v>3655.9940000000006</v>
      </c>
      <c r="K24" s="228">
        <f>SUM(K20:K23)</f>
        <v>3298.8240000000001</v>
      </c>
      <c r="L24" s="228"/>
      <c r="M24" s="228">
        <f>SUM(M20:M23)</f>
        <v>1954.5930000000001</v>
      </c>
      <c r="N24" s="228">
        <f>+K24-M24</f>
        <v>1344.231</v>
      </c>
      <c r="O24" s="4325">
        <f>+M24/K24</f>
        <v>0.59251205884278757</v>
      </c>
    </row>
    <row r="26" spans="1:15">
      <c r="K26" s="817"/>
      <c r="L26" s="3132"/>
      <c r="N26" s="247"/>
    </row>
    <row r="27" spans="1:15">
      <c r="G27" s="4335">
        <f>+G20+H20</f>
        <v>-357.17</v>
      </c>
      <c r="N27" s="189">
        <v>1095.009</v>
      </c>
    </row>
    <row r="28" spans="1:15">
      <c r="O28" s="392" t="s">
        <v>1036</v>
      </c>
    </row>
    <row r="29" spans="1:15">
      <c r="L29" s="189">
        <v>11</v>
      </c>
      <c r="M29" s="3083" t="s">
        <v>1322</v>
      </c>
    </row>
  </sheetData>
  <autoFilter ref="I6:N24"/>
  <mergeCells count="30">
    <mergeCell ref="F20:F23"/>
    <mergeCell ref="G20:G23"/>
    <mergeCell ref="F24:I24"/>
    <mergeCell ref="H20:H23"/>
    <mergeCell ref="A12:A15"/>
    <mergeCell ref="B12:B15"/>
    <mergeCell ref="C12:C15"/>
    <mergeCell ref="D12:D15"/>
    <mergeCell ref="E16:E19"/>
    <mergeCell ref="E12:E15"/>
    <mergeCell ref="A16:A19"/>
    <mergeCell ref="B16:B19"/>
    <mergeCell ref="C16:C19"/>
    <mergeCell ref="D16:D19"/>
    <mergeCell ref="N12:N15"/>
    <mergeCell ref="L12:L15"/>
    <mergeCell ref="J12:J15"/>
    <mergeCell ref="K12:K15"/>
    <mergeCell ref="M12:M15"/>
    <mergeCell ref="E8:E11"/>
    <mergeCell ref="A8:A11"/>
    <mergeCell ref="B8:B11"/>
    <mergeCell ref="C8:C11"/>
    <mergeCell ref="D8:D11"/>
    <mergeCell ref="A2:N2"/>
    <mergeCell ref="A5:A7"/>
    <mergeCell ref="F5:H5"/>
    <mergeCell ref="I5:N5"/>
    <mergeCell ref="F6:F7"/>
    <mergeCell ref="I6:I7"/>
  </mergeCells>
  <phoneticPr fontId="0" type="noConversion"/>
  <pageMargins left="0.75" right="0.75" top="1" bottom="1" header="0" footer="0"/>
  <pageSetup orientation="portrait" r:id="rId1"/>
  <headerFooter alignWithMargins="0"/>
  <legacyDrawing r:id="rId2"/>
  <oleObjects>
    <oleObject progId="MSPhotoEd.3" shapeId="2055" r:id="rId3"/>
  </oleObjects>
</worksheet>
</file>

<file path=xl/worksheets/sheet23.xml><?xml version="1.0" encoding="utf-8"?>
<worksheet xmlns="http://schemas.openxmlformats.org/spreadsheetml/2006/main" xmlns:r="http://schemas.openxmlformats.org/officeDocument/2006/relationships">
  <sheetPr>
    <tabColor rgb="FF00B0F0"/>
  </sheetPr>
  <dimension ref="A2:AV82"/>
  <sheetViews>
    <sheetView tabSelected="1" topLeftCell="A73" zoomScaleNormal="100" workbookViewId="0">
      <selection activeCell="C97" sqref="C97"/>
    </sheetView>
  </sheetViews>
  <sheetFormatPr baseColWidth="10" defaultColWidth="11.44140625" defaultRowHeight="13.2"/>
  <cols>
    <col min="1" max="1" width="21.33203125" style="189" bestFit="1" customWidth="1"/>
    <col min="2" max="2" width="30.88671875" style="189" customWidth="1"/>
    <col min="3" max="3" width="11.33203125" style="189" customWidth="1"/>
    <col min="4" max="4" width="8.88671875" style="189" customWidth="1"/>
    <col min="5" max="5" width="10.44140625" style="189" customWidth="1"/>
    <col min="6" max="6" width="10.109375" style="189" bestFit="1" customWidth="1"/>
    <col min="7" max="7" width="9.88671875" style="189" bestFit="1" customWidth="1"/>
    <col min="8" max="8" width="11.109375" style="189" bestFit="1" customWidth="1"/>
    <col min="9" max="9" width="11.109375" style="189" customWidth="1"/>
    <col min="10" max="10" width="12.88671875" style="189" customWidth="1"/>
    <col min="11" max="11" width="11.44140625" style="189"/>
    <col min="12" max="12" width="2.6640625" style="189" customWidth="1"/>
    <col min="13" max="13" width="22" style="189" customWidth="1"/>
    <col min="14" max="14" width="24.44140625" style="189" customWidth="1"/>
    <col min="15" max="15" width="8.44140625" style="189" customWidth="1"/>
    <col min="16" max="16" width="11.44140625" style="189"/>
    <col min="17" max="17" width="8.88671875" style="189" customWidth="1"/>
    <col min="18" max="18" width="8.6640625" style="189" customWidth="1"/>
    <col min="19" max="19" width="13.109375" style="189" customWidth="1"/>
    <col min="20" max="20" width="14.5546875" style="189" customWidth="1"/>
    <col min="21" max="21" width="11.44140625" style="189"/>
    <col min="22" max="22" width="15.33203125" style="189" customWidth="1"/>
    <col min="23" max="23" width="11.44140625" style="189"/>
    <col min="24" max="24" width="4" style="189" customWidth="1"/>
    <col min="25" max="25" width="25.88671875" style="189" customWidth="1"/>
    <col min="26" max="26" width="27.5546875" style="189" customWidth="1"/>
    <col min="27" max="28" width="11.44140625" style="189"/>
    <col min="29" max="29" width="10.109375" style="189" customWidth="1"/>
    <col min="30" max="30" width="9.5546875" style="189" customWidth="1"/>
    <col min="31" max="31" width="12.33203125" style="189" customWidth="1"/>
    <col min="32" max="33" width="11.44140625" style="189"/>
    <col min="34" max="34" width="12.33203125" style="189" bestFit="1" customWidth="1"/>
    <col min="35" max="35" width="11.44140625" style="189"/>
    <col min="36" max="36" width="5.5546875" style="189" customWidth="1"/>
    <col min="37" max="37" width="24.88671875" style="189" customWidth="1"/>
    <col min="38" max="38" width="25.88671875" style="189" customWidth="1"/>
    <col min="39" max="39" width="14" style="189" customWidth="1"/>
    <col min="40" max="40" width="14.5546875" style="189" customWidth="1"/>
    <col min="41" max="41" width="8.109375" style="189" bestFit="1" customWidth="1"/>
    <col min="42" max="42" width="10.44140625" style="189" customWidth="1"/>
    <col min="43" max="43" width="9.88671875" style="189" bestFit="1" customWidth="1"/>
    <col min="44" max="44" width="10.5546875" style="189" customWidth="1"/>
    <col min="45" max="45" width="13" style="189" bestFit="1" customWidth="1"/>
    <col min="46" max="46" width="12.44140625" style="189" bestFit="1" customWidth="1"/>
    <col min="47" max="47" width="10.109375" style="189" bestFit="1" customWidth="1"/>
    <col min="48" max="16384" width="11.44140625" style="189"/>
  </cols>
  <sheetData>
    <row r="2" spans="1:48" ht="13.8">
      <c r="A2" s="3864" t="s">
        <v>190</v>
      </c>
      <c r="B2" s="3865"/>
      <c r="C2" s="3865"/>
      <c r="D2" s="3865"/>
      <c r="E2" s="3865"/>
      <c r="F2" s="3865"/>
      <c r="G2" s="3866"/>
      <c r="H2" s="139"/>
      <c r="I2" s="140"/>
      <c r="J2" s="141"/>
      <c r="K2" s="141"/>
      <c r="L2" s="142"/>
      <c r="M2" s="3864" t="s">
        <v>191</v>
      </c>
      <c r="N2" s="3865"/>
      <c r="O2" s="3865"/>
      <c r="P2" s="3865"/>
      <c r="Q2" s="3865"/>
      <c r="R2" s="3865"/>
      <c r="S2" s="3866"/>
      <c r="T2" s="139"/>
      <c r="U2" s="140"/>
      <c r="V2" s="141"/>
      <c r="W2" s="141"/>
      <c r="X2" s="142"/>
      <c r="Y2" s="3864" t="s">
        <v>192</v>
      </c>
      <c r="Z2" s="3865"/>
      <c r="AA2" s="3865"/>
      <c r="AB2" s="3865"/>
      <c r="AC2" s="3865"/>
      <c r="AD2" s="3865"/>
      <c r="AE2" s="3866"/>
      <c r="AF2" s="139"/>
      <c r="AG2" s="140"/>
      <c r="AH2" s="141"/>
      <c r="AI2" s="141"/>
      <c r="AJ2" s="142"/>
      <c r="AK2" s="3864" t="s">
        <v>193</v>
      </c>
      <c r="AL2" s="3865"/>
      <c r="AM2" s="3865"/>
      <c r="AN2" s="3865"/>
      <c r="AO2" s="3865"/>
      <c r="AP2" s="3865"/>
      <c r="AQ2" s="3866"/>
      <c r="AR2" s="139"/>
      <c r="AS2" s="140"/>
      <c r="AT2" s="141"/>
      <c r="AU2" s="141"/>
    </row>
    <row r="3" spans="1:48" ht="13.8">
      <c r="A3" s="143"/>
      <c r="B3" s="143"/>
      <c r="C3" s="143"/>
      <c r="D3" s="143"/>
      <c r="E3" s="143"/>
      <c r="F3" s="143"/>
      <c r="G3" s="143"/>
      <c r="H3" s="144"/>
      <c r="I3" s="145"/>
      <c r="J3" s="145"/>
      <c r="K3" s="145"/>
      <c r="L3" s="142"/>
      <c r="M3" s="143"/>
      <c r="N3" s="143"/>
      <c r="O3" s="143"/>
      <c r="P3" s="143"/>
      <c r="Q3" s="143"/>
      <c r="R3" s="143"/>
      <c r="S3" s="143"/>
      <c r="T3" s="144"/>
      <c r="U3" s="145"/>
      <c r="V3" s="145"/>
      <c r="W3" s="145"/>
      <c r="X3" s="142"/>
      <c r="Y3" s="143"/>
      <c r="Z3" s="143"/>
      <c r="AA3" s="143"/>
      <c r="AB3" s="143"/>
      <c r="AC3" s="143"/>
      <c r="AD3" s="143"/>
      <c r="AE3" s="143"/>
      <c r="AF3" s="144"/>
      <c r="AG3" s="145"/>
      <c r="AH3" s="145"/>
      <c r="AI3" s="145"/>
      <c r="AJ3" s="142"/>
      <c r="AK3" s="143"/>
      <c r="AL3" s="143"/>
      <c r="AM3" s="143"/>
      <c r="AN3" s="143"/>
      <c r="AO3" s="143"/>
      <c r="AP3" s="143"/>
      <c r="AQ3" s="143"/>
      <c r="AR3" s="144"/>
      <c r="AS3" s="145"/>
      <c r="AT3" s="145"/>
      <c r="AU3" s="145"/>
    </row>
    <row r="4" spans="1:48" ht="36">
      <c r="A4" s="213" t="s">
        <v>194</v>
      </c>
      <c r="B4" s="213" t="s">
        <v>106</v>
      </c>
      <c r="C4" s="213" t="s">
        <v>107</v>
      </c>
      <c r="D4" s="213" t="s">
        <v>195</v>
      </c>
      <c r="E4" s="213" t="s">
        <v>196</v>
      </c>
      <c r="F4" s="213" t="s">
        <v>774</v>
      </c>
      <c r="G4" s="213" t="s">
        <v>197</v>
      </c>
      <c r="H4" s="214" t="s">
        <v>198</v>
      </c>
      <c r="I4" s="215" t="s">
        <v>109</v>
      </c>
      <c r="J4" s="215" t="s">
        <v>47</v>
      </c>
      <c r="K4" s="215" t="s">
        <v>48</v>
      </c>
      <c r="L4" s="146"/>
      <c r="M4" s="213" t="s">
        <v>194</v>
      </c>
      <c r="N4" s="213" t="s">
        <v>106</v>
      </c>
      <c r="O4" s="213" t="s">
        <v>107</v>
      </c>
      <c r="P4" s="213" t="s">
        <v>195</v>
      </c>
      <c r="Q4" s="213" t="s">
        <v>196</v>
      </c>
      <c r="R4" s="213" t="s">
        <v>774</v>
      </c>
      <c r="S4" s="213" t="s">
        <v>197</v>
      </c>
      <c r="T4" s="214" t="s">
        <v>198</v>
      </c>
      <c r="U4" s="215" t="s">
        <v>109</v>
      </c>
      <c r="V4" s="215" t="s">
        <v>47</v>
      </c>
      <c r="W4" s="215" t="s">
        <v>48</v>
      </c>
      <c r="X4" s="146"/>
      <c r="Y4" s="213" t="s">
        <v>194</v>
      </c>
      <c r="Z4" s="213" t="s">
        <v>106</v>
      </c>
      <c r="AA4" s="213" t="s">
        <v>107</v>
      </c>
      <c r="AB4" s="213" t="s">
        <v>195</v>
      </c>
      <c r="AC4" s="213" t="s">
        <v>196</v>
      </c>
      <c r="AD4" s="213" t="s">
        <v>774</v>
      </c>
      <c r="AE4" s="213" t="s">
        <v>197</v>
      </c>
      <c r="AF4" s="214" t="s">
        <v>198</v>
      </c>
      <c r="AG4" s="215" t="s">
        <v>109</v>
      </c>
      <c r="AH4" s="215" t="s">
        <v>47</v>
      </c>
      <c r="AI4" s="215" t="s">
        <v>48</v>
      </c>
      <c r="AJ4" s="146"/>
      <c r="AK4" s="213" t="s">
        <v>194</v>
      </c>
      <c r="AL4" s="213" t="s">
        <v>106</v>
      </c>
      <c r="AM4" s="213" t="s">
        <v>107</v>
      </c>
      <c r="AN4" s="213" t="s">
        <v>195</v>
      </c>
      <c r="AO4" s="213" t="s">
        <v>196</v>
      </c>
      <c r="AP4" s="213" t="s">
        <v>774</v>
      </c>
      <c r="AQ4" s="213" t="s">
        <v>197</v>
      </c>
      <c r="AR4" s="214" t="s">
        <v>198</v>
      </c>
      <c r="AS4" s="215" t="s">
        <v>109</v>
      </c>
      <c r="AT4" s="215" t="s">
        <v>47</v>
      </c>
      <c r="AU4" s="215" t="s">
        <v>48</v>
      </c>
    </row>
    <row r="5" spans="1:48" ht="15" customHeight="1">
      <c r="A5" s="4002" t="s">
        <v>773</v>
      </c>
      <c r="B5" s="4004" t="s">
        <v>199</v>
      </c>
      <c r="C5" s="147" t="s">
        <v>629</v>
      </c>
      <c r="D5" s="148">
        <v>22.76</v>
      </c>
      <c r="E5" s="148"/>
      <c r="F5" s="148"/>
      <c r="G5" s="420">
        <v>-1.2210000000000001</v>
      </c>
      <c r="H5" s="163">
        <f>+D5+G5+E5</f>
        <v>21.539000000000001</v>
      </c>
      <c r="I5" s="163">
        <f>+H5</f>
        <v>21.539000000000001</v>
      </c>
      <c r="J5" s="316">
        <v>4.5410000000000004</v>
      </c>
      <c r="K5" s="164">
        <f>+I5-J5</f>
        <v>16.998000000000001</v>
      </c>
      <c r="L5" s="142"/>
      <c r="M5" s="4002" t="s">
        <v>773</v>
      </c>
      <c r="N5" s="4004" t="s">
        <v>200</v>
      </c>
      <c r="O5" s="147" t="s">
        <v>629</v>
      </c>
      <c r="P5" s="148">
        <v>48.098999999999997</v>
      </c>
      <c r="Q5" s="461"/>
      <c r="R5" s="148"/>
      <c r="S5" s="420">
        <v>-0.93600000000000005</v>
      </c>
      <c r="T5" s="163">
        <f>+P5+S5+Q5</f>
        <v>47.162999999999997</v>
      </c>
      <c r="U5" s="163">
        <f>+T5</f>
        <v>47.162999999999997</v>
      </c>
      <c r="V5" s="316">
        <v>27.056999999999999</v>
      </c>
      <c r="W5" s="164">
        <f>+U5-V5</f>
        <v>20.105999999999998</v>
      </c>
      <c r="X5" s="142"/>
      <c r="Y5" s="4002" t="s">
        <v>773</v>
      </c>
      <c r="Z5" s="4004" t="s">
        <v>573</v>
      </c>
      <c r="AA5" s="147" t="s">
        <v>629</v>
      </c>
      <c r="AB5" s="148">
        <v>32.975999999999999</v>
      </c>
      <c r="AC5" s="148"/>
      <c r="AD5" s="148"/>
      <c r="AE5" s="420">
        <v>0</v>
      </c>
      <c r="AF5" s="163">
        <f>+AB5+AE5+AC5</f>
        <v>32.975999999999999</v>
      </c>
      <c r="AG5" s="163">
        <f>+AF5</f>
        <v>32.975999999999999</v>
      </c>
      <c r="AH5" s="316">
        <f>18.342+7.316+1.667</f>
        <v>27.324999999999999</v>
      </c>
      <c r="AI5" s="164">
        <f>+AG5-AH5</f>
        <v>5.6509999999999998</v>
      </c>
      <c r="AJ5" s="142"/>
      <c r="AK5" s="4002" t="s">
        <v>773</v>
      </c>
      <c r="AL5" s="4004" t="s">
        <v>361</v>
      </c>
      <c r="AM5" s="147" t="s">
        <v>629</v>
      </c>
      <c r="AN5" s="148">
        <v>36.514000000000003</v>
      </c>
      <c r="AO5" s="148"/>
      <c r="AP5" s="148"/>
      <c r="AQ5" s="420">
        <v>-0.55000000000000004</v>
      </c>
      <c r="AR5" s="163">
        <f>+AN5+AQ5+AO5</f>
        <v>35.964000000000006</v>
      </c>
      <c r="AS5" s="163">
        <f>+AR5</f>
        <v>35.964000000000006</v>
      </c>
      <c r="AT5" s="316">
        <v>0</v>
      </c>
      <c r="AU5" s="164">
        <f>+AS5-AT5</f>
        <v>35.964000000000006</v>
      </c>
    </row>
    <row r="6" spans="1:48" ht="13.8">
      <c r="A6" s="4003"/>
      <c r="B6" s="4005"/>
      <c r="C6" s="219" t="s">
        <v>152</v>
      </c>
      <c r="D6" s="220" t="s">
        <v>162</v>
      </c>
      <c r="E6" s="220" t="s">
        <v>162</v>
      </c>
      <c r="F6" s="220" t="s">
        <v>162</v>
      </c>
      <c r="G6" s="220" t="s">
        <v>162</v>
      </c>
      <c r="H6" s="221" t="s">
        <v>162</v>
      </c>
      <c r="I6" s="221" t="s">
        <v>162</v>
      </c>
      <c r="J6" s="221" t="s">
        <v>162</v>
      </c>
      <c r="K6" s="222" t="s">
        <v>162</v>
      </c>
      <c r="L6" s="142"/>
      <c r="M6" s="4003"/>
      <c r="N6" s="4005"/>
      <c r="O6" s="219" t="s">
        <v>152</v>
      </c>
      <c r="P6" s="220" t="s">
        <v>162</v>
      </c>
      <c r="Q6" s="220" t="s">
        <v>162</v>
      </c>
      <c r="R6" s="220" t="s">
        <v>162</v>
      </c>
      <c r="S6" s="220" t="s">
        <v>162</v>
      </c>
      <c r="T6" s="221" t="s">
        <v>162</v>
      </c>
      <c r="U6" s="221" t="s">
        <v>162</v>
      </c>
      <c r="V6" s="221" t="s">
        <v>162</v>
      </c>
      <c r="W6" s="222" t="s">
        <v>162</v>
      </c>
      <c r="X6" s="142"/>
      <c r="Y6" s="4003"/>
      <c r="Z6" s="4005"/>
      <c r="AA6" s="219" t="s">
        <v>152</v>
      </c>
      <c r="AB6" s="220"/>
      <c r="AC6" s="220" t="s">
        <v>162</v>
      </c>
      <c r="AD6" s="220" t="s">
        <v>162</v>
      </c>
      <c r="AE6" s="220" t="s">
        <v>318</v>
      </c>
      <c r="AF6" s="221" t="s">
        <v>162</v>
      </c>
      <c r="AG6" s="221" t="s">
        <v>162</v>
      </c>
      <c r="AH6" s="221" t="s">
        <v>162</v>
      </c>
      <c r="AI6" s="222" t="s">
        <v>162</v>
      </c>
      <c r="AJ6" s="142"/>
      <c r="AK6" s="4003"/>
      <c r="AL6" s="4005"/>
      <c r="AM6" s="219" t="s">
        <v>152</v>
      </c>
      <c r="AN6" s="220" t="s">
        <v>162</v>
      </c>
      <c r="AO6" s="220" t="s">
        <v>162</v>
      </c>
      <c r="AP6" s="220" t="s">
        <v>162</v>
      </c>
      <c r="AQ6" s="220" t="s">
        <v>162</v>
      </c>
      <c r="AR6" s="221" t="s">
        <v>162</v>
      </c>
      <c r="AS6" s="221" t="s">
        <v>162</v>
      </c>
      <c r="AT6" s="221" t="s">
        <v>162</v>
      </c>
      <c r="AU6" s="222" t="s">
        <v>162</v>
      </c>
    </row>
    <row r="7" spans="1:48" ht="13.8">
      <c r="A7" s="4003"/>
      <c r="B7" s="4005"/>
      <c r="C7" s="151" t="s">
        <v>63</v>
      </c>
      <c r="D7" s="149">
        <v>13.076000000000001</v>
      </c>
      <c r="E7" s="149">
        <v>3.097</v>
      </c>
      <c r="F7" s="149"/>
      <c r="G7" s="419">
        <v>-0.71699999999999997</v>
      </c>
      <c r="H7" s="165">
        <f>+D7+G7+E7</f>
        <v>15.456</v>
      </c>
      <c r="I7" s="397">
        <f>+H7+K5</f>
        <v>32.454000000000001</v>
      </c>
      <c r="J7" s="397">
        <f>16.633+12.202</f>
        <v>28.835000000000001</v>
      </c>
      <c r="K7" s="398">
        <f t="shared" ref="K7:K34" si="0">+I7-J7</f>
        <v>3.6189999999999998</v>
      </c>
      <c r="L7" s="142"/>
      <c r="M7" s="4003"/>
      <c r="N7" s="4005"/>
      <c r="O7" s="151" t="s">
        <v>63</v>
      </c>
      <c r="P7" s="149">
        <v>27.632999999999999</v>
      </c>
      <c r="Q7" s="149"/>
      <c r="R7" s="149"/>
      <c r="S7" s="419">
        <v>-0.54900000000000004</v>
      </c>
      <c r="T7" s="165">
        <f>+P7+S7+Q7</f>
        <v>27.084</v>
      </c>
      <c r="U7" s="397">
        <f>+T7+W5</f>
        <v>47.19</v>
      </c>
      <c r="V7" s="397">
        <v>16.666</v>
      </c>
      <c r="W7" s="398">
        <f>+U7-V7</f>
        <v>30.523999999999997</v>
      </c>
      <c r="X7" s="142"/>
      <c r="Y7" s="4003"/>
      <c r="Z7" s="4005"/>
      <c r="AA7" s="151" t="s">
        <v>63</v>
      </c>
      <c r="AB7" s="149">
        <v>18.945</v>
      </c>
      <c r="AC7" s="149"/>
      <c r="AD7" s="149"/>
      <c r="AE7" s="419">
        <v>0</v>
      </c>
      <c r="AF7" s="165">
        <f>+AB7+AE7+AC7</f>
        <v>18.945</v>
      </c>
      <c r="AG7" s="397">
        <f>+AF7+AI5</f>
        <v>24.596</v>
      </c>
      <c r="AH7" s="397">
        <v>9.016</v>
      </c>
      <c r="AI7" s="398">
        <f>+AG7-AH7</f>
        <v>15.58</v>
      </c>
      <c r="AJ7" s="142"/>
      <c r="AK7" s="4003"/>
      <c r="AL7" s="4005"/>
      <c r="AM7" s="151" t="s">
        <v>63</v>
      </c>
      <c r="AN7" s="149">
        <v>20.977</v>
      </c>
      <c r="AO7" s="149"/>
      <c r="AP7" s="149"/>
      <c r="AQ7" s="419">
        <v>-0.32300000000000001</v>
      </c>
      <c r="AR7" s="165">
        <f>+AN7+AQ7+AO7</f>
        <v>20.654</v>
      </c>
      <c r="AS7" s="397">
        <f>+AR7+AU5</f>
        <v>56.618000000000009</v>
      </c>
      <c r="AT7" s="397">
        <v>3.6360000000000001</v>
      </c>
      <c r="AU7" s="398">
        <f>+AS7-AT7</f>
        <v>52.982000000000006</v>
      </c>
    </row>
    <row r="8" spans="1:48" ht="13.5" customHeight="1">
      <c r="A8" s="4002" t="s">
        <v>773</v>
      </c>
      <c r="B8" s="4004" t="s">
        <v>202</v>
      </c>
      <c r="C8" s="147" t="s">
        <v>629</v>
      </c>
      <c r="D8" s="148">
        <v>27.5</v>
      </c>
      <c r="E8" s="461"/>
      <c r="F8" s="148"/>
      <c r="G8" s="420">
        <v>-6.8049999999999997</v>
      </c>
      <c r="H8" s="163">
        <f>+D8+G8+E8</f>
        <v>20.695</v>
      </c>
      <c r="I8" s="163">
        <f>+H8</f>
        <v>20.695</v>
      </c>
      <c r="J8" s="316">
        <v>17.498999999999999</v>
      </c>
      <c r="K8" s="164">
        <f t="shared" si="0"/>
        <v>3.1960000000000015</v>
      </c>
      <c r="L8" s="142"/>
      <c r="M8" s="4002" t="s">
        <v>773</v>
      </c>
      <c r="N8" s="4004" t="s">
        <v>285</v>
      </c>
      <c r="O8" s="147" t="s">
        <v>629</v>
      </c>
      <c r="P8" s="148">
        <v>20.692</v>
      </c>
      <c r="Q8" s="461"/>
      <c r="R8" s="148"/>
      <c r="S8" s="420">
        <v>-4.6429999999999998</v>
      </c>
      <c r="T8" s="148">
        <f>+P8+S8+Q8</f>
        <v>16.048999999999999</v>
      </c>
      <c r="U8" s="163">
        <v>16.047999999999998</v>
      </c>
      <c r="V8" s="316"/>
      <c r="W8" s="164">
        <f>+U8-V8</f>
        <v>16.047999999999998</v>
      </c>
      <c r="X8" s="142"/>
      <c r="Y8" s="4002" t="s">
        <v>773</v>
      </c>
      <c r="Z8" s="4004" t="s">
        <v>201</v>
      </c>
      <c r="AA8" s="147" t="s">
        <v>629</v>
      </c>
      <c r="AB8" s="148">
        <v>44.38</v>
      </c>
      <c r="AC8" s="148"/>
      <c r="AD8" s="148"/>
      <c r="AE8" s="420">
        <v>-0.41499999999999998</v>
      </c>
      <c r="AF8" s="163">
        <f>+AB8+AE8+AC8</f>
        <v>43.965000000000003</v>
      </c>
      <c r="AG8" s="163">
        <f>+AF8</f>
        <v>43.965000000000003</v>
      </c>
      <c r="AH8" s="316">
        <f>12.453+20.336</f>
        <v>32.789000000000001</v>
      </c>
      <c r="AI8" s="164">
        <f>+AG8-AH8</f>
        <v>11.176000000000002</v>
      </c>
      <c r="AJ8" s="142"/>
      <c r="AK8" s="4002" t="s">
        <v>773</v>
      </c>
      <c r="AL8" s="4004" t="s">
        <v>362</v>
      </c>
      <c r="AM8" s="147" t="s">
        <v>629</v>
      </c>
      <c r="AN8" s="148">
        <v>29.497</v>
      </c>
      <c r="AO8" s="148"/>
      <c r="AP8" s="148"/>
      <c r="AQ8" s="148">
        <v>0</v>
      </c>
      <c r="AR8" s="163">
        <f>+AN8+AQ8+AO8</f>
        <v>29.497</v>
      </c>
      <c r="AS8" s="163">
        <f>+AR8</f>
        <v>29.497</v>
      </c>
      <c r="AT8" s="316">
        <f>4.476+19.075</f>
        <v>23.550999999999998</v>
      </c>
      <c r="AU8" s="164">
        <f>+AS8-AT8</f>
        <v>5.9460000000000015</v>
      </c>
    </row>
    <row r="9" spans="1:48" ht="13.8">
      <c r="A9" s="4003"/>
      <c r="B9" s="4005"/>
      <c r="C9" s="219" t="s">
        <v>152</v>
      </c>
      <c r="D9" s="220" t="s">
        <v>162</v>
      </c>
      <c r="E9" s="220" t="s">
        <v>162</v>
      </c>
      <c r="F9" s="220" t="s">
        <v>162</v>
      </c>
      <c r="G9" s="220" t="s">
        <v>162</v>
      </c>
      <c r="H9" s="221" t="s">
        <v>162</v>
      </c>
      <c r="I9" s="221" t="s">
        <v>162</v>
      </c>
      <c r="J9" s="221" t="s">
        <v>162</v>
      </c>
      <c r="K9" s="222" t="s">
        <v>162</v>
      </c>
      <c r="L9" s="142"/>
      <c r="M9" s="4003"/>
      <c r="N9" s="4005"/>
      <c r="O9" s="219" t="s">
        <v>152</v>
      </c>
      <c r="P9" s="220" t="s">
        <v>162</v>
      </c>
      <c r="Q9" s="220" t="s">
        <v>162</v>
      </c>
      <c r="R9" s="220" t="s">
        <v>162</v>
      </c>
      <c r="S9" s="220" t="s">
        <v>162</v>
      </c>
      <c r="T9" s="221" t="s">
        <v>162</v>
      </c>
      <c r="U9" s="221" t="s">
        <v>162</v>
      </c>
      <c r="V9" s="221" t="s">
        <v>162</v>
      </c>
      <c r="W9" s="222" t="s">
        <v>162</v>
      </c>
      <c r="X9" s="142"/>
      <c r="Y9" s="4003"/>
      <c r="Z9" s="4005"/>
      <c r="AA9" s="219" t="s">
        <v>152</v>
      </c>
      <c r="AB9" s="220"/>
      <c r="AC9" s="220" t="s">
        <v>162</v>
      </c>
      <c r="AD9" s="220" t="s">
        <v>162</v>
      </c>
      <c r="AE9" s="220" t="s">
        <v>318</v>
      </c>
      <c r="AF9" s="221" t="s">
        <v>162</v>
      </c>
      <c r="AG9" s="221" t="s">
        <v>162</v>
      </c>
      <c r="AH9" s="221" t="s">
        <v>162</v>
      </c>
      <c r="AI9" s="222" t="s">
        <v>162</v>
      </c>
      <c r="AJ9" s="142"/>
      <c r="AK9" s="4003"/>
      <c r="AL9" s="4005"/>
      <c r="AM9" s="219" t="s">
        <v>152</v>
      </c>
      <c r="AN9" s="220" t="s">
        <v>162</v>
      </c>
      <c r="AO9" s="220" t="s">
        <v>162</v>
      </c>
      <c r="AP9" s="220" t="s">
        <v>162</v>
      </c>
      <c r="AQ9" s="220" t="s">
        <v>162</v>
      </c>
      <c r="AR9" s="221" t="s">
        <v>162</v>
      </c>
      <c r="AS9" s="221" t="s">
        <v>162</v>
      </c>
      <c r="AT9" s="221" t="s">
        <v>162</v>
      </c>
      <c r="AU9" s="222" t="s">
        <v>162</v>
      </c>
    </row>
    <row r="10" spans="1:48" ht="13.8">
      <c r="A10" s="4003"/>
      <c r="B10" s="4005"/>
      <c r="C10" s="151" t="s">
        <v>63</v>
      </c>
      <c r="D10" s="149">
        <v>15.798999999999999</v>
      </c>
      <c r="E10" s="149"/>
      <c r="F10" s="149"/>
      <c r="G10" s="419">
        <v>-3.9969999999999999</v>
      </c>
      <c r="H10" s="165">
        <f>+D10+G10+E10</f>
        <v>11.802</v>
      </c>
      <c r="I10" s="397">
        <f>+H10+K8</f>
        <v>14.998000000000001</v>
      </c>
      <c r="J10" s="397"/>
      <c r="K10" s="398">
        <f t="shared" si="0"/>
        <v>14.998000000000001</v>
      </c>
      <c r="L10" s="142"/>
      <c r="M10" s="4003"/>
      <c r="N10" s="4005"/>
      <c r="O10" s="151" t="s">
        <v>63</v>
      </c>
      <c r="P10" s="149">
        <v>11.888</v>
      </c>
      <c r="Q10" s="149"/>
      <c r="R10" s="149"/>
      <c r="S10" s="419">
        <v>-2.7269999999999999</v>
      </c>
      <c r="T10" s="165">
        <f>+P10+S10+Q10</f>
        <v>9.1609999999999996</v>
      </c>
      <c r="U10" s="397">
        <f>+T10+W8</f>
        <v>25.208999999999996</v>
      </c>
      <c r="V10" s="397">
        <v>2.5219999999999998</v>
      </c>
      <c r="W10" s="398">
        <f>+U10-V10</f>
        <v>22.686999999999998</v>
      </c>
      <c r="X10" s="142"/>
      <c r="Y10" s="4003"/>
      <c r="Z10" s="4005"/>
      <c r="AA10" s="151" t="s">
        <v>63</v>
      </c>
      <c r="AB10" s="149">
        <v>25.495999999999999</v>
      </c>
      <c r="AC10" s="149"/>
      <c r="AD10" s="149"/>
      <c r="AE10" s="419">
        <v>-0.24299999999999999</v>
      </c>
      <c r="AF10" s="165">
        <f>+AB10+AE10+AC10</f>
        <v>25.253</v>
      </c>
      <c r="AG10" s="397">
        <f>+AF10+AI8</f>
        <v>36.429000000000002</v>
      </c>
      <c r="AH10" s="397">
        <v>15.61</v>
      </c>
      <c r="AI10" s="398">
        <f>+AG10-AH10</f>
        <v>20.819000000000003</v>
      </c>
      <c r="AJ10" s="142"/>
      <c r="AK10" s="4003"/>
      <c r="AL10" s="4005"/>
      <c r="AM10" s="674" t="s">
        <v>63</v>
      </c>
      <c r="AN10" s="675">
        <v>16.946000000000002</v>
      </c>
      <c r="AO10" s="675"/>
      <c r="AP10" s="675"/>
      <c r="AQ10" s="675">
        <v>0</v>
      </c>
      <c r="AR10" s="677">
        <f>+AN10+AQ10+AO10</f>
        <v>16.946000000000002</v>
      </c>
      <c r="AS10" s="678">
        <f>+AR10+AU8</f>
        <v>22.892000000000003</v>
      </c>
      <c r="AT10" s="678">
        <v>7.2290000000000001</v>
      </c>
      <c r="AU10" s="679">
        <f>+AS10-AT10</f>
        <v>15.663000000000004</v>
      </c>
    </row>
    <row r="11" spans="1:48" ht="13.5" customHeight="1">
      <c r="A11" s="4002" t="s">
        <v>773</v>
      </c>
      <c r="B11" s="4004" t="s">
        <v>386</v>
      </c>
      <c r="C11" s="147" t="s">
        <v>629</v>
      </c>
      <c r="D11" s="631">
        <v>5.4710000000000001</v>
      </c>
      <c r="E11" s="633"/>
      <c r="F11" s="632"/>
      <c r="G11" s="420">
        <v>-0.38500000000000001</v>
      </c>
      <c r="H11" s="163">
        <f>+D11+G11+E11</f>
        <v>5.0860000000000003</v>
      </c>
      <c r="I11" s="163">
        <f>+H11</f>
        <v>5.0860000000000003</v>
      </c>
      <c r="J11" s="316">
        <v>10.254</v>
      </c>
      <c r="K11" s="164">
        <f t="shared" si="0"/>
        <v>-5.1679999999999993</v>
      </c>
      <c r="L11" s="142"/>
      <c r="M11" s="4002" t="s">
        <v>773</v>
      </c>
      <c r="N11" s="4006" t="s">
        <v>286</v>
      </c>
      <c r="O11" s="147" t="s">
        <v>629</v>
      </c>
      <c r="P11" s="148">
        <v>16.75</v>
      </c>
      <c r="Q11" s="461"/>
      <c r="R11" s="148"/>
      <c r="S11" s="420">
        <v>-1.8959999999999999</v>
      </c>
      <c r="T11" s="163">
        <f>+P11+S11+Q11</f>
        <v>14.853999999999999</v>
      </c>
      <c r="U11" s="163">
        <f>+T11</f>
        <v>14.853999999999999</v>
      </c>
      <c r="V11" s="316">
        <v>15.315</v>
      </c>
      <c r="W11" s="164">
        <f>+U11-V11</f>
        <v>-0.4610000000000003</v>
      </c>
      <c r="X11" s="142"/>
      <c r="Y11" s="4002" t="s">
        <v>773</v>
      </c>
      <c r="Z11" s="4004" t="s">
        <v>356</v>
      </c>
      <c r="AA11" s="147" t="s">
        <v>629</v>
      </c>
      <c r="AB11" s="148">
        <v>30.152999999999999</v>
      </c>
      <c r="AC11" s="148"/>
      <c r="AD11" s="148"/>
      <c r="AE11" s="420">
        <v>-0.38900000000000001</v>
      </c>
      <c r="AF11" s="163">
        <f>+AB11+AE11+AC11</f>
        <v>29.763999999999999</v>
      </c>
      <c r="AG11" s="163">
        <f>+AF11</f>
        <v>29.763999999999999</v>
      </c>
      <c r="AH11" s="316">
        <f>1.025+22.804</f>
        <v>23.828999999999997</v>
      </c>
      <c r="AI11" s="164">
        <f>+AG11-AH11</f>
        <v>5.9350000000000023</v>
      </c>
      <c r="AJ11" s="142"/>
      <c r="AK11" s="4002" t="s">
        <v>773</v>
      </c>
      <c r="AL11" s="4011" t="s">
        <v>211</v>
      </c>
      <c r="AM11" s="673" t="s">
        <v>629</v>
      </c>
      <c r="AN11" s="152">
        <v>42.798999999999999</v>
      </c>
      <c r="AO11" s="152"/>
      <c r="AP11" s="152"/>
      <c r="AQ11" s="421">
        <v>-6.0000000000000001E-3</v>
      </c>
      <c r="AR11" s="166">
        <f>+AN11+AQ11+AO11</f>
        <v>42.792999999999999</v>
      </c>
      <c r="AS11" s="166">
        <f>+AR11</f>
        <v>42.792999999999999</v>
      </c>
      <c r="AT11" s="469">
        <v>11.776</v>
      </c>
      <c r="AU11" s="167">
        <f>+AS11-AT11</f>
        <v>31.016999999999999</v>
      </c>
    </row>
    <row r="12" spans="1:48" ht="13.8">
      <c r="A12" s="4003"/>
      <c r="B12" s="4005"/>
      <c r="C12" s="219" t="s">
        <v>152</v>
      </c>
      <c r="D12" s="220" t="s">
        <v>162</v>
      </c>
      <c r="E12" s="220" t="s">
        <v>162</v>
      </c>
      <c r="F12" s="220" t="s">
        <v>162</v>
      </c>
      <c r="G12" s="220" t="s">
        <v>162</v>
      </c>
      <c r="H12" s="221" t="s">
        <v>162</v>
      </c>
      <c r="I12" s="221" t="s">
        <v>162</v>
      </c>
      <c r="J12" s="221" t="s">
        <v>162</v>
      </c>
      <c r="K12" s="222" t="s">
        <v>162</v>
      </c>
      <c r="L12" s="142"/>
      <c r="M12" s="4003"/>
      <c r="N12" s="4007"/>
      <c r="O12" s="219" t="s">
        <v>152</v>
      </c>
      <c r="P12" s="220" t="s">
        <v>162</v>
      </c>
      <c r="Q12" s="220" t="s">
        <v>162</v>
      </c>
      <c r="R12" s="220" t="s">
        <v>162</v>
      </c>
      <c r="S12" s="220" t="s">
        <v>162</v>
      </c>
      <c r="T12" s="221" t="s">
        <v>162</v>
      </c>
      <c r="U12" s="221" t="s">
        <v>162</v>
      </c>
      <c r="V12" s="221" t="s">
        <v>162</v>
      </c>
      <c r="W12" s="222" t="s">
        <v>162</v>
      </c>
      <c r="X12" s="142"/>
      <c r="Y12" s="4003"/>
      <c r="Z12" s="4005"/>
      <c r="AA12" s="219" t="s">
        <v>152</v>
      </c>
      <c r="AB12" s="220"/>
      <c r="AC12" s="220" t="s">
        <v>162</v>
      </c>
      <c r="AD12" s="220" t="s">
        <v>162</v>
      </c>
      <c r="AE12" s="220" t="s">
        <v>318</v>
      </c>
      <c r="AF12" s="221" t="s">
        <v>162</v>
      </c>
      <c r="AG12" s="221" t="s">
        <v>162</v>
      </c>
      <c r="AH12" s="221" t="s">
        <v>162</v>
      </c>
      <c r="AI12" s="222" t="s">
        <v>162</v>
      </c>
      <c r="AJ12" s="142"/>
      <c r="AK12" s="4003"/>
      <c r="AL12" s="4005"/>
      <c r="AM12" s="219" t="s">
        <v>152</v>
      </c>
      <c r="AN12" s="220" t="s">
        <v>162</v>
      </c>
      <c r="AO12" s="220" t="s">
        <v>162</v>
      </c>
      <c r="AP12" s="220" t="s">
        <v>162</v>
      </c>
      <c r="AQ12" s="220" t="s">
        <v>162</v>
      </c>
      <c r="AR12" s="221" t="s">
        <v>162</v>
      </c>
      <c r="AS12" s="221" t="s">
        <v>162</v>
      </c>
      <c r="AT12" s="221" t="s">
        <v>162</v>
      </c>
      <c r="AU12" s="222" t="s">
        <v>162</v>
      </c>
    </row>
    <row r="13" spans="1:48" ht="13.8">
      <c r="A13" s="4003"/>
      <c r="B13" s="4005"/>
      <c r="C13" s="151" t="s">
        <v>63</v>
      </c>
      <c r="D13" s="149">
        <v>3.1429999999999998</v>
      </c>
      <c r="E13" s="149"/>
      <c r="F13" s="149"/>
      <c r="G13" s="419">
        <v>-0.22600000000000001</v>
      </c>
      <c r="H13" s="165">
        <f>+D13+G13+E13</f>
        <v>2.9169999999999998</v>
      </c>
      <c r="I13" s="397">
        <f>+H13+K11</f>
        <v>-2.2509999999999994</v>
      </c>
      <c r="J13" s="397"/>
      <c r="K13" s="398">
        <f t="shared" si="0"/>
        <v>-2.2509999999999994</v>
      </c>
      <c r="L13" s="142"/>
      <c r="M13" s="4003"/>
      <c r="N13" s="4008"/>
      <c r="O13" s="151" t="s">
        <v>63</v>
      </c>
      <c r="P13" s="149">
        <v>9.6229999999999993</v>
      </c>
      <c r="Q13" s="149"/>
      <c r="R13" s="149"/>
      <c r="S13" s="419">
        <v>-1.1140000000000001</v>
      </c>
      <c r="T13" s="165">
        <f>+P13+S13+Q13</f>
        <v>8.5089999999999986</v>
      </c>
      <c r="U13" s="397">
        <f>+T13+W11</f>
        <v>8.0479999999999983</v>
      </c>
      <c r="V13" s="397">
        <v>0.622</v>
      </c>
      <c r="W13" s="398">
        <f>+U13-V13</f>
        <v>7.4259999999999984</v>
      </c>
      <c r="X13" s="142"/>
      <c r="Y13" s="4003"/>
      <c r="Z13" s="4005"/>
      <c r="AA13" s="151" t="s">
        <v>63</v>
      </c>
      <c r="AB13" s="149">
        <v>17.323</v>
      </c>
      <c r="AC13" s="149"/>
      <c r="AD13" s="149"/>
      <c r="AE13" s="419">
        <v>-0.22900000000000001</v>
      </c>
      <c r="AF13" s="165">
        <f>+AB13+AE13+AC13</f>
        <v>17.094000000000001</v>
      </c>
      <c r="AG13" s="397">
        <f>+AF13+AI11</f>
        <v>23.029000000000003</v>
      </c>
      <c r="AH13" s="397">
        <v>0.26600000000000001</v>
      </c>
      <c r="AI13" s="398">
        <f>+AG13-AH13</f>
        <v>22.763000000000005</v>
      </c>
      <c r="AJ13" s="142"/>
      <c r="AK13" s="4003"/>
      <c r="AL13" s="4012"/>
      <c r="AM13" s="674" t="s">
        <v>63</v>
      </c>
      <c r="AN13" s="675">
        <v>24.588000000000001</v>
      </c>
      <c r="AO13" s="675"/>
      <c r="AP13" s="675"/>
      <c r="AQ13" s="676">
        <v>-4.0000000000000001E-3</v>
      </c>
      <c r="AR13" s="677">
        <f>+AN13+AQ13+AO13</f>
        <v>24.584</v>
      </c>
      <c r="AS13" s="678">
        <f>+AR13+AU11</f>
        <v>55.600999999999999</v>
      </c>
      <c r="AT13" s="678">
        <v>16.847999999999999</v>
      </c>
      <c r="AU13" s="679">
        <f>+AS13-AT13</f>
        <v>38.753</v>
      </c>
      <c r="AV13" s="392"/>
    </row>
    <row r="14" spans="1:48" ht="13.5" customHeight="1">
      <c r="A14" s="4002" t="s">
        <v>773</v>
      </c>
      <c r="B14" s="4004" t="s">
        <v>452</v>
      </c>
      <c r="C14" s="147" t="s">
        <v>629</v>
      </c>
      <c r="D14" s="148">
        <v>51.564</v>
      </c>
      <c r="E14" s="148"/>
      <c r="F14" s="148"/>
      <c r="G14" s="420">
        <v>0</v>
      </c>
      <c r="H14" s="163">
        <f>+D14+G14+E14</f>
        <v>51.564</v>
      </c>
      <c r="I14" s="163">
        <f>+H14</f>
        <v>51.564</v>
      </c>
      <c r="J14" s="818">
        <v>20.550999999999998</v>
      </c>
      <c r="K14" s="164">
        <f t="shared" si="0"/>
        <v>31.013000000000002</v>
      </c>
      <c r="L14" s="142"/>
      <c r="M14" s="4002" t="s">
        <v>773</v>
      </c>
      <c r="N14" s="4009" t="s">
        <v>350</v>
      </c>
      <c r="O14" s="147" t="s">
        <v>629</v>
      </c>
      <c r="P14" s="148">
        <v>50.11</v>
      </c>
      <c r="Q14" s="461"/>
      <c r="R14" s="148"/>
      <c r="S14" s="420">
        <v>-6.1840000000000002</v>
      </c>
      <c r="T14" s="163">
        <f>+P14+S14+Q14</f>
        <v>43.926000000000002</v>
      </c>
      <c r="U14" s="163">
        <f>+T14</f>
        <v>43.926000000000002</v>
      </c>
      <c r="V14" s="316">
        <v>0.71799999999999997</v>
      </c>
      <c r="W14" s="164">
        <f>+U14-V14</f>
        <v>43.207999999999998</v>
      </c>
      <c r="X14" s="142"/>
      <c r="Y14" s="4002" t="s">
        <v>773</v>
      </c>
      <c r="Z14" s="4004" t="s">
        <v>357</v>
      </c>
      <c r="AA14" s="147" t="s">
        <v>629</v>
      </c>
      <c r="AB14" s="148">
        <v>5.5309999999999997</v>
      </c>
      <c r="AC14" s="148"/>
      <c r="AD14" s="148"/>
      <c r="AE14" s="420">
        <v>-1.1459999999999999</v>
      </c>
      <c r="AF14" s="163">
        <f>+AB14+AE14+AC14</f>
        <v>4.3849999999999998</v>
      </c>
      <c r="AG14" s="163">
        <f>+AF14</f>
        <v>4.3849999999999998</v>
      </c>
      <c r="AH14" s="316"/>
      <c r="AI14" s="164">
        <f>+AG14-AH14</f>
        <v>4.3849999999999998</v>
      </c>
      <c r="AJ14" s="142"/>
      <c r="AK14" s="4002" t="s">
        <v>773</v>
      </c>
      <c r="AL14" s="4011" t="s">
        <v>363</v>
      </c>
      <c r="AM14" s="673" t="s">
        <v>629</v>
      </c>
      <c r="AN14" s="152">
        <v>14.920999999999999</v>
      </c>
      <c r="AO14" s="152"/>
      <c r="AP14" s="152"/>
      <c r="AQ14" s="421">
        <v>-3.4</v>
      </c>
      <c r="AR14" s="166">
        <f>+AN14+AQ14+AO14</f>
        <v>11.520999999999999</v>
      </c>
      <c r="AS14" s="166">
        <f>+AR14</f>
        <v>11.520999999999999</v>
      </c>
      <c r="AT14" s="469">
        <v>4.0940000000000003</v>
      </c>
      <c r="AU14" s="167">
        <f>+AS14-AT14</f>
        <v>7.4269999999999987</v>
      </c>
    </row>
    <row r="15" spans="1:48" ht="13.8">
      <c r="A15" s="4003"/>
      <c r="B15" s="4005"/>
      <c r="C15" s="219" t="s">
        <v>152</v>
      </c>
      <c r="D15" s="220" t="s">
        <v>162</v>
      </c>
      <c r="E15" s="220" t="s">
        <v>162</v>
      </c>
      <c r="F15" s="220" t="s">
        <v>162</v>
      </c>
      <c r="G15" s="220" t="s">
        <v>162</v>
      </c>
      <c r="H15" s="221" t="s">
        <v>162</v>
      </c>
      <c r="I15" s="221" t="s">
        <v>162</v>
      </c>
      <c r="J15" s="221" t="s">
        <v>162</v>
      </c>
      <c r="K15" s="222" t="s">
        <v>162</v>
      </c>
      <c r="L15" s="142"/>
      <c r="M15" s="4003"/>
      <c r="N15" s="4010"/>
      <c r="O15" s="219" t="s">
        <v>152</v>
      </c>
      <c r="P15" s="220" t="s">
        <v>162</v>
      </c>
      <c r="Q15" s="220" t="s">
        <v>162</v>
      </c>
      <c r="R15" s="220" t="s">
        <v>162</v>
      </c>
      <c r="S15" s="220" t="s">
        <v>162</v>
      </c>
      <c r="T15" s="221" t="s">
        <v>162</v>
      </c>
      <c r="U15" s="221" t="s">
        <v>162</v>
      </c>
      <c r="V15" s="221" t="s">
        <v>162</v>
      </c>
      <c r="W15" s="222" t="s">
        <v>162</v>
      </c>
      <c r="X15" s="142"/>
      <c r="Y15" s="4003"/>
      <c r="Z15" s="4005"/>
      <c r="AA15" s="219" t="s">
        <v>152</v>
      </c>
      <c r="AB15" s="220"/>
      <c r="AC15" s="220" t="s">
        <v>162</v>
      </c>
      <c r="AD15" s="220" t="s">
        <v>162</v>
      </c>
      <c r="AE15" s="220" t="s">
        <v>318</v>
      </c>
      <c r="AF15" s="221" t="s">
        <v>162</v>
      </c>
      <c r="AG15" s="221" t="s">
        <v>162</v>
      </c>
      <c r="AH15" s="221" t="s">
        <v>162</v>
      </c>
      <c r="AI15" s="222" t="s">
        <v>162</v>
      </c>
      <c r="AJ15" s="142"/>
      <c r="AK15" s="4003"/>
      <c r="AL15" s="4005"/>
      <c r="AM15" s="219" t="s">
        <v>152</v>
      </c>
      <c r="AN15" s="220" t="s">
        <v>162</v>
      </c>
      <c r="AO15" s="220" t="s">
        <v>162</v>
      </c>
      <c r="AP15" s="220" t="s">
        <v>162</v>
      </c>
      <c r="AQ15" s="220" t="s">
        <v>162</v>
      </c>
      <c r="AR15" s="221" t="s">
        <v>162</v>
      </c>
      <c r="AS15" s="221" t="s">
        <v>162</v>
      </c>
      <c r="AT15" s="221" t="s">
        <v>162</v>
      </c>
      <c r="AU15" s="222" t="s">
        <v>162</v>
      </c>
    </row>
    <row r="16" spans="1:48" ht="13.8">
      <c r="A16" s="4003"/>
      <c r="B16" s="4005"/>
      <c r="C16" s="151" t="s">
        <v>63</v>
      </c>
      <c r="D16" s="149">
        <v>29.623999999999999</v>
      </c>
      <c r="E16" s="149"/>
      <c r="F16" s="149"/>
      <c r="G16" s="419">
        <v>0</v>
      </c>
      <c r="H16" s="165">
        <f>+D16+G16+E16</f>
        <v>29.623999999999999</v>
      </c>
      <c r="I16" s="397">
        <f>+H16+K14</f>
        <v>60.637</v>
      </c>
      <c r="J16" s="397">
        <v>3.597</v>
      </c>
      <c r="K16" s="398">
        <f t="shared" si="0"/>
        <v>57.04</v>
      </c>
      <c r="L16" s="142"/>
      <c r="M16" s="4003"/>
      <c r="N16" s="4010"/>
      <c r="O16" s="151" t="s">
        <v>63</v>
      </c>
      <c r="P16" s="149">
        <v>28.789000000000001</v>
      </c>
      <c r="Q16" s="149"/>
      <c r="R16" s="149"/>
      <c r="S16" s="419">
        <v>-3.6320000000000001</v>
      </c>
      <c r="T16" s="165">
        <f>+P16+S16+Q16</f>
        <v>25.157</v>
      </c>
      <c r="U16" s="397">
        <f>+T16+W14</f>
        <v>68.364999999999995</v>
      </c>
      <c r="V16" s="397">
        <v>17.934000000000001</v>
      </c>
      <c r="W16" s="398">
        <f>+U16-V16</f>
        <v>50.430999999999997</v>
      </c>
      <c r="X16" s="142"/>
      <c r="Y16" s="4003"/>
      <c r="Z16" s="4005"/>
      <c r="AA16" s="151" t="s">
        <v>63</v>
      </c>
      <c r="AB16" s="149">
        <v>3.1779999999999999</v>
      </c>
      <c r="AC16" s="149"/>
      <c r="AD16" s="149"/>
      <c r="AE16" s="419">
        <v>-0.67300000000000004</v>
      </c>
      <c r="AF16" s="165">
        <f>+AB16+AE16+AC16</f>
        <v>2.5049999999999999</v>
      </c>
      <c r="AG16" s="397">
        <f>+AF16+AI14</f>
        <v>6.89</v>
      </c>
      <c r="AH16" s="397"/>
      <c r="AI16" s="398">
        <f>+AG16-AH16</f>
        <v>6.89</v>
      </c>
      <c r="AJ16" s="142"/>
      <c r="AK16" s="4003"/>
      <c r="AL16" s="4005"/>
      <c r="AM16" s="151" t="s">
        <v>63</v>
      </c>
      <c r="AN16" s="149">
        <v>8.5719999999999992</v>
      </c>
      <c r="AO16" s="149"/>
      <c r="AP16" s="149"/>
      <c r="AQ16" s="419">
        <v>-1.9970000000000001</v>
      </c>
      <c r="AR16" s="165">
        <f>+AN16+AQ16+AO16</f>
        <v>6.5749999999999993</v>
      </c>
      <c r="AS16" s="397">
        <f>+AR16+AU14</f>
        <v>14.001999999999999</v>
      </c>
      <c r="AT16" s="397"/>
      <c r="AU16" s="398">
        <f>+AS16-AT16</f>
        <v>14.001999999999999</v>
      </c>
    </row>
    <row r="17" spans="1:47" ht="13.5" customHeight="1">
      <c r="A17" s="4002" t="s">
        <v>773</v>
      </c>
      <c r="B17" s="4004" t="s">
        <v>387</v>
      </c>
      <c r="C17" s="147" t="s">
        <v>629</v>
      </c>
      <c r="D17" s="148">
        <v>17.648</v>
      </c>
      <c r="E17" s="148"/>
      <c r="F17" s="148"/>
      <c r="G17" s="148">
        <v>0</v>
      </c>
      <c r="H17" s="163">
        <f>+D17+G17+E17</f>
        <v>17.648</v>
      </c>
      <c r="I17" s="316">
        <f>+H17</f>
        <v>17.648</v>
      </c>
      <c r="J17" s="316">
        <v>3.5110000000000001</v>
      </c>
      <c r="K17" s="317">
        <f t="shared" si="0"/>
        <v>14.137</v>
      </c>
      <c r="L17" s="142"/>
      <c r="M17" s="4002" t="s">
        <v>773</v>
      </c>
      <c r="N17" s="4004" t="s">
        <v>351</v>
      </c>
      <c r="O17" s="147" t="s">
        <v>629</v>
      </c>
      <c r="P17" s="148">
        <v>54.679000000000002</v>
      </c>
      <c r="Q17" s="461"/>
      <c r="R17" s="148"/>
      <c r="S17" s="420">
        <v>-3.7170000000000001</v>
      </c>
      <c r="T17" s="163">
        <f>+P17+S17+Q17</f>
        <v>50.962000000000003</v>
      </c>
      <c r="U17" s="163">
        <f>+T17</f>
        <v>50.962000000000003</v>
      </c>
      <c r="V17" s="316">
        <v>26.111000000000001</v>
      </c>
      <c r="W17" s="164">
        <f>+U17-V17</f>
        <v>24.851000000000003</v>
      </c>
      <c r="X17" s="142"/>
      <c r="Y17" s="4002" t="s">
        <v>773</v>
      </c>
      <c r="Z17" s="4004" t="s">
        <v>205</v>
      </c>
      <c r="AA17" s="147" t="s">
        <v>629</v>
      </c>
      <c r="AB17" s="148">
        <v>54.296999999999997</v>
      </c>
      <c r="AC17" s="148"/>
      <c r="AD17" s="148"/>
      <c r="AE17" s="420">
        <v>-6.64</v>
      </c>
      <c r="AF17" s="163">
        <f>+AB17+AE17+AC17</f>
        <v>47.656999999999996</v>
      </c>
      <c r="AG17" s="163">
        <f>+AF17</f>
        <v>47.656999999999996</v>
      </c>
      <c r="AH17" s="316">
        <v>12.388999999999999</v>
      </c>
      <c r="AI17" s="164">
        <f>+AG17-AH17</f>
        <v>35.268000000000001</v>
      </c>
      <c r="AJ17" s="142"/>
      <c r="AK17" s="4002" t="s">
        <v>773</v>
      </c>
      <c r="AL17" s="4004" t="s">
        <v>203</v>
      </c>
      <c r="AM17" s="147" t="s">
        <v>629</v>
      </c>
      <c r="AN17" s="148">
        <v>43.482999999999997</v>
      </c>
      <c r="AO17" s="148"/>
      <c r="AP17" s="148"/>
      <c r="AQ17" s="420">
        <v>-0.33300000000000002</v>
      </c>
      <c r="AR17" s="163">
        <f>+AN17+AQ17+AO17</f>
        <v>43.15</v>
      </c>
      <c r="AS17" s="316">
        <f>+AR17</f>
        <v>43.15</v>
      </c>
      <c r="AT17" s="316">
        <v>26.753</v>
      </c>
      <c r="AU17" s="317">
        <f>+AS17-AT17</f>
        <v>16.396999999999998</v>
      </c>
    </row>
    <row r="18" spans="1:47" ht="13.8">
      <c r="A18" s="4003"/>
      <c r="B18" s="4005"/>
      <c r="C18" s="219" t="s">
        <v>152</v>
      </c>
      <c r="D18" s="220" t="s">
        <v>162</v>
      </c>
      <c r="E18" s="220" t="s">
        <v>162</v>
      </c>
      <c r="F18" s="220" t="s">
        <v>162</v>
      </c>
      <c r="G18" s="220" t="s">
        <v>162</v>
      </c>
      <c r="H18" s="221" t="s">
        <v>162</v>
      </c>
      <c r="I18" s="221" t="s">
        <v>162</v>
      </c>
      <c r="J18" s="221" t="s">
        <v>162</v>
      </c>
      <c r="K18" s="222" t="s">
        <v>162</v>
      </c>
      <c r="L18" s="142"/>
      <c r="M18" s="4003"/>
      <c r="N18" s="4005"/>
      <c r="O18" s="219" t="s">
        <v>152</v>
      </c>
      <c r="P18" s="220" t="s">
        <v>162</v>
      </c>
      <c r="Q18" s="220" t="s">
        <v>162</v>
      </c>
      <c r="R18" s="220" t="s">
        <v>162</v>
      </c>
      <c r="S18" s="220" t="s">
        <v>162</v>
      </c>
      <c r="T18" s="221" t="s">
        <v>162</v>
      </c>
      <c r="U18" s="221" t="s">
        <v>162</v>
      </c>
      <c r="V18" s="221" t="s">
        <v>162</v>
      </c>
      <c r="W18" s="222" t="s">
        <v>162</v>
      </c>
      <c r="X18" s="142"/>
      <c r="Y18" s="4003"/>
      <c r="Z18" s="4005"/>
      <c r="AA18" s="219" t="s">
        <v>152</v>
      </c>
      <c r="AB18" s="220"/>
      <c r="AC18" s="220" t="s">
        <v>162</v>
      </c>
      <c r="AD18" s="220" t="s">
        <v>162</v>
      </c>
      <c r="AE18" s="220" t="s">
        <v>318</v>
      </c>
      <c r="AF18" s="221" t="s">
        <v>162</v>
      </c>
      <c r="AG18" s="221" t="s">
        <v>162</v>
      </c>
      <c r="AH18" s="221" t="s">
        <v>162</v>
      </c>
      <c r="AI18" s="222" t="s">
        <v>162</v>
      </c>
      <c r="AJ18" s="142"/>
      <c r="AK18" s="4003"/>
      <c r="AL18" s="4005"/>
      <c r="AM18" s="219" t="s">
        <v>152</v>
      </c>
      <c r="AN18" s="220" t="s">
        <v>162</v>
      </c>
      <c r="AO18" s="220" t="s">
        <v>162</v>
      </c>
      <c r="AP18" s="220" t="s">
        <v>162</v>
      </c>
      <c r="AQ18" s="220" t="s">
        <v>162</v>
      </c>
      <c r="AR18" s="221" t="s">
        <v>162</v>
      </c>
      <c r="AS18" s="221" t="s">
        <v>162</v>
      </c>
      <c r="AT18" s="221" t="s">
        <v>162</v>
      </c>
      <c r="AU18" s="222" t="s">
        <v>162</v>
      </c>
    </row>
    <row r="19" spans="1:47" ht="13.8">
      <c r="A19" s="4003"/>
      <c r="B19" s="4005"/>
      <c r="C19" s="151" t="s">
        <v>63</v>
      </c>
      <c r="D19" s="149">
        <v>10.138999999999999</v>
      </c>
      <c r="E19" s="149"/>
      <c r="F19" s="149"/>
      <c r="G19" s="149">
        <v>0</v>
      </c>
      <c r="H19" s="165">
        <f>+D19+G19+E19</f>
        <v>10.138999999999999</v>
      </c>
      <c r="I19" s="397">
        <f>+H19+K17</f>
        <v>24.276</v>
      </c>
      <c r="J19" s="397"/>
      <c r="K19" s="398">
        <f t="shared" si="0"/>
        <v>24.276</v>
      </c>
      <c r="L19" s="142"/>
      <c r="M19" s="4003"/>
      <c r="N19" s="4005"/>
      <c r="O19" s="151" t="s">
        <v>63</v>
      </c>
      <c r="P19" s="149">
        <v>31.413</v>
      </c>
      <c r="Q19" s="149"/>
      <c r="R19" s="149"/>
      <c r="S19" s="419">
        <v>-2.1829999999999998</v>
      </c>
      <c r="T19" s="165">
        <f>+P19+S19+Q19</f>
        <v>29.23</v>
      </c>
      <c r="U19" s="397">
        <f>+T19+W17</f>
        <v>54.081000000000003</v>
      </c>
      <c r="V19" s="397">
        <v>38.280999999999999</v>
      </c>
      <c r="W19" s="398">
        <f>+U19-V19</f>
        <v>15.800000000000004</v>
      </c>
      <c r="X19" s="142"/>
      <c r="Y19" s="4003"/>
      <c r="Z19" s="4005"/>
      <c r="AA19" s="151" t="s">
        <v>63</v>
      </c>
      <c r="AB19" s="149">
        <v>31.193999999999999</v>
      </c>
      <c r="AC19" s="149"/>
      <c r="AD19" s="149"/>
      <c r="AE19" s="419">
        <v>-3.9</v>
      </c>
      <c r="AF19" s="165">
        <f>+AB19+AE19+AC19</f>
        <v>27.294</v>
      </c>
      <c r="AG19" s="397">
        <f>+AF19+AI17</f>
        <v>62.561999999999998</v>
      </c>
      <c r="AH19" s="397">
        <v>23.241</v>
      </c>
      <c r="AI19" s="398">
        <f>+AG19-AH19</f>
        <v>39.320999999999998</v>
      </c>
      <c r="AJ19" s="142"/>
      <c r="AK19" s="4003"/>
      <c r="AL19" s="4005"/>
      <c r="AM19" s="151" t="s">
        <v>63</v>
      </c>
      <c r="AN19" s="149">
        <v>24.981000000000002</v>
      </c>
      <c r="AO19" s="149"/>
      <c r="AP19" s="149"/>
      <c r="AQ19" s="419">
        <v>-0.19500000000000001</v>
      </c>
      <c r="AR19" s="165">
        <f>+AN19+AQ19+AO19</f>
        <v>24.786000000000001</v>
      </c>
      <c r="AS19" s="397">
        <f>+AR19+AU17</f>
        <v>41.183</v>
      </c>
      <c r="AT19" s="397">
        <v>27.87</v>
      </c>
      <c r="AU19" s="398">
        <f>+AS19-AT19</f>
        <v>13.312999999999999</v>
      </c>
    </row>
    <row r="20" spans="1:47" ht="13.8">
      <c r="A20" s="4002" t="s">
        <v>773</v>
      </c>
      <c r="B20" s="4004" t="s">
        <v>344</v>
      </c>
      <c r="C20" s="147" t="s">
        <v>629</v>
      </c>
      <c r="D20" s="148">
        <v>21.81</v>
      </c>
      <c r="E20" s="148"/>
      <c r="F20" s="148"/>
      <c r="G20" s="420">
        <v>-3.0430000000000001</v>
      </c>
      <c r="H20" s="163">
        <f>+D20+G20+E20</f>
        <v>18.766999999999999</v>
      </c>
      <c r="I20" s="163">
        <f>+H20</f>
        <v>18.766999999999999</v>
      </c>
      <c r="J20" s="316">
        <v>12.984</v>
      </c>
      <c r="K20" s="164">
        <f t="shared" si="0"/>
        <v>5.7829999999999995</v>
      </c>
      <c r="L20" s="142"/>
      <c r="M20" s="4002" t="s">
        <v>773</v>
      </c>
      <c r="N20" s="4004" t="s">
        <v>204</v>
      </c>
      <c r="O20" s="147" t="s">
        <v>629</v>
      </c>
      <c r="P20" s="148">
        <v>11.57</v>
      </c>
      <c r="Q20" s="461"/>
      <c r="R20" s="148"/>
      <c r="S20" s="422">
        <v>0</v>
      </c>
      <c r="T20" s="163">
        <f>+P20+S20+Q20</f>
        <v>11.57</v>
      </c>
      <c r="U20" s="163">
        <f>+T20</f>
        <v>11.57</v>
      </c>
      <c r="V20" s="316">
        <v>4.4379999999999997</v>
      </c>
      <c r="W20" s="164">
        <f>+U20-V20</f>
        <v>7.1320000000000006</v>
      </c>
      <c r="X20" s="142"/>
      <c r="Y20" s="4002" t="s">
        <v>773</v>
      </c>
      <c r="Z20" s="4004" t="s">
        <v>208</v>
      </c>
      <c r="AA20" s="147" t="s">
        <v>629</v>
      </c>
      <c r="AB20" s="148">
        <v>42.167999999999999</v>
      </c>
      <c r="AC20" s="148"/>
      <c r="AD20" s="148"/>
      <c r="AE20" s="420">
        <v>-3.3410000000000002</v>
      </c>
      <c r="AF20" s="163">
        <f>+AB20+AE20+AC20</f>
        <v>38.826999999999998</v>
      </c>
      <c r="AG20" s="163">
        <f>+AF20</f>
        <v>38.826999999999998</v>
      </c>
      <c r="AH20" s="316">
        <f>4.428+18.376</f>
        <v>22.804000000000002</v>
      </c>
      <c r="AI20" s="164">
        <f>+AG20-AH20</f>
        <v>16.022999999999996</v>
      </c>
      <c r="AJ20" s="142"/>
      <c r="AK20" s="4002" t="s">
        <v>773</v>
      </c>
      <c r="AL20" s="4004" t="s">
        <v>364</v>
      </c>
      <c r="AM20" s="147" t="s">
        <v>629</v>
      </c>
      <c r="AN20" s="148">
        <v>70.554000000000002</v>
      </c>
      <c r="AO20" s="148"/>
      <c r="AP20" s="148"/>
      <c r="AQ20" s="420">
        <v>-5.5579999999999998</v>
      </c>
      <c r="AR20" s="163">
        <f>+AN20+AQ20+AO20</f>
        <v>64.996000000000009</v>
      </c>
      <c r="AS20" s="163">
        <f>+AR20</f>
        <v>64.996000000000009</v>
      </c>
      <c r="AT20" s="316">
        <f>1.188+35.02</f>
        <v>36.208000000000006</v>
      </c>
      <c r="AU20" s="164">
        <f>+AS20-AT20</f>
        <v>28.788000000000004</v>
      </c>
    </row>
    <row r="21" spans="1:47" ht="13.8">
      <c r="A21" s="4003"/>
      <c r="B21" s="4005"/>
      <c r="C21" s="219" t="s">
        <v>152</v>
      </c>
      <c r="D21" s="220" t="s">
        <v>162</v>
      </c>
      <c r="E21" s="220" t="s">
        <v>162</v>
      </c>
      <c r="F21" s="220" t="s">
        <v>162</v>
      </c>
      <c r="G21" s="220" t="s">
        <v>162</v>
      </c>
      <c r="H21" s="221" t="s">
        <v>162</v>
      </c>
      <c r="I21" s="221" t="s">
        <v>162</v>
      </c>
      <c r="J21" s="221" t="s">
        <v>162</v>
      </c>
      <c r="K21" s="222" t="s">
        <v>162</v>
      </c>
      <c r="L21" s="142"/>
      <c r="M21" s="4003"/>
      <c r="N21" s="4005"/>
      <c r="O21" s="219" t="s">
        <v>152</v>
      </c>
      <c r="P21" s="220" t="s">
        <v>162</v>
      </c>
      <c r="Q21" s="220" t="s">
        <v>162</v>
      </c>
      <c r="R21" s="220" t="s">
        <v>162</v>
      </c>
      <c r="S21" s="220" t="s">
        <v>162</v>
      </c>
      <c r="T21" s="221" t="s">
        <v>162</v>
      </c>
      <c r="U21" s="221" t="s">
        <v>162</v>
      </c>
      <c r="V21" s="221" t="s">
        <v>162</v>
      </c>
      <c r="W21" s="222" t="s">
        <v>162</v>
      </c>
      <c r="X21" s="142"/>
      <c r="Y21" s="4003"/>
      <c r="Z21" s="4005"/>
      <c r="AA21" s="219" t="s">
        <v>152</v>
      </c>
      <c r="AB21" s="220"/>
      <c r="AC21" s="220" t="s">
        <v>162</v>
      </c>
      <c r="AD21" s="220" t="s">
        <v>162</v>
      </c>
      <c r="AE21" s="220" t="s">
        <v>318</v>
      </c>
      <c r="AF21" s="221" t="s">
        <v>162</v>
      </c>
      <c r="AG21" s="221" t="s">
        <v>162</v>
      </c>
      <c r="AH21" s="221" t="s">
        <v>162</v>
      </c>
      <c r="AI21" s="222" t="s">
        <v>162</v>
      </c>
      <c r="AJ21" s="142"/>
      <c r="AK21" s="4003"/>
      <c r="AL21" s="4005"/>
      <c r="AM21" s="219" t="s">
        <v>152</v>
      </c>
      <c r="AN21" s="220" t="s">
        <v>162</v>
      </c>
      <c r="AO21" s="220" t="s">
        <v>162</v>
      </c>
      <c r="AP21" s="220" t="s">
        <v>162</v>
      </c>
      <c r="AQ21" s="220" t="s">
        <v>162</v>
      </c>
      <c r="AR21" s="221" t="s">
        <v>162</v>
      </c>
      <c r="AS21" s="221" t="s">
        <v>162</v>
      </c>
      <c r="AT21" s="221" t="s">
        <v>162</v>
      </c>
      <c r="AU21" s="222" t="s">
        <v>162</v>
      </c>
    </row>
    <row r="22" spans="1:47" ht="13.8">
      <c r="A22" s="4003"/>
      <c r="B22" s="4005"/>
      <c r="C22" s="151" t="s">
        <v>63</v>
      </c>
      <c r="D22" s="149">
        <v>12.53</v>
      </c>
      <c r="E22" s="149"/>
      <c r="F22" s="149"/>
      <c r="G22" s="994">
        <f>-1.787+-3.097</f>
        <v>-4.8840000000000003</v>
      </c>
      <c r="H22" s="165">
        <f>+D22+G22+E22</f>
        <v>7.645999999999999</v>
      </c>
      <c r="I22" s="397">
        <f>+H22+K20</f>
        <v>13.428999999999998</v>
      </c>
      <c r="J22" s="397">
        <v>1.492</v>
      </c>
      <c r="K22" s="398">
        <f t="shared" si="0"/>
        <v>11.936999999999998</v>
      </c>
      <c r="L22" s="142"/>
      <c r="M22" s="4003"/>
      <c r="N22" s="4005"/>
      <c r="O22" s="151" t="s">
        <v>63</v>
      </c>
      <c r="P22" s="149">
        <v>6.6470000000000002</v>
      </c>
      <c r="Q22" s="149"/>
      <c r="R22" s="149"/>
      <c r="S22" s="423">
        <v>0</v>
      </c>
      <c r="T22" s="165">
        <f>+P22+S22+Q22</f>
        <v>6.6470000000000002</v>
      </c>
      <c r="U22" s="397">
        <f>+T22+W20</f>
        <v>13.779</v>
      </c>
      <c r="V22" s="397"/>
      <c r="W22" s="398">
        <f>+U22-V22</f>
        <v>13.779</v>
      </c>
      <c r="X22" s="142"/>
      <c r="Y22" s="4003"/>
      <c r="Z22" s="4005"/>
      <c r="AA22" s="151" t="s">
        <v>63</v>
      </c>
      <c r="AB22" s="149">
        <v>24.225999999999999</v>
      </c>
      <c r="AC22" s="149"/>
      <c r="AD22" s="149"/>
      <c r="AE22" s="419">
        <v>-1.962</v>
      </c>
      <c r="AF22" s="165">
        <f>+AB22+AE22+AC22</f>
        <v>22.263999999999999</v>
      </c>
      <c r="AG22" s="397">
        <f>+AF22+AI20</f>
        <v>38.286999999999992</v>
      </c>
      <c r="AH22" s="397">
        <v>8.548</v>
      </c>
      <c r="AI22" s="398">
        <f>+AG22-AH22</f>
        <v>29.73899999999999</v>
      </c>
      <c r="AJ22" s="142"/>
      <c r="AK22" s="4003"/>
      <c r="AL22" s="4005"/>
      <c r="AM22" s="151" t="s">
        <v>63</v>
      </c>
      <c r="AN22" s="149">
        <v>40.533000000000001</v>
      </c>
      <c r="AO22" s="149"/>
      <c r="AP22" s="149"/>
      <c r="AQ22" s="419">
        <v>-3.2639999999999998</v>
      </c>
      <c r="AR22" s="165">
        <f>+AN22+AQ22+AO22</f>
        <v>37.268999999999998</v>
      </c>
      <c r="AS22" s="397">
        <f>+AR22+AU20</f>
        <v>66.057000000000002</v>
      </c>
      <c r="AT22" s="397">
        <v>51.76</v>
      </c>
      <c r="AU22" s="398">
        <f>+AS22-AT22</f>
        <v>14.297000000000004</v>
      </c>
    </row>
    <row r="23" spans="1:47" ht="13.8">
      <c r="A23" s="4002" t="s">
        <v>773</v>
      </c>
      <c r="B23" s="4004" t="s">
        <v>345</v>
      </c>
      <c r="C23" s="147" t="s">
        <v>629</v>
      </c>
      <c r="D23" s="148">
        <v>14.637</v>
      </c>
      <c r="E23" s="148"/>
      <c r="F23" s="148"/>
      <c r="G23" s="420">
        <v>0</v>
      </c>
      <c r="H23" s="163">
        <f>+D23+G23+E23</f>
        <v>14.637</v>
      </c>
      <c r="I23" s="163">
        <f>+H23</f>
        <v>14.637</v>
      </c>
      <c r="J23" s="468">
        <f>7.338+1.188</f>
        <v>8.5259999999999998</v>
      </c>
      <c r="K23" s="164">
        <f t="shared" si="0"/>
        <v>6.1110000000000007</v>
      </c>
      <c r="L23" s="142"/>
      <c r="M23" s="4002" t="s">
        <v>773</v>
      </c>
      <c r="N23" s="4004" t="s">
        <v>352</v>
      </c>
      <c r="O23" s="147" t="s">
        <v>629</v>
      </c>
      <c r="P23" s="148">
        <v>11.522</v>
      </c>
      <c r="Q23" s="461"/>
      <c r="R23" s="148"/>
      <c r="S23" s="420">
        <v>-0.42</v>
      </c>
      <c r="T23" s="163">
        <f>+P23+S23+Q23</f>
        <v>11.102</v>
      </c>
      <c r="U23" s="163">
        <f>+T23</f>
        <v>11.102</v>
      </c>
      <c r="V23" s="316"/>
      <c r="W23" s="164">
        <f>+U23-V23</f>
        <v>11.102</v>
      </c>
      <c r="X23" s="142"/>
      <c r="Y23" s="4002" t="s">
        <v>773</v>
      </c>
      <c r="Z23" s="4004" t="s">
        <v>212</v>
      </c>
      <c r="AA23" s="147" t="s">
        <v>629</v>
      </c>
      <c r="AB23" s="148">
        <v>43.478999999999999</v>
      </c>
      <c r="AC23" s="148"/>
      <c r="AD23" s="148"/>
      <c r="AE23" s="148">
        <v>0</v>
      </c>
      <c r="AF23" s="163">
        <f>+AB23+AE23+AC23</f>
        <v>43.478999999999999</v>
      </c>
      <c r="AG23" s="163">
        <f>+AF23</f>
        <v>43.478999999999999</v>
      </c>
      <c r="AH23" s="316">
        <v>29.888000000000002</v>
      </c>
      <c r="AI23" s="164">
        <f>+AG23-AH23</f>
        <v>13.590999999999998</v>
      </c>
      <c r="AJ23" s="142"/>
      <c r="AK23" s="4002" t="s">
        <v>773</v>
      </c>
      <c r="AL23" s="4004" t="s">
        <v>365</v>
      </c>
      <c r="AM23" s="147" t="s">
        <v>629</v>
      </c>
      <c r="AN23" s="148">
        <v>30.228000000000002</v>
      </c>
      <c r="AO23" s="148"/>
      <c r="AP23" s="148"/>
      <c r="AQ23" s="420">
        <v>-3.73</v>
      </c>
      <c r="AR23" s="163">
        <f>+AN23+AQ23+AO23</f>
        <v>26.498000000000001</v>
      </c>
      <c r="AS23" s="163">
        <f>+AR23</f>
        <v>26.498000000000001</v>
      </c>
      <c r="AT23" s="316">
        <v>2.746</v>
      </c>
      <c r="AU23" s="164">
        <f>+AS23-AT23</f>
        <v>23.752000000000002</v>
      </c>
    </row>
    <row r="24" spans="1:47" ht="13.8">
      <c r="A24" s="4003"/>
      <c r="B24" s="4005"/>
      <c r="C24" s="219" t="s">
        <v>152</v>
      </c>
      <c r="D24" s="220" t="s">
        <v>162</v>
      </c>
      <c r="E24" s="220" t="s">
        <v>162</v>
      </c>
      <c r="F24" s="220" t="s">
        <v>162</v>
      </c>
      <c r="G24" s="220" t="s">
        <v>162</v>
      </c>
      <c r="H24" s="221" t="s">
        <v>162</v>
      </c>
      <c r="I24" s="221" t="s">
        <v>162</v>
      </c>
      <c r="J24" s="221" t="s">
        <v>162</v>
      </c>
      <c r="K24" s="222" t="s">
        <v>162</v>
      </c>
      <c r="L24" s="142"/>
      <c r="M24" s="4003"/>
      <c r="N24" s="4005"/>
      <c r="O24" s="219" t="s">
        <v>152</v>
      </c>
      <c r="P24" s="220" t="s">
        <v>162</v>
      </c>
      <c r="Q24" s="220" t="s">
        <v>162</v>
      </c>
      <c r="R24" s="220" t="s">
        <v>162</v>
      </c>
      <c r="S24" s="220" t="s">
        <v>162</v>
      </c>
      <c r="T24" s="221" t="s">
        <v>162</v>
      </c>
      <c r="U24" s="221" t="s">
        <v>162</v>
      </c>
      <c r="V24" s="221" t="s">
        <v>162</v>
      </c>
      <c r="W24" s="222" t="s">
        <v>162</v>
      </c>
      <c r="X24" s="142"/>
      <c r="Y24" s="4003"/>
      <c r="Z24" s="4005"/>
      <c r="AA24" s="219" t="s">
        <v>152</v>
      </c>
      <c r="AB24" s="220"/>
      <c r="AC24" s="220" t="s">
        <v>162</v>
      </c>
      <c r="AD24" s="220" t="s">
        <v>162</v>
      </c>
      <c r="AE24" s="220" t="s">
        <v>318</v>
      </c>
      <c r="AF24" s="221" t="s">
        <v>162</v>
      </c>
      <c r="AG24" s="221" t="s">
        <v>162</v>
      </c>
      <c r="AH24" s="221" t="s">
        <v>162</v>
      </c>
      <c r="AI24" s="222" t="s">
        <v>162</v>
      </c>
      <c r="AJ24" s="142"/>
      <c r="AK24" s="4003"/>
      <c r="AL24" s="4005"/>
      <c r="AM24" s="219" t="s">
        <v>152</v>
      </c>
      <c r="AN24" s="220" t="s">
        <v>162</v>
      </c>
      <c r="AO24" s="220" t="s">
        <v>162</v>
      </c>
      <c r="AP24" s="220" t="s">
        <v>162</v>
      </c>
      <c r="AQ24" s="220" t="s">
        <v>162</v>
      </c>
      <c r="AR24" s="221" t="s">
        <v>162</v>
      </c>
      <c r="AS24" s="221" t="s">
        <v>162</v>
      </c>
      <c r="AT24" s="221" t="s">
        <v>162</v>
      </c>
      <c r="AU24" s="222" t="s">
        <v>162</v>
      </c>
    </row>
    <row r="25" spans="1:47" ht="13.8">
      <c r="A25" s="4003"/>
      <c r="B25" s="4005"/>
      <c r="C25" s="151" t="s">
        <v>63</v>
      </c>
      <c r="D25" s="149">
        <v>8.4090000000000007</v>
      </c>
      <c r="E25" s="149"/>
      <c r="F25" s="149"/>
      <c r="G25" s="419">
        <v>0</v>
      </c>
      <c r="H25" s="165">
        <f>+D25+G25+E25</f>
        <v>8.4090000000000007</v>
      </c>
      <c r="I25" s="397">
        <f>+H25+K23</f>
        <v>14.520000000000001</v>
      </c>
      <c r="J25" s="397">
        <v>2.7789999999999999</v>
      </c>
      <c r="K25" s="398">
        <f t="shared" si="0"/>
        <v>11.741000000000001</v>
      </c>
      <c r="L25" s="142"/>
      <c r="M25" s="4003"/>
      <c r="N25" s="4005"/>
      <c r="O25" s="151" t="s">
        <v>63</v>
      </c>
      <c r="P25" s="149">
        <v>6.6189999999999998</v>
      </c>
      <c r="Q25" s="149"/>
      <c r="R25" s="149"/>
      <c r="S25" s="419">
        <v>-0.246</v>
      </c>
      <c r="T25" s="165">
        <f>+P25+S25+Q25</f>
        <v>6.3729999999999993</v>
      </c>
      <c r="U25" s="397">
        <f>+T25+W23</f>
        <v>17.475000000000001</v>
      </c>
      <c r="V25" s="397">
        <v>2.65</v>
      </c>
      <c r="W25" s="398">
        <f>+U25-V25</f>
        <v>14.825000000000001</v>
      </c>
      <c r="X25" s="353"/>
      <c r="Y25" s="4003"/>
      <c r="Z25" s="4005"/>
      <c r="AA25" s="151" t="s">
        <v>63</v>
      </c>
      <c r="AB25" s="149">
        <v>24.978999999999999</v>
      </c>
      <c r="AC25" s="149"/>
      <c r="AD25" s="149"/>
      <c r="AE25" s="149">
        <v>0</v>
      </c>
      <c r="AF25" s="165">
        <f>+AB25+AE25+AC25</f>
        <v>24.978999999999999</v>
      </c>
      <c r="AG25" s="397">
        <f>+AF25+AI23</f>
        <v>38.569999999999993</v>
      </c>
      <c r="AH25" s="397">
        <v>22.920999999999999</v>
      </c>
      <c r="AI25" s="398">
        <f>+AG25-AH25</f>
        <v>15.648999999999994</v>
      </c>
      <c r="AJ25" s="142"/>
      <c r="AK25" s="4003"/>
      <c r="AL25" s="4005"/>
      <c r="AM25" s="151" t="s">
        <v>63</v>
      </c>
      <c r="AN25" s="149">
        <v>17.366</v>
      </c>
      <c r="AO25" s="149"/>
      <c r="AP25" s="149"/>
      <c r="AQ25" s="419">
        <v>-2.1909999999999998</v>
      </c>
      <c r="AR25" s="165">
        <f t="shared" ref="AR25:AR49" si="1">+AN25+AQ25+AO25</f>
        <v>15.175000000000001</v>
      </c>
      <c r="AS25" s="397">
        <f>+AR25+AU23</f>
        <v>38.927000000000007</v>
      </c>
      <c r="AT25" s="397">
        <f>17.341+9.2</f>
        <v>26.541</v>
      </c>
      <c r="AU25" s="398">
        <f>+AS25-AT25</f>
        <v>12.386000000000006</v>
      </c>
    </row>
    <row r="26" spans="1:47" ht="13.8">
      <c r="A26" s="4002" t="s">
        <v>773</v>
      </c>
      <c r="B26" s="4004" t="s">
        <v>659</v>
      </c>
      <c r="C26" s="147" t="s">
        <v>629</v>
      </c>
      <c r="D26" s="148">
        <v>52.448</v>
      </c>
      <c r="E26" s="148"/>
      <c r="F26" s="148"/>
      <c r="G26" s="420">
        <v>-8.1940000000000008</v>
      </c>
      <c r="H26" s="163">
        <f>+D26+G26+E26</f>
        <v>44.253999999999998</v>
      </c>
      <c r="I26" s="163">
        <f>+H26</f>
        <v>44.253999999999998</v>
      </c>
      <c r="J26" s="316">
        <v>22.919</v>
      </c>
      <c r="K26" s="164">
        <f t="shared" si="0"/>
        <v>21.334999999999997</v>
      </c>
      <c r="L26" s="142"/>
      <c r="M26" s="4002" t="s">
        <v>773</v>
      </c>
      <c r="N26" s="4004" t="s">
        <v>353</v>
      </c>
      <c r="O26" s="147" t="s">
        <v>629</v>
      </c>
      <c r="P26" s="148">
        <v>28.201000000000001</v>
      </c>
      <c r="Q26" s="148"/>
      <c r="R26" s="148"/>
      <c r="S26" s="420">
        <v>-0.77</v>
      </c>
      <c r="T26" s="163">
        <f>+P26+S26+Q26</f>
        <v>27.431000000000001</v>
      </c>
      <c r="U26" s="163">
        <f>+T26</f>
        <v>27.431000000000001</v>
      </c>
      <c r="V26" s="316">
        <v>1.3340000000000001</v>
      </c>
      <c r="W26" s="164">
        <f>+U26-V26</f>
        <v>26.097000000000001</v>
      </c>
      <c r="X26" s="142"/>
      <c r="Y26" s="4002" t="s">
        <v>773</v>
      </c>
      <c r="Z26" s="4004" t="s">
        <v>209</v>
      </c>
      <c r="AA26" s="147" t="s">
        <v>629</v>
      </c>
      <c r="AB26" s="148">
        <v>3.3719999999999999</v>
      </c>
      <c r="AC26" s="148"/>
      <c r="AD26" s="148"/>
      <c r="AE26" s="148">
        <v>0</v>
      </c>
      <c r="AF26" s="163">
        <f>+AB26+AE26+AC26</f>
        <v>3.3719999999999999</v>
      </c>
      <c r="AG26" s="163">
        <f>+AF26</f>
        <v>3.3719999999999999</v>
      </c>
      <c r="AH26" s="316"/>
      <c r="AI26" s="164">
        <f>+AG26-AH26</f>
        <v>3.3719999999999999</v>
      </c>
      <c r="AJ26" s="142"/>
      <c r="AK26" s="4002" t="s">
        <v>773</v>
      </c>
      <c r="AL26" s="4004" t="s">
        <v>366</v>
      </c>
      <c r="AM26" s="147" t="s">
        <v>629</v>
      </c>
      <c r="AN26" s="148">
        <v>49.829000000000001</v>
      </c>
      <c r="AO26" s="148"/>
      <c r="AP26" s="148"/>
      <c r="AQ26" s="420">
        <v>-2.1589999999999998</v>
      </c>
      <c r="AR26" s="163">
        <f t="shared" si="1"/>
        <v>47.67</v>
      </c>
      <c r="AS26" s="163">
        <f>+AR26</f>
        <v>47.67</v>
      </c>
      <c r="AT26" s="316">
        <v>22.088999999999999</v>
      </c>
      <c r="AU26" s="164">
        <f>+AS26-AT26</f>
        <v>25.581000000000003</v>
      </c>
    </row>
    <row r="27" spans="1:47" ht="13.8">
      <c r="A27" s="4003"/>
      <c r="B27" s="4005"/>
      <c r="C27" s="219" t="s">
        <v>152</v>
      </c>
      <c r="D27" s="220"/>
      <c r="E27" s="220" t="s">
        <v>162</v>
      </c>
      <c r="F27" s="220" t="s">
        <v>162</v>
      </c>
      <c r="G27" s="220" t="s">
        <v>162</v>
      </c>
      <c r="H27" s="221" t="s">
        <v>162</v>
      </c>
      <c r="I27" s="221" t="s">
        <v>162</v>
      </c>
      <c r="J27" s="221" t="s">
        <v>162</v>
      </c>
      <c r="K27" s="222" t="s">
        <v>162</v>
      </c>
      <c r="L27" s="142"/>
      <c r="M27" s="4003"/>
      <c r="N27" s="4005"/>
      <c r="O27" s="219" t="s">
        <v>152</v>
      </c>
      <c r="P27" s="220" t="s">
        <v>162</v>
      </c>
      <c r="Q27" s="220" t="s">
        <v>162</v>
      </c>
      <c r="R27" s="220" t="s">
        <v>162</v>
      </c>
      <c r="S27" s="220" t="s">
        <v>162</v>
      </c>
      <c r="T27" s="221" t="s">
        <v>162</v>
      </c>
      <c r="U27" s="221" t="s">
        <v>162</v>
      </c>
      <c r="V27" s="221" t="s">
        <v>162</v>
      </c>
      <c r="W27" s="222" t="s">
        <v>162</v>
      </c>
      <c r="X27" s="142"/>
      <c r="Y27" s="4003"/>
      <c r="Z27" s="4005"/>
      <c r="AA27" s="219" t="s">
        <v>152</v>
      </c>
      <c r="AB27" s="220"/>
      <c r="AC27" s="220" t="s">
        <v>162</v>
      </c>
      <c r="AD27" s="220" t="s">
        <v>162</v>
      </c>
      <c r="AE27" s="220" t="s">
        <v>318</v>
      </c>
      <c r="AF27" s="221" t="s">
        <v>162</v>
      </c>
      <c r="AG27" s="221" t="s">
        <v>162</v>
      </c>
      <c r="AH27" s="221" t="s">
        <v>162</v>
      </c>
      <c r="AI27" s="222" t="s">
        <v>162</v>
      </c>
      <c r="AJ27" s="142"/>
      <c r="AK27" s="4003"/>
      <c r="AL27" s="4005"/>
      <c r="AM27" s="219" t="s">
        <v>152</v>
      </c>
      <c r="AN27" s="220" t="s">
        <v>162</v>
      </c>
      <c r="AO27" s="220" t="s">
        <v>162</v>
      </c>
      <c r="AP27" s="220" t="s">
        <v>162</v>
      </c>
      <c r="AQ27" s="220" t="s">
        <v>162</v>
      </c>
      <c r="AR27" s="221" t="s">
        <v>162</v>
      </c>
      <c r="AS27" s="221" t="s">
        <v>162</v>
      </c>
      <c r="AT27" s="221" t="s">
        <v>162</v>
      </c>
      <c r="AU27" s="222" t="s">
        <v>162</v>
      </c>
    </row>
    <row r="28" spans="1:47" ht="13.8">
      <c r="A28" s="4003"/>
      <c r="B28" s="4005"/>
      <c r="C28" s="151" t="s">
        <v>63</v>
      </c>
      <c r="D28" s="149">
        <v>30.132000000000001</v>
      </c>
      <c r="E28" s="149"/>
      <c r="F28" s="149"/>
      <c r="G28" s="419">
        <v>-4.8120000000000003</v>
      </c>
      <c r="H28" s="165">
        <f>+D28+G28+E28</f>
        <v>25.32</v>
      </c>
      <c r="I28" s="397">
        <f>+H28+K26</f>
        <v>46.655000000000001</v>
      </c>
      <c r="J28" s="397">
        <v>16.640999999999998</v>
      </c>
      <c r="K28" s="398">
        <f t="shared" si="0"/>
        <v>30.014000000000003</v>
      </c>
      <c r="L28" s="142"/>
      <c r="M28" s="4003"/>
      <c r="N28" s="4005"/>
      <c r="O28" s="151" t="s">
        <v>63</v>
      </c>
      <c r="P28" s="149">
        <v>16.201000000000001</v>
      </c>
      <c r="Q28" s="149"/>
      <c r="R28" s="149"/>
      <c r="S28" s="419">
        <v>-0.45300000000000001</v>
      </c>
      <c r="T28" s="165">
        <f>+P28+S28+Q28</f>
        <v>15.748000000000001</v>
      </c>
      <c r="U28" s="397">
        <f>+T28+W26</f>
        <v>41.844999999999999</v>
      </c>
      <c r="V28" s="397">
        <f>0.344+13.247+15.048</f>
        <v>28.638999999999999</v>
      </c>
      <c r="W28" s="398">
        <f>+U28-V28</f>
        <v>13.206</v>
      </c>
      <c r="X28" s="142"/>
      <c r="Y28" s="4003"/>
      <c r="Z28" s="4012"/>
      <c r="AA28" s="151" t="s">
        <v>63</v>
      </c>
      <c r="AB28" s="149">
        <v>1.9370000000000001</v>
      </c>
      <c r="AC28" s="149"/>
      <c r="AD28" s="149"/>
      <c r="AE28" s="149">
        <v>0</v>
      </c>
      <c r="AF28" s="165">
        <f>+AB28+AE28+AC28</f>
        <v>1.9370000000000001</v>
      </c>
      <c r="AG28" s="397">
        <f>+AF28+AI26</f>
        <v>5.3090000000000002</v>
      </c>
      <c r="AH28" s="397"/>
      <c r="AI28" s="398">
        <f>+AG28-AH28</f>
        <v>5.3090000000000002</v>
      </c>
      <c r="AJ28" s="142"/>
      <c r="AK28" s="4003"/>
      <c r="AL28" s="4005"/>
      <c r="AM28" s="151" t="s">
        <v>63</v>
      </c>
      <c r="AN28" s="149">
        <v>28.626999999999999</v>
      </c>
      <c r="AO28" s="149"/>
      <c r="AP28" s="149"/>
      <c r="AQ28" s="419">
        <v>-1.268</v>
      </c>
      <c r="AR28" s="165">
        <f t="shared" si="1"/>
        <v>27.358999999999998</v>
      </c>
      <c r="AS28" s="397">
        <f>+AR28+AU26</f>
        <v>52.94</v>
      </c>
      <c r="AT28" s="397">
        <v>37.613999999999997</v>
      </c>
      <c r="AU28" s="398">
        <f>+AS28-AT28</f>
        <v>15.326000000000001</v>
      </c>
    </row>
    <row r="29" spans="1:47" ht="13.8">
      <c r="A29" s="4002" t="s">
        <v>773</v>
      </c>
      <c r="B29" s="4004" t="s">
        <v>346</v>
      </c>
      <c r="C29" s="147" t="s">
        <v>629</v>
      </c>
      <c r="D29" s="148">
        <v>45.350999999999999</v>
      </c>
      <c r="E29" s="148"/>
      <c r="F29" s="148"/>
      <c r="G29" s="420">
        <v>-0.68</v>
      </c>
      <c r="H29" s="163">
        <f>+D29+G29+E29</f>
        <v>44.670999999999999</v>
      </c>
      <c r="I29" s="163">
        <f>+H29</f>
        <v>44.670999999999999</v>
      </c>
      <c r="J29" s="316">
        <v>39.904000000000003</v>
      </c>
      <c r="K29" s="164">
        <f t="shared" si="0"/>
        <v>4.7669999999999959</v>
      </c>
      <c r="L29" s="142"/>
      <c r="M29" s="4002" t="s">
        <v>773</v>
      </c>
      <c r="N29" s="4004" t="s">
        <v>354</v>
      </c>
      <c r="O29" s="147" t="s">
        <v>629</v>
      </c>
      <c r="P29" s="148">
        <v>29.853000000000002</v>
      </c>
      <c r="Q29" s="148"/>
      <c r="R29" s="148"/>
      <c r="S29" s="420">
        <v>-3.42</v>
      </c>
      <c r="T29" s="163">
        <f>+P29+S29+Q29</f>
        <v>26.433</v>
      </c>
      <c r="U29" s="163">
        <f>+T29</f>
        <v>26.433</v>
      </c>
      <c r="V29" s="316">
        <v>7.7450000000000001</v>
      </c>
      <c r="W29" s="164">
        <f>+U29-V29</f>
        <v>18.687999999999999</v>
      </c>
      <c r="X29" s="142"/>
      <c r="Y29" s="4002" t="s">
        <v>773</v>
      </c>
      <c r="Z29" s="4004" t="s">
        <v>214</v>
      </c>
      <c r="AA29" s="147" t="s">
        <v>629</v>
      </c>
      <c r="AB29" s="148">
        <v>6.5359999999999996</v>
      </c>
      <c r="AC29" s="148"/>
      <c r="AD29" s="148"/>
      <c r="AE29" s="148">
        <v>0</v>
      </c>
      <c r="AF29" s="163">
        <f>+AB29+AE29+AC29</f>
        <v>6.5359999999999996</v>
      </c>
      <c r="AG29" s="163">
        <f>+AF29</f>
        <v>6.5359999999999996</v>
      </c>
      <c r="AH29" s="316">
        <v>5.1159999999999997</v>
      </c>
      <c r="AI29" s="164">
        <f>+AG29-AH29</f>
        <v>1.42</v>
      </c>
      <c r="AJ29" s="142"/>
      <c r="AK29" s="4002" t="s">
        <v>773</v>
      </c>
      <c r="AL29" s="4004" t="s">
        <v>367</v>
      </c>
      <c r="AM29" s="147" t="s">
        <v>629</v>
      </c>
      <c r="AN29" s="148">
        <v>34.725000000000001</v>
      </c>
      <c r="AO29" s="148"/>
      <c r="AP29" s="148"/>
      <c r="AQ29" s="148">
        <v>0</v>
      </c>
      <c r="AR29" s="163">
        <f t="shared" si="1"/>
        <v>34.725000000000001</v>
      </c>
      <c r="AS29" s="163">
        <f>+AR29</f>
        <v>34.725000000000001</v>
      </c>
      <c r="AT29" s="316">
        <f>3.412+23.333</f>
        <v>26.744999999999997</v>
      </c>
      <c r="AU29" s="164">
        <f>+AS29-AT29</f>
        <v>7.980000000000004</v>
      </c>
    </row>
    <row r="30" spans="1:47" ht="13.8">
      <c r="A30" s="4003"/>
      <c r="B30" s="4005"/>
      <c r="C30" s="219" t="s">
        <v>152</v>
      </c>
      <c r="D30" s="220" t="s">
        <v>162</v>
      </c>
      <c r="E30" s="220" t="s">
        <v>162</v>
      </c>
      <c r="F30" s="220" t="s">
        <v>162</v>
      </c>
      <c r="G30" s="220" t="s">
        <v>162</v>
      </c>
      <c r="H30" s="221" t="s">
        <v>162</v>
      </c>
      <c r="I30" s="221" t="s">
        <v>162</v>
      </c>
      <c r="J30" s="221" t="s">
        <v>162</v>
      </c>
      <c r="K30" s="222" t="s">
        <v>162</v>
      </c>
      <c r="L30" s="142"/>
      <c r="M30" s="4003"/>
      <c r="N30" s="4005"/>
      <c r="O30" s="219" t="s">
        <v>152</v>
      </c>
      <c r="P30" s="220" t="s">
        <v>162</v>
      </c>
      <c r="Q30" s="220" t="s">
        <v>162</v>
      </c>
      <c r="R30" s="220" t="s">
        <v>162</v>
      </c>
      <c r="S30" s="220" t="s">
        <v>162</v>
      </c>
      <c r="T30" s="221" t="s">
        <v>162</v>
      </c>
      <c r="U30" s="221" t="s">
        <v>162</v>
      </c>
      <c r="V30" s="221" t="s">
        <v>162</v>
      </c>
      <c r="W30" s="222" t="s">
        <v>162</v>
      </c>
      <c r="X30" s="142"/>
      <c r="Y30" s="4003"/>
      <c r="Z30" s="4005"/>
      <c r="AA30" s="219" t="s">
        <v>152</v>
      </c>
      <c r="AB30" s="220"/>
      <c r="AC30" s="220" t="s">
        <v>162</v>
      </c>
      <c r="AD30" s="220" t="s">
        <v>162</v>
      </c>
      <c r="AE30" s="220" t="s">
        <v>318</v>
      </c>
      <c r="AF30" s="221" t="s">
        <v>162</v>
      </c>
      <c r="AG30" s="221" t="s">
        <v>162</v>
      </c>
      <c r="AH30" s="221" t="s">
        <v>162</v>
      </c>
      <c r="AI30" s="222" t="s">
        <v>162</v>
      </c>
      <c r="AJ30" s="142"/>
      <c r="AK30" s="4003"/>
      <c r="AL30" s="4005"/>
      <c r="AM30" s="219" t="s">
        <v>152</v>
      </c>
      <c r="AN30" s="220" t="s">
        <v>162</v>
      </c>
      <c r="AO30" s="220" t="s">
        <v>162</v>
      </c>
      <c r="AP30" s="220" t="s">
        <v>162</v>
      </c>
      <c r="AQ30" s="220" t="s">
        <v>162</v>
      </c>
      <c r="AR30" s="221" t="s">
        <v>162</v>
      </c>
      <c r="AS30" s="221" t="s">
        <v>162</v>
      </c>
      <c r="AT30" s="221" t="s">
        <v>162</v>
      </c>
      <c r="AU30" s="222" t="s">
        <v>162</v>
      </c>
    </row>
    <row r="31" spans="1:47" ht="13.8">
      <c r="A31" s="4003"/>
      <c r="B31" s="4012"/>
      <c r="C31" s="674" t="s">
        <v>63</v>
      </c>
      <c r="D31" s="675">
        <v>26.055</v>
      </c>
      <c r="E31" s="675"/>
      <c r="F31" s="675"/>
      <c r="G31" s="676">
        <v>-0.4</v>
      </c>
      <c r="H31" s="677">
        <f>+D31+G31+E31</f>
        <v>25.655000000000001</v>
      </c>
      <c r="I31" s="678">
        <f>+H31+K29</f>
        <v>30.421999999999997</v>
      </c>
      <c r="J31" s="678">
        <v>15.015000000000001</v>
      </c>
      <c r="K31" s="679">
        <f t="shared" si="0"/>
        <v>15.406999999999996</v>
      </c>
      <c r="L31" s="142"/>
      <c r="M31" s="4003"/>
      <c r="N31" s="4005"/>
      <c r="O31" s="151" t="s">
        <v>63</v>
      </c>
      <c r="P31" s="149">
        <v>17.149999999999999</v>
      </c>
      <c r="Q31" s="149"/>
      <c r="R31" s="149"/>
      <c r="S31" s="419">
        <v>-2.008</v>
      </c>
      <c r="T31" s="165">
        <f>+P31+S31+Q31</f>
        <v>15.141999999999999</v>
      </c>
      <c r="U31" s="397">
        <f>+T31+W29</f>
        <v>33.83</v>
      </c>
      <c r="V31" s="397">
        <v>3.5190000000000001</v>
      </c>
      <c r="W31" s="398">
        <f>+U31-V31</f>
        <v>30.311</v>
      </c>
      <c r="X31" s="142"/>
      <c r="Y31" s="4003"/>
      <c r="Z31" s="4012"/>
      <c r="AA31" s="674" t="s">
        <v>63</v>
      </c>
      <c r="AB31" s="675">
        <v>3.7549999999999999</v>
      </c>
      <c r="AC31" s="675"/>
      <c r="AD31" s="675"/>
      <c r="AE31" s="675">
        <v>0</v>
      </c>
      <c r="AF31" s="677">
        <f>+AB31+AE31+AC31</f>
        <v>3.7549999999999999</v>
      </c>
      <c r="AG31" s="678">
        <f>+AF31+AI29</f>
        <v>5.1749999999999998</v>
      </c>
      <c r="AH31" s="678">
        <v>0.72399999999999998</v>
      </c>
      <c r="AI31" s="679">
        <f>+AG31-AH31</f>
        <v>4.4509999999999996</v>
      </c>
      <c r="AJ31" s="142"/>
      <c r="AK31" s="4003"/>
      <c r="AL31" s="4012"/>
      <c r="AM31" s="674" t="s">
        <v>63</v>
      </c>
      <c r="AN31" s="675">
        <v>19.949000000000002</v>
      </c>
      <c r="AO31" s="675"/>
      <c r="AP31" s="675"/>
      <c r="AQ31" s="675">
        <v>0</v>
      </c>
      <c r="AR31" s="677">
        <f t="shared" si="1"/>
        <v>19.949000000000002</v>
      </c>
      <c r="AS31" s="678">
        <f>+AR31+AU29</f>
        <v>27.929000000000006</v>
      </c>
      <c r="AT31" s="678">
        <v>19.134</v>
      </c>
      <c r="AU31" s="679">
        <f>+AS31-AT31</f>
        <v>8.7950000000000053</v>
      </c>
    </row>
    <row r="32" spans="1:47" ht="13.8">
      <c r="A32" s="4002" t="s">
        <v>773</v>
      </c>
      <c r="B32" s="4011" t="s">
        <v>347</v>
      </c>
      <c r="C32" s="147" t="s">
        <v>629</v>
      </c>
      <c r="D32" s="148">
        <v>22.797000000000001</v>
      </c>
      <c r="E32" s="148"/>
      <c r="F32" s="148"/>
      <c r="G32" s="420">
        <v>-0.747</v>
      </c>
      <c r="H32" s="163">
        <f>+D32+G32+E32</f>
        <v>22.05</v>
      </c>
      <c r="I32" s="163">
        <f>+H32</f>
        <v>22.05</v>
      </c>
      <c r="J32" s="316">
        <v>9.4019999999999992</v>
      </c>
      <c r="K32" s="164">
        <f t="shared" si="0"/>
        <v>12.648000000000001</v>
      </c>
      <c r="L32" s="429"/>
      <c r="M32" s="4002" t="s">
        <v>773</v>
      </c>
      <c r="N32" s="4004" t="s">
        <v>355</v>
      </c>
      <c r="O32" s="147" t="s">
        <v>629</v>
      </c>
      <c r="P32" s="148">
        <v>5.7370000000000001</v>
      </c>
      <c r="Q32" s="148"/>
      <c r="R32" s="148"/>
      <c r="S32" s="424">
        <v>-2.738</v>
      </c>
      <c r="T32" s="163">
        <f>+P32+S32+Q32</f>
        <v>2.9990000000000001</v>
      </c>
      <c r="U32" s="163">
        <f>+T32</f>
        <v>2.9990000000000001</v>
      </c>
      <c r="V32" s="316">
        <v>2.9929999999999999</v>
      </c>
      <c r="W32" s="164">
        <f>+U32-V32</f>
        <v>6.0000000000002274E-3</v>
      </c>
      <c r="X32" s="142"/>
      <c r="Y32" s="4002" t="s">
        <v>773</v>
      </c>
      <c r="Z32" s="4004" t="s">
        <v>358</v>
      </c>
      <c r="AA32" s="147" t="s">
        <v>629</v>
      </c>
      <c r="AB32" s="148">
        <v>10.124000000000001</v>
      </c>
      <c r="AC32" s="148"/>
      <c r="AD32" s="148"/>
      <c r="AE32" s="420">
        <v>-0.63</v>
      </c>
      <c r="AF32" s="163">
        <f>+AB32+AE32+AC32</f>
        <v>9.4939999999999998</v>
      </c>
      <c r="AG32" s="163">
        <v>9.4949999999999992</v>
      </c>
      <c r="AH32" s="316"/>
      <c r="AI32" s="164">
        <f>+AG32-AH32</f>
        <v>9.4949999999999992</v>
      </c>
      <c r="AJ32" s="142"/>
      <c r="AK32" s="4002" t="s">
        <v>773</v>
      </c>
      <c r="AL32" s="4004" t="s">
        <v>210</v>
      </c>
      <c r="AM32" s="147" t="s">
        <v>629</v>
      </c>
      <c r="AN32" s="148">
        <v>26.721</v>
      </c>
      <c r="AO32" s="148"/>
      <c r="AP32" s="148"/>
      <c r="AQ32" s="420">
        <v>-0.312</v>
      </c>
      <c r="AR32" s="163">
        <f t="shared" si="1"/>
        <v>26.408999999999999</v>
      </c>
      <c r="AS32" s="163">
        <f>+AR32</f>
        <v>26.408999999999999</v>
      </c>
      <c r="AT32" s="316"/>
      <c r="AU32" s="164">
        <f>+AS32-AT32</f>
        <v>26.408999999999999</v>
      </c>
    </row>
    <row r="33" spans="1:47" ht="13.8">
      <c r="A33" s="4003"/>
      <c r="B33" s="4005"/>
      <c r="C33" s="219" t="s">
        <v>152</v>
      </c>
      <c r="D33" s="220" t="s">
        <v>162</v>
      </c>
      <c r="E33" s="220" t="s">
        <v>162</v>
      </c>
      <c r="F33" s="220" t="s">
        <v>162</v>
      </c>
      <c r="G33" s="220" t="s">
        <v>162</v>
      </c>
      <c r="H33" s="221" t="s">
        <v>162</v>
      </c>
      <c r="I33" s="221" t="s">
        <v>162</v>
      </c>
      <c r="J33" s="221" t="s">
        <v>162</v>
      </c>
      <c r="K33" s="222" t="s">
        <v>162</v>
      </c>
      <c r="L33" s="429"/>
      <c r="M33" s="4003"/>
      <c r="N33" s="4005"/>
      <c r="O33" s="219" t="s">
        <v>152</v>
      </c>
      <c r="P33" s="220" t="s">
        <v>162</v>
      </c>
      <c r="Q33" s="220" t="s">
        <v>162</v>
      </c>
      <c r="R33" s="220" t="s">
        <v>162</v>
      </c>
      <c r="S33" s="220" t="s">
        <v>162</v>
      </c>
      <c r="T33" s="221" t="s">
        <v>162</v>
      </c>
      <c r="U33" s="221" t="s">
        <v>162</v>
      </c>
      <c r="V33" s="221" t="s">
        <v>162</v>
      </c>
      <c r="W33" s="222" t="s">
        <v>162</v>
      </c>
      <c r="X33" s="142"/>
      <c r="Y33" s="4003"/>
      <c r="Z33" s="4005"/>
      <c r="AA33" s="219" t="s">
        <v>152</v>
      </c>
      <c r="AB33" s="220"/>
      <c r="AC33" s="220" t="s">
        <v>162</v>
      </c>
      <c r="AD33" s="220" t="s">
        <v>162</v>
      </c>
      <c r="AE33" s="220" t="s">
        <v>318</v>
      </c>
      <c r="AF33" s="221" t="s">
        <v>162</v>
      </c>
      <c r="AG33" s="221" t="s">
        <v>162</v>
      </c>
      <c r="AH33" s="221" t="s">
        <v>162</v>
      </c>
      <c r="AI33" s="222" t="s">
        <v>162</v>
      </c>
      <c r="AJ33" s="142"/>
      <c r="AK33" s="4003"/>
      <c r="AL33" s="4005"/>
      <c r="AM33" s="219" t="s">
        <v>152</v>
      </c>
      <c r="AN33" s="220" t="s">
        <v>162</v>
      </c>
      <c r="AO33" s="220" t="s">
        <v>162</v>
      </c>
      <c r="AP33" s="220" t="s">
        <v>162</v>
      </c>
      <c r="AQ33" s="220" t="s">
        <v>162</v>
      </c>
      <c r="AR33" s="221" t="s">
        <v>162</v>
      </c>
      <c r="AS33" s="221" t="s">
        <v>162</v>
      </c>
      <c r="AT33" s="221" t="s">
        <v>162</v>
      </c>
      <c r="AU33" s="222" t="s">
        <v>162</v>
      </c>
    </row>
    <row r="34" spans="1:47" ht="13.8">
      <c r="A34" s="4035"/>
      <c r="B34" s="4034"/>
      <c r="C34" s="674" t="s">
        <v>63</v>
      </c>
      <c r="D34" s="675">
        <v>13.097</v>
      </c>
      <c r="E34" s="675"/>
      <c r="F34" s="675"/>
      <c r="G34" s="676">
        <v>-0.438</v>
      </c>
      <c r="H34" s="677">
        <f>+D34+G34+E34</f>
        <v>12.658999999999999</v>
      </c>
      <c r="I34" s="678">
        <f>+H34+K32</f>
        <v>25.307000000000002</v>
      </c>
      <c r="J34" s="678">
        <v>4.7880000000000003</v>
      </c>
      <c r="K34" s="679">
        <f t="shared" si="0"/>
        <v>20.519000000000002</v>
      </c>
      <c r="L34" s="429"/>
      <c r="M34" s="4003"/>
      <c r="N34" s="4034"/>
      <c r="O34" s="680" t="s">
        <v>63</v>
      </c>
      <c r="P34" s="681">
        <v>3.2959999999999998</v>
      </c>
      <c r="Q34" s="681"/>
      <c r="R34" s="681"/>
      <c r="S34" s="682">
        <v>-1.6080000000000001</v>
      </c>
      <c r="T34" s="683">
        <f>+P34+S34+Q34</f>
        <v>1.6879999999999997</v>
      </c>
      <c r="U34" s="684">
        <f>+T34+W32</f>
        <v>1.694</v>
      </c>
      <c r="V34" s="684"/>
      <c r="W34" s="685">
        <f>+U34-V34</f>
        <v>1.694</v>
      </c>
      <c r="X34" s="142"/>
      <c r="Y34" s="4003"/>
      <c r="Z34" s="4012"/>
      <c r="AA34" s="674" t="s">
        <v>63</v>
      </c>
      <c r="AB34" s="675">
        <v>5.8159999999999998</v>
      </c>
      <c r="AC34" s="675"/>
      <c r="AD34" s="675"/>
      <c r="AE34" s="676">
        <v>-0.37</v>
      </c>
      <c r="AF34" s="677">
        <f>+AB34+AE34+AC34</f>
        <v>5.4459999999999997</v>
      </c>
      <c r="AG34" s="686">
        <f>+AF34+AI32</f>
        <v>14.940999999999999</v>
      </c>
      <c r="AH34" s="686">
        <v>2.262</v>
      </c>
      <c r="AI34" s="688">
        <f>+AG34-AH34</f>
        <v>12.678999999999998</v>
      </c>
      <c r="AJ34" s="142"/>
      <c r="AK34" s="4003"/>
      <c r="AL34" s="4012"/>
      <c r="AM34" s="674" t="s">
        <v>63</v>
      </c>
      <c r="AN34" s="675">
        <v>15.351000000000001</v>
      </c>
      <c r="AO34" s="675"/>
      <c r="AP34" s="675"/>
      <c r="AQ34" s="676">
        <v>-0.183</v>
      </c>
      <c r="AR34" s="677">
        <f t="shared" si="1"/>
        <v>15.168000000000001</v>
      </c>
      <c r="AS34" s="678">
        <f>+AR34+AU32</f>
        <v>41.576999999999998</v>
      </c>
      <c r="AT34" s="678"/>
      <c r="AU34" s="679">
        <f>+AS34-AT34</f>
        <v>41.576999999999998</v>
      </c>
    </row>
    <row r="35" spans="1:47" ht="13.5" customHeight="1">
      <c r="A35" s="4016" t="s">
        <v>773</v>
      </c>
      <c r="B35" s="4019" t="s">
        <v>1086</v>
      </c>
      <c r="C35" s="673" t="s">
        <v>629</v>
      </c>
      <c r="D35" s="152">
        <v>10.625999999999999</v>
      </c>
      <c r="E35" s="152"/>
      <c r="F35" s="152"/>
      <c r="G35" s="421">
        <v>-0.64700000000000002</v>
      </c>
      <c r="H35" s="166">
        <f>+D35+G35+E35</f>
        <v>9.9789999999999992</v>
      </c>
      <c r="I35" s="469">
        <f>+H35</f>
        <v>9.9789999999999992</v>
      </c>
      <c r="J35" s="469">
        <v>2.2679999999999998</v>
      </c>
      <c r="K35" s="2525">
        <f>+I35-J35</f>
        <v>7.7109999999999994</v>
      </c>
      <c r="L35" s="142"/>
      <c r="M35" s="4031" t="s">
        <v>207</v>
      </c>
      <c r="N35" s="4004" t="s">
        <v>369</v>
      </c>
      <c r="O35" s="147" t="s">
        <v>629</v>
      </c>
      <c r="P35" s="148">
        <v>4.9320000000000004</v>
      </c>
      <c r="Q35" s="148"/>
      <c r="R35" s="148"/>
      <c r="S35" s="420">
        <v>-7.6870000000000003</v>
      </c>
      <c r="T35" s="163">
        <f>+P35+S35+Q35</f>
        <v>-2.7549999999999999</v>
      </c>
      <c r="U35" s="163">
        <f>+T35</f>
        <v>-2.7549999999999999</v>
      </c>
      <c r="V35" s="316"/>
      <c r="W35" s="164">
        <f>+U35-V35</f>
        <v>-2.7549999999999999</v>
      </c>
      <c r="X35" s="142"/>
      <c r="Y35" s="4002" t="s">
        <v>773</v>
      </c>
      <c r="Z35" s="4011" t="s">
        <v>359</v>
      </c>
      <c r="AA35" s="673" t="s">
        <v>629</v>
      </c>
      <c r="AB35" s="152">
        <v>37.01</v>
      </c>
      <c r="AC35" s="152"/>
      <c r="AD35" s="152"/>
      <c r="AE35" s="421">
        <v>-6.0590000000000002</v>
      </c>
      <c r="AF35" s="166">
        <f>+AB35+AE35</f>
        <v>30.950999999999997</v>
      </c>
      <c r="AG35" s="166">
        <f>+AF35</f>
        <v>30.950999999999997</v>
      </c>
      <c r="AH35" s="469">
        <v>20.494</v>
      </c>
      <c r="AI35" s="167">
        <f>+AG35-AH35</f>
        <v>10.456999999999997</v>
      </c>
      <c r="AJ35" s="142"/>
      <c r="AK35" s="4002" t="s">
        <v>773</v>
      </c>
      <c r="AL35" s="4011" t="s">
        <v>216</v>
      </c>
      <c r="AM35" s="673" t="s">
        <v>629</v>
      </c>
      <c r="AN35" s="152">
        <v>85.31</v>
      </c>
      <c r="AO35" s="152"/>
      <c r="AP35" s="152"/>
      <c r="AQ35" s="421">
        <v>-3.0960000000000001</v>
      </c>
      <c r="AR35" s="166">
        <f t="shared" si="1"/>
        <v>82.213999999999999</v>
      </c>
      <c r="AS35" s="166">
        <f>+AR35</f>
        <v>82.213999999999999</v>
      </c>
      <c r="AT35" s="469">
        <f>30.571+0.449+49.446</f>
        <v>80.466000000000008</v>
      </c>
      <c r="AU35" s="167">
        <f>+AS35-AT35</f>
        <v>1.7479999999999905</v>
      </c>
    </row>
    <row r="36" spans="1:47" ht="13.8">
      <c r="A36" s="4017"/>
      <c r="B36" s="4020"/>
      <c r="C36" s="219" t="s">
        <v>152</v>
      </c>
      <c r="D36" s="220" t="s">
        <v>162</v>
      </c>
      <c r="E36" s="220" t="s">
        <v>162</v>
      </c>
      <c r="F36" s="220" t="s">
        <v>162</v>
      </c>
      <c r="G36" s="220" t="s">
        <v>162</v>
      </c>
      <c r="H36" s="221" t="s">
        <v>162</v>
      </c>
      <c r="I36" s="221" t="s">
        <v>162</v>
      </c>
      <c r="J36" s="221" t="s">
        <v>162</v>
      </c>
      <c r="K36" s="222" t="s">
        <v>162</v>
      </c>
      <c r="L36" s="142"/>
      <c r="M36" s="4032"/>
      <c r="N36" s="4005"/>
      <c r="O36" s="219" t="s">
        <v>152</v>
      </c>
      <c r="P36" s="220" t="s">
        <v>162</v>
      </c>
      <c r="Q36" s="220" t="s">
        <v>162</v>
      </c>
      <c r="R36" s="220" t="s">
        <v>162</v>
      </c>
      <c r="S36" s="220" t="s">
        <v>162</v>
      </c>
      <c r="T36" s="221" t="s">
        <v>162</v>
      </c>
      <c r="U36" s="221" t="s">
        <v>162</v>
      </c>
      <c r="V36" s="221" t="s">
        <v>162</v>
      </c>
      <c r="W36" s="222" t="s">
        <v>162</v>
      </c>
      <c r="X36" s="142"/>
      <c r="Y36" s="4003"/>
      <c r="Z36" s="4005"/>
      <c r="AA36" s="219" t="s">
        <v>152</v>
      </c>
      <c r="AB36" s="220"/>
      <c r="AC36" s="220" t="s">
        <v>162</v>
      </c>
      <c r="AD36" s="220" t="s">
        <v>162</v>
      </c>
      <c r="AE36" s="220" t="s">
        <v>318</v>
      </c>
      <c r="AF36" s="221" t="s">
        <v>162</v>
      </c>
      <c r="AG36" s="221" t="s">
        <v>162</v>
      </c>
      <c r="AH36" s="221" t="s">
        <v>162</v>
      </c>
      <c r="AI36" s="222" t="s">
        <v>162</v>
      </c>
      <c r="AJ36" s="142"/>
      <c r="AK36" s="4003"/>
      <c r="AL36" s="4005"/>
      <c r="AM36" s="219" t="s">
        <v>152</v>
      </c>
      <c r="AN36" s="220" t="s">
        <v>162</v>
      </c>
      <c r="AO36" s="220" t="s">
        <v>162</v>
      </c>
      <c r="AP36" s="220" t="s">
        <v>162</v>
      </c>
      <c r="AQ36" s="220" t="s">
        <v>162</v>
      </c>
      <c r="AR36" s="221" t="s">
        <v>162</v>
      </c>
      <c r="AS36" s="221" t="s">
        <v>162</v>
      </c>
      <c r="AT36" s="221" t="s">
        <v>162</v>
      </c>
      <c r="AU36" s="222" t="s">
        <v>162</v>
      </c>
    </row>
    <row r="37" spans="1:47" ht="13.8">
      <c r="A37" s="4018"/>
      <c r="B37" s="4021"/>
      <c r="C37" s="674" t="s">
        <v>63</v>
      </c>
      <c r="D37" s="2526">
        <v>6.1050000000000004</v>
      </c>
      <c r="E37" s="2526"/>
      <c r="F37" s="2526"/>
      <c r="G37" s="2527">
        <v>-0.38</v>
      </c>
      <c r="H37" s="2528">
        <f>+D37+G37+E37</f>
        <v>5.7250000000000005</v>
      </c>
      <c r="I37" s="2529">
        <f>+H37+K35</f>
        <v>13.436</v>
      </c>
      <c r="J37" s="2529">
        <v>0</v>
      </c>
      <c r="K37" s="2530">
        <f>+I37-J37</f>
        <v>13.436</v>
      </c>
      <c r="L37" s="142"/>
      <c r="M37" s="4033"/>
      <c r="N37" s="4012"/>
      <c r="O37" s="674" t="s">
        <v>63</v>
      </c>
      <c r="P37" s="675">
        <v>2.8330000000000002</v>
      </c>
      <c r="Q37" s="675"/>
      <c r="R37" s="675"/>
      <c r="S37" s="676">
        <v>-4.5149999999999997</v>
      </c>
      <c r="T37" s="677">
        <f>+P37+S37+Q37</f>
        <v>-1.6819999999999995</v>
      </c>
      <c r="U37" s="678">
        <f>+T37+W35</f>
        <v>-4.4369999999999994</v>
      </c>
      <c r="V37" s="678"/>
      <c r="W37" s="679">
        <f>+U37-V37</f>
        <v>-4.4369999999999994</v>
      </c>
      <c r="X37" s="142"/>
      <c r="Y37" s="4003"/>
      <c r="Z37" s="4005"/>
      <c r="AA37" s="151" t="s">
        <v>63</v>
      </c>
      <c r="AB37" s="149">
        <v>21.263000000000002</v>
      </c>
      <c r="AC37" s="149"/>
      <c r="AD37" s="149"/>
      <c r="AE37" s="419">
        <v>-3.5579999999999998</v>
      </c>
      <c r="AF37" s="165">
        <f>+AB37+AE37+AC37</f>
        <v>17.705000000000002</v>
      </c>
      <c r="AG37" s="397">
        <f>+AF37+AI35</f>
        <v>28.161999999999999</v>
      </c>
      <c r="AH37" s="397">
        <f>0.248+26.331</f>
        <v>26.579000000000001</v>
      </c>
      <c r="AI37" s="398">
        <f>+AG37-AH37</f>
        <v>1.5829999999999984</v>
      </c>
      <c r="AJ37" s="142"/>
      <c r="AK37" s="4003"/>
      <c r="AL37" s="4005"/>
      <c r="AM37" s="151" t="s">
        <v>63</v>
      </c>
      <c r="AN37" s="149">
        <v>49.011000000000003</v>
      </c>
      <c r="AO37" s="149"/>
      <c r="AP37" s="149"/>
      <c r="AQ37" s="419">
        <v>-1.8180000000000001</v>
      </c>
      <c r="AR37" s="165">
        <f t="shared" si="1"/>
        <v>47.193000000000005</v>
      </c>
      <c r="AS37" s="397">
        <f>+AR37+AU35</f>
        <v>48.940999999999995</v>
      </c>
      <c r="AT37" s="397">
        <v>1.861</v>
      </c>
      <c r="AU37" s="398">
        <f>+AS37-AT37</f>
        <v>47.08</v>
      </c>
    </row>
    <row r="38" spans="1:47" ht="13.5" customHeight="1">
      <c r="A38" s="4016" t="s">
        <v>773</v>
      </c>
      <c r="B38" s="4019" t="s">
        <v>1087</v>
      </c>
      <c r="C38" s="147" t="s">
        <v>629</v>
      </c>
      <c r="D38" s="148">
        <v>22.245000000000001</v>
      </c>
      <c r="E38" s="148"/>
      <c r="F38" s="148"/>
      <c r="G38" s="420">
        <v>-0.89</v>
      </c>
      <c r="H38" s="163">
        <f>+D38+G38+E38</f>
        <v>21.355</v>
      </c>
      <c r="I38" s="316">
        <f>+H38</f>
        <v>21.355</v>
      </c>
      <c r="J38" s="316">
        <v>4.3920000000000003</v>
      </c>
      <c r="K38" s="317">
        <f>+I38-J38</f>
        <v>16.963000000000001</v>
      </c>
      <c r="L38" s="142"/>
      <c r="M38" s="4043" t="s">
        <v>453</v>
      </c>
      <c r="N38" s="4011" t="s">
        <v>373</v>
      </c>
      <c r="O38" s="673" t="s">
        <v>629</v>
      </c>
      <c r="P38" s="152">
        <v>57.610999999999997</v>
      </c>
      <c r="Q38" s="152"/>
      <c r="R38" s="152"/>
      <c r="S38" s="421">
        <v>-2.6219999999999999</v>
      </c>
      <c r="T38" s="166">
        <f>+P38+S38+Q38</f>
        <v>54.988999999999997</v>
      </c>
      <c r="U38" s="166">
        <f>+T38</f>
        <v>54.988999999999997</v>
      </c>
      <c r="V38" s="469">
        <v>14.654</v>
      </c>
      <c r="W38" s="167">
        <f>+U38-V38</f>
        <v>40.334999999999994</v>
      </c>
      <c r="X38" s="142"/>
      <c r="Y38" s="4002" t="s">
        <v>773</v>
      </c>
      <c r="Z38" s="4024" t="s">
        <v>360</v>
      </c>
      <c r="AA38" s="147" t="s">
        <v>629</v>
      </c>
      <c r="AB38" s="148">
        <v>8.8330000000000002</v>
      </c>
      <c r="AC38" s="148"/>
      <c r="AD38" s="148"/>
      <c r="AE38" s="420">
        <v>-21.314</v>
      </c>
      <c r="AF38" s="163">
        <f>+AB38+AE38+AC38</f>
        <v>-12.481</v>
      </c>
      <c r="AG38" s="163">
        <f>+AF38</f>
        <v>-12.481</v>
      </c>
      <c r="AH38" s="316"/>
      <c r="AI38" s="164">
        <f>+AG38-AH38</f>
        <v>-12.481</v>
      </c>
      <c r="AJ38" s="142"/>
      <c r="AK38" s="4002" t="s">
        <v>773</v>
      </c>
      <c r="AL38" s="4004" t="s">
        <v>368</v>
      </c>
      <c r="AM38" s="147" t="s">
        <v>629</v>
      </c>
      <c r="AN38" s="148">
        <v>10.061</v>
      </c>
      <c r="AO38" s="148"/>
      <c r="AP38" s="148"/>
      <c r="AQ38" s="420">
        <v>-25.245000000000001</v>
      </c>
      <c r="AR38" s="163">
        <f t="shared" si="1"/>
        <v>-15.184000000000001</v>
      </c>
      <c r="AS38" s="163">
        <f>+AR38</f>
        <v>-15.184000000000001</v>
      </c>
      <c r="AT38" s="316"/>
      <c r="AU38" s="164">
        <f>+AS38-AT38</f>
        <v>-15.184000000000001</v>
      </c>
    </row>
    <row r="39" spans="1:47" ht="13.8">
      <c r="A39" s="4017"/>
      <c r="B39" s="4020"/>
      <c r="C39" s="219" t="s">
        <v>152</v>
      </c>
      <c r="D39" s="220" t="s">
        <v>162</v>
      </c>
      <c r="E39" s="220" t="s">
        <v>162</v>
      </c>
      <c r="F39" s="220" t="s">
        <v>162</v>
      </c>
      <c r="G39" s="220" t="s">
        <v>162</v>
      </c>
      <c r="H39" s="221" t="s">
        <v>162</v>
      </c>
      <c r="I39" s="221" t="s">
        <v>162</v>
      </c>
      <c r="J39" s="221" t="s">
        <v>162</v>
      </c>
      <c r="K39" s="222" t="s">
        <v>162</v>
      </c>
      <c r="L39" s="142"/>
      <c r="M39" s="4042"/>
      <c r="N39" s="4005"/>
      <c r="O39" s="219" t="s">
        <v>152</v>
      </c>
      <c r="P39" s="220" t="s">
        <v>162</v>
      </c>
      <c r="Q39" s="220" t="s">
        <v>162</v>
      </c>
      <c r="R39" s="220" t="s">
        <v>162</v>
      </c>
      <c r="S39" s="220" t="s">
        <v>162</v>
      </c>
      <c r="T39" s="221" t="s">
        <v>162</v>
      </c>
      <c r="U39" s="221" t="s">
        <v>162</v>
      </c>
      <c r="V39" s="221" t="s">
        <v>162</v>
      </c>
      <c r="W39" s="222" t="s">
        <v>162</v>
      </c>
      <c r="X39" s="142"/>
      <c r="Y39" s="4003"/>
      <c r="Z39" s="4025"/>
      <c r="AA39" s="219" t="s">
        <v>152</v>
      </c>
      <c r="AB39" s="220"/>
      <c r="AC39" s="220" t="s">
        <v>162</v>
      </c>
      <c r="AD39" s="220" t="s">
        <v>162</v>
      </c>
      <c r="AE39" s="220" t="s">
        <v>630</v>
      </c>
      <c r="AF39" s="221" t="s">
        <v>162</v>
      </c>
      <c r="AG39" s="221" t="s">
        <v>162</v>
      </c>
      <c r="AH39" s="221" t="s">
        <v>162</v>
      </c>
      <c r="AI39" s="222" t="s">
        <v>162</v>
      </c>
      <c r="AJ39" s="142"/>
      <c r="AK39" s="4003"/>
      <c r="AL39" s="4005"/>
      <c r="AM39" s="219" t="s">
        <v>152</v>
      </c>
      <c r="AN39" s="220" t="s">
        <v>162</v>
      </c>
      <c r="AO39" s="220" t="s">
        <v>162</v>
      </c>
      <c r="AP39" s="220" t="s">
        <v>162</v>
      </c>
      <c r="AQ39" s="220" t="s">
        <v>162</v>
      </c>
      <c r="AR39" s="221" t="s">
        <v>162</v>
      </c>
      <c r="AS39" s="221" t="s">
        <v>162</v>
      </c>
      <c r="AT39" s="221" t="s">
        <v>162</v>
      </c>
      <c r="AU39" s="222" t="s">
        <v>162</v>
      </c>
    </row>
    <row r="40" spans="1:47" ht="13.8">
      <c r="A40" s="4018"/>
      <c r="B40" s="4021"/>
      <c r="C40" s="674" t="s">
        <v>63</v>
      </c>
      <c r="D40" s="2526">
        <v>12.78</v>
      </c>
      <c r="E40" s="2526"/>
      <c r="F40" s="2526"/>
      <c r="G40" s="2527">
        <v>-0.52300000000000002</v>
      </c>
      <c r="H40" s="2528">
        <f>+D40+G40+E40</f>
        <v>12.257</v>
      </c>
      <c r="I40" s="2529">
        <f>+H40+K38</f>
        <v>29.22</v>
      </c>
      <c r="J40" s="2529">
        <v>5.1520000000000001</v>
      </c>
      <c r="K40" s="2530">
        <f>+I40-J40</f>
        <v>24.067999999999998</v>
      </c>
      <c r="L40" s="142"/>
      <c r="M40" s="4042"/>
      <c r="N40" s="4005"/>
      <c r="O40" s="151" t="s">
        <v>63</v>
      </c>
      <c r="P40" s="149">
        <v>33.097999999999999</v>
      </c>
      <c r="Q40" s="149"/>
      <c r="R40" s="149"/>
      <c r="S40" s="419">
        <v>-1.54</v>
      </c>
      <c r="T40" s="165">
        <f>+P40+S40+Q40</f>
        <v>31.558</v>
      </c>
      <c r="U40" s="397">
        <f>+T40+W38</f>
        <v>71.893000000000001</v>
      </c>
      <c r="V40" s="397">
        <v>22.553000000000001</v>
      </c>
      <c r="W40" s="398">
        <f>+U40-V40</f>
        <v>49.34</v>
      </c>
      <c r="X40" s="142"/>
      <c r="Y40" s="4003"/>
      <c r="Z40" s="4025"/>
      <c r="AA40" s="151" t="s">
        <v>63</v>
      </c>
      <c r="AB40" s="149">
        <v>5.0739999999999998</v>
      </c>
      <c r="AC40" s="149"/>
      <c r="AD40" s="149"/>
      <c r="AE40" s="419">
        <v>-12.518000000000001</v>
      </c>
      <c r="AF40" s="165">
        <f>+AB40+AE40+AC40</f>
        <v>-7.4440000000000008</v>
      </c>
      <c r="AG40" s="397">
        <f>+AF40+AI38</f>
        <v>-19.925000000000001</v>
      </c>
      <c r="AH40" s="397"/>
      <c r="AI40" s="398">
        <f>+AG40-AH40</f>
        <v>-19.925000000000001</v>
      </c>
      <c r="AJ40" s="142"/>
      <c r="AK40" s="4003"/>
      <c r="AL40" s="4005"/>
      <c r="AM40" s="151" t="s">
        <v>63</v>
      </c>
      <c r="AN40" s="149">
        <v>5.78</v>
      </c>
      <c r="AO40" s="149"/>
      <c r="AP40" s="149"/>
      <c r="AQ40" s="419">
        <v>-14.827</v>
      </c>
      <c r="AR40" s="165">
        <f t="shared" si="1"/>
        <v>-9.0470000000000006</v>
      </c>
      <c r="AS40" s="397">
        <f>+AR40+AU38</f>
        <v>-24.231000000000002</v>
      </c>
      <c r="AT40" s="397"/>
      <c r="AU40" s="398">
        <f>+AS40-AT40</f>
        <v>-24.231000000000002</v>
      </c>
    </row>
    <row r="41" spans="1:47" ht="13.8">
      <c r="A41" s="4016" t="s">
        <v>773</v>
      </c>
      <c r="B41" s="3679"/>
      <c r="C41" s="673" t="s">
        <v>629</v>
      </c>
      <c r="D41" s="152">
        <v>11.446</v>
      </c>
      <c r="E41" s="152"/>
      <c r="F41" s="152"/>
      <c r="G41" s="421">
        <v>-2</v>
      </c>
      <c r="H41" s="166">
        <f>+D41+G41+E41</f>
        <v>9.4459999999999997</v>
      </c>
      <c r="I41" s="469">
        <f>+H41</f>
        <v>9.4459999999999997</v>
      </c>
      <c r="J41" s="469">
        <v>5.7629999999999999</v>
      </c>
      <c r="K41" s="2525">
        <f>+I41-J41</f>
        <v>3.6829999999999998</v>
      </c>
      <c r="L41" s="142"/>
      <c r="M41" s="4027" t="s">
        <v>453</v>
      </c>
      <c r="N41" s="4004" t="s">
        <v>374</v>
      </c>
      <c r="O41" s="147" t="s">
        <v>629</v>
      </c>
      <c r="P41" s="148">
        <v>38.401000000000003</v>
      </c>
      <c r="Q41" s="148"/>
      <c r="R41" s="148"/>
      <c r="S41" s="420">
        <v>-0.63700000000000001</v>
      </c>
      <c r="T41" s="163">
        <f>+P41+S41+Q41</f>
        <v>37.764000000000003</v>
      </c>
      <c r="U41" s="163">
        <f>+T41</f>
        <v>37.764000000000003</v>
      </c>
      <c r="V41" s="316">
        <v>1.113</v>
      </c>
      <c r="W41" s="164">
        <f>+U41-V41</f>
        <v>36.651000000000003</v>
      </c>
      <c r="X41" s="142"/>
      <c r="Y41" s="4040" t="s">
        <v>207</v>
      </c>
      <c r="Z41" s="4004" t="s">
        <v>370</v>
      </c>
      <c r="AA41" s="147" t="s">
        <v>629</v>
      </c>
      <c r="AB41" s="148">
        <v>4.0730000000000004</v>
      </c>
      <c r="AC41" s="148"/>
      <c r="AD41" s="148"/>
      <c r="AE41" s="420">
        <v>0</v>
      </c>
      <c r="AF41" s="163">
        <f>+AB41+AE41+AC41</f>
        <v>4.0730000000000004</v>
      </c>
      <c r="AG41" s="163">
        <f>+AF41</f>
        <v>4.0730000000000004</v>
      </c>
      <c r="AH41" s="316">
        <v>0</v>
      </c>
      <c r="AI41" s="164">
        <f>+AG41-AH41</f>
        <v>4.0730000000000004</v>
      </c>
      <c r="AJ41" s="316"/>
      <c r="AK41" s="4022" t="s">
        <v>213</v>
      </c>
      <c r="AL41" s="4004" t="s">
        <v>215</v>
      </c>
      <c r="AM41" s="147" t="s">
        <v>629</v>
      </c>
      <c r="AN41" s="148">
        <v>22.774000000000001</v>
      </c>
      <c r="AO41" s="148"/>
      <c r="AP41" s="148"/>
      <c r="AQ41" s="420">
        <v>-3.214</v>
      </c>
      <c r="AR41" s="163">
        <f t="shared" si="1"/>
        <v>19.560000000000002</v>
      </c>
      <c r="AS41" s="163">
        <f>+AR41</f>
        <v>19.560000000000002</v>
      </c>
      <c r="AT41" s="316">
        <f>10.145+0.997</f>
        <v>11.141999999999999</v>
      </c>
      <c r="AU41" s="164">
        <f>+AS41-AT41</f>
        <v>8.4180000000000028</v>
      </c>
    </row>
    <row r="42" spans="1:47" ht="13.8">
      <c r="A42" s="4017"/>
      <c r="B42" s="3679" t="s">
        <v>1088</v>
      </c>
      <c r="C42" s="219" t="s">
        <v>152</v>
      </c>
      <c r="D42" s="220" t="s">
        <v>162</v>
      </c>
      <c r="E42" s="220" t="s">
        <v>162</v>
      </c>
      <c r="F42" s="220" t="s">
        <v>162</v>
      </c>
      <c r="G42" s="220" t="s">
        <v>162</v>
      </c>
      <c r="H42" s="221" t="s">
        <v>162</v>
      </c>
      <c r="I42" s="221" t="s">
        <v>162</v>
      </c>
      <c r="J42" s="221" t="s">
        <v>162</v>
      </c>
      <c r="K42" s="222" t="s">
        <v>162</v>
      </c>
      <c r="L42" s="142"/>
      <c r="M42" s="4028"/>
      <c r="N42" s="4005"/>
      <c r="O42" s="219" t="s">
        <v>152</v>
      </c>
      <c r="P42" s="220" t="s">
        <v>162</v>
      </c>
      <c r="Q42" s="220" t="s">
        <v>162</v>
      </c>
      <c r="R42" s="220" t="s">
        <v>162</v>
      </c>
      <c r="S42" s="220" t="s">
        <v>162</v>
      </c>
      <c r="T42" s="221" t="s">
        <v>162</v>
      </c>
      <c r="U42" s="221" t="s">
        <v>162</v>
      </c>
      <c r="V42" s="221" t="s">
        <v>162</v>
      </c>
      <c r="W42" s="222" t="s">
        <v>162</v>
      </c>
      <c r="X42" s="142"/>
      <c r="Y42" s="4032"/>
      <c r="Z42" s="4005"/>
      <c r="AA42" s="219" t="s">
        <v>152</v>
      </c>
      <c r="AB42" s="220"/>
      <c r="AC42" s="220" t="s">
        <v>162</v>
      </c>
      <c r="AD42" s="220" t="s">
        <v>162</v>
      </c>
      <c r="AE42" s="220" t="s">
        <v>318</v>
      </c>
      <c r="AF42" s="221" t="s">
        <v>162</v>
      </c>
      <c r="AG42" s="221" t="s">
        <v>162</v>
      </c>
      <c r="AH42" s="221" t="s">
        <v>162</v>
      </c>
      <c r="AI42" s="222" t="s">
        <v>162</v>
      </c>
      <c r="AJ42" s="142"/>
      <c r="AK42" s="4023"/>
      <c r="AL42" s="4005"/>
      <c r="AM42" s="219" t="s">
        <v>152</v>
      </c>
      <c r="AN42" s="220" t="s">
        <v>162</v>
      </c>
      <c r="AO42" s="220" t="s">
        <v>162</v>
      </c>
      <c r="AP42" s="220" t="s">
        <v>162</v>
      </c>
      <c r="AQ42" s="220" t="s">
        <v>162</v>
      </c>
      <c r="AR42" s="221" t="s">
        <v>162</v>
      </c>
      <c r="AS42" s="221" t="s">
        <v>162</v>
      </c>
      <c r="AT42" s="221" t="s">
        <v>162</v>
      </c>
      <c r="AU42" s="222" t="s">
        <v>162</v>
      </c>
    </row>
    <row r="43" spans="1:47" ht="13.8">
      <c r="A43" s="4018"/>
      <c r="B43" s="3679"/>
      <c r="C43" s="680" t="s">
        <v>63</v>
      </c>
      <c r="D43" s="2526">
        <v>6.5759999999999996</v>
      </c>
      <c r="E43" s="2526"/>
      <c r="F43" s="2526"/>
      <c r="G43" s="2527">
        <v>-1.1739999999999999</v>
      </c>
      <c r="H43" s="2528">
        <f>+D43+G43+E43</f>
        <v>5.4019999999999992</v>
      </c>
      <c r="I43" s="2529">
        <f>+H43+K41</f>
        <v>9.0849999999999991</v>
      </c>
      <c r="J43" s="2529">
        <v>0</v>
      </c>
      <c r="K43" s="2530">
        <f>+I43-J43</f>
        <v>9.0849999999999991</v>
      </c>
      <c r="L43" s="142"/>
      <c r="M43" s="4028"/>
      <c r="N43" s="4005"/>
      <c r="O43" s="151" t="s">
        <v>63</v>
      </c>
      <c r="P43" s="149">
        <v>22.062000000000001</v>
      </c>
      <c r="Q43" s="149"/>
      <c r="R43" s="149"/>
      <c r="S43" s="419">
        <v>-0.374</v>
      </c>
      <c r="T43" s="165">
        <f>+P43+S43+Q43</f>
        <v>21.688000000000002</v>
      </c>
      <c r="U43" s="397">
        <f>+T43+W41</f>
        <v>58.339000000000006</v>
      </c>
      <c r="V43" s="397">
        <v>3.5190000000000001</v>
      </c>
      <c r="W43" s="398">
        <f>+U43-V43</f>
        <v>54.820000000000007</v>
      </c>
      <c r="X43" s="142"/>
      <c r="Y43" s="4032"/>
      <c r="Z43" s="4005"/>
      <c r="AA43" s="151" t="s">
        <v>63</v>
      </c>
      <c r="AB43" s="149">
        <v>2.34</v>
      </c>
      <c r="AC43" s="149"/>
      <c r="AD43" s="149"/>
      <c r="AE43" s="419">
        <v>0</v>
      </c>
      <c r="AF43" s="165">
        <f>+AB43+AE43+AC43</f>
        <v>2.34</v>
      </c>
      <c r="AG43" s="397">
        <f>+AF43+AI41</f>
        <v>6.4130000000000003</v>
      </c>
      <c r="AH43" s="397">
        <v>4.181</v>
      </c>
      <c r="AI43" s="398">
        <f>+AG43-AH43</f>
        <v>2.2320000000000002</v>
      </c>
      <c r="AJ43" s="142"/>
      <c r="AK43" s="4023"/>
      <c r="AL43" s="4005"/>
      <c r="AM43" s="151" t="s">
        <v>63</v>
      </c>
      <c r="AN43" s="149">
        <v>13.084</v>
      </c>
      <c r="AO43" s="149"/>
      <c r="AP43" s="149"/>
      <c r="AQ43" s="419">
        <v>-1.8879999999999999</v>
      </c>
      <c r="AR43" s="165">
        <f t="shared" si="1"/>
        <v>11.196</v>
      </c>
      <c r="AS43" s="397">
        <f>+AR43+AU41</f>
        <v>19.614000000000004</v>
      </c>
      <c r="AT43" s="397"/>
      <c r="AU43" s="398">
        <f>+AS43-AT43</f>
        <v>19.614000000000004</v>
      </c>
    </row>
    <row r="44" spans="1:47" ht="13.5" customHeight="1">
      <c r="A44" s="4002" t="s">
        <v>773</v>
      </c>
      <c r="B44" s="4004" t="s">
        <v>348</v>
      </c>
      <c r="C44" s="147" t="s">
        <v>629</v>
      </c>
      <c r="D44" s="148">
        <v>23.65</v>
      </c>
      <c r="E44" s="148"/>
      <c r="F44" s="148"/>
      <c r="G44" s="148">
        <v>0</v>
      </c>
      <c r="H44" s="163">
        <f>+D44+G44+E44</f>
        <v>23.65</v>
      </c>
      <c r="I44" s="163">
        <f>+H44</f>
        <v>23.65</v>
      </c>
      <c r="J44" s="316">
        <f>7.532+17.639</f>
        <v>25.170999999999999</v>
      </c>
      <c r="K44" s="164">
        <f>+I44-J44</f>
        <v>-1.5210000000000008</v>
      </c>
      <c r="L44" s="142"/>
      <c r="M44" s="4027" t="s">
        <v>453</v>
      </c>
      <c r="N44" s="4004" t="s">
        <v>375</v>
      </c>
      <c r="O44" s="147" t="s">
        <v>629</v>
      </c>
      <c r="P44" s="148">
        <v>71.135999999999996</v>
      </c>
      <c r="Q44" s="148"/>
      <c r="R44" s="148"/>
      <c r="S44" s="420">
        <v>-0.25</v>
      </c>
      <c r="T44" s="163">
        <f>+P44+S44+Q44</f>
        <v>70.885999999999996</v>
      </c>
      <c r="U44" s="163">
        <f>+T44</f>
        <v>70.885999999999996</v>
      </c>
      <c r="V44" s="316">
        <v>0.95899999999999996</v>
      </c>
      <c r="W44" s="164">
        <f>+U44-V44</f>
        <v>69.926999999999992</v>
      </c>
      <c r="X44" s="142"/>
      <c r="Y44" s="4041" t="s">
        <v>371</v>
      </c>
      <c r="Z44" s="4004" t="s">
        <v>376</v>
      </c>
      <c r="AA44" s="147" t="s">
        <v>629</v>
      </c>
      <c r="AB44" s="148">
        <v>109.81100000000001</v>
      </c>
      <c r="AC44" s="148"/>
      <c r="AD44" s="148"/>
      <c r="AE44" s="420">
        <v>-6.633</v>
      </c>
      <c r="AF44" s="163">
        <f>+AB44+AE44+AC44</f>
        <v>103.17800000000001</v>
      </c>
      <c r="AG44" s="163">
        <f>+AF44</f>
        <v>103.17800000000001</v>
      </c>
      <c r="AH44" s="316">
        <v>35.926000000000002</v>
      </c>
      <c r="AI44" s="164">
        <f>+AG44-AH44</f>
        <v>67.25200000000001</v>
      </c>
      <c r="AJ44" s="142"/>
      <c r="AK44" s="4022" t="s">
        <v>213</v>
      </c>
      <c r="AL44" s="4004" t="s">
        <v>384</v>
      </c>
      <c r="AM44" s="147" t="s">
        <v>629</v>
      </c>
      <c r="AN44" s="148">
        <v>45.113999999999997</v>
      </c>
      <c r="AO44" s="148"/>
      <c r="AP44" s="148"/>
      <c r="AQ44" s="420">
        <v>-9.8420000000000005</v>
      </c>
      <c r="AR44" s="163">
        <f t="shared" si="1"/>
        <v>35.271999999999998</v>
      </c>
      <c r="AS44" s="163">
        <f>+AR44</f>
        <v>35.271999999999998</v>
      </c>
      <c r="AT44" s="316">
        <f>1.111+24.457</f>
        <v>25.568000000000001</v>
      </c>
      <c r="AU44" s="164">
        <f>+AS44-AT44</f>
        <v>9.7039999999999971</v>
      </c>
    </row>
    <row r="45" spans="1:47" ht="13.8">
      <c r="A45" s="4003"/>
      <c r="B45" s="4005"/>
      <c r="C45" s="219" t="s">
        <v>152</v>
      </c>
      <c r="D45" s="220" t="s">
        <v>162</v>
      </c>
      <c r="E45" s="220" t="s">
        <v>162</v>
      </c>
      <c r="F45" s="220" t="s">
        <v>162</v>
      </c>
      <c r="G45" s="220" t="s">
        <v>162</v>
      </c>
      <c r="H45" s="221" t="s">
        <v>162</v>
      </c>
      <c r="I45" s="221" t="s">
        <v>162</v>
      </c>
      <c r="J45" s="221" t="s">
        <v>162</v>
      </c>
      <c r="K45" s="222" t="s">
        <v>162</v>
      </c>
      <c r="L45" s="142"/>
      <c r="M45" s="4028"/>
      <c r="N45" s="4005"/>
      <c r="O45" s="219" t="s">
        <v>152</v>
      </c>
      <c r="P45" s="220" t="s">
        <v>162</v>
      </c>
      <c r="Q45" s="220" t="s">
        <v>162</v>
      </c>
      <c r="R45" s="220" t="s">
        <v>162</v>
      </c>
      <c r="S45" s="220" t="s">
        <v>162</v>
      </c>
      <c r="T45" s="221" t="s">
        <v>162</v>
      </c>
      <c r="U45" s="221" t="s">
        <v>162</v>
      </c>
      <c r="V45" s="221" t="s">
        <v>162</v>
      </c>
      <c r="W45" s="222" t="s">
        <v>162</v>
      </c>
      <c r="X45" s="142"/>
      <c r="Y45" s="4042"/>
      <c r="Z45" s="4005"/>
      <c r="AA45" s="219" t="s">
        <v>152</v>
      </c>
      <c r="AB45" s="220"/>
      <c r="AC45" s="220" t="s">
        <v>162</v>
      </c>
      <c r="AD45" s="220" t="s">
        <v>162</v>
      </c>
      <c r="AE45" s="220" t="s">
        <v>318</v>
      </c>
      <c r="AF45" s="221" t="s">
        <v>162</v>
      </c>
      <c r="AG45" s="221" t="s">
        <v>162</v>
      </c>
      <c r="AH45" s="221" t="s">
        <v>162</v>
      </c>
      <c r="AI45" s="222" t="s">
        <v>162</v>
      </c>
      <c r="AJ45" s="142"/>
      <c r="AK45" s="4023"/>
      <c r="AL45" s="4005"/>
      <c r="AM45" s="219" t="s">
        <v>152</v>
      </c>
      <c r="AN45" s="220" t="s">
        <v>162</v>
      </c>
      <c r="AO45" s="220" t="s">
        <v>162</v>
      </c>
      <c r="AP45" s="220" t="s">
        <v>162</v>
      </c>
      <c r="AQ45" s="220" t="s">
        <v>162</v>
      </c>
      <c r="AR45" s="221" t="s">
        <v>162</v>
      </c>
      <c r="AS45" s="221" t="s">
        <v>162</v>
      </c>
      <c r="AT45" s="221" t="s">
        <v>162</v>
      </c>
      <c r="AU45" s="222" t="s">
        <v>162</v>
      </c>
    </row>
    <row r="46" spans="1:47" ht="13.8">
      <c r="A46" s="4003"/>
      <c r="B46" s="4005"/>
      <c r="C46" s="151" t="s">
        <v>63</v>
      </c>
      <c r="D46" s="149">
        <v>13.587</v>
      </c>
      <c r="E46" s="149"/>
      <c r="F46" s="149"/>
      <c r="G46" s="149">
        <v>0</v>
      </c>
      <c r="H46" s="165">
        <f>+D46+G46+E46</f>
        <v>13.587</v>
      </c>
      <c r="I46" s="397">
        <f>+H46+K44</f>
        <v>12.065999999999999</v>
      </c>
      <c r="J46" s="397"/>
      <c r="K46" s="398">
        <f>+I46-J46</f>
        <v>12.065999999999999</v>
      </c>
      <c r="L46" s="142"/>
      <c r="M46" s="4029"/>
      <c r="N46" s="4012"/>
      <c r="O46" s="674" t="s">
        <v>63</v>
      </c>
      <c r="P46" s="675">
        <v>40.868000000000002</v>
      </c>
      <c r="Q46" s="675"/>
      <c r="R46" s="675"/>
      <c r="S46" s="676">
        <v>-0.14699999999999999</v>
      </c>
      <c r="T46" s="677">
        <f>+P46+S46+Q46</f>
        <v>40.721000000000004</v>
      </c>
      <c r="U46" s="686">
        <f>+T46+W44</f>
        <v>110.648</v>
      </c>
      <c r="V46" s="678">
        <f>36.884+34.984+5.985</f>
        <v>77.852999999999994</v>
      </c>
      <c r="W46" s="687">
        <f>+U46-V46</f>
        <v>32.795000000000002</v>
      </c>
      <c r="X46" s="142"/>
      <c r="Y46" s="4042"/>
      <c r="Z46" s="4005"/>
      <c r="AA46" s="151" t="s">
        <v>63</v>
      </c>
      <c r="AB46" s="149">
        <v>63.087000000000003</v>
      </c>
      <c r="AC46" s="149"/>
      <c r="AD46" s="149"/>
      <c r="AE46" s="419">
        <v>-3.8959999999999999</v>
      </c>
      <c r="AF46" s="165">
        <f>+AB46+AE46+AC46</f>
        <v>59.191000000000003</v>
      </c>
      <c r="AG46" s="397">
        <f>+AF46+AI44</f>
        <v>126.44300000000001</v>
      </c>
      <c r="AH46" s="397">
        <v>74.44</v>
      </c>
      <c r="AI46" s="398">
        <f>+AG46-AH46</f>
        <v>52.003000000000014</v>
      </c>
      <c r="AJ46" s="142"/>
      <c r="AK46" s="4030"/>
      <c r="AL46" s="4012"/>
      <c r="AM46" s="674" t="s">
        <v>63</v>
      </c>
      <c r="AN46" s="675">
        <v>25.917999999999999</v>
      </c>
      <c r="AO46" s="675"/>
      <c r="AP46" s="675"/>
      <c r="AQ46" s="676">
        <v>-5.78</v>
      </c>
      <c r="AR46" s="677">
        <f t="shared" si="1"/>
        <v>20.137999999999998</v>
      </c>
      <c r="AS46" s="678">
        <f>+AR46+AU44</f>
        <v>29.841999999999995</v>
      </c>
      <c r="AT46" s="678">
        <f>3.077+26.235</f>
        <v>29.311999999999998</v>
      </c>
      <c r="AU46" s="679">
        <f>+AS46-AT46</f>
        <v>0.52999999999999758</v>
      </c>
    </row>
    <row r="47" spans="1:47" ht="13.5" customHeight="1">
      <c r="A47" s="4002" t="s">
        <v>773</v>
      </c>
      <c r="B47" s="4024" t="s">
        <v>349</v>
      </c>
      <c r="C47" s="147" t="s">
        <v>629</v>
      </c>
      <c r="D47" s="148">
        <v>3.2280000000000002</v>
      </c>
      <c r="E47" s="148"/>
      <c r="F47" s="148"/>
      <c r="G47" s="420">
        <v>-4.2699999999999996</v>
      </c>
      <c r="H47" s="163">
        <f>+D47+G47+E47</f>
        <v>-1.0419999999999994</v>
      </c>
      <c r="I47" s="163">
        <f>+H47</f>
        <v>-1.0419999999999994</v>
      </c>
      <c r="J47" s="316">
        <v>0</v>
      </c>
      <c r="K47" s="164">
        <f>+I47-J47</f>
        <v>-1.0419999999999994</v>
      </c>
      <c r="L47" s="142"/>
      <c r="M47" s="4013" t="s">
        <v>213</v>
      </c>
      <c r="N47" s="4004" t="s">
        <v>275</v>
      </c>
      <c r="O47" s="147" t="s">
        <v>629</v>
      </c>
      <c r="P47" s="148">
        <v>25.074000000000002</v>
      </c>
      <c r="Q47" s="148"/>
      <c r="R47" s="148"/>
      <c r="S47" s="424">
        <v>-6.0999999999999999E-2</v>
      </c>
      <c r="T47" s="163">
        <f>+P47+S47+Q47</f>
        <v>25.013000000000002</v>
      </c>
      <c r="U47" s="163">
        <f>+T47</f>
        <v>25.013000000000002</v>
      </c>
      <c r="V47" s="316">
        <v>14.44</v>
      </c>
      <c r="W47" s="164">
        <f>+U47-V47</f>
        <v>10.573000000000002</v>
      </c>
      <c r="X47" s="142"/>
      <c r="Y47" s="4013" t="s">
        <v>213</v>
      </c>
      <c r="Z47" s="4004" t="s">
        <v>383</v>
      </c>
      <c r="AA47" s="147" t="s">
        <v>629</v>
      </c>
      <c r="AB47" s="148">
        <v>150.38800000000001</v>
      </c>
      <c r="AC47" s="148"/>
      <c r="AD47" s="148"/>
      <c r="AE47" s="420">
        <v>-8.3919999999999995</v>
      </c>
      <c r="AF47" s="163">
        <f>+AB47+AE47+AC47</f>
        <v>141.99600000000001</v>
      </c>
      <c r="AG47" s="163">
        <f>+AF47</f>
        <v>141.99600000000001</v>
      </c>
      <c r="AH47" s="316">
        <v>44.86</v>
      </c>
      <c r="AI47" s="164">
        <f>+AG47-AH47</f>
        <v>97.13600000000001</v>
      </c>
      <c r="AJ47" s="142"/>
      <c r="AK47" s="4022" t="s">
        <v>213</v>
      </c>
      <c r="AL47" s="4011" t="s">
        <v>385</v>
      </c>
      <c r="AM47" s="673" t="s">
        <v>629</v>
      </c>
      <c r="AN47" s="152">
        <v>5.5389999999999997</v>
      </c>
      <c r="AO47" s="152"/>
      <c r="AP47" s="152"/>
      <c r="AQ47" s="421">
        <v>-16.317</v>
      </c>
      <c r="AR47" s="166">
        <f t="shared" si="1"/>
        <v>-10.778</v>
      </c>
      <c r="AS47" s="166">
        <f>+AR47</f>
        <v>-10.778</v>
      </c>
      <c r="AT47" s="469"/>
      <c r="AU47" s="167">
        <f>+AS47-AT47</f>
        <v>-10.778</v>
      </c>
    </row>
    <row r="48" spans="1:47" ht="13.8">
      <c r="A48" s="4003"/>
      <c r="B48" s="4025"/>
      <c r="C48" s="219" t="s">
        <v>152</v>
      </c>
      <c r="D48" s="220" t="s">
        <v>162</v>
      </c>
      <c r="E48" s="220" t="s">
        <v>162</v>
      </c>
      <c r="F48" s="220" t="s">
        <v>162</v>
      </c>
      <c r="G48" s="220" t="s">
        <v>162</v>
      </c>
      <c r="H48" s="221" t="s">
        <v>162</v>
      </c>
      <c r="I48" s="221" t="s">
        <v>162</v>
      </c>
      <c r="J48" s="221" t="s">
        <v>162</v>
      </c>
      <c r="K48" s="222" t="s">
        <v>162</v>
      </c>
      <c r="L48" s="142"/>
      <c r="M48" s="4014"/>
      <c r="N48" s="4005"/>
      <c r="O48" s="219" t="s">
        <v>152</v>
      </c>
      <c r="P48" s="220" t="s">
        <v>162</v>
      </c>
      <c r="Q48" s="220" t="s">
        <v>162</v>
      </c>
      <c r="R48" s="220" t="s">
        <v>162</v>
      </c>
      <c r="S48" s="220" t="s">
        <v>162</v>
      </c>
      <c r="T48" s="221" t="s">
        <v>162</v>
      </c>
      <c r="U48" s="221" t="s">
        <v>162</v>
      </c>
      <c r="V48" s="221" t="s">
        <v>162</v>
      </c>
      <c r="W48" s="222" t="s">
        <v>162</v>
      </c>
      <c r="X48" s="142"/>
      <c r="Y48" s="4014"/>
      <c r="Z48" s="4005"/>
      <c r="AA48" s="219" t="s">
        <v>152</v>
      </c>
      <c r="AB48" s="220"/>
      <c r="AC48" s="220" t="s">
        <v>162</v>
      </c>
      <c r="AD48" s="220" t="s">
        <v>162</v>
      </c>
      <c r="AE48" s="220" t="s">
        <v>318</v>
      </c>
      <c r="AF48" s="221" t="s">
        <v>162</v>
      </c>
      <c r="AG48" s="221" t="s">
        <v>162</v>
      </c>
      <c r="AH48" s="221" t="s">
        <v>162</v>
      </c>
      <c r="AI48" s="222" t="s">
        <v>162</v>
      </c>
      <c r="AJ48" s="142"/>
      <c r="AK48" s="4023"/>
      <c r="AL48" s="4005"/>
      <c r="AM48" s="219" t="s">
        <v>152</v>
      </c>
      <c r="AN48" s="220" t="s">
        <v>162</v>
      </c>
      <c r="AO48" s="220" t="s">
        <v>162</v>
      </c>
      <c r="AP48" s="220" t="s">
        <v>162</v>
      </c>
      <c r="AQ48" s="220" t="s">
        <v>162</v>
      </c>
      <c r="AR48" s="221" t="s">
        <v>162</v>
      </c>
      <c r="AS48" s="221" t="s">
        <v>162</v>
      </c>
      <c r="AT48" s="221" t="s">
        <v>162</v>
      </c>
      <c r="AU48" s="222" t="s">
        <v>162</v>
      </c>
    </row>
    <row r="49" spans="1:47" ht="13.8">
      <c r="A49" s="4003"/>
      <c r="B49" s="4026"/>
      <c r="C49" s="674" t="s">
        <v>63</v>
      </c>
      <c r="D49" s="675">
        <v>1.8540000000000001</v>
      </c>
      <c r="E49" s="675"/>
      <c r="F49" s="675"/>
      <c r="G49" s="676">
        <v>-2.508</v>
      </c>
      <c r="H49" s="677">
        <f>+D49+G49+E49</f>
        <v>-0.65399999999999991</v>
      </c>
      <c r="I49" s="678">
        <f>+H49+K47</f>
        <v>-1.6959999999999993</v>
      </c>
      <c r="J49" s="678">
        <v>0</v>
      </c>
      <c r="K49" s="679">
        <f>+I49-J49</f>
        <v>-1.6959999999999993</v>
      </c>
      <c r="L49" s="142"/>
      <c r="M49" s="4015"/>
      <c r="N49" s="4012"/>
      <c r="O49" s="674" t="s">
        <v>63</v>
      </c>
      <c r="P49" s="675">
        <v>14.404999999999999</v>
      </c>
      <c r="Q49" s="675"/>
      <c r="R49" s="675"/>
      <c r="S49" s="689">
        <v>-3.5999999999999997E-2</v>
      </c>
      <c r="T49" s="677">
        <f>+P49+S49+Q49</f>
        <v>14.369</v>
      </c>
      <c r="U49" s="678">
        <f>+T49+W47</f>
        <v>24.942</v>
      </c>
      <c r="V49" s="678">
        <f>21.906+0.394</f>
        <v>22.299999999999997</v>
      </c>
      <c r="W49" s="679">
        <f>+U49-V49</f>
        <v>2.642000000000003</v>
      </c>
      <c r="X49" s="142"/>
      <c r="Y49" s="4014"/>
      <c r="Z49" s="4005"/>
      <c r="AA49" s="151" t="s">
        <v>63</v>
      </c>
      <c r="AB49" s="149">
        <v>86.399000000000001</v>
      </c>
      <c r="AC49" s="149"/>
      <c r="AD49" s="149"/>
      <c r="AE49" s="419">
        <v>-4.9279999999999999</v>
      </c>
      <c r="AF49" s="165">
        <f>+AB49+AE49+AC49</f>
        <v>81.471000000000004</v>
      </c>
      <c r="AG49" s="397">
        <f>+AF49+AI47</f>
        <v>178.60700000000003</v>
      </c>
      <c r="AH49" s="397">
        <v>76.111000000000004</v>
      </c>
      <c r="AI49" s="398">
        <f>+AG49-AH49</f>
        <v>102.49600000000002</v>
      </c>
      <c r="AJ49" s="142"/>
      <c r="AK49" s="4023"/>
      <c r="AL49" s="4005"/>
      <c r="AM49" s="151" t="s">
        <v>63</v>
      </c>
      <c r="AN49" s="149">
        <v>3.1819999999999999</v>
      </c>
      <c r="AO49" s="149"/>
      <c r="AP49" s="149"/>
      <c r="AQ49" s="419">
        <v>-9.5839999999999996</v>
      </c>
      <c r="AR49" s="165">
        <f t="shared" si="1"/>
        <v>-6.4019999999999992</v>
      </c>
      <c r="AS49" s="397">
        <f>+AR49+AU47</f>
        <v>-17.18</v>
      </c>
      <c r="AT49" s="397"/>
      <c r="AU49" s="398">
        <f>+AS49-AT49</f>
        <v>-17.18</v>
      </c>
    </row>
    <row r="50" spans="1:47" ht="13.8">
      <c r="A50" s="4043" t="s">
        <v>371</v>
      </c>
      <c r="B50" s="4011" t="s">
        <v>372</v>
      </c>
      <c r="C50" s="673" t="s">
        <v>629</v>
      </c>
      <c r="D50" s="152">
        <v>63.374000000000002</v>
      </c>
      <c r="E50" s="152"/>
      <c r="F50" s="152"/>
      <c r="G50" s="421">
        <v>-4.8579999999999997</v>
      </c>
      <c r="H50" s="166">
        <f>+D50+G50+E50</f>
        <v>58.516000000000005</v>
      </c>
      <c r="I50" s="166">
        <f>+H50</f>
        <v>58.516000000000005</v>
      </c>
      <c r="J50" s="469">
        <v>30.015999999999998</v>
      </c>
      <c r="K50" s="167">
        <f>+I50-J50</f>
        <v>28.500000000000007</v>
      </c>
      <c r="L50" s="142"/>
      <c r="M50" s="4050" t="s">
        <v>213</v>
      </c>
      <c r="N50" s="4056" t="s">
        <v>764</v>
      </c>
      <c r="O50" s="673" t="s">
        <v>629</v>
      </c>
      <c r="P50" s="152">
        <v>30.167999999999999</v>
      </c>
      <c r="Q50" s="152"/>
      <c r="R50" s="152"/>
      <c r="S50" s="421">
        <v>-12.648</v>
      </c>
      <c r="T50" s="166">
        <f>+P50+S50+Q50</f>
        <v>17.52</v>
      </c>
      <c r="U50" s="166">
        <f>+T50</f>
        <v>17.52</v>
      </c>
      <c r="V50" s="469">
        <v>11.75</v>
      </c>
      <c r="W50" s="167">
        <f>+U50-V50</f>
        <v>5.77</v>
      </c>
      <c r="X50" s="142"/>
      <c r="Y50" s="4036" t="s">
        <v>192</v>
      </c>
      <c r="Z50" s="4037"/>
      <c r="AA50" s="216" t="s">
        <v>71</v>
      </c>
      <c r="AB50" s="217">
        <f t="shared" ref="AB50:AI50" si="2">AB5+AB8+AB11+AB14+AB17+AB20+AB23+AB26+AB29+AB32+AB35+AB38+AB41+AB44+AB47</f>
        <v>583.13100000000009</v>
      </c>
      <c r="AC50" s="217">
        <f t="shared" si="2"/>
        <v>0</v>
      </c>
      <c r="AD50" s="217">
        <f t="shared" si="2"/>
        <v>0</v>
      </c>
      <c r="AE50" s="217">
        <f t="shared" si="2"/>
        <v>-54.959000000000003</v>
      </c>
      <c r="AF50" s="217">
        <f t="shared" si="2"/>
        <v>528.17200000000003</v>
      </c>
      <c r="AG50" s="217">
        <f t="shared" si="2"/>
        <v>528.173</v>
      </c>
      <c r="AH50" s="217">
        <f t="shared" si="2"/>
        <v>255.42000000000002</v>
      </c>
      <c r="AI50" s="217">
        <f t="shared" si="2"/>
        <v>272.75300000000004</v>
      </c>
      <c r="AJ50" s="142"/>
      <c r="AK50" s="4036" t="s">
        <v>193</v>
      </c>
      <c r="AL50" s="4037"/>
      <c r="AM50" s="216" t="s">
        <v>71</v>
      </c>
      <c r="AN50" s="217">
        <f t="shared" ref="AN50:AU50" si="3">AN5+AN8+AN11+AN14+AN17+AN20+AN23+AN26+AN29+AN32+AN35+AN38+AN41+AN47+AN44</f>
        <v>548.06899999999996</v>
      </c>
      <c r="AO50" s="217">
        <f t="shared" si="3"/>
        <v>0</v>
      </c>
      <c r="AP50" s="217">
        <f t="shared" si="3"/>
        <v>0</v>
      </c>
      <c r="AQ50" s="217">
        <f t="shared" si="3"/>
        <v>-73.762</v>
      </c>
      <c r="AR50" s="217">
        <f t="shared" si="3"/>
        <v>474.30699999999996</v>
      </c>
      <c r="AS50" s="217">
        <f t="shared" si="3"/>
        <v>474.30699999999996</v>
      </c>
      <c r="AT50" s="217">
        <f t="shared" si="3"/>
        <v>271.13799999999998</v>
      </c>
      <c r="AU50" s="217">
        <f t="shared" si="3"/>
        <v>203.16900000000004</v>
      </c>
    </row>
    <row r="51" spans="1:47" ht="13.8">
      <c r="A51" s="4042"/>
      <c r="B51" s="4005"/>
      <c r="C51" s="219" t="s">
        <v>152</v>
      </c>
      <c r="D51" s="220" t="s">
        <v>162</v>
      </c>
      <c r="E51" s="220" t="s">
        <v>162</v>
      </c>
      <c r="F51" s="220" t="s">
        <v>162</v>
      </c>
      <c r="G51" s="220" t="s">
        <v>162</v>
      </c>
      <c r="H51" s="221" t="s">
        <v>162</v>
      </c>
      <c r="I51" s="221" t="s">
        <v>162</v>
      </c>
      <c r="J51" s="221" t="s">
        <v>162</v>
      </c>
      <c r="K51" s="222" t="s">
        <v>162</v>
      </c>
      <c r="L51" s="142"/>
      <c r="M51" s="4014"/>
      <c r="N51" s="4055"/>
      <c r="O51" s="219" t="s">
        <v>152</v>
      </c>
      <c r="P51" s="220" t="s">
        <v>162</v>
      </c>
      <c r="Q51" s="220" t="s">
        <v>162</v>
      </c>
      <c r="R51" s="220" t="s">
        <v>162</v>
      </c>
      <c r="S51" s="220" t="s">
        <v>162</v>
      </c>
      <c r="T51" s="221" t="s">
        <v>162</v>
      </c>
      <c r="U51" s="221" t="s">
        <v>162</v>
      </c>
      <c r="V51" s="221" t="s">
        <v>162</v>
      </c>
      <c r="W51" s="222" t="s">
        <v>162</v>
      </c>
      <c r="X51" s="142"/>
      <c r="Y51" s="4038"/>
      <c r="Z51" s="4039"/>
      <c r="AA51" s="218" t="s">
        <v>99</v>
      </c>
      <c r="AB51" s="150">
        <f t="shared" ref="AB51:AH51" si="4">AB7+AB10+AB13+AB16+AB19+AB22+AB25+AB28+AB31+AB34+AB37+AB40+AB43+AB46+AB49</f>
        <v>335.01200000000006</v>
      </c>
      <c r="AC51" s="150">
        <f t="shared" si="4"/>
        <v>0</v>
      </c>
      <c r="AD51" s="150">
        <f t="shared" si="4"/>
        <v>0</v>
      </c>
      <c r="AE51" s="150">
        <f t="shared" si="4"/>
        <v>-32.277000000000001</v>
      </c>
      <c r="AF51" s="150">
        <f t="shared" si="4"/>
        <v>302.73500000000001</v>
      </c>
      <c r="AG51" s="150">
        <f t="shared" si="4"/>
        <v>575.48800000000006</v>
      </c>
      <c r="AH51" s="150">
        <f t="shared" si="4"/>
        <v>263.899</v>
      </c>
      <c r="AI51" s="150">
        <f>AI7+AI10+AI13+AI16+AI19+AI22+AI25+AI28+AI31+AI34+AI37+AI40+AI43+AI46+AI49</f>
        <v>311.589</v>
      </c>
      <c r="AJ51" s="142"/>
      <c r="AK51" s="4038"/>
      <c r="AL51" s="4039"/>
      <c r="AM51" s="218" t="s">
        <v>99</v>
      </c>
      <c r="AN51" s="150">
        <f t="shared" ref="AN51:AU51" si="5">AN7+AN10+AN13+AN16+AN19+AN22+AN25+AN28+AN31+AN34+AN37+AN40+AN43+AN49+AN46</f>
        <v>314.86500000000001</v>
      </c>
      <c r="AO51" s="150">
        <f t="shared" si="5"/>
        <v>0</v>
      </c>
      <c r="AP51" s="150">
        <f t="shared" si="5"/>
        <v>0</v>
      </c>
      <c r="AQ51" s="150">
        <f t="shared" si="5"/>
        <v>-43.322000000000003</v>
      </c>
      <c r="AR51" s="150">
        <f t="shared" si="5"/>
        <v>271.54300000000006</v>
      </c>
      <c r="AS51" s="150">
        <f t="shared" si="5"/>
        <v>474.71200000000005</v>
      </c>
      <c r="AT51" s="150">
        <f t="shared" si="5"/>
        <v>221.80500000000001</v>
      </c>
      <c r="AU51" s="1152">
        <f t="shared" si="5"/>
        <v>252.90700000000001</v>
      </c>
    </row>
    <row r="52" spans="1:47" ht="13.8">
      <c r="A52" s="4042"/>
      <c r="B52" s="4005"/>
      <c r="C52" s="151" t="s">
        <v>63</v>
      </c>
      <c r="D52" s="149">
        <v>36.408999999999999</v>
      </c>
      <c r="E52" s="149"/>
      <c r="F52" s="149"/>
      <c r="G52" s="419">
        <v>-2.8530000000000002</v>
      </c>
      <c r="H52" s="165">
        <f>+D52+G52+E52</f>
        <v>33.555999999999997</v>
      </c>
      <c r="I52" s="397">
        <f>+H52+K50</f>
        <v>62.056000000000004</v>
      </c>
      <c r="J52" s="397">
        <v>29.391999999999999</v>
      </c>
      <c r="K52" s="398">
        <f>+I52-J52</f>
        <v>32.664000000000001</v>
      </c>
      <c r="L52" s="142"/>
      <c r="M52" s="4014"/>
      <c r="N52" s="4055"/>
      <c r="O52" s="151" t="s">
        <v>63</v>
      </c>
      <c r="P52" s="149">
        <v>17.331</v>
      </c>
      <c r="Q52" s="149"/>
      <c r="R52" s="149"/>
      <c r="S52" s="419">
        <v>-7.4279999999999999</v>
      </c>
      <c r="T52" s="165">
        <f>+P52+S52+Q52</f>
        <v>9.9029999999999987</v>
      </c>
      <c r="U52" s="397">
        <f>+T52+W50</f>
        <v>15.672999999999998</v>
      </c>
      <c r="V52" s="397"/>
      <c r="W52" s="398">
        <f>+U52-V52</f>
        <v>15.672999999999998</v>
      </c>
      <c r="X52" s="142"/>
      <c r="Y52" s="4038"/>
      <c r="Z52" s="4039"/>
      <c r="AA52" s="218"/>
      <c r="AB52" s="150"/>
      <c r="AC52" s="150"/>
      <c r="AD52" s="150"/>
      <c r="AE52" s="150"/>
      <c r="AF52" s="150"/>
      <c r="AG52" s="150"/>
      <c r="AH52" s="150"/>
      <c r="AI52" s="150"/>
      <c r="AJ52" s="142"/>
      <c r="AK52" s="4038"/>
      <c r="AL52" s="4039"/>
      <c r="AM52" s="218"/>
      <c r="AN52" s="150"/>
      <c r="AO52" s="150"/>
      <c r="AP52" s="150"/>
      <c r="AQ52" s="150"/>
      <c r="AR52" s="150"/>
      <c r="AS52" s="150"/>
      <c r="AT52" s="1151"/>
      <c r="AU52" s="1153"/>
    </row>
    <row r="53" spans="1:47" ht="13.8">
      <c r="A53" s="4013" t="s">
        <v>213</v>
      </c>
      <c r="B53" s="4054" t="s">
        <v>377</v>
      </c>
      <c r="C53" s="147" t="s">
        <v>629</v>
      </c>
      <c r="D53" s="148">
        <v>96.162000000000006</v>
      </c>
      <c r="E53" s="148"/>
      <c r="F53" s="148"/>
      <c r="G53" s="420">
        <v>-4.7679999999999998</v>
      </c>
      <c r="H53" s="163">
        <f>+D53+G53+E53</f>
        <v>91.394000000000005</v>
      </c>
      <c r="I53" s="163">
        <f>+H53</f>
        <v>91.394000000000005</v>
      </c>
      <c r="J53" s="316">
        <f>2.544+43.598+2.999</f>
        <v>49.140999999999998</v>
      </c>
      <c r="K53" s="164">
        <f>+I53-J53</f>
        <v>42.253000000000007</v>
      </c>
      <c r="L53" s="142"/>
      <c r="M53" s="4013" t="s">
        <v>213</v>
      </c>
      <c r="N53" s="4004" t="s">
        <v>382</v>
      </c>
      <c r="O53" s="147" t="s">
        <v>629</v>
      </c>
      <c r="P53" s="148">
        <v>17.356000000000002</v>
      </c>
      <c r="Q53" s="148"/>
      <c r="R53" s="148"/>
      <c r="S53" s="420">
        <v>-4.4909999999999997</v>
      </c>
      <c r="T53" s="163">
        <f>+P53+S53+Q53</f>
        <v>12.865000000000002</v>
      </c>
      <c r="U53" s="163">
        <f>+T53</f>
        <v>12.865000000000002</v>
      </c>
      <c r="V53" s="316">
        <v>6.577</v>
      </c>
      <c r="W53" s="164">
        <f>+U53-V53</f>
        <v>6.288000000000002</v>
      </c>
      <c r="X53" s="142"/>
      <c r="Y53" s="142"/>
      <c r="Z53" s="142"/>
      <c r="AA53" s="142"/>
      <c r="AB53" s="153"/>
      <c r="AC53" s="153"/>
      <c r="AD53" s="153"/>
      <c r="AE53" s="153"/>
      <c r="AF53" s="142"/>
      <c r="AG53" s="154"/>
      <c r="AH53" s="154"/>
      <c r="AI53" s="154"/>
      <c r="AJ53" s="142"/>
      <c r="AK53" s="142"/>
      <c r="AL53" s="142"/>
      <c r="AM53" s="142"/>
      <c r="AN53" s="153"/>
      <c r="AO53" s="153"/>
      <c r="AP53" s="153"/>
      <c r="AQ53" s="153"/>
      <c r="AR53" s="142"/>
      <c r="AS53" s="154"/>
      <c r="AT53" s="154"/>
      <c r="AU53" s="1150"/>
    </row>
    <row r="54" spans="1:47" ht="13.8">
      <c r="A54" s="4014"/>
      <c r="B54" s="4055"/>
      <c r="C54" s="219" t="s">
        <v>152</v>
      </c>
      <c r="D54" s="220" t="s">
        <v>162</v>
      </c>
      <c r="E54" s="220" t="s">
        <v>162</v>
      </c>
      <c r="F54" s="220" t="s">
        <v>162</v>
      </c>
      <c r="G54" s="220" t="s">
        <v>162</v>
      </c>
      <c r="H54" s="221" t="s">
        <v>162</v>
      </c>
      <c r="I54" s="221" t="s">
        <v>162</v>
      </c>
      <c r="J54" s="221" t="s">
        <v>162</v>
      </c>
      <c r="K54" s="222" t="s">
        <v>162</v>
      </c>
      <c r="L54" s="142"/>
      <c r="M54" s="4014"/>
      <c r="N54" s="4005"/>
      <c r="O54" s="219" t="s">
        <v>152</v>
      </c>
      <c r="P54" s="220" t="s">
        <v>162</v>
      </c>
      <c r="Q54" s="220" t="s">
        <v>162</v>
      </c>
      <c r="R54" s="220" t="s">
        <v>162</v>
      </c>
      <c r="S54" s="220" t="s">
        <v>162</v>
      </c>
      <c r="T54" s="221" t="s">
        <v>162</v>
      </c>
      <c r="U54" s="221" t="s">
        <v>162</v>
      </c>
      <c r="V54" s="221" t="s">
        <v>162</v>
      </c>
      <c r="W54" s="222" t="s">
        <v>162</v>
      </c>
      <c r="X54" s="142"/>
      <c r="AJ54" s="142"/>
      <c r="AK54" s="142"/>
      <c r="AL54" s="142"/>
      <c r="AM54" s="142"/>
      <c r="AN54" s="153"/>
      <c r="AO54" s="153"/>
      <c r="AP54" s="153"/>
      <c r="AQ54" s="153"/>
      <c r="AR54" s="142"/>
      <c r="AS54" s="154"/>
      <c r="AT54" s="154"/>
      <c r="AU54" s="1150"/>
    </row>
    <row r="55" spans="1:47" ht="13.8">
      <c r="A55" s="4014"/>
      <c r="B55" s="4055"/>
      <c r="C55" s="151" t="s">
        <v>63</v>
      </c>
      <c r="D55" s="149">
        <v>55.246000000000002</v>
      </c>
      <c r="E55" s="149"/>
      <c r="F55" s="149"/>
      <c r="G55" s="419">
        <v>-2.8010000000000002</v>
      </c>
      <c r="H55" s="165">
        <f>+D55+G55+E55</f>
        <v>52.445</v>
      </c>
      <c r="I55" s="397">
        <f>+H55+K53</f>
        <v>94.698000000000008</v>
      </c>
      <c r="J55" s="397">
        <v>6.4809999999999999</v>
      </c>
      <c r="K55" s="398">
        <f>+I55-J55</f>
        <v>88.217000000000013</v>
      </c>
      <c r="L55" s="142"/>
      <c r="M55" s="4014"/>
      <c r="N55" s="4005"/>
      <c r="O55" s="151" t="s">
        <v>63</v>
      </c>
      <c r="P55" s="149">
        <v>9.9710000000000001</v>
      </c>
      <c r="Q55" s="149"/>
      <c r="R55" s="149"/>
      <c r="S55" s="419">
        <v>-2.637</v>
      </c>
      <c r="T55" s="165">
        <f>+P55+S55+Q55</f>
        <v>7.3339999999999996</v>
      </c>
      <c r="U55" s="397">
        <f>+T55+W53</f>
        <v>13.622000000000002</v>
      </c>
      <c r="V55" s="397"/>
      <c r="W55" s="398">
        <f>+U55-V55</f>
        <v>13.622000000000002</v>
      </c>
      <c r="X55" s="142"/>
      <c r="AI55" s="1150"/>
      <c r="AJ55" s="142"/>
      <c r="AK55" s="142"/>
      <c r="AL55" s="142"/>
      <c r="AM55" s="142"/>
      <c r="AN55" s="153"/>
      <c r="AO55" s="153"/>
      <c r="AP55" s="153"/>
      <c r="AQ55" s="153"/>
      <c r="AR55" s="142"/>
      <c r="AS55" s="154"/>
      <c r="AT55" s="154"/>
      <c r="AU55" s="1150"/>
    </row>
    <row r="56" spans="1:47" ht="13.5" customHeight="1">
      <c r="A56" s="4013" t="s">
        <v>213</v>
      </c>
      <c r="B56" s="4004" t="s">
        <v>378</v>
      </c>
      <c r="C56" s="147" t="s">
        <v>629</v>
      </c>
      <c r="D56" s="148">
        <v>18.841999999999999</v>
      </c>
      <c r="E56" s="148"/>
      <c r="F56" s="148"/>
      <c r="G56" s="420">
        <v>-2.81</v>
      </c>
      <c r="H56" s="163">
        <f>+D56+G56+E56</f>
        <v>16.032</v>
      </c>
      <c r="I56" s="163">
        <f>+H56</f>
        <v>16.032</v>
      </c>
      <c r="J56" s="316">
        <v>12.47</v>
      </c>
      <c r="K56" s="164">
        <f>+I56-J56</f>
        <v>3.5619999999999994</v>
      </c>
      <c r="L56" s="142"/>
      <c r="M56" s="4036" t="s">
        <v>191</v>
      </c>
      <c r="N56" s="4037"/>
      <c r="O56" s="690" t="s">
        <v>629</v>
      </c>
      <c r="P56" s="217">
        <f>+P5+P8+P50+P11+P14+P17+P26+P29+P32+P35+P38+P41+P44+P47+P53+P20+P23</f>
        <v>521.89100000000008</v>
      </c>
      <c r="Q56" s="217">
        <f>+Q5+Q8+Q50+Q11+Q14+Q17+Q26+Q29+Q32+Q35+Q38+Q41+Q44+Q47+Q53</f>
        <v>0</v>
      </c>
      <c r="R56" s="217">
        <f>+R5+R8+R50+R11+R14+R17+R26+R29+R32+R35+R38+R41+R44+R47+R53</f>
        <v>0</v>
      </c>
      <c r="S56" s="217">
        <f>+S5+S8+S50+S11+S14+S17+S26+S29+S32+S35+S38+S41+S44+S47+S53+S20+S23</f>
        <v>-53.12</v>
      </c>
      <c r="T56" s="217">
        <f>+T5+T8+T50+T11+T14+T17+T26+T29+T32+T35+T38+T41+T44+T47+T53+T20+T23</f>
        <v>468.77099999999996</v>
      </c>
      <c r="U56" s="217">
        <f>+U5+U8+U50+U11+U14+U17+U26+U29+U32+U35+U38+U41+U44+U47+U53+U20+U23</f>
        <v>468.77</v>
      </c>
      <c r="V56" s="217">
        <f>+V5+V8+V50+V11+V14+V17+V26+V29+V32+V35+V38+V41+V44+V47+V53+V20+V23</f>
        <v>135.20400000000001</v>
      </c>
      <c r="W56" s="217">
        <f>+W5+W8+W50+W11+W14+W17+W26+W29+W32+W35+W38+W41+W44+W47+W53+W20+W23</f>
        <v>333.56599999999997</v>
      </c>
      <c r="X56" s="142"/>
      <c r="AI56" s="1150"/>
      <c r="AJ56" s="142"/>
      <c r="AK56" s="142"/>
      <c r="AL56" s="142"/>
      <c r="AM56" s="142"/>
      <c r="AN56" s="153"/>
      <c r="AO56" s="153"/>
      <c r="AP56" s="153"/>
      <c r="AQ56" s="153"/>
      <c r="AR56" s="142"/>
      <c r="AS56" s="154"/>
      <c r="AT56" s="154"/>
      <c r="AU56" s="154"/>
    </row>
    <row r="57" spans="1:47" ht="13.8">
      <c r="A57" s="4014"/>
      <c r="B57" s="4005"/>
      <c r="C57" s="219" t="s">
        <v>152</v>
      </c>
      <c r="D57" s="220" t="s">
        <v>162</v>
      </c>
      <c r="E57" s="220" t="s">
        <v>162</v>
      </c>
      <c r="F57" s="220" t="s">
        <v>162</v>
      </c>
      <c r="G57" s="220" t="s">
        <v>162</v>
      </c>
      <c r="H57" s="221" t="s">
        <v>162</v>
      </c>
      <c r="I57" s="221" t="s">
        <v>162</v>
      </c>
      <c r="J57" s="221" t="s">
        <v>162</v>
      </c>
      <c r="K57" s="222" t="s">
        <v>162</v>
      </c>
      <c r="L57" s="142"/>
      <c r="M57" s="4038"/>
      <c r="N57" s="4039"/>
      <c r="O57" s="691" t="s">
        <v>63</v>
      </c>
      <c r="P57" s="150">
        <f>+P7+P10+P52+P13+P16+P19+P28+P31+P34+P37+P40+P43+P46+P49+P55+P22+P25</f>
        <v>299.827</v>
      </c>
      <c r="Q57" s="150">
        <f>+Q7+Q10+Q52+Q13+Q16+Q19+Q28+Q31+Q34+Q37+Q40+Q43+Q46+Q49+Q55</f>
        <v>0</v>
      </c>
      <c r="R57" s="150">
        <f>+R7+R10+R52+R13+R16+R19+R28+R31+R34+R37+R40+R43+R46+R49+R55</f>
        <v>0</v>
      </c>
      <c r="S57" s="150">
        <f>+S7+S10+S52+S13+S16+S19+S28+S31+S34+S37+S40+S43+S46+S49+S55+S22+S25</f>
        <v>-31.196999999999999</v>
      </c>
      <c r="T57" s="150">
        <f>+T7+T10+T52+T13+T16+T19+T28+T31+T34+T37+T40+T43+T46+T49+T55+T22+T25</f>
        <v>268.63</v>
      </c>
      <c r="U57" s="150">
        <f>+U7+U10+U52+U13+U16+U19+U28+U31+U34+U37+U40+U43+U46+U49+U55+U22+U25</f>
        <v>602.19600000000003</v>
      </c>
      <c r="V57" s="150">
        <f>+V7+V10+V52+V13+V16+V19+V28+V31+V34+V37+V40+V43+V46+V49+V55+V25+V22</f>
        <v>237.05800000000002</v>
      </c>
      <c r="W57" s="150">
        <f>+W7+W10+W52+W13+W16+W19+W28+W31+W34+W37+W40+W43+W46+W49+W55+W22+W25</f>
        <v>365.13799999999998</v>
      </c>
      <c r="X57" s="142"/>
      <c r="Y57" s="142"/>
      <c r="Z57" s="142"/>
      <c r="AA57" s="142"/>
      <c r="AB57" s="153"/>
      <c r="AC57" s="153"/>
      <c r="AD57" s="153"/>
      <c r="AE57" s="153"/>
      <c r="AF57" s="142"/>
      <c r="AG57" s="154"/>
      <c r="AH57" s="154"/>
      <c r="AI57" s="1150"/>
      <c r="AJ57" s="142"/>
      <c r="AK57" s="142"/>
      <c r="AL57" s="142"/>
      <c r="AM57" s="142"/>
      <c r="AN57" s="153"/>
      <c r="AO57" s="153"/>
      <c r="AP57" s="153"/>
      <c r="AQ57" s="153"/>
      <c r="AR57" s="142"/>
      <c r="AS57" s="154"/>
      <c r="AT57" s="154"/>
      <c r="AU57" s="154"/>
    </row>
    <row r="58" spans="1:47" ht="13.8">
      <c r="A58" s="4015"/>
      <c r="B58" s="4012"/>
      <c r="C58" s="674" t="s">
        <v>63</v>
      </c>
      <c r="D58" s="675">
        <v>10.824999999999999</v>
      </c>
      <c r="E58" s="675"/>
      <c r="F58" s="675"/>
      <c r="G58" s="676">
        <v>-1.65</v>
      </c>
      <c r="H58" s="677">
        <f>+D58+G58+E58</f>
        <v>9.1749999999999989</v>
      </c>
      <c r="I58" s="678">
        <f>+H58+K56</f>
        <v>12.736999999999998</v>
      </c>
      <c r="J58" s="678">
        <f>0.057+12.413</f>
        <v>12.47</v>
      </c>
      <c r="K58" s="679">
        <f>+I58-J58</f>
        <v>0.26699999999999768</v>
      </c>
      <c r="L58" s="142"/>
      <c r="M58" s="4038"/>
      <c r="N58" s="4039"/>
      <c r="O58" s="218"/>
      <c r="P58" s="150"/>
      <c r="Q58" s="150"/>
      <c r="R58" s="150"/>
      <c r="S58" s="150"/>
      <c r="T58" s="150"/>
      <c r="U58" s="150"/>
      <c r="V58" s="150"/>
      <c r="W58" s="150"/>
      <c r="X58" s="142"/>
      <c r="Y58" s="142"/>
      <c r="Z58" s="142"/>
      <c r="AA58" s="142"/>
      <c r="AB58" s="153"/>
      <c r="AC58" s="153"/>
      <c r="AD58" s="153"/>
      <c r="AE58" s="153"/>
      <c r="AF58" s="142"/>
      <c r="AG58" s="154"/>
      <c r="AH58" s="154"/>
      <c r="AI58" s="1150"/>
      <c r="AJ58" s="142"/>
      <c r="AK58" s="142"/>
      <c r="AL58" s="142"/>
      <c r="AM58" s="142"/>
      <c r="AN58" s="153"/>
      <c r="AO58" s="153"/>
      <c r="AP58" s="153"/>
      <c r="AQ58" s="153"/>
      <c r="AR58" s="142"/>
      <c r="AS58" s="154"/>
      <c r="AT58" s="154"/>
      <c r="AU58" s="154"/>
    </row>
    <row r="59" spans="1:47" ht="13.5" customHeight="1">
      <c r="A59" s="4050" t="s">
        <v>213</v>
      </c>
      <c r="B59" s="4011" t="s">
        <v>379</v>
      </c>
      <c r="C59" s="673" t="s">
        <v>629</v>
      </c>
      <c r="D59" s="152">
        <v>30.475999999999999</v>
      </c>
      <c r="E59" s="152"/>
      <c r="F59" s="152"/>
      <c r="G59" s="421">
        <v>0</v>
      </c>
      <c r="H59" s="166">
        <f>+D59+G59+E59</f>
        <v>30.475999999999999</v>
      </c>
      <c r="I59" s="166">
        <f>+H59</f>
        <v>30.475999999999999</v>
      </c>
      <c r="J59" s="469">
        <v>9.43</v>
      </c>
      <c r="K59" s="167">
        <f>+I59-J59</f>
        <v>21.045999999999999</v>
      </c>
      <c r="L59" s="142"/>
      <c r="M59" s="142"/>
      <c r="N59" s="142"/>
      <c r="O59" s="142"/>
      <c r="P59" s="153"/>
      <c r="Q59" s="153"/>
      <c r="R59" s="153"/>
      <c r="S59" s="153"/>
      <c r="T59" s="142"/>
      <c r="U59" s="154"/>
      <c r="V59" s="154"/>
      <c r="W59" s="154"/>
      <c r="X59" s="142"/>
      <c r="Y59" s="142"/>
      <c r="Z59" s="142"/>
      <c r="AA59" s="142"/>
      <c r="AB59" s="153"/>
      <c r="AC59" s="153"/>
      <c r="AD59" s="153"/>
      <c r="AE59" s="153"/>
      <c r="AF59" s="142"/>
      <c r="AG59" s="154"/>
      <c r="AH59" s="154"/>
      <c r="AI59" s="1150"/>
      <c r="AJ59" s="142"/>
      <c r="AK59" s="142"/>
      <c r="AL59" s="142"/>
      <c r="AM59" s="142"/>
      <c r="AN59" s="153"/>
      <c r="AO59" s="153"/>
      <c r="AP59" s="153"/>
      <c r="AQ59" s="153"/>
      <c r="AR59" s="142"/>
      <c r="AS59" s="155"/>
      <c r="AT59" s="155"/>
      <c r="AU59" s="155"/>
    </row>
    <row r="60" spans="1:47" ht="13.8">
      <c r="A60" s="4014"/>
      <c r="B60" s="4005"/>
      <c r="C60" s="219" t="s">
        <v>152</v>
      </c>
      <c r="D60" s="220" t="s">
        <v>162</v>
      </c>
      <c r="E60" s="220" t="s">
        <v>162</v>
      </c>
      <c r="F60" s="220" t="s">
        <v>162</v>
      </c>
      <c r="G60" s="220" t="s">
        <v>162</v>
      </c>
      <c r="H60" s="221" t="s">
        <v>162</v>
      </c>
      <c r="I60" s="221" t="s">
        <v>162</v>
      </c>
      <c r="J60" s="221" t="s">
        <v>162</v>
      </c>
      <c r="K60" s="222" t="s">
        <v>162</v>
      </c>
      <c r="L60" s="142"/>
      <c r="M60" s="429"/>
      <c r="N60" s="142"/>
      <c r="O60" s="142"/>
      <c r="P60" s="153"/>
      <c r="Q60" s="153"/>
      <c r="R60" s="153"/>
      <c r="S60" s="153"/>
      <c r="T60" s="142"/>
      <c r="U60" s="154"/>
      <c r="V60" s="154" t="s">
        <v>575</v>
      </c>
      <c r="W60" s="154">
        <v>154.83600000000001</v>
      </c>
      <c r="X60" s="142"/>
      <c r="Y60" s="142"/>
      <c r="Z60" s="142"/>
      <c r="AA60" s="142"/>
      <c r="AB60" s="153"/>
      <c r="AC60" s="153"/>
      <c r="AD60" s="153"/>
      <c r="AE60" s="153"/>
      <c r="AF60" s="142"/>
      <c r="AG60" s="154"/>
      <c r="AH60" s="154"/>
      <c r="AI60" s="1150"/>
      <c r="AJ60" s="142"/>
      <c r="AK60" s="142"/>
      <c r="AL60" s="142"/>
      <c r="AM60" s="142"/>
      <c r="AN60" s="153"/>
      <c r="AO60" s="153"/>
      <c r="AP60" s="153"/>
      <c r="AQ60" s="153"/>
      <c r="AR60" s="142"/>
      <c r="AS60" s="155"/>
      <c r="AT60" s="155"/>
      <c r="AU60" s="155"/>
    </row>
    <row r="61" spans="1:47" ht="13.8">
      <c r="A61" s="4014"/>
      <c r="B61" s="4005"/>
      <c r="C61" s="151" t="s">
        <v>63</v>
      </c>
      <c r="D61" s="149">
        <v>17.509</v>
      </c>
      <c r="E61" s="149"/>
      <c r="F61" s="149"/>
      <c r="G61" s="419">
        <v>0</v>
      </c>
      <c r="H61" s="165">
        <f>+D61+G61+E61</f>
        <v>17.509</v>
      </c>
      <c r="I61" s="397">
        <f>+H61+K59</f>
        <v>38.555</v>
      </c>
      <c r="J61" s="397">
        <v>4.8959999999999999</v>
      </c>
      <c r="K61" s="398">
        <f>+I61-J61</f>
        <v>33.658999999999999</v>
      </c>
      <c r="L61" s="142"/>
      <c r="M61" s="316"/>
      <c r="N61" s="142"/>
      <c r="O61" s="142"/>
      <c r="P61" s="153"/>
      <c r="Q61" s="153"/>
      <c r="R61" s="153"/>
      <c r="S61" s="153"/>
      <c r="T61" s="142"/>
      <c r="U61" s="154"/>
      <c r="V61" s="154"/>
      <c r="W61" s="154"/>
      <c r="X61" s="142"/>
      <c r="Y61" s="142"/>
      <c r="Z61" s="142"/>
      <c r="AA61" s="142"/>
      <c r="AB61" s="153"/>
      <c r="AC61" s="153"/>
      <c r="AD61" s="153"/>
      <c r="AE61" s="153"/>
      <c r="AF61" s="142"/>
      <c r="AG61" s="154"/>
      <c r="AH61" s="154"/>
      <c r="AI61" s="154"/>
      <c r="AJ61" s="142"/>
      <c r="AK61" s="142"/>
      <c r="AL61" s="142"/>
      <c r="AM61" s="142"/>
      <c r="AN61" s="153"/>
      <c r="AO61" s="153"/>
      <c r="AP61" s="153"/>
      <c r="AQ61" s="153"/>
      <c r="AR61" s="142"/>
      <c r="AS61" s="155"/>
      <c r="AT61" s="155"/>
      <c r="AU61" s="155"/>
    </row>
    <row r="62" spans="1:47" ht="13.5" customHeight="1">
      <c r="A62" s="4013" t="s">
        <v>213</v>
      </c>
      <c r="B62" s="4051" t="s">
        <v>1209</v>
      </c>
      <c r="C62" s="147" t="s">
        <v>629</v>
      </c>
      <c r="D62" s="148">
        <v>45.546999999999997</v>
      </c>
      <c r="E62" s="148"/>
      <c r="F62" s="148"/>
      <c r="G62" s="148">
        <v>0</v>
      </c>
      <c r="H62" s="163">
        <f>+D62+G62+E62</f>
        <v>45.546999999999997</v>
      </c>
      <c r="I62" s="163">
        <f>+H62</f>
        <v>45.546999999999997</v>
      </c>
      <c r="J62" s="316">
        <f>2.669+28.717</f>
        <v>31.385999999999999</v>
      </c>
      <c r="K62" s="164">
        <f>+I62-J62</f>
        <v>14.160999999999998</v>
      </c>
      <c r="L62" s="142"/>
      <c r="M62" s="397"/>
      <c r="N62" s="142"/>
      <c r="O62" s="142"/>
      <c r="P62" s="153"/>
      <c r="Q62" s="153"/>
      <c r="R62" s="153"/>
      <c r="S62" s="153"/>
      <c r="T62" s="142"/>
      <c r="U62" s="154"/>
      <c r="V62" s="154"/>
      <c r="W62" s="154"/>
      <c r="X62" s="142"/>
      <c r="Y62" s="142"/>
      <c r="Z62" s="142"/>
      <c r="AA62" s="142"/>
      <c r="AB62" s="153"/>
      <c r="AC62" s="153"/>
      <c r="AD62" s="153"/>
      <c r="AE62" s="153"/>
      <c r="AF62" s="142"/>
      <c r="AG62" s="155"/>
      <c r="AH62" s="155"/>
      <c r="AI62" s="155"/>
      <c r="AJ62" s="142"/>
      <c r="AK62" s="142"/>
      <c r="AL62" s="142"/>
      <c r="AM62" s="142"/>
      <c r="AN62" s="153"/>
      <c r="AO62" s="153"/>
      <c r="AP62" s="153"/>
      <c r="AQ62" s="153"/>
      <c r="AR62" s="142"/>
      <c r="AS62" s="155"/>
      <c r="AT62" s="155"/>
      <c r="AU62" s="155"/>
    </row>
    <row r="63" spans="1:47" ht="13.8">
      <c r="A63" s="4014"/>
      <c r="B63" s="4052"/>
      <c r="C63" s="219" t="s">
        <v>152</v>
      </c>
      <c r="D63" s="220" t="s">
        <v>162</v>
      </c>
      <c r="E63" s="220" t="s">
        <v>162</v>
      </c>
      <c r="F63" s="220" t="s">
        <v>162</v>
      </c>
      <c r="G63" s="220" t="s">
        <v>162</v>
      </c>
      <c r="H63" s="221" t="s">
        <v>162</v>
      </c>
      <c r="I63" s="221" t="s">
        <v>162</v>
      </c>
      <c r="J63" s="221" t="s">
        <v>162</v>
      </c>
      <c r="K63" s="222" t="s">
        <v>162</v>
      </c>
      <c r="L63" s="142"/>
      <c r="M63" s="678"/>
      <c r="N63" s="142"/>
      <c r="O63" s="142"/>
      <c r="P63" s="153"/>
      <c r="Q63" s="153"/>
      <c r="R63" s="153"/>
      <c r="S63" s="153"/>
      <c r="T63" s="142"/>
      <c r="U63" s="154"/>
      <c r="V63" s="154"/>
      <c r="W63" s="154"/>
      <c r="X63" s="142"/>
      <c r="Y63" s="142"/>
      <c r="Z63" s="142"/>
      <c r="AA63" s="142"/>
      <c r="AB63" s="153"/>
      <c r="AC63" s="153"/>
      <c r="AD63" s="153"/>
      <c r="AE63" s="153"/>
      <c r="AF63" s="142"/>
      <c r="AG63" s="155"/>
      <c r="AH63" s="155"/>
      <c r="AI63" s="155"/>
      <c r="AJ63" s="142"/>
      <c r="AK63" s="142"/>
      <c r="AL63" s="142"/>
      <c r="AM63" s="142"/>
      <c r="AN63" s="153"/>
      <c r="AO63" s="153"/>
      <c r="AP63" s="153"/>
      <c r="AQ63" s="153"/>
      <c r="AR63" s="142"/>
      <c r="AS63" s="155"/>
      <c r="AT63" s="155"/>
      <c r="AU63" s="155"/>
    </row>
    <row r="64" spans="1:47" ht="13.8">
      <c r="A64" s="4014"/>
      <c r="B64" s="4053"/>
      <c r="C64" s="151" t="s">
        <v>63</v>
      </c>
      <c r="D64" s="149">
        <v>26.167000000000002</v>
      </c>
      <c r="E64" s="149"/>
      <c r="F64" s="149"/>
      <c r="G64" s="149">
        <v>0</v>
      </c>
      <c r="H64" s="165">
        <f>+D64+G64+E64</f>
        <v>26.167000000000002</v>
      </c>
      <c r="I64" s="397">
        <f>+H64+K62</f>
        <v>40.328000000000003</v>
      </c>
      <c r="J64" s="397">
        <v>40.326999999999998</v>
      </c>
      <c r="K64" s="398">
        <f>+I64-J64</f>
        <v>1.0000000000047748E-3</v>
      </c>
      <c r="L64" s="142"/>
      <c r="M64" s="154"/>
      <c r="N64" s="142"/>
      <c r="O64" s="142"/>
      <c r="P64" s="153"/>
      <c r="Q64" s="153"/>
      <c r="R64" s="153"/>
      <c r="S64" s="153"/>
      <c r="T64" s="142"/>
      <c r="U64" s="154"/>
      <c r="V64" s="154"/>
      <c r="W64" s="154"/>
      <c r="X64" s="142"/>
      <c r="Y64" s="142"/>
      <c r="Z64" s="142"/>
      <c r="AA64" s="142"/>
      <c r="AB64" s="153"/>
      <c r="AC64" s="153"/>
      <c r="AD64" s="153"/>
      <c r="AE64" s="153"/>
      <c r="AF64" s="142"/>
      <c r="AG64" s="155"/>
      <c r="AH64" s="155"/>
      <c r="AI64" s="155"/>
      <c r="AJ64" s="142"/>
      <c r="AK64" s="142"/>
      <c r="AL64" s="142"/>
      <c r="AM64" s="142"/>
      <c r="AN64" s="153"/>
      <c r="AO64" s="153"/>
      <c r="AP64" s="153"/>
      <c r="AQ64" s="153"/>
      <c r="AR64" s="142"/>
      <c r="AS64" s="155"/>
      <c r="AT64" s="155"/>
      <c r="AU64" s="155"/>
    </row>
    <row r="65" spans="1:47" ht="13.5" customHeight="1">
      <c r="A65" s="4013" t="s">
        <v>213</v>
      </c>
      <c r="B65" s="4004" t="s">
        <v>380</v>
      </c>
      <c r="C65" s="147" t="s">
        <v>629</v>
      </c>
      <c r="D65" s="148">
        <v>38.969000000000001</v>
      </c>
      <c r="E65" s="148"/>
      <c r="F65" s="148"/>
      <c r="G65" s="420">
        <v>-1.8580000000000001</v>
      </c>
      <c r="H65" s="163">
        <f>+D65+G65+E65</f>
        <v>37.111000000000004</v>
      </c>
      <c r="I65" s="163">
        <f>+H65</f>
        <v>37.111000000000004</v>
      </c>
      <c r="J65" s="316">
        <f>2.913+21.921</f>
        <v>24.834</v>
      </c>
      <c r="K65" s="164">
        <f>+I65-J65</f>
        <v>12.277000000000005</v>
      </c>
      <c r="M65" s="142"/>
      <c r="N65" s="142"/>
      <c r="O65" s="142"/>
      <c r="P65" s="153"/>
      <c r="Q65" s="153"/>
      <c r="R65" s="153"/>
      <c r="S65" s="153"/>
      <c r="T65" s="142"/>
      <c r="U65" s="155"/>
      <c r="V65" s="155"/>
      <c r="W65" s="155"/>
      <c r="AK65" s="142"/>
      <c r="AL65" s="142"/>
      <c r="AM65" s="142"/>
      <c r="AN65" s="153"/>
      <c r="AO65" s="153"/>
      <c r="AP65" s="153"/>
      <c r="AQ65" s="153"/>
      <c r="AR65" s="142"/>
      <c r="AS65" s="155"/>
      <c r="AT65" s="155"/>
      <c r="AU65" s="155"/>
    </row>
    <row r="66" spans="1:47" ht="13.8">
      <c r="A66" s="4014"/>
      <c r="B66" s="4005"/>
      <c r="C66" s="219" t="s">
        <v>152</v>
      </c>
      <c r="D66" s="220" t="s">
        <v>162</v>
      </c>
      <c r="E66" s="220" t="s">
        <v>162</v>
      </c>
      <c r="F66" s="220" t="s">
        <v>162</v>
      </c>
      <c r="G66" s="220" t="s">
        <v>162</v>
      </c>
      <c r="H66" s="221" t="s">
        <v>162</v>
      </c>
      <c r="I66" s="221" t="s">
        <v>162</v>
      </c>
      <c r="J66" s="221" t="s">
        <v>162</v>
      </c>
      <c r="K66" s="222" t="s">
        <v>162</v>
      </c>
      <c r="M66" s="142"/>
      <c r="N66" s="142"/>
      <c r="O66" s="142"/>
      <c r="P66" s="153"/>
      <c r="Q66" s="153"/>
      <c r="R66" s="153"/>
      <c r="S66" s="153"/>
      <c r="T66" s="142"/>
      <c r="U66" s="155"/>
      <c r="V66" s="155"/>
      <c r="W66" s="155"/>
      <c r="AK66" s="142"/>
      <c r="AL66" s="142"/>
      <c r="AM66" s="142"/>
      <c r="AN66" s="153"/>
      <c r="AO66" s="153"/>
      <c r="AP66" s="153"/>
      <c r="AQ66" s="153"/>
      <c r="AR66" s="142"/>
      <c r="AS66" s="155"/>
      <c r="AT66" s="155"/>
      <c r="AU66" s="155"/>
    </row>
    <row r="67" spans="1:47" ht="13.8">
      <c r="A67" s="4014"/>
      <c r="B67" s="4005"/>
      <c r="C67" s="151" t="s">
        <v>63</v>
      </c>
      <c r="D67" s="149">
        <v>22.388000000000002</v>
      </c>
      <c r="E67" s="149"/>
      <c r="F67" s="149"/>
      <c r="G67" s="425">
        <v>-1.091</v>
      </c>
      <c r="H67" s="165">
        <f>+D67+G67+E67</f>
        <v>21.297000000000001</v>
      </c>
      <c r="I67" s="397">
        <f>+H67+K65</f>
        <v>33.574000000000005</v>
      </c>
      <c r="J67" s="397">
        <f>2.328+2.134+23.189</f>
        <v>27.651</v>
      </c>
      <c r="K67" s="398">
        <f>+I67-J67</f>
        <v>5.9230000000000054</v>
      </c>
      <c r="M67" s="142"/>
      <c r="N67" s="142"/>
      <c r="O67" s="142"/>
      <c r="P67" s="153"/>
      <c r="Q67" s="153"/>
      <c r="R67" s="153"/>
      <c r="S67" s="153"/>
      <c r="T67" s="142"/>
      <c r="U67" s="155"/>
      <c r="V67" s="155"/>
      <c r="W67" s="155"/>
    </row>
    <row r="68" spans="1:47" ht="13.8">
      <c r="A68" s="4044" t="s">
        <v>213</v>
      </c>
      <c r="B68" s="4004" t="s">
        <v>381</v>
      </c>
      <c r="C68" s="147" t="s">
        <v>629</v>
      </c>
      <c r="D68" s="148">
        <v>22.355</v>
      </c>
      <c r="E68" s="148"/>
      <c r="F68" s="148"/>
      <c r="G68" s="148">
        <v>0</v>
      </c>
      <c r="H68" s="163">
        <f>+D68+G68+E68</f>
        <v>22.355</v>
      </c>
      <c r="I68" s="163">
        <f>+H68</f>
        <v>22.355</v>
      </c>
      <c r="J68" s="316">
        <f>9.979+8</f>
        <v>17.978999999999999</v>
      </c>
      <c r="K68" s="164">
        <f>+I68-J68</f>
        <v>4.3760000000000012</v>
      </c>
      <c r="M68" s="142"/>
      <c r="N68" s="142"/>
      <c r="O68" s="142"/>
      <c r="P68" s="153"/>
      <c r="Q68" s="153"/>
      <c r="R68" s="153"/>
      <c r="S68" s="153"/>
      <c r="T68" s="142"/>
      <c r="U68" s="155"/>
      <c r="V68" s="155"/>
      <c r="W68" s="155"/>
    </row>
    <row r="69" spans="1:47" ht="13.8">
      <c r="A69" s="4045"/>
      <c r="B69" s="4005"/>
      <c r="C69" s="219" t="s">
        <v>152</v>
      </c>
      <c r="D69" s="220" t="s">
        <v>162</v>
      </c>
      <c r="E69" s="220" t="s">
        <v>162</v>
      </c>
      <c r="F69" s="220" t="s">
        <v>162</v>
      </c>
      <c r="G69" s="220" t="s">
        <v>162</v>
      </c>
      <c r="H69" s="221" t="s">
        <v>162</v>
      </c>
      <c r="I69" s="221" t="s">
        <v>162</v>
      </c>
      <c r="J69" s="221" t="s">
        <v>162</v>
      </c>
      <c r="K69" s="222" t="s">
        <v>162</v>
      </c>
      <c r="M69" s="142"/>
      <c r="N69" s="142"/>
      <c r="O69" s="142"/>
      <c r="P69" s="153"/>
      <c r="Q69" s="153"/>
      <c r="R69" s="153"/>
      <c r="S69" s="153"/>
      <c r="T69" s="142"/>
      <c r="U69" s="155"/>
      <c r="V69" s="155"/>
      <c r="W69" s="155"/>
    </row>
    <row r="70" spans="1:47" ht="14.4" thickBot="1">
      <c r="A70" s="4045"/>
      <c r="B70" s="4034"/>
      <c r="C70" s="680" t="s">
        <v>63</v>
      </c>
      <c r="D70" s="681">
        <v>12.843</v>
      </c>
      <c r="E70" s="681"/>
      <c r="F70" s="681"/>
      <c r="G70" s="681">
        <v>0</v>
      </c>
      <c r="H70" s="683">
        <f>+D70+G70+E70</f>
        <v>12.843</v>
      </c>
      <c r="I70" s="684">
        <f>+H70+K68</f>
        <v>17.219000000000001</v>
      </c>
      <c r="J70" s="684">
        <v>7.6120000000000001</v>
      </c>
      <c r="K70" s="685">
        <f>+I70-J70</f>
        <v>9.6070000000000011</v>
      </c>
      <c r="M70" s="142"/>
      <c r="N70" s="142"/>
      <c r="O70" s="142"/>
      <c r="P70" s="153"/>
      <c r="Q70" s="153"/>
      <c r="R70" s="153"/>
      <c r="S70" s="153"/>
      <c r="T70" s="142"/>
      <c r="U70" s="155"/>
      <c r="V70" s="155"/>
      <c r="W70" s="155"/>
    </row>
    <row r="71" spans="1:47" ht="13.8">
      <c r="A71" s="4046" t="s">
        <v>190</v>
      </c>
      <c r="B71" s="4047"/>
      <c r="C71" s="3019" t="s">
        <v>816</v>
      </c>
      <c r="D71" s="3020">
        <f>+D5+D8+D11+D14+D17+D20+D23+D26+D29+D32+D44+D47+D50+D53+D56+D59+D62+D68+D65+D35+D38+D41</f>
        <v>668.90600000000018</v>
      </c>
      <c r="E71" s="3020">
        <f t="shared" ref="E71:J71" si="6">+E5+E8+E11+E14+E17+E20+E23+E26+E29+E32+E44+E47+E50+E53+E56+E59+E62+E68+E65+E35+E38+E41</f>
        <v>0</v>
      </c>
      <c r="F71" s="3020">
        <f t="shared" si="6"/>
        <v>0</v>
      </c>
      <c r="G71" s="3020">
        <f t="shared" si="6"/>
        <v>-43.176000000000002</v>
      </c>
      <c r="H71" s="3020">
        <f t="shared" si="6"/>
        <v>625.73000000000013</v>
      </c>
      <c r="I71" s="3020">
        <f t="shared" si="6"/>
        <v>625.73000000000013</v>
      </c>
      <c r="J71" s="3020">
        <f t="shared" si="6"/>
        <v>362.94099999999992</v>
      </c>
      <c r="K71" s="3021">
        <f>+K5+K8+K11+K14+K17+K20+K23+K26+K29+K32+K44+K47+K50+K53+K56+K59+K62+K68+K65+K35+K38+K41</f>
        <v>262.78900000000004</v>
      </c>
      <c r="M71" s="142"/>
      <c r="N71" s="142"/>
      <c r="O71" s="142"/>
      <c r="P71" s="153"/>
      <c r="Q71" s="153"/>
      <c r="R71" s="153"/>
      <c r="S71" s="153"/>
      <c r="T71" s="142"/>
      <c r="U71" s="155"/>
      <c r="V71" s="155"/>
      <c r="W71" s="155"/>
    </row>
    <row r="72" spans="1:47" ht="14.4" thickBot="1">
      <c r="A72" s="4048"/>
      <c r="B72" s="4049"/>
      <c r="C72" s="3022" t="s">
        <v>794</v>
      </c>
      <c r="D72" s="3023">
        <f>+D7+D10+D13+D16+D19+D22+D25+D28+D31+D34+D46+D49+D52+D55+D58+D61+D64+D70+D67+D37+D40+D43</f>
        <v>384.29300000000001</v>
      </c>
      <c r="E72" s="3023">
        <f t="shared" ref="E72:J72" si="7">+E7+E10+E13+E16+E19+E22+E25+E28+E31+E34+E46+E49+E52+E55+E58+E61+E64+E70+E67+E37+E40+E43</f>
        <v>3.097</v>
      </c>
      <c r="F72" s="3023">
        <f t="shared" si="7"/>
        <v>0</v>
      </c>
      <c r="G72" s="3023">
        <f t="shared" si="7"/>
        <v>-28.454000000000001</v>
      </c>
      <c r="H72" s="3023">
        <f t="shared" si="7"/>
        <v>358.93600000000009</v>
      </c>
      <c r="I72" s="3023">
        <f t="shared" si="7"/>
        <v>621.72500000000002</v>
      </c>
      <c r="J72" s="3023">
        <f t="shared" si="7"/>
        <v>207.12799999999999</v>
      </c>
      <c r="K72" s="3024">
        <f>+K7+K10+K13+K16+K19+K22+K25+K28+K31+K34+K46+K49+K52+K55+K58+K61+K64+K70+K67+K37+K40+K43</f>
        <v>414.59700000000004</v>
      </c>
      <c r="M72" s="142"/>
      <c r="N72" s="142"/>
      <c r="O72" s="142"/>
      <c r="P72" s="153"/>
      <c r="Q72" s="153"/>
      <c r="R72" s="153"/>
      <c r="S72" s="153"/>
      <c r="T72" s="142"/>
      <c r="U72" s="155"/>
      <c r="V72" s="155"/>
      <c r="W72" s="155"/>
    </row>
    <row r="73" spans="1:47">
      <c r="D73" s="247"/>
      <c r="I73" s="247"/>
      <c r="J73" s="960"/>
    </row>
    <row r="75" spans="1:47" ht="13.8" thickBot="1">
      <c r="K75" s="247" t="e">
        <f>+K71+N62:W62+W56+Z60+AL61+AI50+AK61+AW62+AU50+AU51</f>
        <v>#VALUE!</v>
      </c>
    </row>
    <row r="76" spans="1:47">
      <c r="A76" s="1342" t="s">
        <v>419</v>
      </c>
      <c r="B76" s="1343">
        <v>3656000</v>
      </c>
      <c r="C76" s="1335" t="s">
        <v>420</v>
      </c>
      <c r="E76" s="1340" t="s">
        <v>136</v>
      </c>
      <c r="F76" s="1341" t="s">
        <v>63</v>
      </c>
      <c r="G76" s="1335" t="s">
        <v>631</v>
      </c>
    </row>
    <row r="77" spans="1:47">
      <c r="A77" s="1344" t="s">
        <v>812</v>
      </c>
      <c r="B77" s="1345">
        <v>2322000</v>
      </c>
      <c r="C77" s="1336">
        <v>63</v>
      </c>
      <c r="E77" s="1358">
        <v>-97.093999999999994</v>
      </c>
      <c r="F77" s="1348">
        <v>-57023.289999999994</v>
      </c>
      <c r="G77" s="1349">
        <v>-154117</v>
      </c>
    </row>
    <row r="78" spans="1:47" ht="13.8" thickBot="1">
      <c r="A78" s="1346" t="s">
        <v>813</v>
      </c>
      <c r="B78" s="1347">
        <v>1334000</v>
      </c>
      <c r="C78" s="1337">
        <v>37</v>
      </c>
      <c r="E78" s="1350">
        <v>-127923.39000000001</v>
      </c>
      <c r="F78" s="1351">
        <v>-75129.61</v>
      </c>
      <c r="G78" s="1352">
        <v>-203053</v>
      </c>
    </row>
    <row r="79" spans="1:47" ht="13.8" thickBot="1">
      <c r="A79" s="1332"/>
      <c r="B79" s="1333"/>
      <c r="C79" s="1334"/>
      <c r="E79" s="1356">
        <f>SUM(E77:E78)</f>
        <v>-128020.48400000001</v>
      </c>
      <c r="F79" s="1357">
        <f>SUM(F77:F78)</f>
        <v>-132152.9</v>
      </c>
      <c r="G79" s="4345">
        <f>SUM(G77:G78)</f>
        <v>-357170</v>
      </c>
    </row>
    <row r="80" spans="1:47">
      <c r="A80" s="1332"/>
      <c r="B80" s="1333"/>
      <c r="C80" s="1338" t="s">
        <v>814</v>
      </c>
      <c r="D80" s="1011">
        <v>1869428.7071215634</v>
      </c>
      <c r="G80" s="1200"/>
      <c r="H80" s="392"/>
    </row>
    <row r="81" spans="1:4" ht="13.8" thickBot="1">
      <c r="A81" s="1332"/>
      <c r="B81" s="1333"/>
      <c r="C81" s="1339" t="s">
        <v>815</v>
      </c>
      <c r="D81" s="1353">
        <v>1786571.2928784383</v>
      </c>
    </row>
    <row r="82" spans="1:4" ht="13.8" thickBot="1">
      <c r="C82" s="1354"/>
      <c r="D82" s="1355">
        <v>3656000.0000000019</v>
      </c>
    </row>
  </sheetData>
  <mergeCells count="145">
    <mergeCell ref="A68:A70"/>
    <mergeCell ref="B68:B70"/>
    <mergeCell ref="A65:A67"/>
    <mergeCell ref="B65:B67"/>
    <mergeCell ref="A62:A64"/>
    <mergeCell ref="A71:B72"/>
    <mergeCell ref="AK50:AL52"/>
    <mergeCell ref="A56:A58"/>
    <mergeCell ref="B56:B58"/>
    <mergeCell ref="M56:N58"/>
    <mergeCell ref="A59:A61"/>
    <mergeCell ref="N53:N55"/>
    <mergeCell ref="B62:B64"/>
    <mergeCell ref="A53:A55"/>
    <mergeCell ref="B53:B55"/>
    <mergeCell ref="B50:B52"/>
    <mergeCell ref="B59:B61"/>
    <mergeCell ref="M53:M55"/>
    <mergeCell ref="M50:M52"/>
    <mergeCell ref="N50:N52"/>
    <mergeCell ref="A50:A52"/>
    <mergeCell ref="A32:A34"/>
    <mergeCell ref="B32:B34"/>
    <mergeCell ref="A29:A31"/>
    <mergeCell ref="N47:N49"/>
    <mergeCell ref="Y50:Z52"/>
    <mergeCell ref="Z41:Z43"/>
    <mergeCell ref="Y41:Y43"/>
    <mergeCell ref="M41:M43"/>
    <mergeCell ref="N41:N43"/>
    <mergeCell ref="Y44:Y46"/>
    <mergeCell ref="Z44:Z46"/>
    <mergeCell ref="A47:A49"/>
    <mergeCell ref="M38:M40"/>
    <mergeCell ref="A44:A46"/>
    <mergeCell ref="B44:B46"/>
    <mergeCell ref="AL32:AL34"/>
    <mergeCell ref="Y38:Y40"/>
    <mergeCell ref="Z38:Z40"/>
    <mergeCell ref="Y32:Y34"/>
    <mergeCell ref="AL35:AL37"/>
    <mergeCell ref="Y35:Y37"/>
    <mergeCell ref="M35:M37"/>
    <mergeCell ref="N35:N37"/>
    <mergeCell ref="AK32:AK34"/>
    <mergeCell ref="Z32:Z34"/>
    <mergeCell ref="M32:M34"/>
    <mergeCell ref="N32:N34"/>
    <mergeCell ref="AL44:AL46"/>
    <mergeCell ref="AL47:AL49"/>
    <mergeCell ref="Y47:Y49"/>
    <mergeCell ref="Z47:Z49"/>
    <mergeCell ref="M47:M49"/>
    <mergeCell ref="A35:A37"/>
    <mergeCell ref="A38:A40"/>
    <mergeCell ref="B35:B37"/>
    <mergeCell ref="B38:B40"/>
    <mergeCell ref="A41:A43"/>
    <mergeCell ref="Z35:Z37"/>
    <mergeCell ref="AK35:AK37"/>
    <mergeCell ref="AL41:AL43"/>
    <mergeCell ref="AK38:AK40"/>
    <mergeCell ref="AL38:AL40"/>
    <mergeCell ref="AK41:AK43"/>
    <mergeCell ref="N38:N40"/>
    <mergeCell ref="B47:B49"/>
    <mergeCell ref="M44:M46"/>
    <mergeCell ref="N44:N46"/>
    <mergeCell ref="AK47:AK49"/>
    <mergeCell ref="AK44:AK46"/>
    <mergeCell ref="Y26:Y28"/>
    <mergeCell ref="Y29:Y31"/>
    <mergeCell ref="AK26:AK28"/>
    <mergeCell ref="AL26:AL28"/>
    <mergeCell ref="AL29:AL31"/>
    <mergeCell ref="Y23:Y25"/>
    <mergeCell ref="Z23:Z25"/>
    <mergeCell ref="Z26:Z28"/>
    <mergeCell ref="A26:A28"/>
    <mergeCell ref="B26:B28"/>
    <mergeCell ref="M29:M31"/>
    <mergeCell ref="N29:N31"/>
    <mergeCell ref="M26:M28"/>
    <mergeCell ref="N26:N28"/>
    <mergeCell ref="B29:B31"/>
    <mergeCell ref="AK29:AK31"/>
    <mergeCell ref="Z29:Z31"/>
    <mergeCell ref="A20:A22"/>
    <mergeCell ref="B20:B22"/>
    <mergeCell ref="A23:A25"/>
    <mergeCell ref="B23:B25"/>
    <mergeCell ref="M20:M22"/>
    <mergeCell ref="N20:N22"/>
    <mergeCell ref="AK17:AK19"/>
    <mergeCell ref="AL17:AL19"/>
    <mergeCell ref="Y20:Y22"/>
    <mergeCell ref="Z20:Z22"/>
    <mergeCell ref="AK20:AK22"/>
    <mergeCell ref="AL20:AL22"/>
    <mergeCell ref="Y17:Y19"/>
    <mergeCell ref="Z17:Z19"/>
    <mergeCell ref="AK23:AK25"/>
    <mergeCell ref="AL23:AL25"/>
    <mergeCell ref="Y14:Y16"/>
    <mergeCell ref="Z14:Z16"/>
    <mergeCell ref="AK14:AK16"/>
    <mergeCell ref="AL14:AL16"/>
    <mergeCell ref="Y11:Y13"/>
    <mergeCell ref="Z11:Z13"/>
    <mergeCell ref="AK11:AK13"/>
    <mergeCell ref="AL11:AL13"/>
    <mergeCell ref="M23:M25"/>
    <mergeCell ref="N23:N25"/>
    <mergeCell ref="A11:A13"/>
    <mergeCell ref="B11:B13"/>
    <mergeCell ref="M11:M13"/>
    <mergeCell ref="N11:N13"/>
    <mergeCell ref="M14:M16"/>
    <mergeCell ref="N14:N16"/>
    <mergeCell ref="M17:M19"/>
    <mergeCell ref="N17:N19"/>
    <mergeCell ref="A14:A16"/>
    <mergeCell ref="B14:B16"/>
    <mergeCell ref="A17:A19"/>
    <mergeCell ref="B17:B19"/>
    <mergeCell ref="AL8:AL10"/>
    <mergeCell ref="N5:N7"/>
    <mergeCell ref="Y8:Y10"/>
    <mergeCell ref="Z8:Z10"/>
    <mergeCell ref="AK8:AK10"/>
    <mergeCell ref="A8:A10"/>
    <mergeCell ref="B8:B10"/>
    <mergeCell ref="M8:M10"/>
    <mergeCell ref="N8:N10"/>
    <mergeCell ref="A2:G2"/>
    <mergeCell ref="A5:A7"/>
    <mergeCell ref="B5:B7"/>
    <mergeCell ref="M5:M7"/>
    <mergeCell ref="M2:S2"/>
    <mergeCell ref="Y2:AE2"/>
    <mergeCell ref="Y5:Y7"/>
    <mergeCell ref="Z5:Z7"/>
    <mergeCell ref="AK5:AK7"/>
    <mergeCell ref="AK2:AQ2"/>
    <mergeCell ref="AL5:AL7"/>
  </mergeCells>
  <phoneticPr fontId="0" type="noConversion"/>
  <pageMargins left="0.75" right="0.75" top="1" bottom="1" header="0" footer="0"/>
  <pageSetup paperSize="5" orientation="portrait" r:id="rId1"/>
  <headerFooter alignWithMargins="0"/>
  <legacyDrawing r:id="rId2"/>
</worksheet>
</file>

<file path=xl/worksheets/sheet24.xml><?xml version="1.0" encoding="utf-8"?>
<worksheet xmlns="http://schemas.openxmlformats.org/spreadsheetml/2006/main" xmlns:r="http://schemas.openxmlformats.org/officeDocument/2006/relationships">
  <sheetPr>
    <tabColor rgb="FF00B0F0"/>
  </sheetPr>
  <dimension ref="A2:O33"/>
  <sheetViews>
    <sheetView topLeftCell="F1" workbookViewId="0">
      <selection activeCell="L24" sqref="L24"/>
    </sheetView>
  </sheetViews>
  <sheetFormatPr baseColWidth="10" defaultColWidth="11.44140625" defaultRowHeight="13.2"/>
  <cols>
    <col min="1" max="1" width="11.44140625" style="189"/>
    <col min="2" max="2" width="22.5546875" style="189" customWidth="1"/>
    <col min="3" max="3" width="11.6640625" style="189" customWidth="1"/>
    <col min="4" max="4" width="11.44140625" style="189"/>
    <col min="5" max="5" width="13.109375" style="189" customWidth="1"/>
    <col min="6" max="6" width="11.109375" style="189" customWidth="1"/>
    <col min="7" max="7" width="14.44140625" style="189" bestFit="1" customWidth="1"/>
    <col min="8" max="8" width="13.88671875" style="189" bestFit="1" customWidth="1"/>
    <col min="9" max="9" width="10.44140625" style="189" customWidth="1"/>
    <col min="10" max="10" width="12.6640625" style="189" customWidth="1"/>
    <col min="11" max="11" width="12.44140625" style="189" bestFit="1" customWidth="1"/>
    <col min="12" max="12" width="11" style="189" customWidth="1"/>
    <col min="13" max="13" width="19.33203125" style="189" bestFit="1" customWidth="1"/>
    <col min="14" max="16384" width="11.44140625" style="189"/>
  </cols>
  <sheetData>
    <row r="2" spans="1:15" ht="15">
      <c r="A2" s="3854" t="s">
        <v>391</v>
      </c>
      <c r="B2" s="3855"/>
      <c r="C2" s="3855"/>
      <c r="D2" s="3855"/>
      <c r="E2" s="3855"/>
      <c r="F2" s="3855"/>
      <c r="G2" s="3855"/>
      <c r="H2" s="3855"/>
      <c r="I2" s="3855"/>
      <c r="J2" s="3855"/>
      <c r="K2" s="3855"/>
      <c r="L2" s="3856"/>
    </row>
    <row r="3" spans="1:15" ht="15">
      <c r="A3" s="49"/>
      <c r="B3" s="1"/>
      <c r="C3" s="14"/>
      <c r="D3" s="14"/>
      <c r="E3" s="14"/>
      <c r="F3" s="14"/>
      <c r="G3" s="14"/>
      <c r="H3" s="14"/>
      <c r="I3" s="14"/>
      <c r="J3" s="14"/>
      <c r="K3" s="14"/>
      <c r="L3" s="14"/>
    </row>
    <row r="4" spans="1:15" ht="15">
      <c r="A4" s="1"/>
      <c r="B4" s="156"/>
      <c r="C4" s="1"/>
      <c r="D4" s="1"/>
      <c r="E4" s="1"/>
      <c r="F4" s="1"/>
      <c r="G4" s="1"/>
      <c r="H4" s="1"/>
      <c r="I4" s="1"/>
      <c r="J4" s="1"/>
      <c r="K4" s="1"/>
      <c r="L4" s="1"/>
      <c r="M4" s="721"/>
    </row>
    <row r="5" spans="1:15" ht="45">
      <c r="A5" s="1"/>
      <c r="B5" s="208" t="s">
        <v>142</v>
      </c>
      <c r="C5" s="209" t="s">
        <v>217</v>
      </c>
      <c r="D5" s="209" t="s">
        <v>218</v>
      </c>
      <c r="E5" s="209" t="s">
        <v>3</v>
      </c>
      <c r="F5" s="209" t="s">
        <v>4</v>
      </c>
      <c r="G5" s="209" t="s">
        <v>177</v>
      </c>
      <c r="H5" s="209" t="s">
        <v>219</v>
      </c>
      <c r="I5" s="208" t="s">
        <v>220</v>
      </c>
      <c r="J5" s="209" t="s">
        <v>221</v>
      </c>
      <c r="K5" s="209" t="s">
        <v>222</v>
      </c>
      <c r="L5" s="209" t="s">
        <v>223</v>
      </c>
      <c r="M5" s="554" t="s">
        <v>501</v>
      </c>
    </row>
    <row r="6" spans="1:15" ht="15">
      <c r="A6" s="1"/>
      <c r="B6" s="4064" t="s">
        <v>98</v>
      </c>
      <c r="C6" s="3809">
        <f>+H6+H7</f>
        <v>1055</v>
      </c>
      <c r="D6" s="3809">
        <f>+C6</f>
        <v>1055</v>
      </c>
      <c r="E6" s="3809">
        <f>+SUM(K6:K7)</f>
        <v>452.67660999999998</v>
      </c>
      <c r="F6" s="3809">
        <f>+D6-E6</f>
        <v>602.32339000000002</v>
      </c>
      <c r="G6" s="46" t="s">
        <v>315</v>
      </c>
      <c r="H6" s="46">
        <v>451.01299999999998</v>
      </c>
      <c r="I6" s="46"/>
      <c r="J6" s="379">
        <f>+H6</f>
        <v>451.01299999999998</v>
      </c>
      <c r="K6" s="4331">
        <f>+SUM('MERL. SUR XII '!B21:B27)+SUM('MERL. SUR XII '!B37:B43)+M6</f>
        <v>247.01968000000002</v>
      </c>
      <c r="L6" s="503">
        <f>+J6-K6</f>
        <v>203.99331999999995</v>
      </c>
      <c r="M6" s="594">
        <v>85.647999999999996</v>
      </c>
      <c r="N6" s="498"/>
    </row>
    <row r="7" spans="1:15" ht="15">
      <c r="A7" s="1"/>
      <c r="B7" s="4065"/>
      <c r="C7" s="4057"/>
      <c r="D7" s="4057"/>
      <c r="E7" s="4057"/>
      <c r="F7" s="4057"/>
      <c r="G7" s="4332" t="s">
        <v>316</v>
      </c>
      <c r="H7" s="157">
        <v>603.98699999999997</v>
      </c>
      <c r="I7" s="157"/>
      <c r="J7" s="379">
        <f>+H7</f>
        <v>603.98699999999997</v>
      </c>
      <c r="K7" s="722">
        <f>+SUM('MERL. SUR XII '!B5:B11)+M7</f>
        <v>205.65692999999999</v>
      </c>
      <c r="L7" s="504">
        <f>+J7-K7</f>
        <v>398.33006999999998</v>
      </c>
      <c r="M7" s="595">
        <v>106.65600000000001</v>
      </c>
      <c r="N7" s="498"/>
    </row>
    <row r="8" spans="1:15" ht="15.6" thickBot="1">
      <c r="A8" s="1"/>
      <c r="B8" s="210" t="s">
        <v>152</v>
      </c>
      <c r="C8" s="211" t="s">
        <v>162</v>
      </c>
      <c r="D8" s="211" t="s">
        <v>162</v>
      </c>
      <c r="E8" s="211" t="s">
        <v>162</v>
      </c>
      <c r="F8" s="725" t="s">
        <v>162</v>
      </c>
      <c r="G8" s="211" t="str">
        <f>+C8</f>
        <v>Veda</v>
      </c>
      <c r="H8" s="211" t="str">
        <f>+C8</f>
        <v>Veda</v>
      </c>
      <c r="I8" s="211" t="str">
        <f>+G8</f>
        <v>Veda</v>
      </c>
      <c r="J8" s="211" t="str">
        <f>+H8</f>
        <v>Veda</v>
      </c>
      <c r="K8" s="211" t="str">
        <f>+I8</f>
        <v>Veda</v>
      </c>
      <c r="L8" s="212" t="str">
        <f>+J8</f>
        <v>Veda</v>
      </c>
      <c r="M8" s="499" t="s">
        <v>162</v>
      </c>
      <c r="N8" s="498"/>
    </row>
    <row r="9" spans="1:15" ht="15">
      <c r="A9" s="1"/>
      <c r="B9" s="3976" t="s">
        <v>99</v>
      </c>
      <c r="C9" s="3979">
        <f>+H9+H10</f>
        <v>609</v>
      </c>
      <c r="D9" s="4058">
        <f>+C9+L6+L7</f>
        <v>1211.32339</v>
      </c>
      <c r="E9" s="4060">
        <f>+SUM(K9:K10)</f>
        <v>917.12488000000008</v>
      </c>
      <c r="F9" s="4062">
        <f>+D9-E9</f>
        <v>294.19850999999994</v>
      </c>
      <c r="G9" s="723" t="s">
        <v>315</v>
      </c>
      <c r="H9" s="46">
        <v>260.34800000000001</v>
      </c>
      <c r="I9" s="383"/>
      <c r="J9" s="500">
        <f>+H9-I9+L6</f>
        <v>464.34132</v>
      </c>
      <c r="K9" s="4333">
        <f>+SUM('MERL. SUR XII '!B29:B32)+SUM('MERL. SUR XII '!B45:B48)+M9</f>
        <v>317.96200000000005</v>
      </c>
      <c r="L9" s="501">
        <f>+J9-K9</f>
        <v>146.37931999999995</v>
      </c>
      <c r="M9" s="596">
        <f>233.836+34.3+2.5</f>
        <v>270.63600000000002</v>
      </c>
      <c r="N9" s="498"/>
    </row>
    <row r="10" spans="1:15" ht="15.6" thickBot="1">
      <c r="A10" s="1"/>
      <c r="B10" s="3978"/>
      <c r="C10" s="3810"/>
      <c r="D10" s="4059"/>
      <c r="E10" s="4061"/>
      <c r="F10" s="4063"/>
      <c r="G10" s="724" t="s">
        <v>316</v>
      </c>
      <c r="H10" s="716">
        <v>348.65199999999999</v>
      </c>
      <c r="I10" s="717"/>
      <c r="J10" s="718">
        <f>+H10-I10+L7</f>
        <v>746.98207000000002</v>
      </c>
      <c r="K10" s="4334">
        <f>+SUM('MERL. SUR XII '!B13:B16)+M10</f>
        <v>599.16287999999997</v>
      </c>
      <c r="L10" s="719">
        <f>+J10-K10</f>
        <v>147.81919000000005</v>
      </c>
      <c r="M10" s="597">
        <f>291.192+262.8+20.2</f>
        <v>574.19200000000001</v>
      </c>
      <c r="N10" s="246"/>
    </row>
    <row r="11" spans="1:15" ht="15.6" thickBot="1">
      <c r="A11" s="1"/>
      <c r="B11" s="4070" t="s">
        <v>111</v>
      </c>
      <c r="C11" s="4072">
        <f>+SUM(C6:C10)</f>
        <v>1664</v>
      </c>
      <c r="D11" s="4072"/>
      <c r="E11" s="4072">
        <f>+SUM(K11:K12)</f>
        <v>1369.8014900000001</v>
      </c>
      <c r="F11" s="4066"/>
      <c r="G11" s="505" t="s">
        <v>224</v>
      </c>
      <c r="H11" s="505">
        <f>+H6+H9</f>
        <v>711.36099999999999</v>
      </c>
      <c r="I11" s="505">
        <v>0</v>
      </c>
      <c r="J11" s="505">
        <f t="shared" ref="J11:M12" si="0">+J6+J9</f>
        <v>915.35431999999992</v>
      </c>
      <c r="K11" s="3549">
        <f t="shared" si="0"/>
        <v>564.9816800000001</v>
      </c>
      <c r="L11" s="3572"/>
      <c r="M11" s="714">
        <f>+M6+M9</f>
        <v>356.28399999999999</v>
      </c>
      <c r="N11" s="497"/>
    </row>
    <row r="12" spans="1:15" ht="15.6" thickBot="1">
      <c r="A12" s="1"/>
      <c r="B12" s="4071"/>
      <c r="C12" s="4073"/>
      <c r="D12" s="4073"/>
      <c r="E12" s="4073"/>
      <c r="F12" s="4067"/>
      <c r="G12" s="505" t="s">
        <v>316</v>
      </c>
      <c r="H12" s="728">
        <f>+H7+H10</f>
        <v>952.6389999999999</v>
      </c>
      <c r="I12" s="505">
        <v>0</v>
      </c>
      <c r="J12" s="505">
        <f t="shared" si="0"/>
        <v>1350.9690700000001</v>
      </c>
      <c r="K12" s="3548">
        <f t="shared" si="0"/>
        <v>804.81980999999996</v>
      </c>
      <c r="L12" s="3572"/>
      <c r="M12" s="715">
        <f t="shared" si="0"/>
        <v>680.84799999999996</v>
      </c>
      <c r="N12" s="497"/>
    </row>
    <row r="13" spans="1:15" ht="15.6" thickBot="1">
      <c r="A13" s="1"/>
      <c r="B13" s="158"/>
      <c r="C13" s="159"/>
      <c r="D13" s="159"/>
      <c r="E13" s="159"/>
      <c r="F13" s="159"/>
      <c r="G13" s="726" t="s">
        <v>317</v>
      </c>
      <c r="H13" s="729">
        <f>+H11+H12</f>
        <v>1664</v>
      </c>
      <c r="I13" s="727"/>
      <c r="J13" s="726"/>
      <c r="K13" s="729">
        <f>+K11+K12</f>
        <v>1369.8014900000001</v>
      </c>
      <c r="L13" s="3574">
        <f>+H13-K13</f>
        <v>294.19850999999994</v>
      </c>
      <c r="M13" s="4326">
        <f>SUM(M11:M12)</f>
        <v>1037.1320000000001</v>
      </c>
      <c r="N13" s="502"/>
      <c r="O13" s="247"/>
    </row>
    <row r="14" spans="1:15" ht="15.6" thickBot="1">
      <c r="A14" s="1"/>
      <c r="B14" s="1"/>
      <c r="C14" s="1"/>
      <c r="D14" s="1"/>
      <c r="E14" s="1"/>
      <c r="F14" s="1"/>
      <c r="G14" s="1"/>
      <c r="H14" s="1"/>
      <c r="I14" s="1"/>
      <c r="J14" s="1"/>
      <c r="K14" s="1"/>
      <c r="L14" s="3575" t="s">
        <v>1301</v>
      </c>
      <c r="M14" s="3576" t="s">
        <v>1300</v>
      </c>
    </row>
    <row r="15" spans="1:15" ht="15.6" thickBot="1">
      <c r="A15" s="1"/>
      <c r="B15" s="4074" t="s">
        <v>414</v>
      </c>
      <c r="C15" s="4075"/>
      <c r="D15" s="202"/>
      <c r="E15" s="202"/>
      <c r="F15" s="202"/>
      <c r="G15" s="202"/>
      <c r="H15" s="202"/>
      <c r="I15" s="203"/>
      <c r="J15" s="160"/>
      <c r="K15" s="160"/>
      <c r="L15" s="1"/>
      <c r="M15" s="3573"/>
    </row>
    <row r="16" spans="1:15" ht="15.6" thickBot="1">
      <c r="A16" s="1"/>
      <c r="B16" s="4068" t="s">
        <v>421</v>
      </c>
      <c r="C16" s="4069"/>
      <c r="D16" s="204"/>
      <c r="E16" s="204"/>
      <c r="F16" s="204"/>
      <c r="G16" s="204"/>
      <c r="H16" s="204"/>
      <c r="I16" s="205"/>
      <c r="M16" s="247"/>
    </row>
    <row r="17" spans="1:12" ht="13.8" thickBot="1">
      <c r="H17" s="3694"/>
    </row>
    <row r="18" spans="1:12" ht="15.6" thickBot="1">
      <c r="F18" s="392" t="s">
        <v>417</v>
      </c>
      <c r="J18" s="3695" t="s">
        <v>1315</v>
      </c>
      <c r="K18" s="3696"/>
      <c r="L18" s="3697">
        <v>332.66899999999998</v>
      </c>
    </row>
    <row r="19" spans="1:12" ht="16.2" customHeight="1">
      <c r="A19" s="496" t="s">
        <v>502</v>
      </c>
      <c r="B19" s="198" t="s">
        <v>219</v>
      </c>
      <c r="G19" s="365"/>
      <c r="H19" s="365"/>
      <c r="I19" s="365"/>
      <c r="J19" s="3083" t="s">
        <v>1321</v>
      </c>
      <c r="L19" s="4328">
        <v>338.13499999999999</v>
      </c>
    </row>
    <row r="20" spans="1:12" ht="15">
      <c r="B20" s="494">
        <v>193.23</v>
      </c>
      <c r="E20" s="495"/>
    </row>
    <row r="21" spans="1:12" ht="15">
      <c r="B21" s="48">
        <v>258.77</v>
      </c>
      <c r="E21" s="495"/>
    </row>
    <row r="22" spans="1:12" ht="15">
      <c r="B22" s="46">
        <v>257.78300000000002</v>
      </c>
    </row>
    <row r="23" spans="1:12" ht="15">
      <c r="B23" s="157">
        <v>345.21699999999998</v>
      </c>
    </row>
    <row r="24" spans="1:12" ht="15">
      <c r="B24" s="211" t="s">
        <v>162</v>
      </c>
    </row>
    <row r="25" spans="1:12" ht="15">
      <c r="B25" s="46">
        <v>129.10499999999999</v>
      </c>
      <c r="E25" s="193"/>
      <c r="F25" s="193"/>
    </row>
    <row r="26" spans="1:12">
      <c r="B26" s="380">
        <v>172.89500000000001</v>
      </c>
    </row>
    <row r="27" spans="1:12">
      <c r="B27" s="381">
        <v>64.552999999999997</v>
      </c>
    </row>
    <row r="28" spans="1:12">
      <c r="B28" s="382">
        <v>86.447000000000003</v>
      </c>
    </row>
    <row r="29" spans="1:12">
      <c r="B29" s="381">
        <v>66.69</v>
      </c>
    </row>
    <row r="30" spans="1:12">
      <c r="B30" s="382">
        <v>89.31</v>
      </c>
    </row>
    <row r="31" spans="1:12" ht="15">
      <c r="B31" s="378">
        <f>+B20+B22+B25+B27+B29</f>
        <v>711.3610000000001</v>
      </c>
    </row>
    <row r="32" spans="1:12" ht="15">
      <c r="B32" s="206">
        <f>+B21+B23+B26+B28+B30</f>
        <v>952.6389999999999</v>
      </c>
    </row>
    <row r="33" spans="2:2" ht="15">
      <c r="B33" s="207">
        <f>+B31+B32</f>
        <v>1664</v>
      </c>
    </row>
  </sheetData>
  <mergeCells count="18">
    <mergeCell ref="F11:F12"/>
    <mergeCell ref="E6:E7"/>
    <mergeCell ref="B16:C16"/>
    <mergeCell ref="B11:B12"/>
    <mergeCell ref="C11:C12"/>
    <mergeCell ref="D11:D12"/>
    <mergeCell ref="B15:C15"/>
    <mergeCell ref="E11:E12"/>
    <mergeCell ref="A2:L2"/>
    <mergeCell ref="F6:F7"/>
    <mergeCell ref="B9:B10"/>
    <mergeCell ref="C9:C10"/>
    <mergeCell ref="D9:D10"/>
    <mergeCell ref="E9:E10"/>
    <mergeCell ref="F9:F10"/>
    <mergeCell ref="B6:B7"/>
    <mergeCell ref="C6:C7"/>
    <mergeCell ref="D6:D7"/>
  </mergeCells>
  <phoneticPr fontId="0" type="noConversion"/>
  <pageMargins left="0.75" right="0.75" top="1" bottom="1" header="0" footer="0"/>
  <pageSetup paperSize="9" orientation="portrait" r:id="rId1"/>
  <headerFooter alignWithMargins="0"/>
  <legacyDrawing r:id="rId2"/>
  <oleObjects>
    <oleObject progId="MSPhotoEd.3" shapeId="20481" r:id="rId3"/>
  </oleObjects>
</worksheet>
</file>

<file path=xl/worksheets/sheet25.xml><?xml version="1.0" encoding="utf-8"?>
<worksheet xmlns="http://schemas.openxmlformats.org/spreadsheetml/2006/main" xmlns:r="http://schemas.openxmlformats.org/officeDocument/2006/relationships">
  <dimension ref="A1:AH59"/>
  <sheetViews>
    <sheetView topLeftCell="A31" zoomScale="79" zoomScaleNormal="79" workbookViewId="0">
      <selection activeCell="A54" sqref="A54:B54"/>
    </sheetView>
  </sheetViews>
  <sheetFormatPr baseColWidth="10" defaultRowHeight="13.2"/>
  <sheetData>
    <row r="1" spans="1:34" ht="13.8" thickBot="1">
      <c r="A1" s="430"/>
      <c r="B1" s="431" t="s">
        <v>423</v>
      </c>
      <c r="C1" s="432"/>
      <c r="D1" s="432"/>
      <c r="E1" s="432"/>
      <c r="F1" s="432"/>
      <c r="G1" s="432"/>
      <c r="H1" s="432"/>
      <c r="I1" s="432"/>
      <c r="J1" s="432"/>
      <c r="K1" s="432"/>
      <c r="L1" s="432"/>
      <c r="M1" s="432"/>
      <c r="N1" s="432"/>
      <c r="O1" s="433"/>
    </row>
    <row r="3" spans="1:34" ht="15">
      <c r="A3" s="3854" t="s">
        <v>316</v>
      </c>
      <c r="B3" s="3855"/>
      <c r="C3" s="3855"/>
      <c r="D3" s="3855"/>
      <c r="E3" s="3855"/>
      <c r="F3" s="3855"/>
      <c r="G3" s="3855"/>
      <c r="H3" s="3856"/>
      <c r="I3" s="14"/>
      <c r="J3" s="14"/>
      <c r="K3" s="14"/>
      <c r="L3" s="14"/>
      <c r="M3" s="14"/>
      <c r="N3" s="14"/>
      <c r="O3" s="14"/>
      <c r="P3" s="14"/>
      <c r="Q3" s="14"/>
      <c r="R3" s="14"/>
      <c r="S3" s="14"/>
      <c r="T3" s="14"/>
      <c r="U3" s="14"/>
      <c r="V3" s="14"/>
      <c r="W3" s="14"/>
      <c r="X3" s="14"/>
      <c r="Y3" s="14"/>
      <c r="Z3" s="14"/>
      <c r="AA3" s="14"/>
      <c r="AB3" s="14"/>
      <c r="AC3" s="14"/>
      <c r="AD3" s="14"/>
      <c r="AE3" s="14"/>
      <c r="AF3" s="14"/>
      <c r="AG3" s="14"/>
      <c r="AH3" s="14"/>
    </row>
    <row r="4" spans="1:34" ht="15">
      <c r="A4" s="8" t="s">
        <v>142</v>
      </c>
      <c r="B4" s="8" t="s">
        <v>143</v>
      </c>
      <c r="C4" s="2907">
        <v>1</v>
      </c>
      <c r="D4" s="73">
        <v>2</v>
      </c>
      <c r="E4" s="73">
        <v>3</v>
      </c>
      <c r="F4" s="73">
        <v>4</v>
      </c>
      <c r="G4" s="73">
        <v>5</v>
      </c>
      <c r="H4" s="73">
        <v>6</v>
      </c>
      <c r="I4" s="73">
        <v>7</v>
      </c>
      <c r="J4" s="73">
        <v>8</v>
      </c>
      <c r="K4" s="73">
        <v>9</v>
      </c>
      <c r="L4" s="73">
        <v>10</v>
      </c>
      <c r="M4" s="73">
        <v>11</v>
      </c>
      <c r="N4" s="73">
        <v>12</v>
      </c>
      <c r="O4" s="73">
        <v>13</v>
      </c>
      <c r="P4" s="73">
        <v>14</v>
      </c>
      <c r="Q4" s="73">
        <v>15</v>
      </c>
      <c r="R4" s="73">
        <v>16</v>
      </c>
      <c r="S4" s="73">
        <v>17</v>
      </c>
      <c r="T4" s="73">
        <v>18</v>
      </c>
      <c r="U4" s="73">
        <v>19</v>
      </c>
      <c r="V4" s="73">
        <v>20</v>
      </c>
      <c r="W4" s="73">
        <v>21</v>
      </c>
      <c r="X4" s="73">
        <v>22</v>
      </c>
      <c r="Y4" s="73">
        <v>23</v>
      </c>
      <c r="Z4" s="73">
        <v>24</v>
      </c>
      <c r="AA4" s="73">
        <v>25</v>
      </c>
      <c r="AB4" s="73">
        <v>26</v>
      </c>
      <c r="AC4" s="73">
        <v>27</v>
      </c>
      <c r="AD4" s="73">
        <v>28</v>
      </c>
      <c r="AE4" s="73">
        <v>29</v>
      </c>
      <c r="AF4" s="73">
        <v>30</v>
      </c>
      <c r="AG4" s="73">
        <v>31</v>
      </c>
      <c r="AH4" s="88" t="s">
        <v>144</v>
      </c>
    </row>
    <row r="5" spans="1:34" ht="15">
      <c r="A5" s="363" t="s">
        <v>145</v>
      </c>
      <c r="B5" s="53">
        <f>+AH5</f>
        <v>4.9466000000000001</v>
      </c>
      <c r="C5" s="465">
        <v>0</v>
      </c>
      <c r="D5" s="465">
        <v>0</v>
      </c>
      <c r="E5" s="465">
        <v>0</v>
      </c>
      <c r="F5" s="465">
        <v>0</v>
      </c>
      <c r="G5" s="465">
        <v>0</v>
      </c>
      <c r="H5" s="465">
        <v>0</v>
      </c>
      <c r="I5" s="465">
        <v>0</v>
      </c>
      <c r="J5" s="465">
        <v>0</v>
      </c>
      <c r="K5" s="465">
        <v>0</v>
      </c>
      <c r="L5" s="465">
        <v>0</v>
      </c>
      <c r="M5" s="465">
        <v>0</v>
      </c>
      <c r="N5" s="465">
        <v>0</v>
      </c>
      <c r="O5" s="465">
        <v>0</v>
      </c>
      <c r="P5" s="465">
        <v>0</v>
      </c>
      <c r="Q5" s="465">
        <v>0</v>
      </c>
      <c r="R5" s="465">
        <v>0</v>
      </c>
      <c r="S5" s="465">
        <v>0</v>
      </c>
      <c r="T5" s="465">
        <v>0</v>
      </c>
      <c r="U5" s="465">
        <v>0</v>
      </c>
      <c r="V5" s="465">
        <v>0</v>
      </c>
      <c r="W5" s="465">
        <v>0.97899999999999998</v>
      </c>
      <c r="X5" s="465">
        <v>0</v>
      </c>
      <c r="Y5" s="465">
        <v>0</v>
      </c>
      <c r="Z5" s="465">
        <v>0</v>
      </c>
      <c r="AA5" s="465">
        <v>0</v>
      </c>
      <c r="AB5" s="465">
        <v>3.1844000000000001</v>
      </c>
      <c r="AC5" s="465">
        <v>0.67659999999999998</v>
      </c>
      <c r="AD5" s="465">
        <v>0</v>
      </c>
      <c r="AE5" s="465">
        <v>0</v>
      </c>
      <c r="AF5" s="465">
        <v>0.1066</v>
      </c>
      <c r="AG5" s="465">
        <v>0</v>
      </c>
      <c r="AH5" s="107">
        <f>SUM(C5:AG5)</f>
        <v>4.9466000000000001</v>
      </c>
    </row>
    <row r="6" spans="1:34" ht="15">
      <c r="A6" s="363" t="s">
        <v>146</v>
      </c>
      <c r="B6" s="53">
        <f>+AH6</f>
        <v>19.820920000000001</v>
      </c>
      <c r="C6" s="465">
        <v>4.1120000000000001</v>
      </c>
      <c r="D6" s="466">
        <v>1.5788</v>
      </c>
      <c r="E6" s="465">
        <v>0</v>
      </c>
      <c r="F6" s="465">
        <v>0</v>
      </c>
      <c r="G6" s="465">
        <v>0</v>
      </c>
      <c r="H6" s="465">
        <v>1.7110000000000001</v>
      </c>
      <c r="I6" s="465">
        <v>0</v>
      </c>
      <c r="J6" s="465">
        <v>0</v>
      </c>
      <c r="K6" s="465">
        <v>0</v>
      </c>
      <c r="L6" s="465">
        <v>0</v>
      </c>
      <c r="M6" s="465">
        <v>0</v>
      </c>
      <c r="N6" s="465">
        <v>0</v>
      </c>
      <c r="O6" s="465">
        <v>2.0949</v>
      </c>
      <c r="P6" s="465">
        <v>0</v>
      </c>
      <c r="Q6" s="465">
        <v>0</v>
      </c>
      <c r="R6" s="465">
        <v>1.6659999999999999</v>
      </c>
      <c r="S6" s="465">
        <v>0</v>
      </c>
      <c r="T6" s="465">
        <v>0</v>
      </c>
      <c r="U6" s="465">
        <v>0</v>
      </c>
      <c r="V6" s="465">
        <v>0</v>
      </c>
      <c r="W6" s="465">
        <v>3.3149999999999999</v>
      </c>
      <c r="X6" s="465">
        <v>0.55500000000000005</v>
      </c>
      <c r="Y6" s="465">
        <v>0</v>
      </c>
      <c r="Z6" s="465">
        <v>0</v>
      </c>
      <c r="AA6" s="465">
        <v>0</v>
      </c>
      <c r="AB6" s="465">
        <v>0</v>
      </c>
      <c r="AC6" s="465">
        <v>4.7882199999999999</v>
      </c>
      <c r="AD6" s="465">
        <v>0</v>
      </c>
      <c r="AE6" s="465">
        <v>0</v>
      </c>
      <c r="AF6" s="465">
        <v>0</v>
      </c>
      <c r="AG6" s="465">
        <v>0</v>
      </c>
      <c r="AH6" s="107">
        <f t="shared" ref="AH6:AH17" si="0">SUM(C6:AG6)</f>
        <v>19.820920000000001</v>
      </c>
    </row>
    <row r="7" spans="1:34" ht="15">
      <c r="A7" s="363" t="s">
        <v>147</v>
      </c>
      <c r="B7" s="53">
        <f t="shared" ref="B7:B16" si="1">+AH7</f>
        <v>25.343700000000002</v>
      </c>
      <c r="C7" s="361">
        <v>2.5939999999999999</v>
      </c>
      <c r="D7" s="361">
        <v>3.7410000000000001</v>
      </c>
      <c r="E7" s="361">
        <v>1.8049999999999999</v>
      </c>
      <c r="F7" s="361">
        <v>0</v>
      </c>
      <c r="G7" s="361">
        <v>0</v>
      </c>
      <c r="H7" s="361">
        <v>0</v>
      </c>
      <c r="I7" s="361">
        <v>1.385</v>
      </c>
      <c r="J7" s="361">
        <v>1.1855</v>
      </c>
      <c r="K7" s="361">
        <v>0</v>
      </c>
      <c r="L7" s="361">
        <v>0</v>
      </c>
      <c r="M7" s="361">
        <v>0</v>
      </c>
      <c r="N7" s="361">
        <v>0</v>
      </c>
      <c r="O7" s="361">
        <v>0</v>
      </c>
      <c r="P7" s="361">
        <v>3.1888000000000001</v>
      </c>
      <c r="Q7" s="361">
        <v>0</v>
      </c>
      <c r="R7" s="361">
        <v>2.9634999999999998</v>
      </c>
      <c r="S7" s="361">
        <v>0</v>
      </c>
      <c r="T7" s="361">
        <v>0</v>
      </c>
      <c r="U7" s="361">
        <v>4.0289999999999999</v>
      </c>
      <c r="V7" s="361">
        <v>0</v>
      </c>
      <c r="W7" s="361">
        <v>0</v>
      </c>
      <c r="X7" s="361">
        <v>0</v>
      </c>
      <c r="Y7" s="361">
        <v>0</v>
      </c>
      <c r="Z7" s="361">
        <v>0</v>
      </c>
      <c r="AA7" s="361">
        <v>0</v>
      </c>
      <c r="AB7" s="361">
        <v>0</v>
      </c>
      <c r="AC7" s="361">
        <v>2.2039</v>
      </c>
      <c r="AD7" s="361">
        <v>0</v>
      </c>
      <c r="AE7" s="361">
        <v>2.2480000000000002</v>
      </c>
      <c r="AF7" s="361">
        <v>0</v>
      </c>
      <c r="AG7" s="361">
        <v>0</v>
      </c>
      <c r="AH7" s="107">
        <f t="shared" si="0"/>
        <v>25.343700000000002</v>
      </c>
    </row>
    <row r="8" spans="1:34" ht="15">
      <c r="A8" s="363" t="s">
        <v>148</v>
      </c>
      <c r="B8" s="53">
        <f t="shared" si="1"/>
        <v>7.3984999999999994</v>
      </c>
      <c r="C8" s="361">
        <v>0</v>
      </c>
      <c r="D8" s="361">
        <v>0</v>
      </c>
      <c r="E8" s="361">
        <v>0</v>
      </c>
      <c r="F8" s="361">
        <v>0.83160000000000001</v>
      </c>
      <c r="G8" s="361">
        <v>0</v>
      </c>
      <c r="H8" s="361">
        <v>1.4</v>
      </c>
      <c r="I8" s="361">
        <v>0</v>
      </c>
      <c r="J8" s="361">
        <v>0</v>
      </c>
      <c r="K8" s="361">
        <v>0</v>
      </c>
      <c r="L8" s="361">
        <v>0</v>
      </c>
      <c r="M8" s="361">
        <v>0</v>
      </c>
      <c r="N8" s="361">
        <v>0</v>
      </c>
      <c r="O8" s="361">
        <v>0</v>
      </c>
      <c r="P8" s="361">
        <v>1.5589999999999999</v>
      </c>
      <c r="Q8" s="361">
        <v>0</v>
      </c>
      <c r="R8" s="361">
        <v>0</v>
      </c>
      <c r="S8" s="361">
        <v>0</v>
      </c>
      <c r="T8" s="361">
        <v>0</v>
      </c>
      <c r="U8" s="361">
        <v>0</v>
      </c>
      <c r="V8" s="361">
        <v>0</v>
      </c>
      <c r="W8" s="361">
        <v>0</v>
      </c>
      <c r="X8" s="361">
        <v>0</v>
      </c>
      <c r="Y8" s="361">
        <v>3.6078999999999999</v>
      </c>
      <c r="Z8" s="361">
        <v>0</v>
      </c>
      <c r="AA8" s="361">
        <v>0</v>
      </c>
      <c r="AB8" s="361">
        <v>0</v>
      </c>
      <c r="AC8" s="361">
        <v>0</v>
      </c>
      <c r="AD8" s="361">
        <v>0</v>
      </c>
      <c r="AE8" s="361">
        <v>0</v>
      </c>
      <c r="AF8" s="361">
        <v>0</v>
      </c>
      <c r="AG8" s="361">
        <v>0</v>
      </c>
      <c r="AH8" s="107">
        <f t="shared" si="0"/>
        <v>7.3984999999999994</v>
      </c>
    </row>
    <row r="9" spans="1:34" ht="15">
      <c r="A9" s="363" t="s">
        <v>149</v>
      </c>
      <c r="B9" s="53">
        <f t="shared" si="1"/>
        <v>19.012999999999998</v>
      </c>
      <c r="C9" s="465">
        <v>0</v>
      </c>
      <c r="D9" s="465">
        <v>0</v>
      </c>
      <c r="E9" s="465">
        <v>1.5964</v>
      </c>
      <c r="F9" s="466">
        <v>3.0554999999999999</v>
      </c>
      <c r="G9" s="465">
        <v>0</v>
      </c>
      <c r="H9" s="465">
        <v>0</v>
      </c>
      <c r="I9" s="361">
        <v>2.206</v>
      </c>
      <c r="J9" s="361">
        <v>0</v>
      </c>
      <c r="K9" s="361">
        <v>0</v>
      </c>
      <c r="L9" s="361">
        <v>0</v>
      </c>
      <c r="M9" s="361">
        <v>2.87</v>
      </c>
      <c r="N9" s="361">
        <v>0</v>
      </c>
      <c r="O9" s="361">
        <v>0</v>
      </c>
      <c r="P9" s="361">
        <v>0</v>
      </c>
      <c r="Q9" s="361">
        <v>0</v>
      </c>
      <c r="R9" s="361">
        <v>1.5125</v>
      </c>
      <c r="S9" s="361">
        <v>0</v>
      </c>
      <c r="T9" s="361">
        <v>0</v>
      </c>
      <c r="U9" s="361">
        <v>0</v>
      </c>
      <c r="V9" s="361">
        <v>0</v>
      </c>
      <c r="W9" s="361">
        <v>0</v>
      </c>
      <c r="X9" s="361">
        <v>6.4635999999999996</v>
      </c>
      <c r="Y9" s="361">
        <v>0</v>
      </c>
      <c r="Z9" s="361">
        <v>1.3089999999999999</v>
      </c>
      <c r="AA9" s="361">
        <v>0</v>
      </c>
      <c r="AB9" s="361">
        <v>0</v>
      </c>
      <c r="AC9" s="361">
        <v>0</v>
      </c>
      <c r="AD9" s="361">
        <v>0</v>
      </c>
      <c r="AE9" s="361">
        <v>0</v>
      </c>
      <c r="AF9" s="361">
        <v>0</v>
      </c>
      <c r="AG9" s="361">
        <v>0</v>
      </c>
      <c r="AH9" s="107">
        <f t="shared" si="0"/>
        <v>19.012999999999998</v>
      </c>
    </row>
    <row r="10" spans="1:34" ht="15">
      <c r="A10" s="363" t="s">
        <v>150</v>
      </c>
      <c r="B10" s="53">
        <f t="shared" si="1"/>
        <v>5.2357000000000005</v>
      </c>
      <c r="C10" s="361">
        <v>0</v>
      </c>
      <c r="D10" s="361">
        <v>0</v>
      </c>
      <c r="E10" s="361">
        <v>0</v>
      </c>
      <c r="F10" s="361">
        <v>0</v>
      </c>
      <c r="G10" s="361">
        <v>3</v>
      </c>
      <c r="H10" s="361">
        <v>0.49</v>
      </c>
      <c r="I10" s="361">
        <v>0</v>
      </c>
      <c r="J10" s="361">
        <v>0</v>
      </c>
      <c r="K10" s="361">
        <v>0</v>
      </c>
      <c r="L10" s="361">
        <v>0</v>
      </c>
      <c r="M10" s="361">
        <v>0</v>
      </c>
      <c r="N10" s="361">
        <v>1.7457</v>
      </c>
      <c r="O10" s="361">
        <v>0</v>
      </c>
      <c r="P10" s="361">
        <v>0</v>
      </c>
      <c r="Q10" s="361">
        <v>0</v>
      </c>
      <c r="R10" s="361">
        <v>0</v>
      </c>
      <c r="S10" s="361">
        <v>0</v>
      </c>
      <c r="T10" s="361">
        <v>0</v>
      </c>
      <c r="U10" s="361">
        <v>0</v>
      </c>
      <c r="V10" s="361">
        <v>0</v>
      </c>
      <c r="W10" s="361">
        <v>0</v>
      </c>
      <c r="X10" s="361">
        <v>0</v>
      </c>
      <c r="Y10" s="361">
        <v>0</v>
      </c>
      <c r="Z10" s="361">
        <v>0</v>
      </c>
      <c r="AA10" s="361">
        <v>0</v>
      </c>
      <c r="AB10" s="361">
        <v>0</v>
      </c>
      <c r="AC10" s="361">
        <v>0</v>
      </c>
      <c r="AD10" s="361">
        <v>0</v>
      </c>
      <c r="AE10" s="361">
        <v>0</v>
      </c>
      <c r="AF10" s="361">
        <v>0</v>
      </c>
      <c r="AG10" s="361">
        <v>0</v>
      </c>
      <c r="AH10" s="107">
        <f t="shared" si="0"/>
        <v>5.2357000000000005</v>
      </c>
    </row>
    <row r="11" spans="1:34" ht="15">
      <c r="A11" s="363" t="s">
        <v>151</v>
      </c>
      <c r="B11" s="53">
        <f t="shared" si="1"/>
        <v>17.242509999999999</v>
      </c>
      <c r="C11" s="361">
        <v>0</v>
      </c>
      <c r="D11" s="361">
        <v>0</v>
      </c>
      <c r="E11" s="361">
        <v>0</v>
      </c>
      <c r="F11" s="361">
        <v>0</v>
      </c>
      <c r="G11" s="361">
        <v>0</v>
      </c>
      <c r="H11" s="361">
        <v>0</v>
      </c>
      <c r="I11" s="361">
        <v>0</v>
      </c>
      <c r="J11" s="361">
        <v>0</v>
      </c>
      <c r="K11" s="361">
        <v>1</v>
      </c>
      <c r="L11" s="361">
        <v>0</v>
      </c>
      <c r="M11" s="361">
        <v>0</v>
      </c>
      <c r="N11" s="361">
        <v>0</v>
      </c>
      <c r="O11" s="361">
        <v>0</v>
      </c>
      <c r="P11" s="361">
        <v>0</v>
      </c>
      <c r="Q11" s="361">
        <v>0</v>
      </c>
      <c r="R11" s="361">
        <v>0</v>
      </c>
      <c r="S11" s="361">
        <v>4.7770000000000001</v>
      </c>
      <c r="T11" s="361">
        <v>0</v>
      </c>
      <c r="U11" s="361">
        <v>3.0459999999999998</v>
      </c>
      <c r="V11" s="361">
        <v>0</v>
      </c>
      <c r="W11" s="361">
        <v>0</v>
      </c>
      <c r="X11" s="361">
        <v>0</v>
      </c>
      <c r="Y11" s="361">
        <v>0</v>
      </c>
      <c r="Z11" s="361">
        <v>0</v>
      </c>
      <c r="AA11" s="361">
        <v>0</v>
      </c>
      <c r="AB11" s="361">
        <v>0</v>
      </c>
      <c r="AC11" s="361">
        <v>0.1744</v>
      </c>
      <c r="AD11" s="361">
        <v>0</v>
      </c>
      <c r="AE11" s="361">
        <v>0</v>
      </c>
      <c r="AF11" s="361">
        <v>6.1139999999999999</v>
      </c>
      <c r="AG11" s="361">
        <v>2.1311100000000001</v>
      </c>
      <c r="AH11" s="107">
        <f t="shared" si="0"/>
        <v>17.242509999999999</v>
      </c>
    </row>
    <row r="12" spans="1:34" ht="15">
      <c r="A12" s="372" t="s">
        <v>152</v>
      </c>
      <c r="B12" s="188">
        <v>0</v>
      </c>
      <c r="C12" s="188" t="s">
        <v>318</v>
      </c>
      <c r="D12" s="188" t="s">
        <v>318</v>
      </c>
      <c r="E12" s="188" t="s">
        <v>318</v>
      </c>
      <c r="F12" s="188" t="s">
        <v>318</v>
      </c>
      <c r="G12" s="188" t="s">
        <v>318</v>
      </c>
      <c r="H12" s="188" t="s">
        <v>318</v>
      </c>
      <c r="I12" s="188" t="s">
        <v>318</v>
      </c>
      <c r="J12" s="188" t="s">
        <v>318</v>
      </c>
      <c r="K12" s="188" t="s">
        <v>318</v>
      </c>
      <c r="L12" s="188" t="s">
        <v>318</v>
      </c>
      <c r="M12" s="188" t="s">
        <v>318</v>
      </c>
      <c r="N12" s="188" t="s">
        <v>318</v>
      </c>
      <c r="O12" s="188" t="s">
        <v>318</v>
      </c>
      <c r="P12" s="188" t="s">
        <v>318</v>
      </c>
      <c r="Q12" s="188" t="s">
        <v>318</v>
      </c>
      <c r="R12" s="188" t="s">
        <v>318</v>
      </c>
      <c r="S12" s="188" t="s">
        <v>318</v>
      </c>
      <c r="T12" s="188" t="s">
        <v>318</v>
      </c>
      <c r="U12" s="188" t="s">
        <v>318</v>
      </c>
      <c r="V12" s="188" t="s">
        <v>318</v>
      </c>
      <c r="W12" s="188" t="s">
        <v>318</v>
      </c>
      <c r="X12" s="188" t="s">
        <v>318</v>
      </c>
      <c r="Y12" s="188" t="s">
        <v>318</v>
      </c>
      <c r="Z12" s="188" t="s">
        <v>318</v>
      </c>
      <c r="AA12" s="188" t="s">
        <v>318</v>
      </c>
      <c r="AB12" s="188" t="s">
        <v>318</v>
      </c>
      <c r="AC12" s="188" t="s">
        <v>318</v>
      </c>
      <c r="AD12" s="188" t="s">
        <v>318</v>
      </c>
      <c r="AE12" s="188" t="s">
        <v>318</v>
      </c>
      <c r="AF12" s="188" t="s">
        <v>318</v>
      </c>
      <c r="AG12" s="188" t="s">
        <v>318</v>
      </c>
      <c r="AH12" s="107">
        <f t="shared" si="0"/>
        <v>0</v>
      </c>
    </row>
    <row r="13" spans="1:34" ht="15">
      <c r="A13" s="375" t="s">
        <v>153</v>
      </c>
      <c r="B13" s="53">
        <f t="shared" si="1"/>
        <v>0.33300000000000002</v>
      </c>
      <c r="C13" s="361">
        <v>0</v>
      </c>
      <c r="D13" s="361">
        <v>0</v>
      </c>
      <c r="E13" s="361">
        <v>0</v>
      </c>
      <c r="F13" s="361">
        <v>0</v>
      </c>
      <c r="G13" s="361">
        <v>0</v>
      </c>
      <c r="H13" s="361">
        <v>0</v>
      </c>
      <c r="I13" s="361">
        <v>0</v>
      </c>
      <c r="J13" s="361">
        <v>0</v>
      </c>
      <c r="K13" s="361">
        <v>0</v>
      </c>
      <c r="L13" s="361">
        <v>0</v>
      </c>
      <c r="M13" s="361">
        <v>0</v>
      </c>
      <c r="N13" s="361">
        <v>0</v>
      </c>
      <c r="O13" s="361">
        <v>0</v>
      </c>
      <c r="P13" s="361">
        <v>0</v>
      </c>
      <c r="Q13" s="361">
        <v>0</v>
      </c>
      <c r="R13" s="361">
        <v>0</v>
      </c>
      <c r="S13" s="361">
        <v>0</v>
      </c>
      <c r="T13" s="361">
        <v>0</v>
      </c>
      <c r="U13" s="361">
        <v>0</v>
      </c>
      <c r="V13" s="361">
        <v>0</v>
      </c>
      <c r="W13" s="361">
        <v>0</v>
      </c>
      <c r="X13" s="361">
        <v>0</v>
      </c>
      <c r="Y13" s="361">
        <v>0</v>
      </c>
      <c r="Z13" s="361">
        <v>0</v>
      </c>
      <c r="AA13" s="361">
        <v>0</v>
      </c>
      <c r="AB13" s="361">
        <v>0</v>
      </c>
      <c r="AC13" s="361">
        <v>0</v>
      </c>
      <c r="AD13" s="361">
        <v>0.33300000000000002</v>
      </c>
      <c r="AE13" s="361">
        <v>0</v>
      </c>
      <c r="AF13" s="361">
        <v>0</v>
      </c>
      <c r="AG13" s="361">
        <v>0</v>
      </c>
      <c r="AH13" s="107">
        <f t="shared" si="0"/>
        <v>0.33300000000000002</v>
      </c>
    </row>
    <row r="14" spans="1:34" ht="15">
      <c r="A14" s="375" t="s">
        <v>154</v>
      </c>
      <c r="B14" s="53">
        <f t="shared" si="1"/>
        <v>3.6507800000000001</v>
      </c>
      <c r="C14" s="361">
        <v>0</v>
      </c>
      <c r="D14" s="361">
        <v>0</v>
      </c>
      <c r="E14" s="361">
        <v>0</v>
      </c>
      <c r="F14" s="361">
        <v>0</v>
      </c>
      <c r="G14" s="361">
        <v>0</v>
      </c>
      <c r="H14" s="361">
        <v>0</v>
      </c>
      <c r="I14" s="361">
        <v>0</v>
      </c>
      <c r="J14" s="361">
        <v>0</v>
      </c>
      <c r="K14" s="361">
        <v>0</v>
      </c>
      <c r="L14" s="361">
        <v>0</v>
      </c>
      <c r="M14" s="361">
        <v>0</v>
      </c>
      <c r="N14" s="361">
        <v>1.87378</v>
      </c>
      <c r="O14" s="361">
        <v>0</v>
      </c>
      <c r="P14" s="361">
        <v>0</v>
      </c>
      <c r="Q14" s="361">
        <v>0.222</v>
      </c>
      <c r="R14" s="361">
        <v>0</v>
      </c>
      <c r="S14" s="361">
        <v>0</v>
      </c>
      <c r="T14" s="361">
        <v>0</v>
      </c>
      <c r="U14" s="361">
        <v>0</v>
      </c>
      <c r="V14" s="361">
        <v>0</v>
      </c>
      <c r="W14" s="361">
        <v>0</v>
      </c>
      <c r="X14" s="361">
        <v>0</v>
      </c>
      <c r="Y14" s="361">
        <v>0</v>
      </c>
      <c r="Z14" s="361">
        <v>0</v>
      </c>
      <c r="AA14" s="361">
        <v>0</v>
      </c>
      <c r="AB14" s="361">
        <v>0</v>
      </c>
      <c r="AC14" s="361">
        <v>0</v>
      </c>
      <c r="AD14" s="361">
        <v>0</v>
      </c>
      <c r="AE14" s="361">
        <v>1.5549999999999999</v>
      </c>
      <c r="AF14" s="361">
        <v>0</v>
      </c>
      <c r="AG14" s="361">
        <v>0</v>
      </c>
      <c r="AH14" s="107">
        <f t="shared" si="0"/>
        <v>3.6507800000000001</v>
      </c>
    </row>
    <row r="15" spans="1:34" ht="15">
      <c r="A15" s="375" t="s">
        <v>155</v>
      </c>
      <c r="B15" s="53">
        <f t="shared" si="1"/>
        <v>3.9971999999999999</v>
      </c>
      <c r="C15" s="361">
        <v>0</v>
      </c>
      <c r="D15" s="361">
        <v>0</v>
      </c>
      <c r="E15" s="361">
        <v>0</v>
      </c>
      <c r="F15" s="361">
        <v>0</v>
      </c>
      <c r="G15" s="361">
        <v>0</v>
      </c>
      <c r="H15" s="361">
        <v>4.2200000000000001E-2</v>
      </c>
      <c r="I15" s="361">
        <v>0</v>
      </c>
      <c r="J15" s="361">
        <v>0</v>
      </c>
      <c r="K15" s="361">
        <v>0</v>
      </c>
      <c r="L15" s="361">
        <v>0</v>
      </c>
      <c r="M15" s="361">
        <v>0</v>
      </c>
      <c r="N15" s="361">
        <v>0</v>
      </c>
      <c r="O15" s="361">
        <v>0</v>
      </c>
      <c r="P15" s="361">
        <v>0</v>
      </c>
      <c r="Q15" s="361">
        <v>2.222</v>
      </c>
      <c r="R15" s="361">
        <v>0</v>
      </c>
      <c r="S15" s="361">
        <v>0</v>
      </c>
      <c r="T15" s="361">
        <v>0</v>
      </c>
      <c r="U15" s="361">
        <v>1.7330000000000001</v>
      </c>
      <c r="V15" s="361">
        <v>0</v>
      </c>
      <c r="W15" s="361">
        <v>0</v>
      </c>
      <c r="X15" s="361">
        <v>0</v>
      </c>
      <c r="Y15" s="361">
        <v>0</v>
      </c>
      <c r="Z15" s="361">
        <v>0</v>
      </c>
      <c r="AA15" s="361">
        <v>0</v>
      </c>
      <c r="AB15" s="361">
        <v>0</v>
      </c>
      <c r="AC15" s="361">
        <v>0</v>
      </c>
      <c r="AD15" s="361">
        <v>0</v>
      </c>
      <c r="AE15" s="361">
        <v>0</v>
      </c>
      <c r="AF15" s="361">
        <v>0</v>
      </c>
      <c r="AG15" s="361">
        <v>0</v>
      </c>
      <c r="AH15" s="107">
        <f t="shared" si="0"/>
        <v>3.9971999999999999</v>
      </c>
    </row>
    <row r="16" spans="1:34" ht="15">
      <c r="A16" s="375" t="s">
        <v>156</v>
      </c>
      <c r="B16" s="53">
        <f t="shared" si="1"/>
        <v>16.989899999999999</v>
      </c>
      <c r="C16" s="361">
        <v>0</v>
      </c>
      <c r="D16" s="361">
        <v>0</v>
      </c>
      <c r="E16" s="361">
        <v>5.1109999999999998</v>
      </c>
      <c r="F16" s="361">
        <v>0</v>
      </c>
      <c r="G16" s="361">
        <v>0</v>
      </c>
      <c r="H16" s="361">
        <v>0</v>
      </c>
      <c r="I16" s="361">
        <v>1.6659999999999999</v>
      </c>
      <c r="J16" s="361">
        <v>0</v>
      </c>
      <c r="K16" s="361">
        <v>0</v>
      </c>
      <c r="L16" s="361">
        <v>0</v>
      </c>
      <c r="M16" s="361">
        <v>0.16600000000000001</v>
      </c>
      <c r="N16" s="361">
        <v>0</v>
      </c>
      <c r="O16" s="361">
        <v>0</v>
      </c>
      <c r="P16" s="361">
        <v>0</v>
      </c>
      <c r="Q16" s="361">
        <v>0</v>
      </c>
      <c r="R16" s="361">
        <v>0</v>
      </c>
      <c r="S16" s="361">
        <v>2.6469999999999998</v>
      </c>
      <c r="T16" s="361">
        <v>0</v>
      </c>
      <c r="U16" s="361">
        <v>0</v>
      </c>
      <c r="V16" s="361">
        <v>0</v>
      </c>
      <c r="W16" s="361">
        <v>1.355</v>
      </c>
      <c r="X16" s="361">
        <v>0</v>
      </c>
      <c r="Y16" s="361">
        <v>0</v>
      </c>
      <c r="Z16" s="361">
        <v>2.327</v>
      </c>
      <c r="AA16" s="361">
        <v>0</v>
      </c>
      <c r="AB16" s="361">
        <v>3.4744000000000002</v>
      </c>
      <c r="AC16" s="361">
        <v>0</v>
      </c>
      <c r="AD16" s="361">
        <v>0</v>
      </c>
      <c r="AE16" s="361">
        <v>0</v>
      </c>
      <c r="AF16" s="361">
        <v>0.188</v>
      </c>
      <c r="AG16" s="361">
        <v>5.5500000000000001E-2</v>
      </c>
      <c r="AH16" s="107">
        <f t="shared" si="0"/>
        <v>16.989899999999999</v>
      </c>
    </row>
    <row r="17" spans="1:34" ht="15">
      <c r="A17" s="199" t="s">
        <v>144</v>
      </c>
      <c r="B17" s="4329">
        <f>SUM(B5:B16)</f>
        <v>123.97180999999998</v>
      </c>
      <c r="C17" s="4330">
        <f>SUM(C5:C16)</f>
        <v>6.7059999999999995</v>
      </c>
      <c r="D17" s="4330">
        <f t="shared" ref="D17:AG17" si="2">SUM(D5:D16)</f>
        <v>5.3197999999999999</v>
      </c>
      <c r="E17" s="4330">
        <f t="shared" si="2"/>
        <v>8.5123999999999995</v>
      </c>
      <c r="F17" s="4330">
        <f t="shared" si="2"/>
        <v>3.8870999999999998</v>
      </c>
      <c r="G17" s="4330">
        <f t="shared" si="2"/>
        <v>3</v>
      </c>
      <c r="H17" s="4330">
        <f t="shared" si="2"/>
        <v>3.6431999999999998</v>
      </c>
      <c r="I17" s="4330">
        <f t="shared" si="2"/>
        <v>5.2569999999999997</v>
      </c>
      <c r="J17" s="4330">
        <f t="shared" si="2"/>
        <v>1.1855</v>
      </c>
      <c r="K17" s="4330">
        <f t="shared" si="2"/>
        <v>1</v>
      </c>
      <c r="L17" s="4330">
        <f t="shared" si="2"/>
        <v>0</v>
      </c>
      <c r="M17" s="4330">
        <f t="shared" si="2"/>
        <v>3.036</v>
      </c>
      <c r="N17" s="4330">
        <f t="shared" si="2"/>
        <v>3.6194800000000003</v>
      </c>
      <c r="O17" s="4330">
        <f>SUM(O5:O16)</f>
        <v>2.0949</v>
      </c>
      <c r="P17" s="4330">
        <f t="shared" si="2"/>
        <v>4.7477999999999998</v>
      </c>
      <c r="Q17" s="4330">
        <f t="shared" si="2"/>
        <v>2.444</v>
      </c>
      <c r="R17" s="4330">
        <f t="shared" si="2"/>
        <v>6.1420000000000003</v>
      </c>
      <c r="S17" s="4330">
        <f t="shared" si="2"/>
        <v>7.4239999999999995</v>
      </c>
      <c r="T17" s="4330">
        <f t="shared" si="2"/>
        <v>0</v>
      </c>
      <c r="U17" s="4330">
        <f t="shared" si="2"/>
        <v>8.8079999999999998</v>
      </c>
      <c r="V17" s="4330">
        <f t="shared" si="2"/>
        <v>0</v>
      </c>
      <c r="W17" s="4330">
        <f t="shared" si="2"/>
        <v>5.6489999999999991</v>
      </c>
      <c r="X17" s="4330">
        <f t="shared" si="2"/>
        <v>7.0185999999999993</v>
      </c>
      <c r="Y17" s="4330">
        <f t="shared" si="2"/>
        <v>3.6078999999999999</v>
      </c>
      <c r="Z17" s="4330">
        <f t="shared" si="2"/>
        <v>3.6360000000000001</v>
      </c>
      <c r="AA17" s="4330">
        <f t="shared" si="2"/>
        <v>0</v>
      </c>
      <c r="AB17" s="4330">
        <f t="shared" si="2"/>
        <v>6.6588000000000003</v>
      </c>
      <c r="AC17" s="4330">
        <f t="shared" si="2"/>
        <v>7.8431199999999999</v>
      </c>
      <c r="AD17" s="4330">
        <f t="shared" si="2"/>
        <v>0.33300000000000002</v>
      </c>
      <c r="AE17" s="4330">
        <f>SUM(AE5:AE16)</f>
        <v>3.8029999999999999</v>
      </c>
      <c r="AF17" s="4330">
        <f t="shared" si="2"/>
        <v>6.4085999999999999</v>
      </c>
      <c r="AG17" s="4330">
        <f t="shared" si="2"/>
        <v>2.1866099999999999</v>
      </c>
      <c r="AH17" s="107">
        <f t="shared" si="0"/>
        <v>123.97180999999998</v>
      </c>
    </row>
    <row r="18" spans="1:34" ht="15">
      <c r="A18" s="387"/>
      <c r="B18" s="387"/>
      <c r="C18" s="478"/>
      <c r="D18" s="387"/>
      <c r="E18" s="387"/>
      <c r="F18" s="387"/>
      <c r="G18" s="387"/>
      <c r="H18" s="387"/>
      <c r="I18" s="387"/>
      <c r="J18" s="387"/>
      <c r="K18" s="387"/>
      <c r="L18" s="387"/>
      <c r="M18" s="387"/>
      <c r="N18" s="387"/>
      <c r="O18" s="387"/>
      <c r="P18" s="387"/>
      <c r="Q18" s="387"/>
      <c r="R18" s="387"/>
      <c r="S18" s="387"/>
      <c r="T18" s="387"/>
      <c r="U18" s="114"/>
      <c r="V18" s="114"/>
      <c r="W18" s="114"/>
      <c r="X18" s="114"/>
      <c r="Y18" s="114"/>
      <c r="Z18" s="114"/>
      <c r="AA18" s="114"/>
      <c r="AB18" s="114"/>
      <c r="AC18" s="114"/>
      <c r="AD18" s="114"/>
      <c r="AE18" s="114"/>
      <c r="AF18" s="114"/>
      <c r="AG18" s="114"/>
      <c r="AH18" s="114"/>
    </row>
    <row r="19" spans="1:34" ht="15">
      <c r="A19" s="3854" t="s">
        <v>315</v>
      </c>
      <c r="B19" s="3855"/>
      <c r="C19" s="3855"/>
      <c r="D19" s="3855"/>
      <c r="E19" s="3855"/>
      <c r="F19" s="3855"/>
      <c r="G19" s="3855"/>
      <c r="H19" s="3856"/>
      <c r="I19" s="14"/>
      <c r="J19" s="114"/>
      <c r="K19" s="14"/>
      <c r="L19" s="14"/>
      <c r="M19" s="14"/>
      <c r="N19" s="14"/>
      <c r="O19" s="14"/>
      <c r="P19" s="14"/>
      <c r="Q19" s="14"/>
      <c r="R19" s="14"/>
      <c r="S19" s="14"/>
      <c r="T19" s="14"/>
      <c r="U19" s="14"/>
      <c r="V19" s="14"/>
      <c r="W19" s="14"/>
      <c r="X19" s="14"/>
      <c r="Y19" s="14"/>
      <c r="Z19" s="14"/>
      <c r="AA19" s="14"/>
      <c r="AB19" s="14"/>
      <c r="AC19" s="14"/>
      <c r="AD19" s="14"/>
      <c r="AE19" s="14"/>
      <c r="AF19" s="14"/>
      <c r="AG19" s="14"/>
      <c r="AH19" s="14"/>
    </row>
    <row r="20" spans="1:34" ht="15">
      <c r="A20" s="8" t="s">
        <v>142</v>
      </c>
      <c r="B20" s="8" t="s">
        <v>143</v>
      </c>
      <c r="C20" s="2907">
        <v>1</v>
      </c>
      <c r="D20" s="73">
        <v>2</v>
      </c>
      <c r="E20" s="73">
        <v>3</v>
      </c>
      <c r="F20" s="73">
        <v>4</v>
      </c>
      <c r="G20" s="73">
        <v>5</v>
      </c>
      <c r="H20" s="73">
        <v>6</v>
      </c>
      <c r="I20" s="73">
        <v>7</v>
      </c>
      <c r="J20" s="73">
        <v>8</v>
      </c>
      <c r="K20" s="73">
        <v>9</v>
      </c>
      <c r="L20" s="73">
        <v>10</v>
      </c>
      <c r="M20" s="73">
        <v>11</v>
      </c>
      <c r="N20" s="73">
        <v>12</v>
      </c>
      <c r="O20" s="73">
        <v>13</v>
      </c>
      <c r="P20" s="73">
        <v>14</v>
      </c>
      <c r="Q20" s="73">
        <v>15</v>
      </c>
      <c r="R20" s="73">
        <v>16</v>
      </c>
      <c r="S20" s="73">
        <v>17</v>
      </c>
      <c r="T20" s="73">
        <v>18</v>
      </c>
      <c r="U20" s="73">
        <v>19</v>
      </c>
      <c r="V20" s="73">
        <v>20</v>
      </c>
      <c r="W20" s="73">
        <v>21</v>
      </c>
      <c r="X20" s="73">
        <v>22</v>
      </c>
      <c r="Y20" s="73">
        <v>23</v>
      </c>
      <c r="Z20" s="73">
        <v>24</v>
      </c>
      <c r="AA20" s="73">
        <v>25</v>
      </c>
      <c r="AB20" s="73">
        <v>26</v>
      </c>
      <c r="AC20" s="73">
        <v>27</v>
      </c>
      <c r="AD20" s="73">
        <v>28</v>
      </c>
      <c r="AE20" s="73">
        <v>29</v>
      </c>
      <c r="AF20" s="73">
        <v>30</v>
      </c>
      <c r="AG20" s="73">
        <v>31</v>
      </c>
      <c r="AH20" s="88" t="s">
        <v>144</v>
      </c>
    </row>
    <row r="21" spans="1:34" ht="15">
      <c r="A21" s="363" t="s">
        <v>145</v>
      </c>
      <c r="B21" s="53">
        <f>+AH21</f>
        <v>19.64228</v>
      </c>
      <c r="C21" s="463">
        <v>0</v>
      </c>
      <c r="D21" s="467">
        <v>0</v>
      </c>
      <c r="E21" s="467">
        <v>0</v>
      </c>
      <c r="F21" s="467">
        <v>0</v>
      </c>
      <c r="G21" s="467">
        <v>0</v>
      </c>
      <c r="H21" s="467">
        <v>0</v>
      </c>
      <c r="I21" s="467">
        <v>0</v>
      </c>
      <c r="J21" s="467">
        <v>0</v>
      </c>
      <c r="K21" s="467">
        <v>0</v>
      </c>
      <c r="L21" s="467">
        <v>0</v>
      </c>
      <c r="M21" s="466">
        <v>0.56928000000000001</v>
      </c>
      <c r="N21" s="467">
        <v>0</v>
      </c>
      <c r="O21" s="466">
        <v>1.254</v>
      </c>
      <c r="P21" s="467">
        <v>0</v>
      </c>
      <c r="Q21" s="467">
        <v>0</v>
      </c>
      <c r="R21" s="466">
        <v>3.1886999999999999</v>
      </c>
      <c r="S21" s="467">
        <v>0</v>
      </c>
      <c r="T21" s="466">
        <v>0.26440000000000002</v>
      </c>
      <c r="U21" s="467">
        <v>0</v>
      </c>
      <c r="V21" s="467">
        <v>0</v>
      </c>
      <c r="W21" s="466">
        <v>4.6487999999999996</v>
      </c>
      <c r="X21" s="467">
        <v>0</v>
      </c>
      <c r="Y21" s="467">
        <v>0</v>
      </c>
      <c r="Z21" s="467">
        <v>2.6410999999999998</v>
      </c>
      <c r="AA21" s="467">
        <v>0</v>
      </c>
      <c r="AB21" s="466">
        <v>1.1082000000000001</v>
      </c>
      <c r="AC21" s="466">
        <v>4.7351000000000001</v>
      </c>
      <c r="AD21" s="467">
        <v>0</v>
      </c>
      <c r="AE21" s="467">
        <v>0</v>
      </c>
      <c r="AF21" s="466">
        <v>1.2326999999999999</v>
      </c>
      <c r="AG21" s="467">
        <v>0</v>
      </c>
      <c r="AH21" s="107">
        <f>SUM(C21:AG21)</f>
        <v>19.64228</v>
      </c>
    </row>
    <row r="22" spans="1:34" ht="15">
      <c r="A22" s="363" t="s">
        <v>146</v>
      </c>
      <c r="B22" s="53">
        <f>+AH22</f>
        <v>31.509900000000002</v>
      </c>
      <c r="C22" s="464">
        <v>3.2242999999999999</v>
      </c>
      <c r="D22" s="466">
        <v>2.2786</v>
      </c>
      <c r="E22" s="467">
        <v>1.9044000000000001</v>
      </c>
      <c r="F22" s="467">
        <v>0</v>
      </c>
      <c r="G22" s="467">
        <v>0</v>
      </c>
      <c r="H22" s="467">
        <v>0.37330000000000002</v>
      </c>
      <c r="I22" s="466">
        <v>0.86890000000000001</v>
      </c>
      <c r="J22" s="467">
        <v>0</v>
      </c>
      <c r="K22" s="467">
        <v>0</v>
      </c>
      <c r="L22" s="467">
        <v>0</v>
      </c>
      <c r="M22" s="467">
        <v>0</v>
      </c>
      <c r="N22" s="467">
        <v>0</v>
      </c>
      <c r="O22" s="467">
        <v>0.8216</v>
      </c>
      <c r="P22" s="467">
        <v>0</v>
      </c>
      <c r="Q22" s="467">
        <v>1.6726000000000001</v>
      </c>
      <c r="R22" s="467">
        <v>0</v>
      </c>
      <c r="S22" s="467">
        <v>0</v>
      </c>
      <c r="T22" s="467">
        <v>0</v>
      </c>
      <c r="U22" s="467">
        <v>0</v>
      </c>
      <c r="V22" s="467">
        <v>0</v>
      </c>
      <c r="W22" s="467">
        <v>1.9438</v>
      </c>
      <c r="X22" s="467">
        <v>5.6692</v>
      </c>
      <c r="Y22" s="467">
        <v>0</v>
      </c>
      <c r="Z22" s="467">
        <v>2.8544</v>
      </c>
      <c r="AA22" s="467">
        <v>0</v>
      </c>
      <c r="AB22" s="467">
        <v>0</v>
      </c>
      <c r="AC22" s="467">
        <v>0.46879999999999999</v>
      </c>
      <c r="AD22" s="467">
        <v>4.0193000000000003</v>
      </c>
      <c r="AE22" s="467">
        <v>5.4107000000000003</v>
      </c>
      <c r="AF22" s="467">
        <v>0</v>
      </c>
      <c r="AG22" s="467">
        <v>0</v>
      </c>
      <c r="AH22" s="107">
        <f t="shared" ref="AH22:AH33" si="3">SUM(C22:AG22)</f>
        <v>31.509900000000002</v>
      </c>
    </row>
    <row r="23" spans="1:34" ht="15">
      <c r="A23" s="363" t="s">
        <v>147</v>
      </c>
      <c r="B23" s="53">
        <f t="shared" ref="B23:B32" si="4">+AH23</f>
        <v>36.397239999999996</v>
      </c>
      <c r="C23" s="361">
        <v>3.5599400000000001</v>
      </c>
      <c r="D23" s="361">
        <v>0</v>
      </c>
      <c r="E23" s="361">
        <v>0</v>
      </c>
      <c r="F23" s="361">
        <v>0</v>
      </c>
      <c r="G23" s="361">
        <v>0</v>
      </c>
      <c r="H23" s="361">
        <v>3.6577999999999999</v>
      </c>
      <c r="I23" s="361">
        <v>1.4207000000000001</v>
      </c>
      <c r="J23" s="361">
        <v>1.4537</v>
      </c>
      <c r="K23" s="361">
        <v>0</v>
      </c>
      <c r="L23" s="361">
        <v>0</v>
      </c>
      <c r="M23" s="361">
        <v>0</v>
      </c>
      <c r="N23" s="361">
        <v>0</v>
      </c>
      <c r="O23" s="361">
        <v>3.7206999999999999</v>
      </c>
      <c r="P23" s="361">
        <v>10.1859</v>
      </c>
      <c r="Q23" s="361">
        <v>0</v>
      </c>
      <c r="R23" s="361">
        <v>1.6888000000000001</v>
      </c>
      <c r="S23" s="361">
        <v>0</v>
      </c>
      <c r="T23" s="361">
        <v>1.3807</v>
      </c>
      <c r="U23" s="361">
        <v>4.6654999999999998</v>
      </c>
      <c r="V23" s="361">
        <v>0</v>
      </c>
      <c r="W23" s="361">
        <v>0</v>
      </c>
      <c r="X23" s="361">
        <v>0</v>
      </c>
      <c r="Y23" s="361">
        <v>0</v>
      </c>
      <c r="Z23" s="361">
        <v>0</v>
      </c>
      <c r="AA23" s="361">
        <v>0</v>
      </c>
      <c r="AB23" s="361">
        <v>0</v>
      </c>
      <c r="AC23" s="361">
        <v>2.2364999999999999</v>
      </c>
      <c r="AD23" s="361">
        <v>0</v>
      </c>
      <c r="AE23" s="361">
        <v>2.427</v>
      </c>
      <c r="AF23" s="361">
        <v>0</v>
      </c>
      <c r="AG23" s="361">
        <v>0</v>
      </c>
      <c r="AH23" s="107">
        <f t="shared" si="3"/>
        <v>36.397239999999996</v>
      </c>
    </row>
    <row r="24" spans="1:34" ht="15">
      <c r="A24" s="363" t="s">
        <v>148</v>
      </c>
      <c r="B24" s="53">
        <f>+AH24</f>
        <v>16.002400000000002</v>
      </c>
      <c r="C24" s="463">
        <v>0</v>
      </c>
      <c r="D24" s="467">
        <v>0</v>
      </c>
      <c r="E24" s="467">
        <v>0</v>
      </c>
      <c r="F24" s="466">
        <v>6.9584999999999999</v>
      </c>
      <c r="G24" s="467">
        <v>0.3</v>
      </c>
      <c r="H24" s="467">
        <v>0</v>
      </c>
      <c r="I24" s="467">
        <v>0</v>
      </c>
      <c r="J24" s="466">
        <v>0</v>
      </c>
      <c r="K24" s="467">
        <v>0.4</v>
      </c>
      <c r="L24" s="467">
        <v>0</v>
      </c>
      <c r="M24" s="467">
        <v>0</v>
      </c>
      <c r="N24" s="467">
        <v>0</v>
      </c>
      <c r="O24" s="467">
        <v>0</v>
      </c>
      <c r="P24" s="466">
        <v>1.4519</v>
      </c>
      <c r="Q24" s="467">
        <v>0</v>
      </c>
      <c r="R24" s="466">
        <v>5.5E-2</v>
      </c>
      <c r="S24" s="467">
        <v>0</v>
      </c>
      <c r="T24" s="467">
        <v>0</v>
      </c>
      <c r="U24" s="467">
        <v>0</v>
      </c>
      <c r="V24" s="467">
        <v>0</v>
      </c>
      <c r="W24" s="467">
        <v>0</v>
      </c>
      <c r="X24" s="467">
        <v>0</v>
      </c>
      <c r="Y24" s="466">
        <v>0</v>
      </c>
      <c r="Z24" s="467">
        <v>0</v>
      </c>
      <c r="AA24" s="467">
        <v>0</v>
      </c>
      <c r="AB24" s="467">
        <v>0</v>
      </c>
      <c r="AC24" s="467">
        <v>0</v>
      </c>
      <c r="AD24" s="467">
        <v>0</v>
      </c>
      <c r="AE24" s="467">
        <v>0</v>
      </c>
      <c r="AF24" s="467">
        <v>6.8369999999999997</v>
      </c>
      <c r="AG24" s="467">
        <v>0</v>
      </c>
      <c r="AH24" s="107">
        <f t="shared" si="3"/>
        <v>16.002400000000002</v>
      </c>
    </row>
    <row r="25" spans="1:34" ht="15">
      <c r="A25" s="363" t="s">
        <v>149</v>
      </c>
      <c r="B25" s="53">
        <f>+AH25</f>
        <v>19.1569</v>
      </c>
      <c r="C25" s="463">
        <v>0</v>
      </c>
      <c r="D25" s="467">
        <v>0</v>
      </c>
      <c r="E25" s="466">
        <v>0.67779999999999996</v>
      </c>
      <c r="F25" s="466">
        <v>3.2955999999999999</v>
      </c>
      <c r="G25" s="467">
        <v>0</v>
      </c>
      <c r="H25" s="467">
        <v>0</v>
      </c>
      <c r="I25" s="466">
        <v>0.88700000000000001</v>
      </c>
      <c r="J25" s="467">
        <v>0</v>
      </c>
      <c r="K25" s="467">
        <v>0</v>
      </c>
      <c r="L25" s="467">
        <v>0</v>
      </c>
      <c r="M25" s="467">
        <v>0</v>
      </c>
      <c r="N25" s="466">
        <v>4.6660000000000004</v>
      </c>
      <c r="O25" s="467">
        <v>0</v>
      </c>
      <c r="P25" s="467">
        <v>0.33300000000000002</v>
      </c>
      <c r="Q25" s="467">
        <v>0</v>
      </c>
      <c r="R25" s="467">
        <v>0.85250000000000004</v>
      </c>
      <c r="S25" s="467">
        <v>0</v>
      </c>
      <c r="T25" s="467">
        <v>0</v>
      </c>
      <c r="U25" s="467">
        <v>0</v>
      </c>
      <c r="V25" s="467">
        <v>0</v>
      </c>
      <c r="W25" s="467">
        <v>0</v>
      </c>
      <c r="X25" s="467">
        <v>0.44400000000000001</v>
      </c>
      <c r="Y25" s="467">
        <v>0.14399999999999999</v>
      </c>
      <c r="Z25" s="467">
        <v>1.4770000000000001</v>
      </c>
      <c r="AA25" s="467">
        <v>0</v>
      </c>
      <c r="AB25" s="467">
        <v>0</v>
      </c>
      <c r="AC25" s="467">
        <v>0</v>
      </c>
      <c r="AD25" s="467">
        <v>0</v>
      </c>
      <c r="AE25" s="467">
        <v>4.5780000000000003</v>
      </c>
      <c r="AF25" s="467">
        <v>0</v>
      </c>
      <c r="AG25" s="467">
        <v>1.802</v>
      </c>
      <c r="AH25" s="107">
        <f t="shared" si="3"/>
        <v>19.1569</v>
      </c>
    </row>
    <row r="26" spans="1:34" ht="15">
      <c r="A26" s="363" t="s">
        <v>150</v>
      </c>
      <c r="B26" s="53">
        <f>+AH26</f>
        <v>18.543560000000003</v>
      </c>
      <c r="C26" s="361">
        <v>0</v>
      </c>
      <c r="D26" s="361">
        <v>0</v>
      </c>
      <c r="E26" s="361">
        <v>0</v>
      </c>
      <c r="F26" s="361">
        <v>0.33300000000000002</v>
      </c>
      <c r="G26" s="361">
        <v>0.94577999999999995</v>
      </c>
      <c r="H26" s="361">
        <v>3.5379999999999998</v>
      </c>
      <c r="I26" s="361">
        <v>0</v>
      </c>
      <c r="J26" s="361">
        <v>0</v>
      </c>
      <c r="K26" s="361">
        <v>0</v>
      </c>
      <c r="L26" s="361">
        <v>0</v>
      </c>
      <c r="M26" s="361">
        <v>0</v>
      </c>
      <c r="N26" s="361">
        <v>2.5739999999999998</v>
      </c>
      <c r="O26" s="361">
        <v>0</v>
      </c>
      <c r="P26" s="361">
        <v>0</v>
      </c>
      <c r="Q26" s="361">
        <v>0</v>
      </c>
      <c r="R26" s="361">
        <v>0</v>
      </c>
      <c r="S26" s="361">
        <v>0</v>
      </c>
      <c r="T26" s="361">
        <v>1.2539800000000001</v>
      </c>
      <c r="U26" s="361">
        <v>0</v>
      </c>
      <c r="V26" s="361">
        <v>0</v>
      </c>
      <c r="W26" s="361">
        <v>0</v>
      </c>
      <c r="X26" s="361">
        <v>6.0266999999999999</v>
      </c>
      <c r="Y26" s="361">
        <v>1.2611000000000001</v>
      </c>
      <c r="Z26" s="361">
        <v>0</v>
      </c>
      <c r="AA26" s="361">
        <v>2</v>
      </c>
      <c r="AB26" s="361">
        <v>0.61099999999999999</v>
      </c>
      <c r="AC26" s="361">
        <v>0</v>
      </c>
      <c r="AD26" s="361">
        <v>0</v>
      </c>
      <c r="AE26" s="361">
        <v>0</v>
      </c>
      <c r="AF26" s="361">
        <v>0</v>
      </c>
      <c r="AG26" s="361">
        <v>0</v>
      </c>
      <c r="AH26" s="107">
        <f t="shared" si="3"/>
        <v>18.543560000000003</v>
      </c>
    </row>
    <row r="27" spans="1:34" ht="15">
      <c r="A27" s="363" t="s">
        <v>151</v>
      </c>
      <c r="B27" s="53">
        <f>+AH27</f>
        <v>20.119399999999999</v>
      </c>
      <c r="C27" s="361">
        <v>0</v>
      </c>
      <c r="D27" s="361">
        <v>0</v>
      </c>
      <c r="E27" s="361">
        <v>0.72440000000000004</v>
      </c>
      <c r="F27" s="361">
        <v>0</v>
      </c>
      <c r="G27" s="361">
        <v>0</v>
      </c>
      <c r="H27" s="361">
        <v>0</v>
      </c>
      <c r="I27" s="361">
        <v>0</v>
      </c>
      <c r="J27" s="361">
        <v>0</v>
      </c>
      <c r="K27" s="361">
        <v>0</v>
      </c>
      <c r="L27" s="361">
        <v>1.5049999999999999</v>
      </c>
      <c r="M27" s="361">
        <v>0</v>
      </c>
      <c r="N27" s="361">
        <v>0</v>
      </c>
      <c r="O27" s="361">
        <v>0</v>
      </c>
      <c r="P27" s="361">
        <v>0</v>
      </c>
      <c r="Q27" s="361">
        <v>0</v>
      </c>
      <c r="R27" s="361">
        <v>0</v>
      </c>
      <c r="S27" s="361">
        <v>0.81</v>
      </c>
      <c r="T27" s="361">
        <v>0</v>
      </c>
      <c r="U27" s="361">
        <v>0.33300000000000002</v>
      </c>
      <c r="V27" s="361">
        <v>7.8490000000000002</v>
      </c>
      <c r="W27" s="361">
        <v>0</v>
      </c>
      <c r="X27" s="361">
        <v>0</v>
      </c>
      <c r="Y27" s="361">
        <v>0</v>
      </c>
      <c r="Z27" s="361">
        <v>0</v>
      </c>
      <c r="AA27" s="361">
        <v>0.88800000000000001</v>
      </c>
      <c r="AB27" s="361">
        <v>0</v>
      </c>
      <c r="AC27" s="361">
        <v>0</v>
      </c>
      <c r="AD27" s="361">
        <v>0</v>
      </c>
      <c r="AE27" s="361">
        <v>0</v>
      </c>
      <c r="AF27" s="361">
        <v>0</v>
      </c>
      <c r="AG27" s="361">
        <v>8.01</v>
      </c>
      <c r="AH27" s="107">
        <f t="shared" si="3"/>
        <v>20.119399999999999</v>
      </c>
    </row>
    <row r="28" spans="1:34" ht="15">
      <c r="A28" s="372" t="s">
        <v>152</v>
      </c>
      <c r="B28" s="188" t="s">
        <v>318</v>
      </c>
      <c r="C28" s="360">
        <v>0</v>
      </c>
      <c r="D28" s="360">
        <v>0</v>
      </c>
      <c r="E28" s="360">
        <v>0</v>
      </c>
      <c r="F28" s="360">
        <v>0</v>
      </c>
      <c r="G28" s="360">
        <v>0</v>
      </c>
      <c r="H28" s="360">
        <v>0</v>
      </c>
      <c r="I28" s="360">
        <v>0</v>
      </c>
      <c r="J28" s="360">
        <v>0</v>
      </c>
      <c r="K28" s="360">
        <v>0</v>
      </c>
      <c r="L28" s="360">
        <v>0</v>
      </c>
      <c r="M28" s="360">
        <v>0</v>
      </c>
      <c r="N28" s="360">
        <v>0</v>
      </c>
      <c r="O28" s="360">
        <v>0</v>
      </c>
      <c r="P28" s="360">
        <v>0</v>
      </c>
      <c r="Q28" s="360">
        <v>0</v>
      </c>
      <c r="R28" s="360">
        <v>0</v>
      </c>
      <c r="S28" s="360">
        <v>0</v>
      </c>
      <c r="T28" s="360">
        <v>0</v>
      </c>
      <c r="U28" s="360">
        <v>0</v>
      </c>
      <c r="V28" s="360">
        <v>0</v>
      </c>
      <c r="W28" s="360">
        <v>0</v>
      </c>
      <c r="X28" s="360">
        <v>0</v>
      </c>
      <c r="Y28" s="360">
        <v>0</v>
      </c>
      <c r="Z28" s="360">
        <v>0</v>
      </c>
      <c r="AA28" s="360">
        <v>0</v>
      </c>
      <c r="AB28" s="360">
        <v>0</v>
      </c>
      <c r="AC28" s="360">
        <v>0</v>
      </c>
      <c r="AD28" s="360">
        <v>0</v>
      </c>
      <c r="AE28" s="360">
        <v>0</v>
      </c>
      <c r="AF28" s="360">
        <v>0</v>
      </c>
      <c r="AG28" s="360">
        <v>0</v>
      </c>
      <c r="AH28" s="107">
        <f t="shared" si="3"/>
        <v>0</v>
      </c>
    </row>
    <row r="29" spans="1:34" ht="15">
      <c r="A29" s="375" t="s">
        <v>153</v>
      </c>
      <c r="B29" s="53">
        <f t="shared" si="4"/>
        <v>0.83210000000000006</v>
      </c>
      <c r="C29" s="361">
        <v>0</v>
      </c>
      <c r="D29" s="361">
        <v>0</v>
      </c>
      <c r="E29" s="361">
        <v>0</v>
      </c>
      <c r="F29" s="361">
        <v>0</v>
      </c>
      <c r="G29" s="361">
        <v>0</v>
      </c>
      <c r="H29" s="361">
        <v>0</v>
      </c>
      <c r="I29" s="361">
        <v>0</v>
      </c>
      <c r="J29" s="361">
        <v>0</v>
      </c>
      <c r="K29" s="361">
        <v>0</v>
      </c>
      <c r="L29" s="361">
        <v>0</v>
      </c>
      <c r="M29" s="361">
        <v>0</v>
      </c>
      <c r="N29" s="361">
        <v>0.49880000000000002</v>
      </c>
      <c r="O29" s="361">
        <v>0</v>
      </c>
      <c r="P29" s="361">
        <v>0</v>
      </c>
      <c r="Q29" s="361">
        <v>0</v>
      </c>
      <c r="R29" s="361">
        <v>0</v>
      </c>
      <c r="S29" s="361">
        <v>0</v>
      </c>
      <c r="T29" s="361">
        <v>0</v>
      </c>
      <c r="U29" s="361">
        <v>0</v>
      </c>
      <c r="V29" s="361">
        <v>0</v>
      </c>
      <c r="W29" s="361">
        <v>0</v>
      </c>
      <c r="X29" s="361">
        <v>0</v>
      </c>
      <c r="Y29" s="361">
        <v>0</v>
      </c>
      <c r="Z29" s="361">
        <v>0</v>
      </c>
      <c r="AA29" s="361">
        <v>0.33329999999999999</v>
      </c>
      <c r="AB29" s="361">
        <v>0</v>
      </c>
      <c r="AC29" s="361">
        <v>0</v>
      </c>
      <c r="AD29" s="361">
        <v>0</v>
      </c>
      <c r="AE29" s="361">
        <v>0</v>
      </c>
      <c r="AF29" s="361">
        <v>0</v>
      </c>
      <c r="AG29" s="361">
        <v>0</v>
      </c>
      <c r="AH29" s="107">
        <f t="shared" si="3"/>
        <v>0.83210000000000006</v>
      </c>
    </row>
    <row r="30" spans="1:34" ht="15">
      <c r="A30" s="375" t="s">
        <v>154</v>
      </c>
      <c r="B30" s="53">
        <f t="shared" si="4"/>
        <v>3.8570000000000002</v>
      </c>
      <c r="C30" s="361">
        <v>0</v>
      </c>
      <c r="D30" s="361">
        <v>0</v>
      </c>
      <c r="E30" s="361">
        <v>0.13300000000000001</v>
      </c>
      <c r="F30" s="361">
        <v>0.88380000000000003</v>
      </c>
      <c r="G30" s="361">
        <v>0</v>
      </c>
      <c r="H30" s="361">
        <v>0</v>
      </c>
      <c r="I30" s="361">
        <v>0</v>
      </c>
      <c r="J30" s="361">
        <v>0</v>
      </c>
      <c r="K30" s="361">
        <v>0</v>
      </c>
      <c r="L30" s="361">
        <v>0</v>
      </c>
      <c r="M30" s="361">
        <v>0</v>
      </c>
      <c r="N30" s="361">
        <v>0</v>
      </c>
      <c r="O30" s="361">
        <v>0</v>
      </c>
      <c r="P30" s="361">
        <v>0</v>
      </c>
      <c r="Q30" s="361">
        <v>0</v>
      </c>
      <c r="R30" s="361">
        <v>1.5159</v>
      </c>
      <c r="S30" s="361">
        <v>0</v>
      </c>
      <c r="T30" s="361">
        <v>0</v>
      </c>
      <c r="U30" s="361">
        <v>0</v>
      </c>
      <c r="V30" s="361">
        <v>0</v>
      </c>
      <c r="W30" s="361">
        <v>0</v>
      </c>
      <c r="X30" s="361">
        <v>0</v>
      </c>
      <c r="Y30" s="361">
        <v>0</v>
      </c>
      <c r="Z30" s="361">
        <v>0</v>
      </c>
      <c r="AA30" s="361">
        <v>0</v>
      </c>
      <c r="AB30" s="361">
        <v>0</v>
      </c>
      <c r="AC30" s="361">
        <v>0</v>
      </c>
      <c r="AD30" s="361">
        <v>0</v>
      </c>
      <c r="AE30" s="361">
        <v>1.3243</v>
      </c>
      <c r="AF30" s="361">
        <v>0</v>
      </c>
      <c r="AG30" s="361">
        <v>0</v>
      </c>
      <c r="AH30" s="107">
        <f t="shared" si="3"/>
        <v>3.8570000000000002</v>
      </c>
    </row>
    <row r="31" spans="1:34" ht="15">
      <c r="A31" s="375" t="s">
        <v>155</v>
      </c>
      <c r="B31" s="53">
        <f t="shared" si="4"/>
        <v>10.6044</v>
      </c>
      <c r="C31" s="361">
        <v>0</v>
      </c>
      <c r="D31" s="361">
        <v>0</v>
      </c>
      <c r="E31" s="361">
        <v>0</v>
      </c>
      <c r="F31" s="361">
        <v>0</v>
      </c>
      <c r="G31" s="361">
        <v>3.0587</v>
      </c>
      <c r="H31" s="361">
        <v>2.5999999999999999E-2</v>
      </c>
      <c r="I31" s="361">
        <v>0</v>
      </c>
      <c r="J31" s="361">
        <v>0</v>
      </c>
      <c r="K31" s="361">
        <v>1.7746999999999999</v>
      </c>
      <c r="L31" s="361">
        <v>0</v>
      </c>
      <c r="M31" s="361">
        <v>0</v>
      </c>
      <c r="N31" s="361">
        <v>0.22</v>
      </c>
      <c r="O31" s="361">
        <v>0</v>
      </c>
      <c r="P31" s="361">
        <v>0</v>
      </c>
      <c r="Q31" s="361">
        <v>0</v>
      </c>
      <c r="R31" s="361">
        <v>0</v>
      </c>
      <c r="S31" s="361">
        <v>0</v>
      </c>
      <c r="T31" s="361">
        <v>0</v>
      </c>
      <c r="U31" s="361">
        <v>2.5129999999999999</v>
      </c>
      <c r="V31" s="361">
        <v>0</v>
      </c>
      <c r="W31" s="361">
        <v>0</v>
      </c>
      <c r="X31" s="361">
        <v>0</v>
      </c>
      <c r="Y31" s="361">
        <v>0.81</v>
      </c>
      <c r="Z31" s="361">
        <v>0</v>
      </c>
      <c r="AA31" s="361">
        <v>0</v>
      </c>
      <c r="AB31" s="361">
        <v>0</v>
      </c>
      <c r="AC31" s="361">
        <v>2.202</v>
      </c>
      <c r="AD31" s="361">
        <v>0</v>
      </c>
      <c r="AE31" s="361">
        <v>0</v>
      </c>
      <c r="AF31" s="361">
        <v>0</v>
      </c>
      <c r="AG31" s="361">
        <v>0</v>
      </c>
      <c r="AH31" s="107">
        <f t="shared" si="3"/>
        <v>10.6044</v>
      </c>
    </row>
    <row r="32" spans="1:34" ht="15">
      <c r="A32" s="375" t="s">
        <v>156</v>
      </c>
      <c r="B32" s="53">
        <f t="shared" si="4"/>
        <v>32.032499999999999</v>
      </c>
      <c r="C32" s="361">
        <v>0</v>
      </c>
      <c r="D32" s="361">
        <v>0</v>
      </c>
      <c r="E32" s="361">
        <v>1.085</v>
      </c>
      <c r="F32" s="361">
        <v>1.6367</v>
      </c>
      <c r="G32" s="361">
        <v>0</v>
      </c>
      <c r="H32" s="361">
        <v>0</v>
      </c>
      <c r="I32" s="361">
        <v>2.6659999999999999</v>
      </c>
      <c r="J32" s="361">
        <v>0</v>
      </c>
      <c r="K32" s="361">
        <v>1.3360000000000001</v>
      </c>
      <c r="L32" s="361">
        <v>3.1579999999999999</v>
      </c>
      <c r="M32" s="361">
        <v>0</v>
      </c>
      <c r="N32" s="361">
        <v>0</v>
      </c>
      <c r="O32" s="361">
        <v>0</v>
      </c>
      <c r="P32" s="361">
        <v>4.1719999999999997</v>
      </c>
      <c r="Q32" s="361">
        <v>2.6219999999999999</v>
      </c>
      <c r="R32" s="361">
        <v>1.4179999999999999</v>
      </c>
      <c r="S32" s="361">
        <v>0</v>
      </c>
      <c r="T32" s="361">
        <v>0</v>
      </c>
      <c r="U32" s="361">
        <v>0</v>
      </c>
      <c r="V32" s="361">
        <v>5.1660000000000004</v>
      </c>
      <c r="W32" s="361">
        <v>0.59399999999999997</v>
      </c>
      <c r="X32" s="361">
        <v>0</v>
      </c>
      <c r="Y32" s="361">
        <v>0</v>
      </c>
      <c r="Z32" s="361">
        <v>0</v>
      </c>
      <c r="AA32" s="361">
        <v>0</v>
      </c>
      <c r="AB32" s="361">
        <v>6.9177</v>
      </c>
      <c r="AC32" s="361">
        <v>1.2611000000000001</v>
      </c>
      <c r="AD32" s="361">
        <v>0</v>
      </c>
      <c r="AE32" s="361">
        <v>0</v>
      </c>
      <c r="AF32" s="361">
        <v>0</v>
      </c>
      <c r="AG32" s="361">
        <v>0</v>
      </c>
      <c r="AH32" s="107">
        <f t="shared" si="3"/>
        <v>32.032499999999999</v>
      </c>
    </row>
    <row r="33" spans="1:34" ht="15">
      <c r="A33" s="199" t="s">
        <v>144</v>
      </c>
      <c r="B33" s="200">
        <f>SUM(B21:B32)</f>
        <v>208.69768000000002</v>
      </c>
      <c r="C33" s="100">
        <f t="shared" ref="C33:AG33" si="5">SUM(C21:C32)</f>
        <v>6.7842400000000005</v>
      </c>
      <c r="D33" s="100">
        <f t="shared" si="5"/>
        <v>2.2786</v>
      </c>
      <c r="E33" s="100">
        <f t="shared" si="5"/>
        <v>4.5246000000000004</v>
      </c>
      <c r="F33" s="100">
        <f t="shared" si="5"/>
        <v>13.1076</v>
      </c>
      <c r="G33" s="100">
        <f t="shared" si="5"/>
        <v>4.3044799999999999</v>
      </c>
      <c r="H33" s="100">
        <f t="shared" si="5"/>
        <v>7.5951000000000004</v>
      </c>
      <c r="I33" s="100">
        <f t="shared" si="5"/>
        <v>5.8426</v>
      </c>
      <c r="J33" s="100">
        <f t="shared" si="5"/>
        <v>1.4537</v>
      </c>
      <c r="K33" s="100">
        <f t="shared" si="5"/>
        <v>3.5106999999999999</v>
      </c>
      <c r="L33" s="100">
        <f t="shared" si="5"/>
        <v>4.6630000000000003</v>
      </c>
      <c r="M33" s="100">
        <f t="shared" si="5"/>
        <v>0.56928000000000001</v>
      </c>
      <c r="N33" s="100">
        <f t="shared" si="5"/>
        <v>7.9588000000000001</v>
      </c>
      <c r="O33" s="100">
        <f t="shared" si="5"/>
        <v>5.7963000000000005</v>
      </c>
      <c r="P33" s="100">
        <f t="shared" si="5"/>
        <v>16.142800000000001</v>
      </c>
      <c r="Q33" s="100">
        <f t="shared" si="5"/>
        <v>4.2946</v>
      </c>
      <c r="R33" s="100">
        <f t="shared" si="5"/>
        <v>8.7188999999999997</v>
      </c>
      <c r="S33" s="100">
        <f t="shared" si="5"/>
        <v>0.81</v>
      </c>
      <c r="T33" s="100">
        <f t="shared" si="5"/>
        <v>2.8990800000000001</v>
      </c>
      <c r="U33" s="100">
        <f t="shared" si="5"/>
        <v>7.5114999999999998</v>
      </c>
      <c r="V33" s="100">
        <f t="shared" si="5"/>
        <v>13.015000000000001</v>
      </c>
      <c r="W33" s="100">
        <f t="shared" si="5"/>
        <v>7.1865999999999994</v>
      </c>
      <c r="X33" s="100">
        <f t="shared" si="5"/>
        <v>12.139900000000001</v>
      </c>
      <c r="Y33" s="100">
        <f t="shared" si="5"/>
        <v>2.2151000000000001</v>
      </c>
      <c r="Z33" s="100">
        <f t="shared" si="5"/>
        <v>6.9725000000000001</v>
      </c>
      <c r="AA33" s="100">
        <f t="shared" si="5"/>
        <v>3.2212999999999998</v>
      </c>
      <c r="AB33" s="100">
        <f t="shared" si="5"/>
        <v>8.6369000000000007</v>
      </c>
      <c r="AC33" s="100">
        <f t="shared" si="5"/>
        <v>10.903500000000001</v>
      </c>
      <c r="AD33" s="100">
        <f t="shared" si="5"/>
        <v>4.0193000000000003</v>
      </c>
      <c r="AE33" s="100">
        <f t="shared" si="5"/>
        <v>13.740000000000002</v>
      </c>
      <c r="AF33" s="100">
        <f t="shared" si="5"/>
        <v>8.0696999999999992</v>
      </c>
      <c r="AG33" s="100">
        <f t="shared" si="5"/>
        <v>9.8119999999999994</v>
      </c>
      <c r="AH33" s="107">
        <f t="shared" si="3"/>
        <v>208.69768000000008</v>
      </c>
    </row>
    <row r="34" spans="1:34" ht="15">
      <c r="A34" s="387"/>
      <c r="B34" s="387"/>
      <c r="C34" s="387"/>
      <c r="D34" s="387"/>
      <c r="E34" s="387"/>
      <c r="F34" s="387"/>
      <c r="G34" s="387"/>
      <c r="H34" s="387"/>
      <c r="I34" s="387"/>
      <c r="J34" s="387"/>
      <c r="K34" s="387"/>
      <c r="L34" s="387"/>
      <c r="M34" s="387"/>
      <c r="N34" s="387"/>
      <c r="O34" s="387"/>
      <c r="P34" s="387"/>
      <c r="Q34" s="387"/>
      <c r="R34" s="387"/>
      <c r="S34" s="387"/>
      <c r="T34" s="387"/>
      <c r="U34" s="114"/>
      <c r="V34" s="114"/>
      <c r="W34" s="114"/>
      <c r="X34" s="114"/>
      <c r="Y34" s="114"/>
      <c r="Z34" s="114"/>
      <c r="AA34" s="114"/>
      <c r="AB34" s="114"/>
      <c r="AC34" s="114"/>
      <c r="AD34" s="114"/>
      <c r="AE34" s="114"/>
      <c r="AF34" s="114"/>
      <c r="AG34" s="114"/>
      <c r="AH34" s="114"/>
    </row>
    <row r="35" spans="1:34" ht="15">
      <c r="A35" s="3854" t="s">
        <v>422</v>
      </c>
      <c r="B35" s="3855"/>
      <c r="C35" s="3855"/>
      <c r="D35" s="3855"/>
      <c r="E35" s="3855"/>
      <c r="F35" s="3855"/>
      <c r="G35" s="3855"/>
      <c r="H35" s="3856"/>
      <c r="I35" s="1115" t="s">
        <v>760</v>
      </c>
      <c r="J35" s="1115"/>
      <c r="K35" s="1115"/>
      <c r="L35" s="1115"/>
      <c r="M35" s="1115"/>
      <c r="N35" s="1115"/>
      <c r="O35" s="1115"/>
      <c r="P35" s="14"/>
      <c r="Q35" s="14"/>
      <c r="R35" s="14"/>
      <c r="S35" s="14"/>
      <c r="T35" s="14"/>
      <c r="U35" s="14"/>
      <c r="V35" s="14"/>
      <c r="W35" s="14"/>
      <c r="X35" s="14"/>
      <c r="Y35" s="14"/>
      <c r="Z35" s="14"/>
      <c r="AA35" s="14"/>
      <c r="AB35" s="14"/>
      <c r="AC35" s="14"/>
      <c r="AD35" s="14"/>
      <c r="AE35" s="14"/>
      <c r="AF35" s="14"/>
      <c r="AG35" s="14"/>
      <c r="AH35" s="14"/>
    </row>
    <row r="36" spans="1:34" ht="15">
      <c r="A36" s="8" t="s">
        <v>142</v>
      </c>
      <c r="B36" s="8" t="s">
        <v>143</v>
      </c>
      <c r="C36" s="8">
        <v>1</v>
      </c>
      <c r="D36" s="73">
        <v>2</v>
      </c>
      <c r="E36" s="73">
        <v>3</v>
      </c>
      <c r="F36" s="73">
        <v>4</v>
      </c>
      <c r="G36" s="73">
        <v>5</v>
      </c>
      <c r="H36" s="73">
        <v>6</v>
      </c>
      <c r="I36" s="73">
        <v>7</v>
      </c>
      <c r="J36" s="73">
        <v>8</v>
      </c>
      <c r="K36" s="73">
        <v>9</v>
      </c>
      <c r="L36" s="73">
        <v>10</v>
      </c>
      <c r="M36" s="73">
        <v>11</v>
      </c>
      <c r="N36" s="73">
        <v>12</v>
      </c>
      <c r="O36" s="73">
        <v>13</v>
      </c>
      <c r="P36" s="73">
        <v>14</v>
      </c>
      <c r="Q36" s="73">
        <v>15</v>
      </c>
      <c r="R36" s="73">
        <v>16</v>
      </c>
      <c r="S36" s="73">
        <v>17</v>
      </c>
      <c r="T36" s="73">
        <v>18</v>
      </c>
      <c r="U36" s="73">
        <v>19</v>
      </c>
      <c r="V36" s="73">
        <v>20</v>
      </c>
      <c r="W36" s="73">
        <v>21</v>
      </c>
      <c r="X36" s="73">
        <v>22</v>
      </c>
      <c r="Y36" s="73">
        <v>23</v>
      </c>
      <c r="Z36" s="73">
        <v>24</v>
      </c>
      <c r="AA36" s="73">
        <v>25</v>
      </c>
      <c r="AB36" s="73">
        <v>26</v>
      </c>
      <c r="AC36" s="73">
        <v>27</v>
      </c>
      <c r="AD36" s="73">
        <v>28</v>
      </c>
      <c r="AE36" s="73">
        <v>29</v>
      </c>
      <c r="AF36" s="73">
        <v>30</v>
      </c>
      <c r="AG36" s="73">
        <v>31</v>
      </c>
      <c r="AH36" s="88" t="s">
        <v>144</v>
      </c>
    </row>
    <row r="37" spans="1:34" ht="15">
      <c r="A37" s="363" t="s">
        <v>145</v>
      </c>
      <c r="B37" s="53">
        <f>+AH37</f>
        <v>0</v>
      </c>
      <c r="C37" s="463"/>
      <c r="D37" s="463"/>
      <c r="E37" s="463"/>
      <c r="F37" s="463"/>
      <c r="G37" s="463"/>
      <c r="H37" s="463"/>
      <c r="I37" s="463"/>
      <c r="J37" s="463"/>
      <c r="K37" s="463"/>
      <c r="L37" s="463"/>
      <c r="M37" s="463"/>
      <c r="N37" s="463"/>
      <c r="O37" s="463"/>
      <c r="P37" s="463"/>
      <c r="Q37" s="463"/>
      <c r="R37" s="463"/>
      <c r="S37" s="463"/>
      <c r="T37" s="463"/>
      <c r="U37" s="463"/>
      <c r="V37" s="463"/>
      <c r="W37" s="463"/>
      <c r="X37" s="463"/>
      <c r="Y37" s="463"/>
      <c r="Z37" s="463"/>
      <c r="AA37" s="463"/>
      <c r="AB37" s="463"/>
      <c r="AC37" s="463"/>
      <c r="AD37" s="463"/>
      <c r="AE37" s="463"/>
      <c r="AF37" s="463"/>
      <c r="AG37" s="463"/>
      <c r="AH37" s="107">
        <f>SUM(C37:AG37)</f>
        <v>0</v>
      </c>
    </row>
    <row r="38" spans="1:34" ht="15">
      <c r="A38" s="363" t="s">
        <v>146</v>
      </c>
      <c r="B38" s="53">
        <f>+AH38</f>
        <v>0</v>
      </c>
      <c r="C38" s="463"/>
      <c r="D38" s="463"/>
      <c r="E38" s="464"/>
      <c r="F38" s="463"/>
      <c r="G38" s="463"/>
      <c r="H38" s="464"/>
      <c r="I38" s="463"/>
      <c r="J38" s="463"/>
      <c r="K38" s="463"/>
      <c r="L38" s="463"/>
      <c r="M38" s="463"/>
      <c r="N38" s="463"/>
      <c r="O38" s="463"/>
      <c r="P38" s="463"/>
      <c r="Q38" s="463"/>
      <c r="R38" s="463"/>
      <c r="S38" s="463"/>
      <c r="T38" s="463"/>
      <c r="U38" s="463"/>
      <c r="V38" s="463"/>
      <c r="W38" s="463"/>
      <c r="X38" s="463"/>
      <c r="Y38" s="463"/>
      <c r="Z38" s="463"/>
      <c r="AA38" s="463"/>
      <c r="AB38" s="463"/>
      <c r="AC38" s="463"/>
      <c r="AD38" s="463"/>
      <c r="AE38" s="463"/>
      <c r="AF38" s="463"/>
      <c r="AG38" s="463"/>
      <c r="AH38" s="107">
        <f t="shared" ref="AH38:AH49" si="6">SUM(C38:AG38)</f>
        <v>0</v>
      </c>
    </row>
    <row r="39" spans="1:34" ht="15">
      <c r="A39" s="363" t="s">
        <v>147</v>
      </c>
      <c r="B39" s="53">
        <f t="shared" ref="B39:B48" si="7">+AH39</f>
        <v>0</v>
      </c>
      <c r="C39" s="463"/>
      <c r="D39" s="463"/>
      <c r="E39" s="463"/>
      <c r="F39" s="463"/>
      <c r="G39" s="463"/>
      <c r="H39" s="463"/>
      <c r="I39" s="463"/>
      <c r="J39" s="463"/>
      <c r="K39" s="463"/>
      <c r="L39" s="463"/>
      <c r="M39" s="463"/>
      <c r="N39" s="463"/>
      <c r="O39" s="463"/>
      <c r="P39" s="463"/>
      <c r="Q39" s="463"/>
      <c r="R39" s="463"/>
      <c r="S39" s="463"/>
      <c r="T39" s="463"/>
      <c r="U39" s="463"/>
      <c r="V39" s="463"/>
      <c r="W39" s="463"/>
      <c r="X39" s="463"/>
      <c r="Y39" s="463"/>
      <c r="Z39" s="463"/>
      <c r="AA39" s="463"/>
      <c r="AB39" s="463"/>
      <c r="AC39" s="463"/>
      <c r="AD39" s="463"/>
      <c r="AE39" s="463"/>
      <c r="AF39" s="463"/>
      <c r="AG39" s="463"/>
      <c r="AH39" s="107">
        <f t="shared" si="6"/>
        <v>0</v>
      </c>
    </row>
    <row r="40" spans="1:34" ht="15">
      <c r="A40" s="363" t="s">
        <v>148</v>
      </c>
      <c r="B40" s="53">
        <f t="shared" si="7"/>
        <v>0</v>
      </c>
      <c r="C40" s="463"/>
      <c r="D40" s="463"/>
      <c r="E40" s="463"/>
      <c r="F40" s="463"/>
      <c r="G40" s="463"/>
      <c r="H40" s="463"/>
      <c r="I40" s="463"/>
      <c r="J40" s="463"/>
      <c r="K40" s="463"/>
      <c r="L40" s="463"/>
      <c r="M40" s="463"/>
      <c r="N40" s="463"/>
      <c r="O40" s="463"/>
      <c r="P40" s="463"/>
      <c r="Q40" s="463"/>
      <c r="R40" s="463"/>
      <c r="S40" s="463"/>
      <c r="T40" s="463"/>
      <c r="U40" s="463"/>
      <c r="V40" s="463"/>
      <c r="W40" s="463"/>
      <c r="X40" s="463"/>
      <c r="Y40" s="463"/>
      <c r="Z40" s="463"/>
      <c r="AA40" s="463"/>
      <c r="AB40" s="463"/>
      <c r="AC40" s="463"/>
      <c r="AD40" s="463"/>
      <c r="AE40" s="463"/>
      <c r="AF40" s="463"/>
      <c r="AG40" s="463"/>
      <c r="AH40" s="107">
        <f t="shared" si="6"/>
        <v>0</v>
      </c>
    </row>
    <row r="41" spans="1:34" ht="15">
      <c r="A41" s="363" t="s">
        <v>149</v>
      </c>
      <c r="B41" s="53">
        <f t="shared" si="7"/>
        <v>0</v>
      </c>
      <c r="C41" s="463"/>
      <c r="D41" s="463"/>
      <c r="E41" s="463"/>
      <c r="F41" s="463"/>
      <c r="G41" s="463"/>
      <c r="H41" s="463"/>
      <c r="I41" s="463"/>
      <c r="J41" s="463"/>
      <c r="K41" s="463"/>
      <c r="L41" s="463"/>
      <c r="M41" s="463"/>
      <c r="N41" s="463"/>
      <c r="O41" s="463"/>
      <c r="P41" s="463"/>
      <c r="Q41" s="463"/>
      <c r="R41" s="463"/>
      <c r="S41" s="463"/>
      <c r="T41" s="463"/>
      <c r="U41" s="463"/>
      <c r="V41" s="463"/>
      <c r="W41" s="463"/>
      <c r="X41" s="463"/>
      <c r="Y41" s="463"/>
      <c r="Z41" s="463"/>
      <c r="AA41" s="463"/>
      <c r="AB41" s="463"/>
      <c r="AC41" s="463"/>
      <c r="AD41" s="463"/>
      <c r="AE41" s="463"/>
      <c r="AF41" s="463"/>
      <c r="AG41" s="463"/>
      <c r="AH41" s="107">
        <f t="shared" si="6"/>
        <v>0</v>
      </c>
    </row>
    <row r="42" spans="1:34" ht="15">
      <c r="A42" s="363" t="s">
        <v>150</v>
      </c>
      <c r="B42" s="53">
        <f t="shared" si="7"/>
        <v>0</v>
      </c>
      <c r="C42" s="463"/>
      <c r="D42" s="463"/>
      <c r="E42" s="463"/>
      <c r="F42" s="463"/>
      <c r="G42" s="463"/>
      <c r="H42" s="463"/>
      <c r="I42" s="463"/>
      <c r="J42" s="463"/>
      <c r="K42" s="463"/>
      <c r="L42" s="463"/>
      <c r="M42" s="463"/>
      <c r="N42" s="463"/>
      <c r="O42" s="463"/>
      <c r="P42" s="463"/>
      <c r="Q42" s="463"/>
      <c r="R42" s="463"/>
      <c r="S42" s="463"/>
      <c r="T42" s="463"/>
      <c r="U42" s="463"/>
      <c r="V42" s="463"/>
      <c r="W42" s="463"/>
      <c r="X42" s="463"/>
      <c r="Y42" s="463"/>
      <c r="Z42" s="463"/>
      <c r="AA42" s="463"/>
      <c r="AB42" s="463"/>
      <c r="AC42" s="463"/>
      <c r="AD42" s="463"/>
      <c r="AE42" s="463"/>
      <c r="AF42" s="463"/>
      <c r="AG42" s="463"/>
      <c r="AH42" s="107">
        <f t="shared" si="6"/>
        <v>0</v>
      </c>
    </row>
    <row r="43" spans="1:34" ht="15">
      <c r="A43" s="363" t="s">
        <v>151</v>
      </c>
      <c r="B43" s="53">
        <f t="shared" si="7"/>
        <v>0</v>
      </c>
      <c r="C43" s="463"/>
      <c r="D43" s="463"/>
      <c r="E43" s="463"/>
      <c r="F43" s="463"/>
      <c r="G43" s="463"/>
      <c r="H43" s="463"/>
      <c r="I43" s="463"/>
      <c r="J43" s="463"/>
      <c r="K43" s="463"/>
      <c r="L43" s="463"/>
      <c r="M43" s="463"/>
      <c r="N43" s="463"/>
      <c r="O43" s="463"/>
      <c r="P43" s="463"/>
      <c r="Q43" s="463"/>
      <c r="R43" s="463"/>
      <c r="S43" s="463"/>
      <c r="T43" s="463"/>
      <c r="U43" s="463"/>
      <c r="V43" s="463"/>
      <c r="W43" s="463"/>
      <c r="X43" s="463"/>
      <c r="Y43" s="463"/>
      <c r="Z43" s="463"/>
      <c r="AA43" s="463"/>
      <c r="AB43" s="463"/>
      <c r="AC43" s="463"/>
      <c r="AD43" s="463"/>
      <c r="AE43" s="463"/>
      <c r="AF43" s="463"/>
      <c r="AG43" s="463"/>
      <c r="AH43" s="107">
        <f t="shared" si="6"/>
        <v>0</v>
      </c>
    </row>
    <row r="44" spans="1:34" ht="15">
      <c r="A44" s="372" t="s">
        <v>152</v>
      </c>
      <c r="B44" s="188" t="s">
        <v>318</v>
      </c>
      <c r="C44" s="188" t="s">
        <v>318</v>
      </c>
      <c r="D44" s="188" t="s">
        <v>318</v>
      </c>
      <c r="E44" s="188" t="s">
        <v>318</v>
      </c>
      <c r="F44" s="188" t="s">
        <v>318</v>
      </c>
      <c r="G44" s="188" t="s">
        <v>318</v>
      </c>
      <c r="H44" s="188" t="s">
        <v>318</v>
      </c>
      <c r="I44" s="188" t="s">
        <v>318</v>
      </c>
      <c r="J44" s="188" t="s">
        <v>318</v>
      </c>
      <c r="K44" s="188" t="s">
        <v>318</v>
      </c>
      <c r="L44" s="188" t="s">
        <v>318</v>
      </c>
      <c r="M44" s="188" t="s">
        <v>318</v>
      </c>
      <c r="N44" s="188" t="s">
        <v>318</v>
      </c>
      <c r="O44" s="188" t="s">
        <v>318</v>
      </c>
      <c r="P44" s="188" t="s">
        <v>318</v>
      </c>
      <c r="Q44" s="188" t="s">
        <v>318</v>
      </c>
      <c r="R44" s="188" t="s">
        <v>318</v>
      </c>
      <c r="S44" s="188" t="s">
        <v>318</v>
      </c>
      <c r="T44" s="188" t="s">
        <v>318</v>
      </c>
      <c r="U44" s="188" t="s">
        <v>318</v>
      </c>
      <c r="V44" s="188" t="s">
        <v>318</v>
      </c>
      <c r="W44" s="188" t="s">
        <v>318</v>
      </c>
      <c r="X44" s="188" t="s">
        <v>318</v>
      </c>
      <c r="Y44" s="188" t="s">
        <v>318</v>
      </c>
      <c r="Z44" s="188" t="s">
        <v>318</v>
      </c>
      <c r="AA44" s="188" t="s">
        <v>318</v>
      </c>
      <c r="AB44" s="188" t="s">
        <v>318</v>
      </c>
      <c r="AC44" s="188" t="s">
        <v>318</v>
      </c>
      <c r="AD44" s="188" t="s">
        <v>318</v>
      </c>
      <c r="AE44" s="188" t="s">
        <v>318</v>
      </c>
      <c r="AF44" s="188" t="s">
        <v>318</v>
      </c>
      <c r="AG44" s="188" t="s">
        <v>318</v>
      </c>
      <c r="AH44" s="107">
        <f t="shared" si="6"/>
        <v>0</v>
      </c>
    </row>
    <row r="45" spans="1:34" ht="15">
      <c r="A45" s="375" t="s">
        <v>153</v>
      </c>
      <c r="B45" s="53">
        <f t="shared" si="7"/>
        <v>0</v>
      </c>
      <c r="C45" s="100"/>
      <c r="D45" s="100"/>
      <c r="E45" s="100"/>
      <c r="F45" s="100"/>
      <c r="G45" s="100"/>
      <c r="H45" s="100"/>
      <c r="I45" s="100"/>
      <c r="J45" s="100"/>
      <c r="K45" s="100"/>
      <c r="L45" s="100"/>
      <c r="M45" s="100"/>
      <c r="N45" s="100"/>
      <c r="O45" s="100"/>
      <c r="P45" s="100"/>
      <c r="Q45" s="100"/>
      <c r="R45" s="100"/>
      <c r="S45" s="100"/>
      <c r="T45" s="100"/>
      <c r="U45" s="100"/>
      <c r="V45" s="100"/>
      <c r="W45" s="100"/>
      <c r="X45" s="100"/>
      <c r="Y45" s="100"/>
      <c r="Z45" s="100"/>
      <c r="AA45" s="100"/>
      <c r="AB45" s="100"/>
      <c r="AC45" s="100"/>
      <c r="AD45" s="100"/>
      <c r="AE45" s="100"/>
      <c r="AF45" s="100"/>
      <c r="AG45" s="100"/>
      <c r="AH45" s="107">
        <f t="shared" si="6"/>
        <v>0</v>
      </c>
    </row>
    <row r="46" spans="1:34" ht="15">
      <c r="A46" s="375" t="s">
        <v>154</v>
      </c>
      <c r="B46" s="53">
        <f t="shared" si="7"/>
        <v>0</v>
      </c>
      <c r="C46" s="100"/>
      <c r="D46" s="100"/>
      <c r="E46" s="100"/>
      <c r="F46" s="100"/>
      <c r="G46" s="100"/>
      <c r="H46" s="100"/>
      <c r="I46" s="100"/>
      <c r="J46" s="100"/>
      <c r="K46" s="100"/>
      <c r="L46" s="100"/>
      <c r="M46" s="100"/>
      <c r="N46" s="100"/>
      <c r="O46" s="100"/>
      <c r="P46" s="100"/>
      <c r="Q46" s="100"/>
      <c r="R46" s="100"/>
      <c r="S46" s="100"/>
      <c r="T46" s="100"/>
      <c r="U46" s="100"/>
      <c r="V46" s="100"/>
      <c r="W46" s="100"/>
      <c r="X46" s="100"/>
      <c r="Y46" s="100"/>
      <c r="Z46" s="100"/>
      <c r="AA46" s="100"/>
      <c r="AB46" s="100"/>
      <c r="AC46" s="100"/>
      <c r="AD46" s="100"/>
      <c r="AE46" s="100"/>
      <c r="AF46" s="100"/>
      <c r="AG46" s="100"/>
      <c r="AH46" s="107">
        <f t="shared" si="6"/>
        <v>0</v>
      </c>
    </row>
    <row r="47" spans="1:34" ht="15">
      <c r="A47" s="375" t="s">
        <v>155</v>
      </c>
      <c r="B47" s="53">
        <f t="shared" si="7"/>
        <v>0</v>
      </c>
      <c r="C47" s="100"/>
      <c r="D47" s="100"/>
      <c r="E47" s="100"/>
      <c r="F47" s="100"/>
      <c r="G47" s="100"/>
      <c r="H47" s="100"/>
      <c r="I47" s="100"/>
      <c r="J47" s="100"/>
      <c r="K47" s="100"/>
      <c r="L47" s="100"/>
      <c r="M47" s="100"/>
      <c r="N47" s="100"/>
      <c r="O47" s="100"/>
      <c r="P47" s="100"/>
      <c r="Q47" s="100"/>
      <c r="R47" s="100"/>
      <c r="S47" s="100"/>
      <c r="T47" s="100"/>
      <c r="U47" s="100"/>
      <c r="V47" s="100"/>
      <c r="W47" s="100"/>
      <c r="X47" s="100"/>
      <c r="Y47" s="100"/>
      <c r="Z47" s="100"/>
      <c r="AA47" s="100"/>
      <c r="AB47" s="100"/>
      <c r="AC47" s="100"/>
      <c r="AD47" s="100"/>
      <c r="AE47" s="100"/>
      <c r="AF47" s="100"/>
      <c r="AG47" s="100"/>
      <c r="AH47" s="107">
        <f t="shared" si="6"/>
        <v>0</v>
      </c>
    </row>
    <row r="48" spans="1:34" ht="15">
      <c r="A48" s="375" t="s">
        <v>156</v>
      </c>
      <c r="B48" s="53">
        <f t="shared" si="7"/>
        <v>0</v>
      </c>
      <c r="C48" s="100"/>
      <c r="D48" s="100"/>
      <c r="E48" s="100"/>
      <c r="F48" s="100"/>
      <c r="G48" s="100"/>
      <c r="H48" s="100"/>
      <c r="I48" s="100"/>
      <c r="J48" s="100"/>
      <c r="K48" s="100"/>
      <c r="L48" s="100"/>
      <c r="M48" s="100"/>
      <c r="N48" s="100"/>
      <c r="O48" s="100"/>
      <c r="P48" s="100"/>
      <c r="Q48" s="100"/>
      <c r="R48" s="100"/>
      <c r="S48" s="100"/>
      <c r="T48" s="100"/>
      <c r="U48" s="100"/>
      <c r="V48" s="100"/>
      <c r="W48" s="100"/>
      <c r="X48" s="100"/>
      <c r="Y48" s="100"/>
      <c r="Z48" s="100"/>
      <c r="AA48" s="100"/>
      <c r="AB48" s="100"/>
      <c r="AC48" s="100"/>
      <c r="AD48" s="100"/>
      <c r="AE48" s="100"/>
      <c r="AF48" s="100"/>
      <c r="AG48" s="100"/>
      <c r="AH48" s="107">
        <f t="shared" si="6"/>
        <v>0</v>
      </c>
    </row>
    <row r="49" spans="1:34" ht="15">
      <c r="A49" s="199" t="s">
        <v>144</v>
      </c>
      <c r="B49" s="200">
        <f t="shared" ref="B49:AG49" si="8">SUM(B37:B48)</f>
        <v>0</v>
      </c>
      <c r="C49" s="100">
        <f t="shared" si="8"/>
        <v>0</v>
      </c>
      <c r="D49" s="107">
        <f t="shared" si="8"/>
        <v>0</v>
      </c>
      <c r="E49" s="107">
        <f t="shared" si="8"/>
        <v>0</v>
      </c>
      <c r="F49" s="107">
        <f t="shared" si="8"/>
        <v>0</v>
      </c>
      <c r="G49" s="107">
        <f t="shared" si="8"/>
        <v>0</v>
      </c>
      <c r="H49" s="107">
        <f t="shared" si="8"/>
        <v>0</v>
      </c>
      <c r="I49" s="107">
        <f t="shared" si="8"/>
        <v>0</v>
      </c>
      <c r="J49" s="107">
        <f t="shared" si="8"/>
        <v>0</v>
      </c>
      <c r="K49" s="107">
        <f t="shared" si="8"/>
        <v>0</v>
      </c>
      <c r="L49" s="107">
        <f t="shared" si="8"/>
        <v>0</v>
      </c>
      <c r="M49" s="107">
        <f t="shared" si="8"/>
        <v>0</v>
      </c>
      <c r="N49" s="107">
        <f t="shared" si="8"/>
        <v>0</v>
      </c>
      <c r="O49" s="107">
        <f t="shared" si="8"/>
        <v>0</v>
      </c>
      <c r="P49" s="107">
        <f t="shared" si="8"/>
        <v>0</v>
      </c>
      <c r="Q49" s="107">
        <f t="shared" si="8"/>
        <v>0</v>
      </c>
      <c r="R49" s="107">
        <f t="shared" si="8"/>
        <v>0</v>
      </c>
      <c r="S49" s="107">
        <f t="shared" si="8"/>
        <v>0</v>
      </c>
      <c r="T49" s="107">
        <f t="shared" si="8"/>
        <v>0</v>
      </c>
      <c r="U49" s="107">
        <f t="shared" si="8"/>
        <v>0</v>
      </c>
      <c r="V49" s="107">
        <f t="shared" si="8"/>
        <v>0</v>
      </c>
      <c r="W49" s="107">
        <f t="shared" si="8"/>
        <v>0</v>
      </c>
      <c r="X49" s="107">
        <f t="shared" si="8"/>
        <v>0</v>
      </c>
      <c r="Y49" s="107">
        <f t="shared" si="8"/>
        <v>0</v>
      </c>
      <c r="Z49" s="107">
        <f t="shared" si="8"/>
        <v>0</v>
      </c>
      <c r="AA49" s="107">
        <f t="shared" si="8"/>
        <v>0</v>
      </c>
      <c r="AB49" s="107">
        <f t="shared" si="8"/>
        <v>0</v>
      </c>
      <c r="AC49" s="107">
        <f t="shared" si="8"/>
        <v>0</v>
      </c>
      <c r="AD49" s="107">
        <f t="shared" si="8"/>
        <v>0</v>
      </c>
      <c r="AE49" s="107">
        <f t="shared" si="8"/>
        <v>0</v>
      </c>
      <c r="AF49" s="107">
        <f t="shared" si="8"/>
        <v>0</v>
      </c>
      <c r="AG49" s="107">
        <f t="shared" si="8"/>
        <v>0</v>
      </c>
      <c r="AH49" s="100">
        <f t="shared" si="6"/>
        <v>0</v>
      </c>
    </row>
    <row r="50" spans="1:34">
      <c r="C50" s="392"/>
      <c r="D50" s="392"/>
    </row>
    <row r="51" spans="1:34">
      <c r="B51" s="730"/>
    </row>
    <row r="52" spans="1:34">
      <c r="A52" s="3083" t="s">
        <v>1319</v>
      </c>
      <c r="B52" s="4327">
        <f>+B33+B17</f>
        <v>332.66949</v>
      </c>
    </row>
    <row r="54" spans="1:34">
      <c r="A54" s="3083" t="s">
        <v>1320</v>
      </c>
      <c r="B54" s="4328">
        <v>338.13499999999999</v>
      </c>
    </row>
    <row r="57" spans="1:34">
      <c r="B57" s="730">
        <f>+B54-B52</f>
        <v>5.4655099999999948</v>
      </c>
    </row>
    <row r="59" spans="1:34">
      <c r="B59">
        <f>+B52*3</f>
        <v>998.00846999999999</v>
      </c>
    </row>
  </sheetData>
  <mergeCells count="3">
    <mergeCell ref="A3:H3"/>
    <mergeCell ref="A19:H19"/>
    <mergeCell ref="A35:H35"/>
  </mergeCell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dimension ref="A1:P16"/>
  <sheetViews>
    <sheetView zoomScale="75" zoomScaleNormal="75" zoomScaleSheetLayoutView="50" workbookViewId="0">
      <selection activeCell="L2" sqref="L2"/>
    </sheetView>
  </sheetViews>
  <sheetFormatPr baseColWidth="10" defaultColWidth="11.44140625" defaultRowHeight="13.2"/>
  <cols>
    <col min="1" max="1" width="47.109375" style="189" bestFit="1" customWidth="1"/>
    <col min="2" max="2" width="13.109375" style="189" bestFit="1" customWidth="1"/>
    <col min="3" max="3" width="15.33203125" style="189" bestFit="1" customWidth="1"/>
    <col min="4" max="4" width="21.44140625" style="189" customWidth="1"/>
    <col min="5" max="5" width="10.33203125" style="189" bestFit="1" customWidth="1"/>
    <col min="6" max="6" width="14.33203125" style="189" customWidth="1"/>
    <col min="7" max="7" width="22.5546875" style="189" customWidth="1"/>
    <col min="8" max="8" width="11.44140625" style="189"/>
    <col min="9" max="9" width="8.109375" style="189" customWidth="1"/>
    <col min="10" max="10" width="7.6640625" style="189" customWidth="1"/>
    <col min="11" max="16384" width="11.44140625" style="189"/>
  </cols>
  <sheetData>
    <row r="1" spans="1:16">
      <c r="A1" s="392"/>
      <c r="B1" s="392"/>
      <c r="C1" s="392"/>
      <c r="D1" s="392"/>
      <c r="E1" s="392"/>
      <c r="F1" s="392"/>
      <c r="G1" s="392"/>
      <c r="H1" s="392"/>
      <c r="I1" s="392"/>
    </row>
    <row r="2" spans="1:16" ht="15">
      <c r="A2" s="3854" t="s">
        <v>1314</v>
      </c>
      <c r="B2" s="3855"/>
      <c r="C2" s="3855"/>
      <c r="D2" s="3855"/>
      <c r="E2" s="3856"/>
      <c r="F2" s="2143"/>
      <c r="G2" s="952"/>
      <c r="H2" s="392"/>
      <c r="I2" s="392"/>
    </row>
    <row r="3" spans="1:16">
      <c r="A3" s="392"/>
      <c r="B3" s="392"/>
      <c r="C3" s="392"/>
      <c r="D3" s="392"/>
      <c r="E3" s="392"/>
      <c r="F3" s="392"/>
      <c r="G3" s="392"/>
      <c r="H3" s="392"/>
      <c r="I3" s="392"/>
    </row>
    <row r="4" spans="1:16">
      <c r="A4" s="392"/>
      <c r="B4" s="392"/>
      <c r="C4" s="392"/>
      <c r="D4" s="392"/>
      <c r="E4" s="392"/>
      <c r="F4" s="392"/>
      <c r="G4" s="392"/>
      <c r="H4" s="377"/>
      <c r="I4" s="377"/>
      <c r="J4" s="312"/>
    </row>
    <row r="5" spans="1:16" ht="14.4" thickBot="1">
      <c r="A5" s="953"/>
      <c r="B5" s="953"/>
      <c r="C5" s="953"/>
      <c r="D5" s="953"/>
      <c r="E5" s="953"/>
      <c r="F5" s="953"/>
      <c r="G5" s="953"/>
      <c r="H5" s="952"/>
      <c r="I5" s="392"/>
    </row>
    <row r="6" spans="1:16" ht="15" thickTop="1" thickBot="1">
      <c r="A6" s="4081" t="s">
        <v>733</v>
      </c>
      <c r="B6" s="4082"/>
      <c r="C6" s="4082"/>
      <c r="D6" s="4083"/>
      <c r="E6" s="953"/>
      <c r="F6" s="953"/>
      <c r="G6" s="2142"/>
      <c r="H6" s="2047"/>
      <c r="I6" s="392"/>
    </row>
    <row r="7" spans="1:16" ht="15" thickTop="1" thickBot="1">
      <c r="A7" s="377"/>
      <c r="B7" s="377"/>
      <c r="C7" s="377"/>
      <c r="D7" s="377"/>
      <c r="E7" s="953"/>
      <c r="F7" s="953"/>
      <c r="G7" s="953"/>
      <c r="H7" s="392"/>
      <c r="I7" s="392"/>
    </row>
    <row r="8" spans="1:16" ht="15" thickTop="1" thickBot="1">
      <c r="A8" s="2007" t="s">
        <v>427</v>
      </c>
      <c r="B8" s="2008" t="s">
        <v>734</v>
      </c>
      <c r="C8" s="2008" t="s">
        <v>735</v>
      </c>
      <c r="D8" s="2008" t="s">
        <v>736</v>
      </c>
      <c r="E8" s="2008" t="s">
        <v>737</v>
      </c>
      <c r="F8" s="2144" t="s">
        <v>840</v>
      </c>
      <c r="G8" s="953"/>
      <c r="H8" s="392"/>
      <c r="I8" s="392"/>
      <c r="K8" s="533" t="s">
        <v>343</v>
      </c>
      <c r="L8" s="534"/>
      <c r="M8" s="534"/>
      <c r="N8" s="534"/>
      <c r="O8" s="534"/>
      <c r="P8" s="534"/>
    </row>
    <row r="9" spans="1:16" ht="14.4" thickTop="1">
      <c r="A9" s="4084" t="s">
        <v>738</v>
      </c>
      <c r="B9" s="4087">
        <v>13500</v>
      </c>
      <c r="C9" s="2115">
        <v>1761.65</v>
      </c>
      <c r="D9" s="4090">
        <f>+B9-C9-C10-C11</f>
        <v>-59.279999999999291</v>
      </c>
      <c r="E9" s="4076">
        <f>+D9/B9</f>
        <v>-4.3911111111110583E-3</v>
      </c>
      <c r="F9" s="4079">
        <v>41173</v>
      </c>
      <c r="G9" s="2009" t="s">
        <v>741</v>
      </c>
      <c r="H9" s="954"/>
      <c r="I9" s="954"/>
      <c r="K9" s="533" t="s">
        <v>342</v>
      </c>
      <c r="L9" s="534"/>
      <c r="M9" s="534"/>
      <c r="N9" s="534"/>
      <c r="O9" s="534"/>
      <c r="P9" s="534"/>
    </row>
    <row r="10" spans="1:16" ht="13.8">
      <c r="A10" s="4085"/>
      <c r="B10" s="4088"/>
      <c r="C10" s="2116">
        <v>7875.4</v>
      </c>
      <c r="D10" s="4091"/>
      <c r="E10" s="4077"/>
      <c r="F10" s="4080"/>
      <c r="G10" s="2010" t="s">
        <v>740</v>
      </c>
      <c r="H10" s="955"/>
      <c r="I10" s="955"/>
      <c r="K10" s="533" t="s">
        <v>958</v>
      </c>
      <c r="L10" s="534"/>
      <c r="M10" s="534"/>
      <c r="N10" s="534"/>
      <c r="O10" s="534"/>
      <c r="P10" s="534"/>
    </row>
    <row r="11" spans="1:16" ht="14.4" thickBot="1">
      <c r="A11" s="4086"/>
      <c r="B11" s="4089"/>
      <c r="C11" s="2046">
        <v>3922.23</v>
      </c>
      <c r="D11" s="4092"/>
      <c r="E11" s="4078"/>
      <c r="F11" s="4080"/>
      <c r="G11" s="2011" t="s">
        <v>742</v>
      </c>
      <c r="H11" s="956"/>
      <c r="I11" s="956"/>
      <c r="K11" s="533"/>
      <c r="L11" s="534"/>
      <c r="M11" s="534"/>
      <c r="N11" s="534"/>
      <c r="O11" s="534"/>
      <c r="P11" s="534"/>
    </row>
    <row r="12" spans="1:16" ht="39" customHeight="1" thickTop="1" thickBot="1">
      <c r="A12" s="2012" t="s">
        <v>739</v>
      </c>
      <c r="B12" s="2117">
        <v>4500</v>
      </c>
      <c r="C12" s="2046">
        <v>4559.17</v>
      </c>
      <c r="D12" s="2111">
        <f>+B12-C12</f>
        <v>-59.170000000000073</v>
      </c>
      <c r="E12" s="2016">
        <f>+D12/B12</f>
        <v>-1.3148888888888904E-2</v>
      </c>
      <c r="F12" s="2016"/>
      <c r="G12" s="953"/>
      <c r="H12" s="392"/>
      <c r="I12" s="392"/>
      <c r="K12" s="534"/>
      <c r="L12" s="534"/>
      <c r="M12" s="534"/>
      <c r="N12" s="534"/>
      <c r="O12" s="534"/>
      <c r="P12" s="534"/>
    </row>
    <row r="13" spans="1:16" ht="19.5" customHeight="1" thickTop="1" thickBot="1">
      <c r="A13" s="2013" t="s">
        <v>111</v>
      </c>
      <c r="B13" s="2014">
        <v>18000</v>
      </c>
      <c r="C13" s="2045">
        <f>SUM(C9:C12)</f>
        <v>18118.449999999997</v>
      </c>
      <c r="D13" s="2015">
        <f>+B13-C13</f>
        <v>-118.44999999999709</v>
      </c>
      <c r="E13" s="2016">
        <f>+D13/B13</f>
        <v>-6.5805555555553934E-3</v>
      </c>
      <c r="F13" s="2362">
        <v>41189</v>
      </c>
      <c r="G13" s="953"/>
      <c r="H13" s="392"/>
      <c r="I13" s="392"/>
      <c r="K13" s="533" t="s">
        <v>498</v>
      </c>
      <c r="L13" s="534"/>
      <c r="M13" s="534"/>
      <c r="N13" s="534"/>
      <c r="O13" s="534"/>
      <c r="P13" s="534"/>
    </row>
    <row r="14" spans="1:16" ht="13.8" thickTop="1"/>
    <row r="16" spans="1:16">
      <c r="D16" s="2717"/>
    </row>
  </sheetData>
  <mergeCells count="7">
    <mergeCell ref="A2:E2"/>
    <mergeCell ref="E9:E11"/>
    <mergeCell ref="F9:F11"/>
    <mergeCell ref="A6:D6"/>
    <mergeCell ref="A9:A11"/>
    <mergeCell ref="B9:B11"/>
    <mergeCell ref="D9:D11"/>
  </mergeCells>
  <phoneticPr fontId="0" type="noConversion"/>
  <pageMargins left="0.74803149606299213" right="0.74803149606299213" top="0.98425196850393704" bottom="0.98425196850393704" header="0" footer="0"/>
  <pageSetup paperSize="146" scale="90" orientation="landscape" r:id="rId1"/>
  <headerFooter alignWithMargins="0"/>
  <legacyDrawing r:id="rId2"/>
  <oleObjects>
    <oleObject progId="MSPhotoEd.3" shapeId="24577" r:id="rId3"/>
  </oleObjects>
</worksheet>
</file>

<file path=xl/worksheets/sheet27.xml><?xml version="1.0" encoding="utf-8"?>
<worksheet xmlns="http://schemas.openxmlformats.org/spreadsheetml/2006/main" xmlns:r="http://schemas.openxmlformats.org/officeDocument/2006/relationships">
  <dimension ref="A2:AH65"/>
  <sheetViews>
    <sheetView topLeftCell="A40" zoomScaleSheetLayoutView="70" workbookViewId="0">
      <selection activeCell="G65" sqref="G65"/>
    </sheetView>
  </sheetViews>
  <sheetFormatPr baseColWidth="10" defaultRowHeight="13.2"/>
  <cols>
    <col min="1" max="1" width="32.44140625" customWidth="1"/>
    <col min="2" max="2" width="11.88671875" bestFit="1" customWidth="1"/>
    <col min="3" max="3" width="8.44140625" customWidth="1"/>
    <col min="4" max="4" width="12.44140625" bestFit="1" customWidth="1"/>
    <col min="5" max="5" width="14" bestFit="1" customWidth="1"/>
    <col min="6" max="6" width="11.88671875" bestFit="1" customWidth="1"/>
    <col min="7" max="7" width="15.109375" customWidth="1"/>
    <col min="8" max="8" width="13.44140625" customWidth="1"/>
    <col min="9" max="9" width="5.88671875" customWidth="1"/>
    <col min="10" max="10" width="7" customWidth="1"/>
    <col min="11" max="11" width="6.33203125" bestFit="1" customWidth="1"/>
    <col min="12" max="13" width="8.5546875" bestFit="1" customWidth="1"/>
    <col min="14" max="14" width="7.5546875" bestFit="1" customWidth="1"/>
    <col min="15" max="15" width="6.44140625" bestFit="1" customWidth="1"/>
    <col min="16" max="16" width="7" bestFit="1" customWidth="1"/>
    <col min="17" max="17" width="5.88671875" bestFit="1" customWidth="1"/>
    <col min="18" max="18" width="6.44140625" bestFit="1" customWidth="1"/>
    <col min="19" max="19" width="6.33203125" bestFit="1" customWidth="1"/>
    <col min="20" max="20" width="6.6640625" bestFit="1" customWidth="1"/>
    <col min="21" max="21" width="6.44140625" bestFit="1" customWidth="1"/>
    <col min="22" max="22" width="6.109375" bestFit="1" customWidth="1"/>
    <col min="23" max="23" width="6.44140625" bestFit="1" customWidth="1"/>
    <col min="24" max="24" width="5.33203125" bestFit="1" customWidth="1"/>
    <col min="25" max="25" width="6" customWidth="1"/>
    <col min="26" max="26" width="5.33203125" bestFit="1" customWidth="1"/>
    <col min="27" max="27" width="8.6640625" customWidth="1"/>
    <col min="28" max="33" width="6.5546875" customWidth="1"/>
    <col min="34" max="34" width="13" customWidth="1"/>
    <col min="35" max="35" width="6.5546875" customWidth="1"/>
  </cols>
  <sheetData>
    <row r="2" spans="1:9" ht="13.8" thickBot="1">
      <c r="A2" s="392" t="s">
        <v>456</v>
      </c>
    </row>
    <row r="3" spans="1:9" ht="13.8" thickBot="1">
      <c r="A3" s="392" t="s">
        <v>457</v>
      </c>
      <c r="C3" s="4093" t="s">
        <v>968</v>
      </c>
      <c r="D3" s="4094"/>
      <c r="E3" s="4095"/>
    </row>
    <row r="4" spans="1:9">
      <c r="A4" s="392"/>
      <c r="C4" s="2291"/>
      <c r="D4" s="2290"/>
      <c r="E4" s="2291"/>
    </row>
    <row r="5" spans="1:9" ht="21.75" customHeight="1" thickBot="1">
      <c r="A5" s="474" t="s">
        <v>307</v>
      </c>
      <c r="B5" s="474" t="s">
        <v>110</v>
      </c>
      <c r="C5" s="2021" t="s">
        <v>308</v>
      </c>
      <c r="D5" s="2021" t="s">
        <v>1038</v>
      </c>
      <c r="E5" s="2021" t="s">
        <v>309</v>
      </c>
      <c r="F5" s="2021" t="s">
        <v>310</v>
      </c>
      <c r="G5" s="2021" t="s">
        <v>964</v>
      </c>
      <c r="H5" s="1994">
        <v>40960</v>
      </c>
      <c r="I5" s="1993"/>
    </row>
    <row r="6" spans="1:9" ht="21.75" customHeight="1" thickBot="1">
      <c r="A6" s="1721" t="s">
        <v>870</v>
      </c>
      <c r="B6" s="2401">
        <v>100</v>
      </c>
      <c r="C6" s="2402">
        <v>174.1</v>
      </c>
      <c r="D6" s="2403">
        <f>+C6</f>
        <v>174.1</v>
      </c>
      <c r="E6" s="2404">
        <f>+B35</f>
        <v>203.62600000000003</v>
      </c>
      <c r="F6" s="2405">
        <f>+C6-E6</f>
        <v>-29.526000000000039</v>
      </c>
      <c r="G6" s="2413" t="s">
        <v>966</v>
      </c>
      <c r="H6" s="2411" t="s">
        <v>499</v>
      </c>
      <c r="I6" s="1089"/>
    </row>
    <row r="7" spans="1:9" ht="21.75" customHeight="1">
      <c r="A7" s="1136" t="s">
        <v>150</v>
      </c>
      <c r="B7" s="1137">
        <v>5</v>
      </c>
      <c r="C7" s="2397">
        <v>58.4</v>
      </c>
      <c r="D7" s="2398">
        <f>+C7+F6</f>
        <v>28.87399999999996</v>
      </c>
      <c r="E7" s="2426">
        <f t="shared" ref="E7:E13" si="0">+SUM(B28)</f>
        <v>2.5499999999999998</v>
      </c>
      <c r="F7" s="2399">
        <f>+D7-E7</f>
        <v>26.323999999999959</v>
      </c>
      <c r="G7" s="2412" t="s">
        <v>965</v>
      </c>
      <c r="H7" s="1719"/>
      <c r="I7" s="606"/>
    </row>
    <row r="8" spans="1:9" ht="21.75" customHeight="1">
      <c r="A8" s="1138" t="s">
        <v>151</v>
      </c>
      <c r="B8" s="821">
        <v>5</v>
      </c>
      <c r="C8" s="821">
        <v>58.4</v>
      </c>
      <c r="D8" s="2395">
        <f t="shared" ref="D8:D13" si="1">+C8+F7</f>
        <v>84.723999999999961</v>
      </c>
      <c r="E8" s="2400">
        <f t="shared" si="0"/>
        <v>45.77600000000001</v>
      </c>
      <c r="F8" s="2396">
        <f t="shared" ref="F8:F13" si="2">+D8-E8</f>
        <v>38.947999999999951</v>
      </c>
      <c r="G8" s="2409" t="s">
        <v>965</v>
      </c>
      <c r="H8" s="296"/>
      <c r="I8" s="606"/>
    </row>
    <row r="9" spans="1:9" ht="21.75" customHeight="1">
      <c r="A9" s="1138" t="s">
        <v>152</v>
      </c>
      <c r="B9" s="821">
        <v>10</v>
      </c>
      <c r="C9" s="821">
        <v>116.8</v>
      </c>
      <c r="D9" s="2395">
        <f t="shared" si="1"/>
        <v>155.74799999999993</v>
      </c>
      <c r="E9" s="2400">
        <f t="shared" si="0"/>
        <v>84.429000000000002</v>
      </c>
      <c r="F9" s="2396">
        <f t="shared" si="2"/>
        <v>71.318999999999932</v>
      </c>
      <c r="G9" s="2409" t="s">
        <v>965</v>
      </c>
      <c r="H9" s="296"/>
      <c r="I9" s="606"/>
    </row>
    <row r="10" spans="1:9" ht="21.75" customHeight="1">
      <c r="A10" s="1138" t="s">
        <v>770</v>
      </c>
      <c r="B10" s="821">
        <v>20</v>
      </c>
      <c r="C10" s="821">
        <v>233.6</v>
      </c>
      <c r="D10" s="2395">
        <f t="shared" si="1"/>
        <v>304.91899999999993</v>
      </c>
      <c r="E10" s="2400">
        <f t="shared" si="0"/>
        <v>112.09700000000001</v>
      </c>
      <c r="F10" s="2396">
        <f t="shared" si="2"/>
        <v>192.82199999999992</v>
      </c>
      <c r="G10" s="2409" t="s">
        <v>965</v>
      </c>
      <c r="H10" s="296"/>
      <c r="I10" s="606"/>
    </row>
    <row r="11" spans="1:9" ht="21.75" customHeight="1">
      <c r="A11" s="1138" t="s">
        <v>154</v>
      </c>
      <c r="B11" s="821">
        <v>20</v>
      </c>
      <c r="C11" s="821">
        <v>233.6</v>
      </c>
      <c r="D11" s="2395">
        <f t="shared" si="1"/>
        <v>426.42199999999991</v>
      </c>
      <c r="E11" s="2427">
        <f t="shared" si="0"/>
        <v>140.40299999999999</v>
      </c>
      <c r="F11" s="2396">
        <f t="shared" si="2"/>
        <v>286.01899999999989</v>
      </c>
      <c r="G11" s="2409" t="s">
        <v>965</v>
      </c>
      <c r="H11" s="296"/>
      <c r="I11" s="606"/>
    </row>
    <row r="12" spans="1:9" ht="21.75" customHeight="1">
      <c r="A12" s="1138" t="s">
        <v>155</v>
      </c>
      <c r="B12" s="821">
        <v>20</v>
      </c>
      <c r="C12" s="821">
        <v>233.6</v>
      </c>
      <c r="D12" s="2395">
        <f t="shared" si="1"/>
        <v>519.61899999999991</v>
      </c>
      <c r="E12" s="2400">
        <f t="shared" si="0"/>
        <v>168.66</v>
      </c>
      <c r="F12" s="2396">
        <f t="shared" si="2"/>
        <v>350.95899999999995</v>
      </c>
      <c r="G12" s="2409" t="s">
        <v>965</v>
      </c>
      <c r="H12" s="296"/>
      <c r="I12" s="606"/>
    </row>
    <row r="13" spans="1:9" ht="21.75" customHeight="1" thickBot="1">
      <c r="A13" s="2418" t="s">
        <v>156</v>
      </c>
      <c r="B13" s="2406">
        <v>20</v>
      </c>
      <c r="C13" s="2406">
        <v>233.6</v>
      </c>
      <c r="D13" s="2407">
        <f t="shared" si="1"/>
        <v>584.55899999999997</v>
      </c>
      <c r="E13" s="1718">
        <f t="shared" si="0"/>
        <v>156.994</v>
      </c>
      <c r="F13" s="2408">
        <f t="shared" si="2"/>
        <v>427.56499999999994</v>
      </c>
      <c r="G13" s="2410" t="s">
        <v>965</v>
      </c>
      <c r="H13" s="1720"/>
      <c r="I13" s="606"/>
    </row>
    <row r="14" spans="1:9" ht="21.75" customHeight="1" thickBot="1">
      <c r="A14" s="2421" t="s">
        <v>869</v>
      </c>
      <c r="B14" s="2422">
        <f>SUM(B7:B13)</f>
        <v>100</v>
      </c>
      <c r="C14" s="2422">
        <f>SUM(C7:C13)</f>
        <v>1168</v>
      </c>
      <c r="D14" s="2422"/>
      <c r="E14" s="2423">
        <f>SUM(E7:E13)</f>
        <v>710.90899999999999</v>
      </c>
      <c r="F14" s="2422"/>
      <c r="G14" s="2414"/>
      <c r="H14" s="2424"/>
      <c r="I14" s="606"/>
    </row>
    <row r="15" spans="1:9" ht="21.75" customHeight="1" thickBot="1">
      <c r="A15" s="2419" t="s">
        <v>111</v>
      </c>
      <c r="B15" s="2415" t="s">
        <v>980</v>
      </c>
      <c r="C15" s="2416">
        <f>+C14+C6</f>
        <v>1342.1</v>
      </c>
      <c r="D15" s="2417"/>
      <c r="E15" s="2425">
        <f>+E14+E6</f>
        <v>914.53500000000008</v>
      </c>
      <c r="F15" s="1859">
        <f>+C15-E15</f>
        <v>427.56499999999983</v>
      </c>
      <c r="G15" s="2420"/>
      <c r="H15" s="3677" t="s">
        <v>1308</v>
      </c>
      <c r="I15" s="2671"/>
    </row>
    <row r="16" spans="1:9" ht="13.8" thickBot="1">
      <c r="A16" s="1710"/>
      <c r="B16" s="1711"/>
      <c r="C16" s="593"/>
      <c r="D16" s="1712"/>
      <c r="E16" s="1859" t="s">
        <v>960</v>
      </c>
      <c r="F16" s="1713"/>
      <c r="H16" s="1089"/>
    </row>
    <row r="18" spans="1:34" ht="15">
      <c r="A18" s="3854" t="s">
        <v>458</v>
      </c>
      <c r="B18" s="3855"/>
      <c r="C18" s="3855"/>
      <c r="D18" s="3855"/>
      <c r="E18" s="3855"/>
      <c r="F18" s="3855"/>
      <c r="G18" s="3855"/>
      <c r="H18" s="3855"/>
      <c r="I18" s="3855"/>
      <c r="J18" s="3855"/>
      <c r="K18" s="3855"/>
      <c r="L18" s="3855"/>
      <c r="M18" s="3855"/>
      <c r="N18" s="3855"/>
      <c r="O18" s="3855"/>
      <c r="P18" s="3855"/>
      <c r="Q18" s="3855"/>
      <c r="R18" s="3855"/>
      <c r="S18" s="3855"/>
      <c r="T18" s="3856"/>
      <c r="U18" s="14"/>
      <c r="V18" s="14"/>
      <c r="W18" s="14"/>
      <c r="X18" s="14"/>
      <c r="Y18" s="14"/>
      <c r="Z18" s="14"/>
      <c r="AA18" s="14"/>
      <c r="AB18" s="14"/>
      <c r="AC18" s="14"/>
      <c r="AD18" s="14"/>
      <c r="AE18" s="14"/>
      <c r="AF18" s="14"/>
      <c r="AG18" s="14"/>
      <c r="AH18" s="1"/>
    </row>
    <row r="19" spans="1:34" ht="15">
      <c r="A19" s="104"/>
      <c r="B19" s="104"/>
      <c r="C19" s="104"/>
      <c r="D19" s="104"/>
      <c r="E19" s="104"/>
      <c r="F19" s="104"/>
      <c r="G19" s="104"/>
      <c r="H19" s="104"/>
      <c r="I19" s="104"/>
      <c r="J19" s="104"/>
      <c r="K19" s="104"/>
      <c r="L19" s="104"/>
      <c r="M19" s="104"/>
      <c r="N19" s="104"/>
      <c r="O19" s="104"/>
      <c r="P19" s="104"/>
      <c r="Q19" s="104"/>
      <c r="R19" s="104"/>
      <c r="S19" s="104"/>
      <c r="T19" s="104"/>
      <c r="U19" s="14"/>
      <c r="V19" s="14"/>
      <c r="W19" s="14"/>
      <c r="X19" s="14"/>
      <c r="Y19" s="14"/>
      <c r="Z19" s="14"/>
      <c r="AA19" s="14"/>
      <c r="AB19" s="14"/>
      <c r="AC19" s="14"/>
      <c r="AD19" s="14"/>
      <c r="AE19" s="14"/>
      <c r="AF19" s="14"/>
      <c r="AG19" s="14"/>
      <c r="AH19" s="14"/>
    </row>
    <row r="20" spans="1:34" ht="15">
      <c r="A20" s="49"/>
      <c r="B20" s="49"/>
      <c r="C20" s="1"/>
      <c r="D20" s="14"/>
      <c r="E20" s="14"/>
      <c r="F20" s="14"/>
      <c r="G20" s="14"/>
      <c r="H20" s="14"/>
      <c r="I20" s="14"/>
      <c r="J20" s="14"/>
      <c r="K20" s="14"/>
      <c r="L20" s="98"/>
      <c r="M20" s="14"/>
      <c r="N20" s="14"/>
      <c r="O20" s="14"/>
      <c r="P20" s="14"/>
      <c r="Q20" s="14"/>
      <c r="R20" s="14"/>
      <c r="S20" s="14"/>
      <c r="T20" s="14"/>
      <c r="U20" s="14"/>
      <c r="V20" s="14"/>
      <c r="W20" s="14"/>
      <c r="X20" s="14"/>
      <c r="Y20" s="14"/>
      <c r="Z20" s="14"/>
      <c r="AA20" s="14"/>
      <c r="AB20" s="14"/>
      <c r="AC20" s="14"/>
      <c r="AD20" s="14"/>
      <c r="AE20" s="14"/>
      <c r="AF20" s="14"/>
      <c r="AG20" s="14"/>
      <c r="AH20" s="1"/>
    </row>
    <row r="21" spans="1:34" ht="15">
      <c r="A21" s="3854" t="s">
        <v>459</v>
      </c>
      <c r="B21" s="3855"/>
      <c r="C21" s="3856"/>
      <c r="D21" s="14"/>
      <c r="E21" s="14"/>
      <c r="F21" s="14"/>
      <c r="G21" s="14"/>
      <c r="H21" s="14"/>
      <c r="I21" s="14"/>
      <c r="J21" s="14"/>
      <c r="K21" s="14"/>
      <c r="L21" s="14"/>
      <c r="M21" s="98"/>
      <c r="N21" s="14"/>
      <c r="O21" s="14"/>
      <c r="P21" s="14"/>
      <c r="Q21" s="14"/>
      <c r="R21" s="14"/>
      <c r="S21" s="14"/>
      <c r="T21" s="14"/>
      <c r="U21" s="14"/>
      <c r="V21" s="14"/>
      <c r="W21" s="14"/>
      <c r="X21" s="14"/>
      <c r="Y21" s="14"/>
      <c r="Z21" s="14"/>
      <c r="AA21" s="14"/>
      <c r="AB21" s="14"/>
      <c r="AC21" s="14"/>
      <c r="AD21" s="14"/>
      <c r="AE21" s="14"/>
      <c r="AF21" s="14"/>
      <c r="AG21" s="14"/>
      <c r="AH21" s="1"/>
    </row>
    <row r="22" spans="1:34" ht="15">
      <c r="A22" s="8" t="s">
        <v>142</v>
      </c>
      <c r="B22" s="8" t="s">
        <v>143</v>
      </c>
      <c r="C22" s="73">
        <v>1</v>
      </c>
      <c r="D22" s="73">
        <v>2</v>
      </c>
      <c r="E22" s="73">
        <v>3</v>
      </c>
      <c r="F22" s="73">
        <v>4</v>
      </c>
      <c r="G22" s="73">
        <v>5</v>
      </c>
      <c r="H22" s="73">
        <v>6</v>
      </c>
      <c r="I22" s="73">
        <v>7</v>
      </c>
      <c r="J22" s="73">
        <v>8</v>
      </c>
      <c r="K22" s="73">
        <v>9</v>
      </c>
      <c r="L22" s="73">
        <v>10</v>
      </c>
      <c r="M22" s="73">
        <v>11</v>
      </c>
      <c r="N22" s="73">
        <v>12</v>
      </c>
      <c r="O22" s="73">
        <v>13</v>
      </c>
      <c r="P22" s="73">
        <v>14</v>
      </c>
      <c r="Q22" s="73">
        <v>15</v>
      </c>
      <c r="R22" s="73">
        <v>16</v>
      </c>
      <c r="S22" s="73">
        <v>17</v>
      </c>
      <c r="T22" s="73">
        <v>18</v>
      </c>
      <c r="U22" s="73">
        <v>19</v>
      </c>
      <c r="V22" s="73">
        <v>20</v>
      </c>
      <c r="W22" s="73">
        <v>21</v>
      </c>
      <c r="X22" s="73">
        <v>22</v>
      </c>
      <c r="Y22" s="73">
        <v>23</v>
      </c>
      <c r="Z22" s="73">
        <v>24</v>
      </c>
      <c r="AA22" s="73">
        <v>25</v>
      </c>
      <c r="AB22" s="73">
        <v>26</v>
      </c>
      <c r="AC22" s="73">
        <v>27</v>
      </c>
      <c r="AD22" s="73">
        <v>28</v>
      </c>
      <c r="AE22" s="73">
        <v>29</v>
      </c>
      <c r="AF22" s="73">
        <v>30</v>
      </c>
      <c r="AG22" s="73">
        <v>31</v>
      </c>
      <c r="AH22" s="58" t="s">
        <v>111</v>
      </c>
    </row>
    <row r="23" spans="1:34" ht="15">
      <c r="A23" s="73" t="s">
        <v>145</v>
      </c>
      <c r="B23" s="1714">
        <f t="shared" ref="B23:B34" si="3">+AH23</f>
        <v>14.125000000000002</v>
      </c>
      <c r="C23" s="306"/>
      <c r="D23" s="306"/>
      <c r="E23" s="306"/>
      <c r="F23" s="306"/>
      <c r="G23" s="306"/>
      <c r="H23" s="306"/>
      <c r="I23" s="306"/>
      <c r="J23" s="306"/>
      <c r="K23" s="306"/>
      <c r="L23" s="306"/>
      <c r="M23" s="306"/>
      <c r="N23" s="306"/>
      <c r="O23" s="306"/>
      <c r="P23" s="306"/>
      <c r="Q23" s="306"/>
      <c r="R23" s="306"/>
      <c r="S23" s="306"/>
      <c r="T23" s="306"/>
      <c r="U23" s="306"/>
      <c r="V23" s="306"/>
      <c r="W23" s="306"/>
      <c r="X23" s="306"/>
      <c r="Y23" s="306"/>
      <c r="Z23" s="306"/>
      <c r="AA23" s="306"/>
      <c r="AB23" s="306"/>
      <c r="AC23" s="306"/>
      <c r="AD23" s="306">
        <v>11.784000000000001</v>
      </c>
      <c r="AE23" s="306">
        <v>1.198</v>
      </c>
      <c r="AF23" s="306">
        <v>1.143</v>
      </c>
      <c r="AG23" s="306"/>
      <c r="AH23" s="103">
        <f>SUM(C23:AG23)</f>
        <v>14.125000000000002</v>
      </c>
    </row>
    <row r="24" spans="1:34" ht="15">
      <c r="A24" s="73" t="s">
        <v>146</v>
      </c>
      <c r="B24" s="1714">
        <f t="shared" si="3"/>
        <v>189.50100000000003</v>
      </c>
      <c r="C24" s="306"/>
      <c r="D24" s="306">
        <v>13.461</v>
      </c>
      <c r="E24" s="306">
        <v>8.5</v>
      </c>
      <c r="F24" s="306"/>
      <c r="G24" s="306"/>
      <c r="H24" s="306">
        <v>24.43</v>
      </c>
      <c r="I24" s="306">
        <v>8.0549999999999997</v>
      </c>
      <c r="J24" s="306">
        <v>14.093999999999999</v>
      </c>
      <c r="K24" s="306">
        <v>21.558</v>
      </c>
      <c r="L24" s="306">
        <v>25.091000000000001</v>
      </c>
      <c r="M24" s="306"/>
      <c r="N24" s="306"/>
      <c r="O24" s="306">
        <v>8.9510000000000005</v>
      </c>
      <c r="P24" s="306">
        <v>7.2469999999999999</v>
      </c>
      <c r="Q24" s="306">
        <v>6.1449999999999996</v>
      </c>
      <c r="R24" s="306">
        <v>5.58</v>
      </c>
      <c r="S24" s="306">
        <v>7.5</v>
      </c>
      <c r="T24" s="306">
        <v>13.661</v>
      </c>
      <c r="U24" s="306">
        <v>25.228000000000002</v>
      </c>
      <c r="V24" s="306"/>
      <c r="W24" s="306"/>
      <c r="X24" s="306"/>
      <c r="Y24" s="306"/>
      <c r="Z24" s="306"/>
      <c r="AA24" s="306"/>
      <c r="AB24" s="306"/>
      <c r="AC24" s="306"/>
      <c r="AD24" s="306"/>
      <c r="AE24" s="306"/>
      <c r="AF24" s="306"/>
      <c r="AG24" s="306"/>
      <c r="AH24" s="103">
        <f>SUM(C24:AG24)</f>
        <v>189.50100000000003</v>
      </c>
    </row>
    <row r="25" spans="1:34" ht="15">
      <c r="A25" s="73" t="s">
        <v>147</v>
      </c>
      <c r="B25" s="1714">
        <f t="shared" si="3"/>
        <v>0</v>
      </c>
      <c r="C25" s="306"/>
      <c r="D25" s="306"/>
      <c r="E25" s="306"/>
      <c r="F25" s="306"/>
      <c r="G25" s="306"/>
      <c r="H25" s="306"/>
      <c r="I25" s="306"/>
      <c r="J25" s="306"/>
      <c r="K25" s="306"/>
      <c r="L25" s="306"/>
      <c r="M25" s="306"/>
      <c r="N25" s="306"/>
      <c r="O25" s="306"/>
      <c r="P25" s="306"/>
      <c r="Q25" s="306"/>
      <c r="R25" s="306"/>
      <c r="S25" s="306"/>
      <c r="T25" s="306"/>
      <c r="U25" s="306"/>
      <c r="V25" s="306"/>
      <c r="W25" s="306"/>
      <c r="X25" s="306"/>
      <c r="Y25" s="306"/>
      <c r="Z25" s="306"/>
      <c r="AA25" s="306"/>
      <c r="AB25" s="306"/>
      <c r="AC25" s="306"/>
      <c r="AD25" s="306"/>
      <c r="AE25" s="306"/>
      <c r="AF25" s="306"/>
      <c r="AG25" s="306"/>
      <c r="AH25" s="103">
        <f t="shared" ref="AH25:AH34" si="4">SUM(C25:AG25)</f>
        <v>0</v>
      </c>
    </row>
    <row r="26" spans="1:34" ht="15">
      <c r="A26" s="73" t="s">
        <v>148</v>
      </c>
      <c r="B26" s="1714">
        <f t="shared" si="3"/>
        <v>0</v>
      </c>
      <c r="C26" s="116"/>
      <c r="D26" s="99"/>
      <c r="E26" s="99"/>
      <c r="F26" s="99"/>
      <c r="G26" s="99"/>
      <c r="H26" s="99"/>
      <c r="I26" s="99"/>
      <c r="J26" s="99"/>
      <c r="K26" s="99"/>
      <c r="L26" s="99"/>
      <c r="M26" s="99"/>
      <c r="N26" s="99"/>
      <c r="O26" s="99"/>
      <c r="P26" s="99"/>
      <c r="Q26" s="99"/>
      <c r="R26" s="99"/>
      <c r="S26" s="99"/>
      <c r="T26" s="99"/>
      <c r="U26" s="99"/>
      <c r="V26" s="99"/>
      <c r="W26" s="99"/>
      <c r="X26" s="99"/>
      <c r="Y26" s="99"/>
      <c r="Z26" s="99"/>
      <c r="AA26" s="99"/>
      <c r="AB26" s="99"/>
      <c r="AC26" s="99"/>
      <c r="AD26" s="99"/>
      <c r="AE26" s="99"/>
      <c r="AF26" s="99"/>
      <c r="AG26" s="99"/>
      <c r="AH26" s="103">
        <f t="shared" si="4"/>
        <v>0</v>
      </c>
    </row>
    <row r="27" spans="1:34" ht="15">
      <c r="A27" s="73" t="s">
        <v>149</v>
      </c>
      <c r="B27" s="1714">
        <f t="shared" si="3"/>
        <v>0</v>
      </c>
      <c r="C27" s="116"/>
      <c r="D27" s="99"/>
      <c r="E27" s="99"/>
      <c r="F27" s="99"/>
      <c r="G27" s="99"/>
      <c r="H27" s="99"/>
      <c r="I27" s="99"/>
      <c r="J27" s="99"/>
      <c r="K27" s="99"/>
      <c r="L27" s="99"/>
      <c r="M27" s="99"/>
      <c r="N27" s="99"/>
      <c r="O27" s="99"/>
      <c r="P27" s="99"/>
      <c r="Q27" s="99"/>
      <c r="R27" s="99"/>
      <c r="S27" s="99"/>
      <c r="T27" s="99"/>
      <c r="U27" s="99"/>
      <c r="V27" s="99"/>
      <c r="W27" s="99"/>
      <c r="X27" s="99"/>
      <c r="Y27" s="99"/>
      <c r="Z27" s="99"/>
      <c r="AA27" s="99"/>
      <c r="AB27" s="99"/>
      <c r="AC27" s="99"/>
      <c r="AD27" s="99"/>
      <c r="AE27" s="99"/>
      <c r="AF27" s="99"/>
      <c r="AG27" s="99"/>
      <c r="AH27" s="103">
        <f t="shared" si="4"/>
        <v>0</v>
      </c>
    </row>
    <row r="28" spans="1:34" ht="15">
      <c r="A28" s="73" t="s">
        <v>150</v>
      </c>
      <c r="B28" s="330">
        <f t="shared" si="3"/>
        <v>2.5499999999999998</v>
      </c>
      <c r="C28" s="116"/>
      <c r="D28" s="99"/>
      <c r="E28" s="99"/>
      <c r="F28" s="99"/>
      <c r="G28" s="99"/>
      <c r="H28" s="99"/>
      <c r="I28" s="99"/>
      <c r="J28" s="99"/>
      <c r="K28" s="99"/>
      <c r="L28" s="99"/>
      <c r="M28" s="99"/>
      <c r="N28" s="99"/>
      <c r="O28" s="99"/>
      <c r="P28" s="99"/>
      <c r="Q28" s="99"/>
      <c r="R28" s="99"/>
      <c r="S28" s="99"/>
      <c r="T28" s="99"/>
      <c r="U28" s="99"/>
      <c r="V28" s="99"/>
      <c r="W28" s="99"/>
      <c r="X28" s="99"/>
      <c r="Y28" s="99">
        <v>2.5499999999999998</v>
      </c>
      <c r="Z28" s="99"/>
      <c r="AA28" s="99"/>
      <c r="AB28" s="99"/>
      <c r="AC28" s="99"/>
      <c r="AD28" s="99"/>
      <c r="AE28" s="99"/>
      <c r="AF28" s="99"/>
      <c r="AG28" s="99"/>
      <c r="AH28" s="103">
        <f t="shared" si="4"/>
        <v>2.5499999999999998</v>
      </c>
    </row>
    <row r="29" spans="1:34" ht="15">
      <c r="A29" s="73" t="s">
        <v>151</v>
      </c>
      <c r="B29" s="330">
        <f t="shared" si="3"/>
        <v>45.77600000000001</v>
      </c>
      <c r="C29" s="326"/>
      <c r="D29" s="102"/>
      <c r="E29" s="102">
        <v>2.9729999999999999</v>
      </c>
      <c r="F29" s="102">
        <v>2.5049999999999999</v>
      </c>
      <c r="G29" s="102"/>
      <c r="H29" s="102">
        <v>6.6</v>
      </c>
      <c r="I29" s="102"/>
      <c r="J29" s="102"/>
      <c r="K29" s="102">
        <v>0.161</v>
      </c>
      <c r="L29" s="102"/>
      <c r="M29" s="102">
        <v>1.34</v>
      </c>
      <c r="N29" s="102"/>
      <c r="O29" s="102">
        <v>5.5E-2</v>
      </c>
      <c r="P29" s="102">
        <v>6.3079999999999998</v>
      </c>
      <c r="Q29" s="102"/>
      <c r="R29" s="102"/>
      <c r="S29" s="102">
        <v>1.75</v>
      </c>
      <c r="T29" s="102">
        <v>3.85</v>
      </c>
      <c r="U29" s="102">
        <v>3.8650000000000002</v>
      </c>
      <c r="V29" s="102">
        <v>3.1</v>
      </c>
      <c r="W29" s="102">
        <v>3.6560000000000001</v>
      </c>
      <c r="X29" s="102"/>
      <c r="Y29" s="102">
        <v>3.0569999999999999</v>
      </c>
      <c r="Z29" s="102"/>
      <c r="AA29" s="102">
        <v>0.48399999999999999</v>
      </c>
      <c r="AB29" s="102"/>
      <c r="AC29" s="102"/>
      <c r="AD29" s="102"/>
      <c r="AE29" s="102"/>
      <c r="AF29" s="102">
        <v>1.2</v>
      </c>
      <c r="AG29" s="102">
        <v>4.8719999999999999</v>
      </c>
      <c r="AH29" s="103">
        <f t="shared" si="4"/>
        <v>45.77600000000001</v>
      </c>
    </row>
    <row r="30" spans="1:34" ht="15">
      <c r="A30" s="73" t="s">
        <v>152</v>
      </c>
      <c r="B30" s="330">
        <f t="shared" si="3"/>
        <v>84.429000000000002</v>
      </c>
      <c r="C30" s="116">
        <v>1.159</v>
      </c>
      <c r="D30" s="99">
        <v>6.6040000000000001</v>
      </c>
      <c r="E30" s="99">
        <v>1.96</v>
      </c>
      <c r="F30" s="99">
        <v>12.331</v>
      </c>
      <c r="G30" s="99"/>
      <c r="H30" s="99">
        <v>11.307</v>
      </c>
      <c r="I30" s="99"/>
      <c r="J30" s="99"/>
      <c r="K30" s="99"/>
      <c r="L30" s="99"/>
      <c r="M30" s="99"/>
      <c r="N30" s="99"/>
      <c r="O30" s="99"/>
      <c r="P30" s="99"/>
      <c r="Q30" s="99"/>
      <c r="R30" s="99">
        <v>3.992</v>
      </c>
      <c r="S30" s="99">
        <v>4.2889999999999997</v>
      </c>
      <c r="T30" s="99">
        <v>1.081</v>
      </c>
      <c r="U30" s="99"/>
      <c r="V30" s="99">
        <v>9.6839999999999993</v>
      </c>
      <c r="W30" s="99"/>
      <c r="X30" s="99">
        <v>4.125</v>
      </c>
      <c r="Y30" s="99"/>
      <c r="Z30" s="99"/>
      <c r="AA30" s="99">
        <v>3.83</v>
      </c>
      <c r="AB30" s="99">
        <v>2.0939999999999999</v>
      </c>
      <c r="AC30" s="99">
        <v>7.7069999999999999</v>
      </c>
      <c r="AD30" s="99"/>
      <c r="AE30" s="99">
        <v>1.4950000000000001</v>
      </c>
      <c r="AF30" s="99">
        <v>3.9460000000000002</v>
      </c>
      <c r="AG30" s="99">
        <v>8.8249999999999993</v>
      </c>
      <c r="AH30" s="103">
        <f t="shared" si="4"/>
        <v>84.429000000000002</v>
      </c>
    </row>
    <row r="31" spans="1:34" ht="15">
      <c r="A31" s="73" t="s">
        <v>153</v>
      </c>
      <c r="B31" s="330">
        <f t="shared" si="3"/>
        <v>112.09700000000001</v>
      </c>
      <c r="C31" s="116">
        <v>2.6909999999999998</v>
      </c>
      <c r="D31" s="99"/>
      <c r="E31" s="99">
        <v>1.07</v>
      </c>
      <c r="F31" s="99">
        <v>1</v>
      </c>
      <c r="G31" s="99">
        <v>19.785</v>
      </c>
      <c r="H31" s="99"/>
      <c r="I31" s="99">
        <v>0.92</v>
      </c>
      <c r="J31" s="99"/>
      <c r="K31" s="99"/>
      <c r="L31" s="99"/>
      <c r="M31" s="99">
        <v>5.8</v>
      </c>
      <c r="N31" s="99">
        <v>7.1999999999999995E-2</v>
      </c>
      <c r="O31" s="99"/>
      <c r="P31" s="99">
        <v>11.689</v>
      </c>
      <c r="Q31" s="99"/>
      <c r="R31" s="99"/>
      <c r="S31" s="99"/>
      <c r="T31" s="99"/>
      <c r="U31" s="99"/>
      <c r="V31" s="99">
        <v>9.6479999999999997</v>
      </c>
      <c r="W31" s="99">
        <v>1.85</v>
      </c>
      <c r="X31" s="99">
        <v>6</v>
      </c>
      <c r="Y31" s="99"/>
      <c r="Z31" s="99">
        <v>5.5369999999999999</v>
      </c>
      <c r="AA31" s="99">
        <v>6.6829999999999998</v>
      </c>
      <c r="AB31" s="99">
        <v>2.95</v>
      </c>
      <c r="AC31" s="99">
        <v>2.9830000000000001</v>
      </c>
      <c r="AD31" s="99">
        <v>11.085000000000001</v>
      </c>
      <c r="AE31" s="99">
        <v>22.334</v>
      </c>
      <c r="AF31" s="99"/>
      <c r="AG31" s="99"/>
      <c r="AH31" s="645">
        <f t="shared" si="4"/>
        <v>112.09700000000001</v>
      </c>
    </row>
    <row r="32" spans="1:34" ht="15">
      <c r="A32" s="73" t="s">
        <v>154</v>
      </c>
      <c r="B32" s="330">
        <f t="shared" si="3"/>
        <v>140.40299999999999</v>
      </c>
      <c r="C32" s="116">
        <v>2.581</v>
      </c>
      <c r="D32" s="99"/>
      <c r="E32" s="99">
        <v>3.1640000000000001</v>
      </c>
      <c r="F32" s="99"/>
      <c r="G32" s="99"/>
      <c r="H32" s="99"/>
      <c r="I32" s="99"/>
      <c r="J32" s="99">
        <v>3.2320000000000002</v>
      </c>
      <c r="K32" s="99">
        <v>8.4860000000000007</v>
      </c>
      <c r="L32" s="99">
        <v>3.8340000000000001</v>
      </c>
      <c r="M32" s="99">
        <v>12.952</v>
      </c>
      <c r="N32" s="99">
        <v>16.753</v>
      </c>
      <c r="O32" s="99">
        <v>13.425000000000001</v>
      </c>
      <c r="P32" s="99"/>
      <c r="Q32" s="99"/>
      <c r="R32" s="99">
        <v>30.032</v>
      </c>
      <c r="S32" s="99">
        <v>11.839</v>
      </c>
      <c r="T32" s="99">
        <v>4.9390000000000001</v>
      </c>
      <c r="U32" s="99">
        <v>7.95</v>
      </c>
      <c r="V32" s="99"/>
      <c r="W32" s="99"/>
      <c r="X32" s="99">
        <v>6.0220000000000002</v>
      </c>
      <c r="Y32" s="99">
        <v>3.819</v>
      </c>
      <c r="Z32" s="99"/>
      <c r="AA32" s="99"/>
      <c r="AB32" s="99"/>
      <c r="AC32" s="99"/>
      <c r="AD32" s="99"/>
      <c r="AE32" s="99">
        <v>3.5</v>
      </c>
      <c r="AF32" s="99">
        <v>6.375</v>
      </c>
      <c r="AG32" s="99">
        <v>1.5</v>
      </c>
      <c r="AH32" s="645">
        <f t="shared" si="4"/>
        <v>140.40299999999999</v>
      </c>
    </row>
    <row r="33" spans="1:34" ht="15">
      <c r="A33" s="73" t="s">
        <v>155</v>
      </c>
      <c r="B33" s="330">
        <f t="shared" si="3"/>
        <v>168.66</v>
      </c>
      <c r="C33" s="116"/>
      <c r="D33" s="99"/>
      <c r="E33" s="99"/>
      <c r="F33" s="99"/>
      <c r="G33" s="99"/>
      <c r="H33" s="99"/>
      <c r="I33" s="99">
        <v>1.55</v>
      </c>
      <c r="J33" s="99">
        <v>1.7090000000000001</v>
      </c>
      <c r="K33" s="99">
        <v>1.52</v>
      </c>
      <c r="L33" s="99">
        <v>4.7359999999999998</v>
      </c>
      <c r="M33" s="99">
        <v>0</v>
      </c>
      <c r="N33" s="99">
        <v>12.752000000000001</v>
      </c>
      <c r="O33" s="99">
        <v>15.526</v>
      </c>
      <c r="P33" s="99">
        <v>4.2300000000000004</v>
      </c>
      <c r="Q33" s="99">
        <v>10.606999999999999</v>
      </c>
      <c r="R33" s="99">
        <v>19.440000000000001</v>
      </c>
      <c r="S33" s="99"/>
      <c r="T33" s="99"/>
      <c r="U33" s="99">
        <v>10.815</v>
      </c>
      <c r="V33" s="99">
        <v>3.7679999999999998</v>
      </c>
      <c r="W33" s="99"/>
      <c r="X33" s="99">
        <v>7.4509999999999996</v>
      </c>
      <c r="Y33" s="99">
        <v>4.01</v>
      </c>
      <c r="Z33" s="99">
        <v>10.253</v>
      </c>
      <c r="AA33" s="99">
        <v>0</v>
      </c>
      <c r="AB33" s="99">
        <v>0</v>
      </c>
      <c r="AC33" s="99">
        <v>26.744</v>
      </c>
      <c r="AD33" s="99">
        <v>17.675000000000001</v>
      </c>
      <c r="AE33" s="99">
        <v>12.959</v>
      </c>
      <c r="AF33" s="99">
        <v>2.915</v>
      </c>
      <c r="AG33" s="99"/>
      <c r="AH33" s="645">
        <f t="shared" si="4"/>
        <v>168.66</v>
      </c>
    </row>
    <row r="34" spans="1:34" ht="15">
      <c r="A34" s="73" t="s">
        <v>156</v>
      </c>
      <c r="B34" s="330">
        <f t="shared" si="3"/>
        <v>156.994</v>
      </c>
      <c r="C34" s="116">
        <v>10.653</v>
      </c>
      <c r="D34" s="99"/>
      <c r="E34" s="99"/>
      <c r="F34" s="99"/>
      <c r="G34" s="99"/>
      <c r="H34" s="99">
        <v>0.66500000000000004</v>
      </c>
      <c r="I34" s="99">
        <v>0</v>
      </c>
      <c r="J34" s="99">
        <v>1.8720000000000001</v>
      </c>
      <c r="K34" s="99">
        <v>0</v>
      </c>
      <c r="L34" s="99">
        <v>11.348000000000001</v>
      </c>
      <c r="M34" s="99">
        <v>12.093</v>
      </c>
      <c r="N34" s="99">
        <v>3.16</v>
      </c>
      <c r="O34" s="99">
        <v>11.563000000000001</v>
      </c>
      <c r="P34" s="99">
        <v>1.679</v>
      </c>
      <c r="Q34" s="99">
        <v>4.93</v>
      </c>
      <c r="R34" s="99"/>
      <c r="S34" s="99">
        <v>14.224</v>
      </c>
      <c r="T34" s="99">
        <v>1.3149999999999999</v>
      </c>
      <c r="U34" s="99"/>
      <c r="V34" s="99"/>
      <c r="W34" s="99"/>
      <c r="X34" s="99">
        <v>1.948</v>
      </c>
      <c r="Y34" s="99"/>
      <c r="Z34" s="99"/>
      <c r="AA34" s="99"/>
      <c r="AB34" s="99"/>
      <c r="AC34" s="99">
        <v>18.067</v>
      </c>
      <c r="AD34" s="99">
        <v>20.475000000000001</v>
      </c>
      <c r="AE34" s="99">
        <v>16.841000000000001</v>
      </c>
      <c r="AF34" s="99"/>
      <c r="AG34" s="99">
        <v>26.161000000000001</v>
      </c>
      <c r="AH34" s="645">
        <f t="shared" si="4"/>
        <v>156.994</v>
      </c>
    </row>
    <row r="35" spans="1:34" ht="15">
      <c r="A35" s="200" t="s">
        <v>111</v>
      </c>
      <c r="B35" s="1715">
        <f>SUM(B23:B27)</f>
        <v>203.62600000000003</v>
      </c>
      <c r="C35" s="100"/>
      <c r="D35" s="100"/>
      <c r="E35" s="100"/>
      <c r="F35" s="100"/>
      <c r="G35" s="100"/>
      <c r="H35" s="100"/>
      <c r="I35" s="100"/>
      <c r="J35" s="100"/>
      <c r="K35" s="100"/>
      <c r="L35" s="100"/>
      <c r="M35" s="100"/>
      <c r="N35" s="100"/>
      <c r="O35" s="100"/>
      <c r="P35" s="100"/>
      <c r="Q35" s="100"/>
      <c r="R35" s="100"/>
      <c r="S35" s="100"/>
      <c r="T35" s="100"/>
      <c r="U35" s="100"/>
      <c r="V35" s="100"/>
      <c r="W35" s="100"/>
      <c r="X35" s="100"/>
      <c r="Y35" s="100"/>
      <c r="Z35" s="100"/>
      <c r="AA35" s="100"/>
      <c r="AB35" s="100"/>
      <c r="AC35" s="100"/>
      <c r="AD35" s="100"/>
      <c r="AE35" s="100"/>
      <c r="AF35" s="100"/>
      <c r="AG35" s="100"/>
      <c r="AH35" s="2670">
        <f>SUM(AH23:AH34)</f>
        <v>914.53500000000008</v>
      </c>
    </row>
    <row r="36" spans="1:34" ht="15">
      <c r="A36" s="761" t="s">
        <v>70</v>
      </c>
      <c r="B36" s="2311">
        <f>SUM(B28:B34)</f>
        <v>710.90899999999999</v>
      </c>
    </row>
    <row r="37" spans="1:34" ht="15">
      <c r="A37" s="1995"/>
      <c r="B37" s="1996">
        <f>+B35+B36</f>
        <v>914.53500000000008</v>
      </c>
    </row>
    <row r="38" spans="1:34" ht="15">
      <c r="A38" s="1995"/>
      <c r="B38" s="1996"/>
    </row>
    <row r="39" spans="1:34" ht="15.6" thickBot="1">
      <c r="A39" s="1995"/>
      <c r="B39" s="1996"/>
    </row>
    <row r="40" spans="1:34" ht="15.6" thickBot="1">
      <c r="A40" s="1995"/>
      <c r="B40" s="1996"/>
      <c r="C40" s="4093" t="s">
        <v>969</v>
      </c>
      <c r="D40" s="4094"/>
      <c r="E40" s="4095"/>
    </row>
    <row r="41" spans="1:34" ht="15">
      <c r="A41" s="1995"/>
      <c r="B41" s="1996"/>
    </row>
    <row r="42" spans="1:34" ht="22.2">
      <c r="A42" s="474" t="s">
        <v>307</v>
      </c>
      <c r="B42" s="474" t="s">
        <v>110</v>
      </c>
      <c r="C42" s="2021" t="s">
        <v>308</v>
      </c>
      <c r="D42" s="475" t="s">
        <v>309</v>
      </c>
      <c r="E42" s="2021" t="s">
        <v>310</v>
      </c>
      <c r="F42" s="475" t="s">
        <v>962</v>
      </c>
      <c r="G42" s="1994">
        <v>41142</v>
      </c>
      <c r="H42" s="104"/>
      <c r="I42" s="104"/>
      <c r="J42" s="104"/>
      <c r="K42" s="104"/>
      <c r="L42" s="104"/>
      <c r="M42" s="104"/>
      <c r="N42" s="104"/>
      <c r="O42" s="104"/>
      <c r="P42" s="104"/>
      <c r="Q42" s="104"/>
      <c r="R42" s="104"/>
    </row>
    <row r="43" spans="1:34" ht="15">
      <c r="A43" s="1138" t="s">
        <v>152</v>
      </c>
      <c r="B43" s="2019"/>
      <c r="C43" s="4099">
        <v>600</v>
      </c>
      <c r="D43" s="2022">
        <f>+B60</f>
        <v>0</v>
      </c>
      <c r="E43" s="4096">
        <f>+C43-D43:D47</f>
        <v>600</v>
      </c>
      <c r="F43" s="2024" t="s">
        <v>963</v>
      </c>
      <c r="G43" s="296"/>
      <c r="H43" s="104"/>
      <c r="I43" s="104"/>
      <c r="J43" s="104"/>
      <c r="K43" s="104"/>
      <c r="L43" s="104"/>
      <c r="M43" s="104"/>
      <c r="N43" s="104"/>
      <c r="O43" s="104"/>
      <c r="P43" s="104"/>
      <c r="Q43" s="104"/>
      <c r="R43" s="104"/>
    </row>
    <row r="44" spans="1:34" ht="15">
      <c r="A44" s="1138" t="s">
        <v>770</v>
      </c>
      <c r="B44" s="2019"/>
      <c r="C44" s="4100"/>
      <c r="D44" s="2022">
        <f>+B61</f>
        <v>0</v>
      </c>
      <c r="E44" s="4097"/>
      <c r="F44" s="2024" t="s">
        <v>963</v>
      </c>
      <c r="G44" s="296"/>
      <c r="H44" s="104"/>
      <c r="I44" s="104"/>
      <c r="J44" s="104"/>
      <c r="K44" s="104"/>
      <c r="L44" s="104"/>
      <c r="M44" s="104"/>
      <c r="N44" s="104"/>
      <c r="O44" s="104"/>
      <c r="P44" s="104"/>
      <c r="Q44" s="104"/>
      <c r="R44" s="104"/>
    </row>
    <row r="45" spans="1:34" ht="15">
      <c r="A45" s="1138" t="s">
        <v>154</v>
      </c>
      <c r="B45" s="2019"/>
      <c r="C45" s="4100"/>
      <c r="D45" s="2022">
        <f>+B62</f>
        <v>21.17</v>
      </c>
      <c r="E45" s="4097"/>
      <c r="F45" s="2024" t="s">
        <v>963</v>
      </c>
      <c r="G45" s="296"/>
      <c r="H45" s="104"/>
      <c r="I45" s="104"/>
      <c r="J45" s="104"/>
      <c r="K45" s="104"/>
      <c r="L45" s="104"/>
      <c r="M45" s="104"/>
      <c r="N45" s="104"/>
      <c r="O45" s="104"/>
      <c r="P45" s="104"/>
      <c r="Q45" s="104"/>
      <c r="R45" s="104"/>
    </row>
    <row r="46" spans="1:34" ht="15">
      <c r="A46" s="1138" t="s">
        <v>155</v>
      </c>
      <c r="B46" s="2019"/>
      <c r="C46" s="4100"/>
      <c r="D46" s="2022">
        <f>+B63</f>
        <v>41.480000000000004</v>
      </c>
      <c r="E46" s="4097"/>
      <c r="F46" s="2024" t="s">
        <v>963</v>
      </c>
      <c r="G46" s="296"/>
      <c r="H46" s="104"/>
      <c r="I46" s="104"/>
      <c r="J46" s="104"/>
      <c r="K46" s="104"/>
      <c r="L46" s="104"/>
      <c r="M46" s="104"/>
      <c r="N46" s="104"/>
      <c r="O46" s="104"/>
      <c r="P46" s="104"/>
      <c r="Q46" s="104"/>
      <c r="R46" s="104"/>
    </row>
    <row r="47" spans="1:34" ht="15.6" thickBot="1">
      <c r="A47" s="1139" t="s">
        <v>156</v>
      </c>
      <c r="B47" s="2020"/>
      <c r="C47" s="4101"/>
      <c r="D47" s="2023">
        <f>+B64</f>
        <v>21.520000000000003</v>
      </c>
      <c r="E47" s="4098"/>
      <c r="F47" s="2024" t="s">
        <v>963</v>
      </c>
      <c r="G47" s="1720"/>
      <c r="H47" s="104"/>
      <c r="I47" s="104"/>
      <c r="J47" s="104"/>
      <c r="K47" s="104"/>
      <c r="L47" s="104"/>
      <c r="M47" s="104"/>
      <c r="N47" s="104"/>
      <c r="O47" s="104"/>
      <c r="P47" s="104"/>
      <c r="Q47" s="104"/>
      <c r="R47" s="104"/>
    </row>
    <row r="48" spans="1:34" ht="15.6" thickBot="1">
      <c r="A48" s="1716" t="s">
        <v>111</v>
      </c>
      <c r="B48" s="1717"/>
      <c r="C48" s="2394">
        <f>SUM(C43:C47)</f>
        <v>600</v>
      </c>
      <c r="D48" s="1805">
        <f>SUM(D43:D47)</f>
        <v>84.170000000000016</v>
      </c>
      <c r="E48" s="3011">
        <f>+C48-D48</f>
        <v>515.82999999999993</v>
      </c>
      <c r="F48" s="1806"/>
      <c r="H48" s="104"/>
      <c r="I48" s="104"/>
      <c r="J48" s="104"/>
      <c r="K48" s="104"/>
      <c r="L48" s="104"/>
      <c r="M48" s="104"/>
      <c r="N48" s="104"/>
      <c r="O48" s="104"/>
      <c r="P48" s="104"/>
      <c r="Q48" s="104"/>
      <c r="R48" s="104"/>
    </row>
    <row r="49" spans="1:34" ht="15">
      <c r="A49" s="1710"/>
      <c r="B49" s="1711"/>
      <c r="C49" s="593"/>
      <c r="D49" s="1712"/>
      <c r="E49" s="1997"/>
      <c r="F49" s="1713"/>
      <c r="H49" s="104"/>
      <c r="I49" s="104"/>
      <c r="J49" s="104"/>
      <c r="K49" s="104"/>
      <c r="L49" s="104"/>
      <c r="M49" s="104"/>
      <c r="N49" s="104"/>
      <c r="O49" s="104"/>
      <c r="P49" s="104"/>
      <c r="Q49" s="104"/>
      <c r="R49" s="104"/>
    </row>
    <row r="51" spans="1:34" ht="15">
      <c r="A51" s="3854" t="s">
        <v>961</v>
      </c>
      <c r="B51" s="3855"/>
      <c r="C51" s="3856"/>
      <c r="D51" s="14"/>
      <c r="E51" s="3677" t="s">
        <v>1308</v>
      </c>
      <c r="F51" s="1115"/>
      <c r="G51" s="14"/>
      <c r="H51" s="14"/>
      <c r="I51" s="14"/>
      <c r="J51" s="14"/>
      <c r="K51" s="14"/>
      <c r="L51" s="14"/>
      <c r="M51" s="98"/>
      <c r="N51" s="14"/>
      <c r="O51" s="14"/>
      <c r="P51" s="14"/>
      <c r="Q51" s="14"/>
      <c r="R51" s="14"/>
      <c r="S51" s="14"/>
      <c r="T51" s="14"/>
      <c r="U51" s="14"/>
      <c r="V51" s="14"/>
      <c r="W51" s="14"/>
      <c r="X51" s="14"/>
      <c r="Y51" s="14"/>
      <c r="Z51" s="14"/>
      <c r="AA51" s="14"/>
      <c r="AB51" s="14"/>
      <c r="AC51" s="14"/>
      <c r="AD51" s="14"/>
      <c r="AE51" s="14"/>
      <c r="AF51" s="14"/>
      <c r="AG51" s="14"/>
      <c r="AH51" s="1"/>
    </row>
    <row r="52" spans="1:34" ht="15">
      <c r="A52" s="8" t="s">
        <v>142</v>
      </c>
      <c r="B52" s="8" t="s">
        <v>143</v>
      </c>
      <c r="C52" s="73">
        <v>1</v>
      </c>
      <c r="D52" s="73">
        <v>2</v>
      </c>
      <c r="E52" s="73">
        <v>3</v>
      </c>
      <c r="F52" s="73">
        <v>4</v>
      </c>
      <c r="G52" s="73">
        <v>5</v>
      </c>
      <c r="H52" s="73">
        <v>6</v>
      </c>
      <c r="I52" s="73">
        <v>7</v>
      </c>
      <c r="J52" s="73">
        <v>8</v>
      </c>
      <c r="K52" s="73">
        <v>9</v>
      </c>
      <c r="L52" s="73">
        <v>10</v>
      </c>
      <c r="M52" s="73">
        <v>11</v>
      </c>
      <c r="N52" s="73">
        <v>12</v>
      </c>
      <c r="O52" s="73">
        <v>13</v>
      </c>
      <c r="P52" s="73">
        <v>14</v>
      </c>
      <c r="Q52" s="73">
        <v>15</v>
      </c>
      <c r="R52" s="73">
        <v>16</v>
      </c>
      <c r="S52" s="73">
        <v>17</v>
      </c>
      <c r="T52" s="73">
        <v>18</v>
      </c>
      <c r="U52" s="73">
        <v>19</v>
      </c>
      <c r="V52" s="73">
        <v>20</v>
      </c>
      <c r="W52" s="73">
        <v>21</v>
      </c>
      <c r="X52" s="73">
        <v>22</v>
      </c>
      <c r="Y52" s="73">
        <v>23</v>
      </c>
      <c r="Z52" s="73">
        <v>24</v>
      </c>
      <c r="AA52" s="372">
        <v>25</v>
      </c>
      <c r="AB52" s="73">
        <v>26</v>
      </c>
      <c r="AC52" s="73">
        <v>27</v>
      </c>
      <c r="AD52" s="73">
        <v>28</v>
      </c>
      <c r="AE52" s="73">
        <v>29</v>
      </c>
      <c r="AF52" s="73">
        <v>30</v>
      </c>
      <c r="AG52" s="73">
        <v>31</v>
      </c>
      <c r="AH52" s="58" t="s">
        <v>111</v>
      </c>
    </row>
    <row r="53" spans="1:34" ht="15">
      <c r="A53" s="73" t="s">
        <v>145</v>
      </c>
      <c r="B53" s="330"/>
      <c r="C53" s="306"/>
      <c r="D53" s="306"/>
      <c r="E53" s="306"/>
      <c r="F53" s="306"/>
      <c r="G53" s="306"/>
      <c r="H53" s="306"/>
      <c r="I53" s="306"/>
      <c r="J53" s="306"/>
      <c r="K53" s="306"/>
      <c r="L53" s="306"/>
      <c r="M53" s="306"/>
      <c r="N53" s="306"/>
      <c r="O53" s="306"/>
      <c r="P53" s="306"/>
      <c r="Q53" s="306"/>
      <c r="R53" s="306"/>
      <c r="S53" s="306"/>
      <c r="T53" s="306"/>
      <c r="U53" s="306"/>
      <c r="V53" s="306"/>
      <c r="W53" s="306"/>
      <c r="X53" s="306"/>
      <c r="Y53" s="306"/>
      <c r="Z53" s="306"/>
      <c r="AA53" s="306"/>
      <c r="AB53" s="306"/>
      <c r="AC53" s="306"/>
      <c r="AD53" s="306"/>
      <c r="AE53" s="306"/>
      <c r="AF53" s="306"/>
      <c r="AG53" s="306"/>
      <c r="AH53" s="103"/>
    </row>
    <row r="54" spans="1:34" ht="15">
      <c r="A54" s="73" t="s">
        <v>146</v>
      </c>
      <c r="B54" s="330"/>
      <c r="C54" s="306"/>
      <c r="D54" s="306"/>
      <c r="E54" s="306"/>
      <c r="F54" s="306"/>
      <c r="G54" s="306"/>
      <c r="H54" s="306"/>
      <c r="I54" s="306"/>
      <c r="J54" s="306"/>
      <c r="K54" s="306"/>
      <c r="L54" s="306"/>
      <c r="M54" s="306"/>
      <c r="N54" s="306"/>
      <c r="O54" s="306"/>
      <c r="P54" s="306"/>
      <c r="Q54" s="306"/>
      <c r="R54" s="306"/>
      <c r="S54" s="306"/>
      <c r="T54" s="306"/>
      <c r="U54" s="306"/>
      <c r="V54" s="306"/>
      <c r="W54" s="306"/>
      <c r="X54" s="306"/>
      <c r="Y54" s="306"/>
      <c r="Z54" s="306"/>
      <c r="AA54" s="306"/>
      <c r="AB54" s="306"/>
      <c r="AC54" s="306"/>
      <c r="AD54" s="306"/>
      <c r="AE54" s="306"/>
      <c r="AF54" s="306"/>
      <c r="AG54" s="306"/>
      <c r="AH54" s="103"/>
    </row>
    <row r="55" spans="1:34" ht="15">
      <c r="A55" s="73" t="s">
        <v>147</v>
      </c>
      <c r="B55" s="330"/>
      <c r="C55" s="306"/>
      <c r="D55" s="306"/>
      <c r="E55" s="306"/>
      <c r="F55" s="306"/>
      <c r="G55" s="306"/>
      <c r="H55" s="306"/>
      <c r="I55" s="306"/>
      <c r="J55" s="306"/>
      <c r="K55" s="306"/>
      <c r="L55" s="306"/>
      <c r="M55" s="306"/>
      <c r="N55" s="306"/>
      <c r="O55" s="306"/>
      <c r="P55" s="306"/>
      <c r="Q55" s="306"/>
      <c r="R55" s="306"/>
      <c r="S55" s="306"/>
      <c r="T55" s="306"/>
      <c r="U55" s="306"/>
      <c r="V55" s="306"/>
      <c r="W55" s="306"/>
      <c r="X55" s="306"/>
      <c r="Y55" s="306"/>
      <c r="Z55" s="306"/>
      <c r="AA55" s="306"/>
      <c r="AB55" s="306"/>
      <c r="AC55" s="306"/>
      <c r="AD55" s="306"/>
      <c r="AE55" s="306"/>
      <c r="AF55" s="306"/>
      <c r="AG55" s="306"/>
      <c r="AH55" s="103"/>
    </row>
    <row r="56" spans="1:34" ht="15">
      <c r="A56" s="73" t="s">
        <v>148</v>
      </c>
      <c r="B56" s="330"/>
      <c r="C56" s="116"/>
      <c r="D56" s="99"/>
      <c r="E56" s="99"/>
      <c r="F56" s="99"/>
      <c r="G56" s="99"/>
      <c r="H56" s="99"/>
      <c r="I56" s="99"/>
      <c r="J56" s="99"/>
      <c r="K56" s="99"/>
      <c r="L56" s="99"/>
      <c r="M56" s="99"/>
      <c r="N56" s="99"/>
      <c r="O56" s="99"/>
      <c r="P56" s="99"/>
      <c r="Q56" s="99"/>
      <c r="R56" s="99"/>
      <c r="S56" s="99"/>
      <c r="T56" s="99"/>
      <c r="U56" s="99"/>
      <c r="V56" s="99"/>
      <c r="W56" s="99"/>
      <c r="X56" s="99"/>
      <c r="Y56" s="99"/>
      <c r="Z56" s="99"/>
      <c r="AA56" s="99"/>
      <c r="AB56" s="99"/>
      <c r="AC56" s="99"/>
      <c r="AD56" s="99"/>
      <c r="AE56" s="99"/>
      <c r="AF56" s="99"/>
      <c r="AG56" s="99"/>
      <c r="AH56" s="103"/>
    </row>
    <row r="57" spans="1:34" ht="15">
      <c r="A57" s="73" t="s">
        <v>149</v>
      </c>
      <c r="B57" s="330"/>
      <c r="C57" s="116"/>
      <c r="D57" s="99"/>
      <c r="E57" s="99"/>
      <c r="F57" s="99"/>
      <c r="G57" s="99"/>
      <c r="H57" s="99"/>
      <c r="I57" s="99"/>
      <c r="J57" s="99"/>
      <c r="K57" s="99"/>
      <c r="L57" s="99"/>
      <c r="M57" s="99"/>
      <c r="N57" s="99"/>
      <c r="O57" s="99"/>
      <c r="P57" s="99"/>
      <c r="Q57" s="99"/>
      <c r="R57" s="99"/>
      <c r="S57" s="99"/>
      <c r="T57" s="99"/>
      <c r="U57" s="99"/>
      <c r="V57" s="99"/>
      <c r="W57" s="99"/>
      <c r="X57" s="99"/>
      <c r="Y57" s="99"/>
      <c r="Z57" s="99"/>
      <c r="AA57" s="99"/>
      <c r="AB57" s="99"/>
      <c r="AC57" s="99"/>
      <c r="AD57" s="99"/>
      <c r="AE57" s="99"/>
      <c r="AF57" s="99"/>
      <c r="AG57" s="99"/>
      <c r="AH57" s="103"/>
    </row>
    <row r="58" spans="1:34" ht="15">
      <c r="A58" s="73" t="s">
        <v>150</v>
      </c>
      <c r="B58" s="330"/>
      <c r="C58" s="116"/>
      <c r="D58" s="99"/>
      <c r="E58" s="99"/>
      <c r="F58" s="99"/>
      <c r="G58" s="99"/>
      <c r="H58" s="99"/>
      <c r="I58" s="99"/>
      <c r="J58" s="99"/>
      <c r="K58" s="99"/>
      <c r="L58" s="99"/>
      <c r="M58" s="99"/>
      <c r="N58" s="99"/>
      <c r="O58" s="99"/>
      <c r="P58" s="99"/>
      <c r="Q58" s="99"/>
      <c r="R58" s="99"/>
      <c r="S58" s="99"/>
      <c r="T58" s="99"/>
      <c r="U58" s="99"/>
      <c r="V58" s="99"/>
      <c r="W58" s="99"/>
      <c r="X58" s="99"/>
      <c r="Y58" s="99"/>
      <c r="Z58" s="99"/>
      <c r="AA58" s="99"/>
      <c r="AB58" s="99"/>
      <c r="AC58" s="99"/>
      <c r="AD58" s="99"/>
      <c r="AE58" s="99"/>
      <c r="AF58" s="99"/>
      <c r="AG58" s="99"/>
      <c r="AH58" s="103"/>
    </row>
    <row r="59" spans="1:34" ht="15">
      <c r="A59" s="73" t="s">
        <v>151</v>
      </c>
      <c r="B59" s="330"/>
      <c r="C59" s="326"/>
      <c r="D59" s="102"/>
      <c r="E59" s="102"/>
      <c r="F59" s="102"/>
      <c r="G59" s="102"/>
      <c r="H59" s="102"/>
      <c r="I59" s="102"/>
      <c r="J59" s="102"/>
      <c r="K59" s="102"/>
      <c r="L59" s="102"/>
      <c r="M59" s="102"/>
      <c r="N59" s="102"/>
      <c r="O59" s="102"/>
      <c r="P59" s="102"/>
      <c r="Q59" s="102"/>
      <c r="R59" s="102"/>
      <c r="S59" s="102"/>
      <c r="T59" s="102"/>
      <c r="U59" s="102"/>
      <c r="V59" s="102"/>
      <c r="W59" s="102"/>
      <c r="X59" s="102"/>
      <c r="Y59" s="102"/>
      <c r="Z59" s="102"/>
      <c r="AA59" s="102"/>
      <c r="AB59" s="102"/>
      <c r="AC59" s="102"/>
      <c r="AD59" s="102"/>
      <c r="AE59" s="102"/>
      <c r="AF59" s="102"/>
      <c r="AG59" s="102"/>
      <c r="AH59" s="103"/>
    </row>
    <row r="60" spans="1:34" ht="15">
      <c r="A60" s="73" t="s">
        <v>152</v>
      </c>
      <c r="B60" s="329">
        <f>+AH60</f>
        <v>0</v>
      </c>
      <c r="C60" s="116"/>
      <c r="D60" s="99"/>
      <c r="E60" s="99"/>
      <c r="F60" s="99"/>
      <c r="G60" s="99"/>
      <c r="H60" s="99"/>
      <c r="I60" s="99"/>
      <c r="J60" s="99"/>
      <c r="K60" s="99"/>
      <c r="L60" s="99"/>
      <c r="M60" s="99"/>
      <c r="N60" s="99"/>
      <c r="O60" s="99"/>
      <c r="P60" s="99"/>
      <c r="Q60" s="99"/>
      <c r="R60" s="99"/>
      <c r="S60" s="99"/>
      <c r="T60" s="99"/>
      <c r="U60" s="99"/>
      <c r="V60" s="99"/>
      <c r="W60" s="99"/>
      <c r="X60" s="99"/>
      <c r="Y60" s="99"/>
      <c r="Z60" s="99"/>
      <c r="AA60" s="99">
        <v>0</v>
      </c>
      <c r="AB60" s="99">
        <v>0</v>
      </c>
      <c r="AC60" s="99">
        <v>0</v>
      </c>
      <c r="AD60" s="99">
        <v>0</v>
      </c>
      <c r="AE60" s="99">
        <v>0</v>
      </c>
      <c r="AF60" s="99">
        <v>0</v>
      </c>
      <c r="AG60" s="99">
        <v>0</v>
      </c>
      <c r="AH60" s="103">
        <f>SUM(AA60:AG60)</f>
        <v>0</v>
      </c>
    </row>
    <row r="61" spans="1:34" ht="15">
      <c r="A61" s="73" t="s">
        <v>153</v>
      </c>
      <c r="B61" s="329">
        <f>+AH61</f>
        <v>0</v>
      </c>
      <c r="C61" s="116">
        <v>0</v>
      </c>
      <c r="D61" s="116">
        <v>0</v>
      </c>
      <c r="E61" s="116">
        <v>0</v>
      </c>
      <c r="F61" s="116">
        <v>0</v>
      </c>
      <c r="G61" s="116">
        <v>0</v>
      </c>
      <c r="H61" s="116">
        <v>0</v>
      </c>
      <c r="I61" s="116">
        <v>0</v>
      </c>
      <c r="J61" s="116">
        <v>0</v>
      </c>
      <c r="K61" s="116">
        <v>0</v>
      </c>
      <c r="L61" s="116">
        <v>0</v>
      </c>
      <c r="M61" s="116">
        <v>0</v>
      </c>
      <c r="N61" s="116">
        <v>0</v>
      </c>
      <c r="O61" s="116">
        <v>0</v>
      </c>
      <c r="P61" s="116">
        <v>0</v>
      </c>
      <c r="Q61" s="116">
        <v>0</v>
      </c>
      <c r="R61" s="116">
        <v>0</v>
      </c>
      <c r="S61" s="116">
        <v>0</v>
      </c>
      <c r="T61" s="116">
        <v>0</v>
      </c>
      <c r="U61" s="116">
        <v>0</v>
      </c>
      <c r="V61" s="116">
        <v>0</v>
      </c>
      <c r="W61" s="116">
        <v>0</v>
      </c>
      <c r="X61" s="116">
        <v>0</v>
      </c>
      <c r="Y61" s="116">
        <v>0</v>
      </c>
      <c r="Z61" s="116">
        <v>0</v>
      </c>
      <c r="AA61" s="116">
        <v>0</v>
      </c>
      <c r="AB61" s="116">
        <v>0</v>
      </c>
      <c r="AC61" s="116">
        <v>0</v>
      </c>
      <c r="AD61" s="116">
        <v>0</v>
      </c>
      <c r="AE61" s="116">
        <v>0</v>
      </c>
      <c r="AF61" s="116">
        <v>0</v>
      </c>
      <c r="AG61" s="116">
        <v>0</v>
      </c>
      <c r="AH61" s="103">
        <f>SUM(C61:AG61)</f>
        <v>0</v>
      </c>
    </row>
    <row r="62" spans="1:34" ht="15">
      <c r="A62" s="73" t="s">
        <v>154</v>
      </c>
      <c r="B62" s="329">
        <f>+AH62</f>
        <v>21.17</v>
      </c>
      <c r="C62" s="116">
        <v>0</v>
      </c>
      <c r="D62" s="116">
        <v>0</v>
      </c>
      <c r="E62" s="116">
        <v>0</v>
      </c>
      <c r="F62" s="116">
        <v>0</v>
      </c>
      <c r="G62" s="116">
        <v>5.36</v>
      </c>
      <c r="H62" s="116">
        <v>0</v>
      </c>
      <c r="I62" s="116">
        <v>0</v>
      </c>
      <c r="J62" s="116">
        <v>0</v>
      </c>
      <c r="K62" s="116">
        <v>0</v>
      </c>
      <c r="L62" s="116">
        <v>0</v>
      </c>
      <c r="M62" s="116">
        <v>0</v>
      </c>
      <c r="N62" s="116">
        <v>0</v>
      </c>
      <c r="O62" s="116">
        <v>3.45</v>
      </c>
      <c r="P62" s="116">
        <v>0</v>
      </c>
      <c r="Q62" s="116">
        <v>0</v>
      </c>
      <c r="R62" s="116">
        <v>6.18</v>
      </c>
      <c r="S62" s="116">
        <v>0</v>
      </c>
      <c r="T62" s="116">
        <v>0</v>
      </c>
      <c r="U62" s="116">
        <v>6.18</v>
      </c>
      <c r="V62" s="116">
        <v>0</v>
      </c>
      <c r="W62" s="116">
        <v>0</v>
      </c>
      <c r="X62" s="116">
        <v>0</v>
      </c>
      <c r="Y62" s="116">
        <v>0</v>
      </c>
      <c r="Z62" s="116">
        <v>0</v>
      </c>
      <c r="AA62" s="116">
        <v>0</v>
      </c>
      <c r="AB62" s="116">
        <v>0</v>
      </c>
      <c r="AC62" s="116">
        <v>0</v>
      </c>
      <c r="AD62" s="116">
        <v>0</v>
      </c>
      <c r="AE62" s="116">
        <v>0</v>
      </c>
      <c r="AF62" s="116">
        <v>0</v>
      </c>
      <c r="AG62" s="116">
        <v>0</v>
      </c>
      <c r="AH62" s="103">
        <f>SUM(C62:AG62)</f>
        <v>21.17</v>
      </c>
    </row>
    <row r="63" spans="1:34" ht="15">
      <c r="A63" s="73" t="s">
        <v>155</v>
      </c>
      <c r="B63" s="329">
        <f>+AH63</f>
        <v>41.480000000000004</v>
      </c>
      <c r="C63" s="116">
        <v>0</v>
      </c>
      <c r="D63" s="116">
        <v>0</v>
      </c>
      <c r="E63" s="116">
        <v>0</v>
      </c>
      <c r="F63" s="116">
        <v>0</v>
      </c>
      <c r="G63" s="116">
        <v>0</v>
      </c>
      <c r="H63" s="116">
        <v>0</v>
      </c>
      <c r="I63" s="116">
        <v>0</v>
      </c>
      <c r="J63" s="116">
        <v>0</v>
      </c>
      <c r="K63" s="116">
        <v>0</v>
      </c>
      <c r="L63" s="116">
        <v>0</v>
      </c>
      <c r="M63" s="116">
        <v>0</v>
      </c>
      <c r="N63" s="116">
        <v>0</v>
      </c>
      <c r="O63" s="116">
        <v>5.86</v>
      </c>
      <c r="P63" s="116">
        <v>9.2100000000000009</v>
      </c>
      <c r="Q63" s="116">
        <v>0</v>
      </c>
      <c r="R63" s="116">
        <v>5.0999999999999996</v>
      </c>
      <c r="S63" s="116">
        <v>0</v>
      </c>
      <c r="T63" s="116">
        <v>0</v>
      </c>
      <c r="U63" s="116">
        <v>0</v>
      </c>
      <c r="V63" s="116">
        <v>0</v>
      </c>
      <c r="W63" s="116">
        <v>3.37</v>
      </c>
      <c r="X63" s="116">
        <v>0</v>
      </c>
      <c r="Y63" s="116">
        <v>0</v>
      </c>
      <c r="Z63" s="116">
        <v>0</v>
      </c>
      <c r="AA63" s="116">
        <v>5.08</v>
      </c>
      <c r="AB63" s="116">
        <v>0</v>
      </c>
      <c r="AC63" s="116">
        <v>0</v>
      </c>
      <c r="AD63" s="116">
        <v>6.97</v>
      </c>
      <c r="AE63" s="116">
        <v>0</v>
      </c>
      <c r="AF63" s="116">
        <v>5.89</v>
      </c>
      <c r="AG63" s="116">
        <v>0</v>
      </c>
      <c r="AH63" s="103">
        <f>SUM(C63:AG63)</f>
        <v>41.480000000000004</v>
      </c>
    </row>
    <row r="64" spans="1:34" ht="15">
      <c r="A64" s="73" t="s">
        <v>156</v>
      </c>
      <c r="B64" s="329">
        <f>+AH64</f>
        <v>21.520000000000003</v>
      </c>
      <c r="C64" s="116">
        <v>0</v>
      </c>
      <c r="D64" s="116">
        <v>0</v>
      </c>
      <c r="E64" s="116">
        <v>0</v>
      </c>
      <c r="F64" s="116">
        <v>1.91</v>
      </c>
      <c r="G64" s="116">
        <v>0</v>
      </c>
      <c r="H64" s="116">
        <v>0</v>
      </c>
      <c r="I64" s="116">
        <v>0</v>
      </c>
      <c r="J64" s="116">
        <v>0</v>
      </c>
      <c r="K64" s="116">
        <v>0</v>
      </c>
      <c r="L64" s="116">
        <v>0</v>
      </c>
      <c r="M64" s="116">
        <v>6.17</v>
      </c>
      <c r="N64" s="116">
        <v>0</v>
      </c>
      <c r="O64" s="116">
        <v>0</v>
      </c>
      <c r="P64" s="116">
        <v>0</v>
      </c>
      <c r="Q64" s="116">
        <v>10.45</v>
      </c>
      <c r="R64" s="116">
        <v>0</v>
      </c>
      <c r="S64" s="116">
        <v>0</v>
      </c>
      <c r="T64" s="116">
        <v>2.99</v>
      </c>
      <c r="U64" s="116">
        <v>0</v>
      </c>
      <c r="V64" s="116">
        <v>0</v>
      </c>
      <c r="W64" s="116">
        <v>0</v>
      </c>
      <c r="X64" s="116">
        <v>0</v>
      </c>
      <c r="Y64" s="116">
        <v>0</v>
      </c>
      <c r="Z64" s="116">
        <v>0</v>
      </c>
      <c r="AA64" s="116">
        <v>0</v>
      </c>
      <c r="AB64" s="116">
        <v>0</v>
      </c>
      <c r="AC64" s="116">
        <v>0</v>
      </c>
      <c r="AD64" s="116">
        <v>0</v>
      </c>
      <c r="AE64" s="116">
        <v>0</v>
      </c>
      <c r="AF64" s="116">
        <v>0</v>
      </c>
      <c r="AG64" s="116">
        <v>0</v>
      </c>
      <c r="AH64" s="103">
        <f>SUM(C64:AG64)</f>
        <v>21.520000000000003</v>
      </c>
    </row>
    <row r="65" spans="1:34" ht="15">
      <c r="A65" s="200" t="s">
        <v>111</v>
      </c>
      <c r="B65" s="1998">
        <f>SUM(B60:B64)</f>
        <v>84.170000000000016</v>
      </c>
      <c r="C65" s="100"/>
      <c r="D65" s="100"/>
      <c r="E65" s="100"/>
      <c r="F65" s="100"/>
      <c r="G65" s="100"/>
      <c r="H65" s="100"/>
      <c r="I65" s="100"/>
      <c r="J65" s="100"/>
      <c r="K65" s="100"/>
      <c r="L65" s="100"/>
      <c r="M65" s="100"/>
      <c r="N65" s="100"/>
      <c r="O65" s="100"/>
      <c r="P65" s="100"/>
      <c r="Q65" s="100"/>
      <c r="R65" s="100"/>
      <c r="S65" s="100"/>
      <c r="T65" s="100"/>
      <c r="U65" s="100"/>
      <c r="V65" s="100"/>
      <c r="W65" s="100"/>
      <c r="X65" s="100"/>
      <c r="Y65" s="100"/>
      <c r="Z65" s="100"/>
      <c r="AA65" s="100"/>
      <c r="AB65" s="100"/>
      <c r="AC65" s="100"/>
      <c r="AD65" s="100"/>
      <c r="AE65" s="100"/>
      <c r="AF65" s="100"/>
      <c r="AG65" s="100"/>
      <c r="AH65" s="120">
        <f>SUM(AH60:AH64)</f>
        <v>84.170000000000016</v>
      </c>
    </row>
  </sheetData>
  <mergeCells count="7">
    <mergeCell ref="A18:T18"/>
    <mergeCell ref="A21:C21"/>
    <mergeCell ref="A51:C51"/>
    <mergeCell ref="C40:E40"/>
    <mergeCell ref="C3:E3"/>
    <mergeCell ref="E43:E47"/>
    <mergeCell ref="C43:C47"/>
  </mergeCells>
  <pageMargins left="0.7" right="0.7" top="0.75" bottom="0.75" header="0.3" footer="0.3"/>
  <pageSetup paperSize="9" orientation="portrait" r:id="rId1"/>
  <legacyDrawing r:id="rId2"/>
</worksheet>
</file>

<file path=xl/worksheets/sheet28.xml><?xml version="1.0" encoding="utf-8"?>
<worksheet xmlns="http://schemas.openxmlformats.org/spreadsheetml/2006/main" xmlns:r="http://schemas.openxmlformats.org/officeDocument/2006/relationships">
  <dimension ref="A1:AJ29"/>
  <sheetViews>
    <sheetView topLeftCell="A10" zoomScale="75" zoomScaleNormal="75" zoomScaleSheetLayoutView="50" workbookViewId="0">
      <selection activeCell="G32" sqref="G32"/>
    </sheetView>
  </sheetViews>
  <sheetFormatPr baseColWidth="10" defaultRowHeight="13.2"/>
  <cols>
    <col min="2" max="2" width="13" bestFit="1" customWidth="1"/>
    <col min="3" max="3" width="14.6640625" bestFit="1" customWidth="1"/>
    <col min="4" max="4" width="10.6640625" customWidth="1"/>
    <col min="5" max="5" width="11.6640625" customWidth="1"/>
    <col min="6" max="6" width="19.88671875" customWidth="1"/>
    <col min="7" max="7" width="13.6640625" customWidth="1"/>
    <col min="8" max="8" width="13.44140625" bestFit="1" customWidth="1"/>
    <col min="9" max="9" width="10.109375" bestFit="1" customWidth="1"/>
    <col min="10" max="21" width="11.6640625" bestFit="1" customWidth="1"/>
    <col min="22" max="26" width="11.5546875" bestFit="1" customWidth="1"/>
  </cols>
  <sheetData>
    <row r="1" spans="1:36">
      <c r="A1" s="2300" t="s">
        <v>1008</v>
      </c>
      <c r="B1" s="2300"/>
      <c r="C1" s="2300"/>
      <c r="D1" s="2300"/>
      <c r="E1" s="2300"/>
    </row>
    <row r="2" spans="1:36">
      <c r="A2" s="2300" t="s">
        <v>1009</v>
      </c>
      <c r="B2" s="2300"/>
      <c r="C2" s="2300"/>
      <c r="D2" s="2300"/>
      <c r="E2" s="2300"/>
    </row>
    <row r="3" spans="1:36">
      <c r="A3" s="2300"/>
      <c r="B3" s="2300"/>
      <c r="C3" s="2300"/>
      <c r="D3" s="2300"/>
      <c r="E3" s="2300"/>
    </row>
    <row r="4" spans="1:36" ht="13.8" thickBot="1">
      <c r="A4" s="2292"/>
      <c r="B4" s="2292"/>
      <c r="C4" s="2292"/>
      <c r="D4" s="2292"/>
      <c r="E4" s="2292"/>
      <c r="F4" s="391"/>
      <c r="G4" s="391"/>
      <c r="J4" s="3012" t="s">
        <v>1182</v>
      </c>
    </row>
    <row r="5" spans="1:36" ht="13.8" thickBot="1">
      <c r="A5" s="2303" t="s">
        <v>1014</v>
      </c>
      <c r="B5" s="2304"/>
      <c r="C5" s="2304"/>
      <c r="D5" s="2304"/>
      <c r="E5" s="2297" t="s">
        <v>1012</v>
      </c>
      <c r="F5" s="2298" t="s">
        <v>1013</v>
      </c>
      <c r="G5" s="2299" t="s">
        <v>752</v>
      </c>
      <c r="H5" s="2302" t="s">
        <v>310</v>
      </c>
      <c r="I5" s="2201" t="s">
        <v>840</v>
      </c>
    </row>
    <row r="6" spans="1:36">
      <c r="A6" s="4102" t="s">
        <v>1010</v>
      </c>
      <c r="B6" s="4103"/>
      <c r="C6" s="4103"/>
      <c r="D6" s="2369"/>
      <c r="E6" s="4106">
        <v>2125</v>
      </c>
      <c r="F6" s="4110">
        <f>+E6</f>
        <v>2125</v>
      </c>
      <c r="G6" s="4112">
        <f>+SUM(C15:C19)</f>
        <v>2131.5129999999999</v>
      </c>
      <c r="H6" s="4114">
        <f>+F6-G6</f>
        <v>-6.51299999999992</v>
      </c>
      <c r="I6" s="4108"/>
    </row>
    <row r="7" spans="1:36" ht="13.8" thickBot="1">
      <c r="A7" s="4104"/>
      <c r="B7" s="4105"/>
      <c r="C7" s="4105"/>
      <c r="D7" s="2370"/>
      <c r="E7" s="4107"/>
      <c r="F7" s="4111"/>
      <c r="G7" s="4113"/>
      <c r="H7" s="4115"/>
      <c r="I7" s="4109"/>
    </row>
    <row r="8" spans="1:36">
      <c r="A8" s="4102" t="s">
        <v>1011</v>
      </c>
      <c r="B8" s="4103"/>
      <c r="C8" s="4103"/>
      <c r="D8" s="2369"/>
      <c r="E8" s="4106">
        <v>5110</v>
      </c>
      <c r="F8" s="4110">
        <f>+E8+H6</f>
        <v>5103.4870000000001</v>
      </c>
      <c r="G8" s="4112">
        <f>+SUM(C20:C26)</f>
        <v>5239.8090000000002</v>
      </c>
      <c r="H8" s="4116">
        <f>+F8-G8</f>
        <v>-136.32200000000012</v>
      </c>
      <c r="I8" s="4108"/>
    </row>
    <row r="9" spans="1:36" ht="13.8" thickBot="1">
      <c r="A9" s="4104"/>
      <c r="B9" s="4105"/>
      <c r="C9" s="4105"/>
      <c r="D9" s="2370"/>
      <c r="E9" s="4107"/>
      <c r="F9" s="4111"/>
      <c r="G9" s="4113"/>
      <c r="H9" s="4117"/>
      <c r="I9" s="4109"/>
      <c r="J9" s="2801">
        <v>41281</v>
      </c>
      <c r="K9" s="3030" t="s">
        <v>1035</v>
      </c>
    </row>
    <row r="10" spans="1:36" ht="13.8" thickBot="1">
      <c r="A10" s="2292"/>
      <c r="B10" s="2292"/>
      <c r="C10" s="2292"/>
      <c r="D10" s="2292"/>
      <c r="E10" s="2294">
        <f>SUM(E6:E9)</f>
        <v>7235</v>
      </c>
      <c r="F10" s="2295"/>
      <c r="G10" s="2301">
        <f>SUM(G6:G9)</f>
        <v>7371.3220000000001</v>
      </c>
      <c r="H10" s="2296"/>
      <c r="I10" s="2293"/>
    </row>
    <row r="11" spans="1:36">
      <c r="A11" s="2292"/>
      <c r="B11" s="2292"/>
      <c r="C11" s="2292"/>
      <c r="D11" s="2292"/>
      <c r="E11" s="555"/>
      <c r="F11" s="1371"/>
      <c r="G11" s="1371" t="s">
        <v>110</v>
      </c>
      <c r="H11" s="3183">
        <f>((H8*100)/E10)</f>
        <v>-1.8842017968210105</v>
      </c>
      <c r="I11" s="1786"/>
    </row>
    <row r="13" spans="1:36" ht="15">
      <c r="A13" s="3854" t="s">
        <v>1008</v>
      </c>
      <c r="B13" s="3855"/>
      <c r="C13" s="3855"/>
      <c r="D13" s="3855"/>
      <c r="E13" s="3856"/>
      <c r="F13" s="14"/>
      <c r="G13" s="14"/>
      <c r="H13" s="14"/>
      <c r="I13" s="14"/>
      <c r="J13" s="14"/>
      <c r="K13" s="14"/>
      <c r="L13" s="14"/>
      <c r="M13" s="14"/>
      <c r="N13" s="14"/>
      <c r="O13" s="98"/>
      <c r="P13" s="14"/>
      <c r="Q13" s="14"/>
      <c r="R13" s="14"/>
      <c r="S13" s="14"/>
      <c r="T13" s="14"/>
      <c r="U13" s="14"/>
      <c r="V13" s="14"/>
      <c r="W13" s="14"/>
      <c r="X13" s="14"/>
      <c r="Y13" s="14"/>
      <c r="Z13" s="14"/>
      <c r="AA13" s="14"/>
      <c r="AB13" s="14"/>
      <c r="AC13" s="14"/>
      <c r="AD13" s="14"/>
      <c r="AE13" s="14"/>
      <c r="AF13" s="14"/>
      <c r="AG13" s="14"/>
      <c r="AH13" s="14"/>
      <c r="AI13" s="14"/>
      <c r="AJ13" s="1"/>
    </row>
    <row r="14" spans="1:36" ht="15">
      <c r="A14" s="2363" t="s">
        <v>142</v>
      </c>
      <c r="B14" s="2363" t="s">
        <v>1002</v>
      </c>
      <c r="C14" s="2363" t="s">
        <v>143</v>
      </c>
      <c r="D14" s="2363" t="s">
        <v>1037</v>
      </c>
      <c r="E14" s="73">
        <v>1</v>
      </c>
      <c r="F14" s="73">
        <v>2</v>
      </c>
      <c r="G14" s="73">
        <v>3</v>
      </c>
      <c r="H14" s="73">
        <v>4</v>
      </c>
      <c r="I14" s="73">
        <v>5</v>
      </c>
      <c r="J14" s="73">
        <v>6</v>
      </c>
      <c r="K14" s="73">
        <v>7</v>
      </c>
      <c r="L14" s="73">
        <v>8</v>
      </c>
      <c r="M14" s="73">
        <v>9</v>
      </c>
      <c r="N14" s="73">
        <v>10</v>
      </c>
      <c r="O14" s="73">
        <v>11</v>
      </c>
      <c r="P14" s="73">
        <v>12</v>
      </c>
      <c r="Q14" s="73">
        <v>13</v>
      </c>
      <c r="R14" s="73">
        <v>14</v>
      </c>
      <c r="S14" s="73">
        <v>15</v>
      </c>
      <c r="T14" s="73">
        <v>16</v>
      </c>
      <c r="U14" s="73">
        <v>17</v>
      </c>
      <c r="V14" s="73">
        <v>18</v>
      </c>
      <c r="W14" s="73">
        <v>19</v>
      </c>
      <c r="X14" s="73">
        <v>20</v>
      </c>
      <c r="Y14" s="73">
        <v>21</v>
      </c>
      <c r="Z14" s="73">
        <v>22</v>
      </c>
      <c r="AA14" s="73">
        <v>23</v>
      </c>
      <c r="AB14" s="73">
        <v>24</v>
      </c>
      <c r="AC14" s="73">
        <v>25</v>
      </c>
      <c r="AD14" s="73">
        <v>26</v>
      </c>
      <c r="AE14" s="73">
        <v>27</v>
      </c>
      <c r="AF14" s="73">
        <v>28</v>
      </c>
      <c r="AG14" s="73">
        <v>29</v>
      </c>
      <c r="AH14" s="73">
        <v>30</v>
      </c>
      <c r="AI14" s="73">
        <v>31</v>
      </c>
      <c r="AJ14" s="58" t="s">
        <v>111</v>
      </c>
    </row>
    <row r="15" spans="1:36" ht="15">
      <c r="A15" s="73" t="s">
        <v>145</v>
      </c>
      <c r="B15" s="2393" t="s">
        <v>1035</v>
      </c>
      <c r="C15" s="329">
        <v>750.53200000000004</v>
      </c>
      <c r="D15" s="329"/>
      <c r="E15" s="306"/>
      <c r="F15" s="306"/>
      <c r="G15" s="306"/>
      <c r="H15" s="306"/>
      <c r="I15" s="306"/>
      <c r="J15" s="306"/>
      <c r="K15" s="306"/>
      <c r="L15" s="306"/>
      <c r="M15" s="306"/>
      <c r="N15" s="306"/>
      <c r="O15" s="306"/>
      <c r="P15" s="306"/>
      <c r="Q15" s="306"/>
      <c r="R15" s="306"/>
      <c r="S15" s="306"/>
      <c r="T15" s="306"/>
      <c r="U15" s="306"/>
      <c r="V15" s="306"/>
      <c r="W15" s="306"/>
      <c r="X15" s="306"/>
      <c r="Y15" s="306"/>
      <c r="Z15" s="306"/>
      <c r="AA15" s="306"/>
      <c r="AB15" s="306"/>
      <c r="AC15" s="306"/>
      <c r="AD15" s="306"/>
      <c r="AE15" s="306"/>
      <c r="AF15" s="306"/>
      <c r="AG15" s="306"/>
      <c r="AH15" s="306"/>
      <c r="AI15" s="306"/>
      <c r="AJ15" s="103">
        <f>SUM(E15:AI15)</f>
        <v>0</v>
      </c>
    </row>
    <row r="16" spans="1:36" ht="15">
      <c r="A16" s="73" t="s">
        <v>146</v>
      </c>
      <c r="B16" s="2393" t="s">
        <v>1035</v>
      </c>
      <c r="C16" s="329">
        <v>208.34</v>
      </c>
      <c r="D16" s="329"/>
      <c r="E16" s="306"/>
      <c r="F16" s="306"/>
      <c r="G16" s="306"/>
      <c r="H16" s="306"/>
      <c r="I16" s="306"/>
      <c r="J16" s="306"/>
      <c r="K16" s="306"/>
      <c r="L16" s="306"/>
      <c r="M16" s="306"/>
      <c r="N16" s="306"/>
      <c r="O16" s="306"/>
      <c r="P16" s="306"/>
      <c r="Q16" s="306"/>
      <c r="R16" s="306"/>
      <c r="S16" s="306"/>
      <c r="T16" s="306"/>
      <c r="U16" s="306"/>
      <c r="V16" s="306"/>
      <c r="W16" s="306"/>
      <c r="X16" s="306"/>
      <c r="Y16" s="306"/>
      <c r="Z16" s="306"/>
      <c r="AA16" s="306"/>
      <c r="AB16" s="306"/>
      <c r="AC16" s="306"/>
      <c r="AD16" s="306"/>
      <c r="AE16" s="306"/>
      <c r="AF16" s="306"/>
      <c r="AG16" s="306"/>
      <c r="AH16" s="306"/>
      <c r="AI16" s="306"/>
      <c r="AJ16" s="103">
        <f>SUM(E16:AI16)</f>
        <v>0</v>
      </c>
    </row>
    <row r="17" spans="1:36" ht="15">
      <c r="A17" s="73" t="s">
        <v>147</v>
      </c>
      <c r="B17" s="2393" t="s">
        <v>1035</v>
      </c>
      <c r="C17" s="329">
        <v>444.7</v>
      </c>
      <c r="D17" s="329"/>
      <c r="E17" s="306"/>
      <c r="F17" s="306"/>
      <c r="G17" s="306"/>
      <c r="H17" s="306"/>
      <c r="I17" s="306"/>
      <c r="J17" s="306"/>
      <c r="K17" s="306"/>
      <c r="L17" s="306"/>
      <c r="M17" s="306"/>
      <c r="N17" s="306"/>
      <c r="O17" s="306"/>
      <c r="P17" s="306"/>
      <c r="Q17" s="306"/>
      <c r="R17" s="306"/>
      <c r="S17" s="306"/>
      <c r="T17" s="306"/>
      <c r="U17" s="306"/>
      <c r="V17" s="306"/>
      <c r="W17" s="306"/>
      <c r="X17" s="306"/>
      <c r="Y17" s="306"/>
      <c r="Z17" s="306"/>
      <c r="AA17" s="306"/>
      <c r="AB17" s="306"/>
      <c r="AC17" s="306"/>
      <c r="AD17" s="306"/>
      <c r="AE17" s="306"/>
      <c r="AF17" s="306"/>
      <c r="AG17" s="306"/>
      <c r="AH17" s="306"/>
      <c r="AI17" s="306"/>
      <c r="AJ17" s="103">
        <f t="shared" ref="AJ17:AJ26" si="0">SUM(E17:AI17)</f>
        <v>0</v>
      </c>
    </row>
    <row r="18" spans="1:36" ht="15">
      <c r="A18" s="73" t="s">
        <v>148</v>
      </c>
      <c r="B18" s="2393">
        <v>41015</v>
      </c>
      <c r="C18" s="329">
        <v>334.721</v>
      </c>
      <c r="D18" s="329"/>
      <c r="E18" s="116"/>
      <c r="F18" s="99"/>
      <c r="G18" s="99"/>
      <c r="H18" s="99"/>
      <c r="I18" s="99"/>
      <c r="J18" s="99"/>
      <c r="K18" s="99"/>
      <c r="L18" s="99"/>
      <c r="M18" s="99"/>
      <c r="N18" s="99"/>
      <c r="O18" s="99"/>
      <c r="P18" s="99"/>
      <c r="Q18" s="99"/>
      <c r="R18" s="99"/>
      <c r="S18" s="99"/>
      <c r="T18" s="99"/>
      <c r="U18" s="99"/>
      <c r="V18" s="99"/>
      <c r="W18" s="99"/>
      <c r="X18" s="99"/>
      <c r="Y18" s="99"/>
      <c r="Z18" s="99"/>
      <c r="AA18" s="99"/>
      <c r="AB18" s="99"/>
      <c r="AC18" s="99"/>
      <c r="AD18" s="99"/>
      <c r="AE18" s="99"/>
      <c r="AF18" s="99"/>
      <c r="AG18" s="99"/>
      <c r="AH18" s="99"/>
      <c r="AI18" s="99"/>
      <c r="AJ18" s="103">
        <f t="shared" si="0"/>
        <v>0</v>
      </c>
    </row>
    <row r="19" spans="1:36" ht="15">
      <c r="A19" s="73" t="s">
        <v>149</v>
      </c>
      <c r="B19" s="2393">
        <v>41045</v>
      </c>
      <c r="C19" s="329">
        <v>393.22</v>
      </c>
      <c r="D19" s="329"/>
      <c r="E19" s="116"/>
      <c r="F19" s="99"/>
      <c r="G19" s="99"/>
      <c r="H19" s="99"/>
      <c r="I19" s="99"/>
      <c r="J19" s="99"/>
      <c r="K19" s="99"/>
      <c r="L19" s="99"/>
      <c r="M19" s="99"/>
      <c r="N19" s="99"/>
      <c r="O19" s="99"/>
      <c r="P19" s="99"/>
      <c r="Q19" s="99"/>
      <c r="R19" s="99"/>
      <c r="S19" s="99"/>
      <c r="T19" s="99"/>
      <c r="U19" s="99"/>
      <c r="V19" s="99"/>
      <c r="W19" s="99"/>
      <c r="X19" s="99"/>
      <c r="Y19" s="99"/>
      <c r="Z19" s="99"/>
      <c r="AA19" s="99"/>
      <c r="AB19" s="99"/>
      <c r="AC19" s="99"/>
      <c r="AD19" s="99"/>
      <c r="AE19" s="99"/>
      <c r="AF19" s="99"/>
      <c r="AG19" s="99"/>
      <c r="AH19" s="99"/>
      <c r="AI19" s="99"/>
      <c r="AJ19" s="103">
        <f t="shared" si="0"/>
        <v>0</v>
      </c>
    </row>
    <row r="20" spans="1:36" ht="15">
      <c r="A20" s="363" t="s">
        <v>150</v>
      </c>
      <c r="B20" s="2393">
        <v>41073</v>
      </c>
      <c r="C20" s="329">
        <v>493.71</v>
      </c>
      <c r="D20" s="329"/>
      <c r="E20" s="116"/>
      <c r="F20" s="99"/>
      <c r="G20" s="99"/>
      <c r="H20" s="99"/>
      <c r="I20" s="99"/>
      <c r="J20" s="99"/>
      <c r="K20" s="99"/>
      <c r="L20" s="99"/>
      <c r="M20" s="99"/>
      <c r="N20" s="99"/>
      <c r="O20" s="99"/>
      <c r="P20" s="99"/>
      <c r="Q20" s="99"/>
      <c r="R20" s="99"/>
      <c r="S20" s="99"/>
      <c r="T20" s="99"/>
      <c r="U20" s="99"/>
      <c r="V20" s="99"/>
      <c r="W20" s="99"/>
      <c r="X20" s="99"/>
      <c r="Y20" s="99"/>
      <c r="Z20" s="99"/>
      <c r="AA20" s="99"/>
      <c r="AB20" s="99"/>
      <c r="AC20" s="99"/>
      <c r="AD20" s="99"/>
      <c r="AE20" s="99"/>
      <c r="AF20" s="99"/>
      <c r="AG20" s="99"/>
      <c r="AH20" s="99"/>
      <c r="AI20" s="99"/>
      <c r="AJ20" s="103">
        <f t="shared" si="0"/>
        <v>0</v>
      </c>
    </row>
    <row r="21" spans="1:36" ht="15">
      <c r="A21" s="363" t="s">
        <v>151</v>
      </c>
      <c r="B21" s="2393">
        <v>41118</v>
      </c>
      <c r="C21" s="329">
        <v>978.26</v>
      </c>
      <c r="D21" s="329"/>
      <c r="E21" s="326"/>
      <c r="F21" s="102"/>
      <c r="G21" s="102"/>
      <c r="H21" s="102"/>
      <c r="I21" s="102"/>
      <c r="J21" s="102"/>
      <c r="K21" s="102"/>
      <c r="L21" s="102"/>
      <c r="M21" s="102"/>
      <c r="N21" s="102"/>
      <c r="O21" s="102"/>
      <c r="P21" s="102"/>
      <c r="Q21" s="102"/>
      <c r="R21" s="102"/>
      <c r="S21" s="102"/>
      <c r="T21" s="102"/>
      <c r="U21" s="102"/>
      <c r="V21" s="102"/>
      <c r="W21" s="102"/>
      <c r="X21" s="102"/>
      <c r="Y21" s="102"/>
      <c r="Z21" s="102"/>
      <c r="AA21" s="102"/>
      <c r="AB21" s="102"/>
      <c r="AC21" s="102"/>
      <c r="AD21" s="102"/>
      <c r="AE21" s="102"/>
      <c r="AF21" s="102"/>
      <c r="AG21" s="102"/>
      <c r="AH21" s="102"/>
      <c r="AI21" s="102"/>
      <c r="AJ21" s="103">
        <f t="shared" si="0"/>
        <v>0</v>
      </c>
    </row>
    <row r="22" spans="1:36" ht="15">
      <c r="A22" s="363" t="s">
        <v>152</v>
      </c>
      <c r="B22" s="2393">
        <v>41195</v>
      </c>
      <c r="C22" s="329">
        <v>589.00599999999997</v>
      </c>
      <c r="D22" s="329"/>
      <c r="E22" s="116"/>
      <c r="F22" s="99"/>
      <c r="G22" s="99"/>
      <c r="H22" s="99"/>
      <c r="I22" s="99"/>
      <c r="J22" s="99"/>
      <c r="K22" s="99"/>
      <c r="L22" s="99"/>
      <c r="M22" s="99"/>
      <c r="N22" s="99"/>
      <c r="O22" s="99"/>
      <c r="P22" s="99"/>
      <c r="Q22" s="99"/>
      <c r="R22" s="99"/>
      <c r="S22" s="99"/>
      <c r="T22" s="99"/>
      <c r="U22" s="99"/>
      <c r="V22" s="99"/>
      <c r="W22" s="99"/>
      <c r="X22" s="99"/>
      <c r="Y22" s="99"/>
      <c r="Z22" s="99"/>
      <c r="AA22" s="99"/>
      <c r="AB22" s="99"/>
      <c r="AC22" s="99"/>
      <c r="AD22" s="99"/>
      <c r="AE22" s="99"/>
      <c r="AF22" s="99"/>
      <c r="AG22" s="99"/>
      <c r="AH22" s="99"/>
      <c r="AI22" s="99"/>
      <c r="AJ22" s="103">
        <f t="shared" si="0"/>
        <v>0</v>
      </c>
    </row>
    <row r="23" spans="1:36" ht="15">
      <c r="A23" s="363" t="s">
        <v>153</v>
      </c>
      <c r="B23" s="2393" t="s">
        <v>1035</v>
      </c>
      <c r="C23" s="329">
        <v>1015.335</v>
      </c>
      <c r="D23" s="329"/>
      <c r="E23" s="116"/>
      <c r="F23" s="99"/>
      <c r="G23" s="99">
        <v>70.771000000000001</v>
      </c>
      <c r="H23" s="99">
        <v>116.43</v>
      </c>
      <c r="I23" s="99">
        <v>115.15</v>
      </c>
      <c r="J23" s="99">
        <v>155.364</v>
      </c>
      <c r="K23" s="99">
        <v>73.5</v>
      </c>
      <c r="L23" s="99">
        <v>82</v>
      </c>
      <c r="M23" s="99">
        <v>147.00800000000001</v>
      </c>
      <c r="N23" s="99">
        <v>101.85</v>
      </c>
      <c r="O23" s="99">
        <v>55.15</v>
      </c>
      <c r="P23" s="99"/>
      <c r="Q23" s="99"/>
      <c r="R23" s="99"/>
      <c r="S23" s="99"/>
      <c r="T23" s="99"/>
      <c r="U23" s="99"/>
      <c r="V23" s="99"/>
      <c r="W23" s="99"/>
      <c r="X23" s="99"/>
      <c r="Y23" s="99"/>
      <c r="Z23" s="99"/>
      <c r="AA23" s="99"/>
      <c r="AB23" s="99"/>
      <c r="AC23" s="99"/>
      <c r="AD23" s="99"/>
      <c r="AE23" s="99"/>
      <c r="AF23" s="99"/>
      <c r="AG23" s="99"/>
      <c r="AH23" s="99"/>
      <c r="AI23" s="99"/>
      <c r="AJ23" s="103">
        <f t="shared" si="0"/>
        <v>917.22300000000007</v>
      </c>
    </row>
    <row r="24" spans="1:36" ht="15">
      <c r="A24" s="363" t="s">
        <v>154</v>
      </c>
      <c r="B24" s="2393">
        <v>41192</v>
      </c>
      <c r="C24" s="2912">
        <f>+AJ24</f>
        <v>768.27800000000002</v>
      </c>
      <c r="D24" s="2912"/>
      <c r="E24" s="116"/>
      <c r="F24" s="99"/>
      <c r="G24" s="99">
        <v>10.050000000000001</v>
      </c>
      <c r="H24" s="99"/>
      <c r="I24" s="99"/>
      <c r="J24" s="99">
        <v>97.64</v>
      </c>
      <c r="K24" s="99">
        <v>83.6</v>
      </c>
      <c r="L24" s="99">
        <v>186.83799999999999</v>
      </c>
      <c r="M24" s="99">
        <v>92</v>
      </c>
      <c r="N24" s="99">
        <v>298.14999999999998</v>
      </c>
      <c r="O24" s="99"/>
      <c r="P24" s="99"/>
      <c r="Q24" s="99"/>
      <c r="R24" s="99"/>
      <c r="S24" s="99"/>
      <c r="T24" s="99"/>
      <c r="U24" s="99"/>
      <c r="V24" s="99"/>
      <c r="W24" s="99"/>
      <c r="X24" s="99"/>
      <c r="Y24" s="99"/>
      <c r="Z24" s="99"/>
      <c r="AA24" s="99"/>
      <c r="AB24" s="99"/>
      <c r="AC24" s="99"/>
      <c r="AD24" s="99"/>
      <c r="AE24" s="99"/>
      <c r="AF24" s="99"/>
      <c r="AG24" s="99"/>
      <c r="AH24" s="99"/>
      <c r="AI24" s="99"/>
      <c r="AJ24" s="103">
        <f t="shared" si="0"/>
        <v>768.27800000000002</v>
      </c>
    </row>
    <row r="25" spans="1:36" ht="15">
      <c r="A25" s="363" t="s">
        <v>155</v>
      </c>
      <c r="B25" s="2714">
        <v>41225</v>
      </c>
      <c r="C25" s="329">
        <f>+AJ25</f>
        <v>739.12</v>
      </c>
      <c r="D25" s="329"/>
      <c r="E25" s="116"/>
      <c r="F25" s="99"/>
      <c r="G25" s="99"/>
      <c r="H25" s="99"/>
      <c r="I25" s="99">
        <v>75.040000000000006</v>
      </c>
      <c r="J25" s="99">
        <v>0</v>
      </c>
      <c r="K25" s="99">
        <v>43.8</v>
      </c>
      <c r="L25" s="99">
        <v>84.5</v>
      </c>
      <c r="M25" s="99">
        <v>108.38</v>
      </c>
      <c r="N25" s="99">
        <v>0</v>
      </c>
      <c r="O25" s="99">
        <v>230.9</v>
      </c>
      <c r="P25" s="99">
        <v>98.2</v>
      </c>
      <c r="Q25" s="99">
        <v>98.3</v>
      </c>
      <c r="R25" s="99"/>
      <c r="S25" s="99"/>
      <c r="T25" s="99"/>
      <c r="U25" s="99"/>
      <c r="V25" s="99"/>
      <c r="W25" s="99"/>
      <c r="X25" s="99"/>
      <c r="Y25" s="99"/>
      <c r="Z25" s="99"/>
      <c r="AA25" s="99"/>
      <c r="AB25" s="99"/>
      <c r="AC25" s="99"/>
      <c r="AD25" s="99"/>
      <c r="AE25" s="99"/>
      <c r="AF25" s="99"/>
      <c r="AG25" s="99"/>
      <c r="AH25" s="99"/>
      <c r="AI25" s="99"/>
      <c r="AJ25" s="103">
        <f t="shared" si="0"/>
        <v>739.12</v>
      </c>
    </row>
    <row r="26" spans="1:36" ht="15">
      <c r="A26" s="363" t="s">
        <v>156</v>
      </c>
      <c r="B26" s="3197" t="s">
        <v>1223</v>
      </c>
      <c r="C26" s="329">
        <f>+AJ26</f>
        <v>656.1</v>
      </c>
      <c r="D26" s="329"/>
      <c r="E26" s="116"/>
      <c r="F26" s="99"/>
      <c r="G26" s="99">
        <v>26</v>
      </c>
      <c r="H26" s="99">
        <v>105</v>
      </c>
      <c r="I26" s="99">
        <v>78</v>
      </c>
      <c r="J26" s="99">
        <v>130.80000000000001</v>
      </c>
      <c r="K26" s="99">
        <v>101.4</v>
      </c>
      <c r="L26" s="99">
        <v>214.9</v>
      </c>
      <c r="M26" s="99"/>
      <c r="N26" s="99"/>
      <c r="O26" s="99"/>
      <c r="P26" s="99"/>
      <c r="Q26" s="99"/>
      <c r="R26" s="99"/>
      <c r="S26" s="99"/>
      <c r="T26" s="99"/>
      <c r="U26" s="99"/>
      <c r="V26" s="99"/>
      <c r="W26" s="99"/>
      <c r="X26" s="99"/>
      <c r="Y26" s="99"/>
      <c r="Z26" s="99"/>
      <c r="AA26" s="99"/>
      <c r="AB26" s="99"/>
      <c r="AC26" s="99"/>
      <c r="AD26" s="99"/>
      <c r="AE26" s="99"/>
      <c r="AF26" s="99"/>
      <c r="AG26" s="99"/>
      <c r="AH26" s="99"/>
      <c r="AI26" s="99"/>
      <c r="AJ26" s="103">
        <f t="shared" si="0"/>
        <v>656.1</v>
      </c>
    </row>
    <row r="27" spans="1:36" ht="15">
      <c r="A27" s="200" t="s">
        <v>111</v>
      </c>
      <c r="B27" s="200"/>
      <c r="C27" s="1715">
        <f>SUM(C15:C26)</f>
        <v>7371.322000000001</v>
      </c>
      <c r="D27" s="1715"/>
      <c r="E27" s="100"/>
      <c r="F27" s="100"/>
      <c r="G27" s="100"/>
      <c r="H27" s="100"/>
      <c r="I27" s="100"/>
      <c r="J27" s="100"/>
      <c r="K27" s="100"/>
      <c r="L27" s="100"/>
      <c r="M27" s="100"/>
      <c r="N27" s="100"/>
      <c r="O27" s="100"/>
      <c r="P27" s="100"/>
      <c r="Q27" s="100"/>
      <c r="R27" s="100"/>
      <c r="S27" s="100"/>
      <c r="T27" s="100"/>
      <c r="U27" s="100"/>
      <c r="V27" s="100"/>
      <c r="W27" s="100"/>
      <c r="X27" s="100"/>
      <c r="Y27" s="100"/>
      <c r="Z27" s="100"/>
      <c r="AA27" s="100"/>
      <c r="AB27" s="100"/>
      <c r="AC27" s="100"/>
      <c r="AD27" s="100"/>
      <c r="AE27" s="100"/>
      <c r="AF27" s="100"/>
      <c r="AG27" s="100"/>
      <c r="AH27" s="100"/>
      <c r="AI27" s="100"/>
      <c r="AJ27" s="120">
        <f>SUM(AJ15:AJ26)</f>
        <v>3080.721</v>
      </c>
    </row>
    <row r="29" spans="1:36">
      <c r="E29" s="246"/>
    </row>
  </sheetData>
  <mergeCells count="13">
    <mergeCell ref="I6:I7"/>
    <mergeCell ref="I8:I9"/>
    <mergeCell ref="F6:F7"/>
    <mergeCell ref="F8:F9"/>
    <mergeCell ref="G6:G7"/>
    <mergeCell ref="G8:G9"/>
    <mergeCell ref="H6:H7"/>
    <mergeCell ref="H8:H9"/>
    <mergeCell ref="A13:E13"/>
    <mergeCell ref="A6:C7"/>
    <mergeCell ref="A8:C9"/>
    <mergeCell ref="E6:E7"/>
    <mergeCell ref="E8:E9"/>
  </mergeCell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dimension ref="A1:M109"/>
  <sheetViews>
    <sheetView topLeftCell="A76" workbookViewId="0">
      <selection activeCell="A104" sqref="A104"/>
    </sheetView>
  </sheetViews>
  <sheetFormatPr baseColWidth="10" defaultRowHeight="13.2"/>
  <cols>
    <col min="1" max="1" width="29.33203125" customWidth="1"/>
    <col min="2" max="2" width="25.5546875" customWidth="1"/>
    <col min="3" max="3" width="18.6640625" customWidth="1"/>
    <col min="4" max="4" width="9.109375" bestFit="1" customWidth="1"/>
    <col min="5" max="5" width="8.88671875" customWidth="1"/>
    <col min="6" max="6" width="15.109375" bestFit="1" customWidth="1"/>
    <col min="7" max="7" width="14.6640625" style="169" customWidth="1"/>
    <col min="8" max="8" width="15" customWidth="1"/>
    <col min="9" max="9" width="9.109375" bestFit="1" customWidth="1"/>
    <col min="10" max="10" width="8.88671875" customWidth="1"/>
    <col min="11" max="11" width="10.5546875" customWidth="1"/>
    <col min="12" max="12" width="15.5546875" bestFit="1" customWidth="1"/>
  </cols>
  <sheetData>
    <row r="1" spans="1:13" ht="13.8" thickBot="1">
      <c r="A1" s="2342" t="s">
        <v>1022</v>
      </c>
      <c r="B1" s="2343"/>
      <c r="C1" s="2343"/>
      <c r="D1" s="2343"/>
      <c r="E1" s="2343"/>
      <c r="F1" s="2344"/>
      <c r="G1" s="994"/>
      <c r="H1" s="1742"/>
      <c r="I1" s="1742"/>
      <c r="J1" s="1742"/>
      <c r="K1" s="1742"/>
      <c r="L1" s="510"/>
      <c r="M1" s="510"/>
    </row>
    <row r="2" spans="1:13" ht="13.8" thickBot="1">
      <c r="A2" s="2334"/>
      <c r="B2" s="1722"/>
      <c r="C2" s="1722"/>
      <c r="D2" s="1722"/>
      <c r="E2" s="1722"/>
      <c r="F2" s="2232"/>
      <c r="G2" s="986"/>
      <c r="H2" s="1722"/>
      <c r="I2" s="1722"/>
      <c r="J2" s="1722"/>
      <c r="K2" s="1722"/>
      <c r="L2" s="511"/>
      <c r="M2" s="510"/>
    </row>
    <row r="3" spans="1:13" ht="13.8" thickBot="1">
      <c r="A3" s="2335"/>
      <c r="B3" s="2248" t="s">
        <v>989</v>
      </c>
      <c r="C3" s="2249"/>
      <c r="D3" s="2249"/>
      <c r="E3" s="2249"/>
      <c r="F3" s="2250"/>
      <c r="G3" s="3506"/>
      <c r="H3" s="2233"/>
      <c r="I3" s="2233"/>
      <c r="J3" s="2233"/>
      <c r="K3" s="2233"/>
      <c r="L3" s="510"/>
      <c r="M3" s="510"/>
    </row>
    <row r="4" spans="1:13" ht="13.8" thickBot="1">
      <c r="A4" s="2336" t="s">
        <v>142</v>
      </c>
      <c r="B4" s="2324"/>
      <c r="C4" s="2372"/>
      <c r="D4" s="2200" t="s">
        <v>576</v>
      </c>
      <c r="E4" s="2200" t="s">
        <v>128</v>
      </c>
      <c r="F4" s="2201" t="s">
        <v>1002</v>
      </c>
      <c r="G4" s="2227"/>
      <c r="H4" s="2227"/>
      <c r="I4" s="2227"/>
      <c r="J4" s="2227"/>
      <c r="K4" s="2227"/>
      <c r="L4" s="511"/>
      <c r="M4" s="510"/>
    </row>
    <row r="5" spans="1:13" ht="13.8" thickBot="1">
      <c r="A5" s="2337" t="s">
        <v>1025</v>
      </c>
      <c r="B5" s="2205">
        <v>1</v>
      </c>
      <c r="C5" s="2221"/>
      <c r="D5" s="975">
        <f>SUM('Rayas IV a VII y X-XI-XII'!B16)</f>
        <v>0</v>
      </c>
      <c r="E5" s="975">
        <f>+B5-D5</f>
        <v>1</v>
      </c>
      <c r="F5" s="2206"/>
      <c r="G5" s="3506"/>
      <c r="H5" s="2233"/>
      <c r="I5" s="2233"/>
      <c r="J5" s="2233"/>
      <c r="K5" s="2233"/>
      <c r="L5" s="511"/>
      <c r="M5" s="510"/>
    </row>
    <row r="6" spans="1:13" ht="13.8" thickBot="1">
      <c r="A6" s="2338" t="s">
        <v>111</v>
      </c>
      <c r="B6" s="2346">
        <f>SUM(B5:B5)</f>
        <v>1</v>
      </c>
      <c r="C6" s="2373"/>
      <c r="D6" s="2347">
        <v>0</v>
      </c>
      <c r="E6" s="2347">
        <f>SUM(E5:E5)</f>
        <v>1</v>
      </c>
      <c r="F6" s="2348"/>
      <c r="G6" s="963"/>
      <c r="H6" s="511"/>
      <c r="I6" s="511"/>
      <c r="J6" s="511"/>
      <c r="K6" s="511"/>
      <c r="L6" s="511"/>
      <c r="M6" s="510"/>
    </row>
    <row r="7" spans="1:13" ht="13.8" thickBot="1">
      <c r="A7" s="2339"/>
      <c r="B7" s="2236"/>
      <c r="C7" s="2236"/>
      <c r="D7" s="2236"/>
      <c r="E7" s="2236"/>
      <c r="F7" s="2237"/>
      <c r="G7" s="986"/>
      <c r="H7" s="1722"/>
      <c r="I7" s="1722"/>
      <c r="J7" s="1722"/>
      <c r="K7" s="1722"/>
      <c r="L7" s="511"/>
      <c r="M7" s="510"/>
    </row>
    <row r="8" spans="1:13" ht="13.8" thickBot="1">
      <c r="A8" s="2335"/>
      <c r="B8" s="2251" t="s">
        <v>990</v>
      </c>
      <c r="C8" s="2252"/>
      <c r="D8" s="2252"/>
      <c r="E8" s="2252"/>
      <c r="F8" s="2253"/>
      <c r="G8" s="3506"/>
      <c r="H8" s="2233"/>
      <c r="I8" s="2233"/>
      <c r="J8" s="2233"/>
      <c r="K8" s="2233"/>
      <c r="L8" s="511"/>
      <c r="M8" s="510"/>
    </row>
    <row r="9" spans="1:13" ht="13.8" thickBot="1">
      <c r="A9" s="2336" t="s">
        <v>142</v>
      </c>
      <c r="B9" s="2325"/>
      <c r="C9" s="2374"/>
      <c r="D9" s="2262" t="s">
        <v>576</v>
      </c>
      <c r="E9" s="2263" t="s">
        <v>128</v>
      </c>
      <c r="F9" s="2345" t="s">
        <v>1002</v>
      </c>
      <c r="G9" s="2227"/>
      <c r="H9" s="2227"/>
      <c r="I9" s="2227"/>
      <c r="J9" s="2227"/>
      <c r="K9" s="2227"/>
      <c r="L9" s="511"/>
      <c r="M9" s="510"/>
    </row>
    <row r="10" spans="1:13" ht="13.8" thickBot="1">
      <c r="A10" s="2337" t="s">
        <v>1025</v>
      </c>
      <c r="B10" s="2205">
        <v>1</v>
      </c>
      <c r="C10" s="2221"/>
      <c r="D10" s="975">
        <f>+SUM('Rayas IV a VII y X-XI-XII'!B33)</f>
        <v>0</v>
      </c>
      <c r="E10" s="975">
        <f>+B10-D10</f>
        <v>1</v>
      </c>
      <c r="F10" s="2206"/>
      <c r="G10" s="3506"/>
      <c r="H10" s="2233"/>
      <c r="I10" s="2233"/>
      <c r="J10" s="2233"/>
      <c r="K10" s="2233"/>
      <c r="L10" s="511"/>
      <c r="M10" s="510"/>
    </row>
    <row r="11" spans="1:13" ht="13.8" thickBot="1">
      <c r="A11" s="2338" t="s">
        <v>111</v>
      </c>
      <c r="B11" s="2346">
        <f>SUM(B10:B10)</f>
        <v>1</v>
      </c>
      <c r="C11" s="2373"/>
      <c r="D11" s="2347">
        <f>SUM(D10:D10)</f>
        <v>0</v>
      </c>
      <c r="E11" s="2347">
        <f>SUM(E10:E10)</f>
        <v>1</v>
      </c>
      <c r="F11" s="2348"/>
      <c r="G11" s="963"/>
      <c r="H11" s="511"/>
      <c r="I11" s="511"/>
      <c r="J11" s="511"/>
      <c r="K11" s="511"/>
      <c r="L11" s="511"/>
      <c r="M11" s="510"/>
    </row>
    <row r="12" spans="1:13">
      <c r="A12" s="994"/>
      <c r="B12" s="2238"/>
      <c r="C12" s="2238"/>
      <c r="D12" s="2238"/>
      <c r="E12" s="2238"/>
      <c r="F12" s="2238"/>
      <c r="G12" s="994"/>
      <c r="H12" s="510"/>
      <c r="I12" s="510"/>
      <c r="J12" s="510"/>
      <c r="K12" s="510"/>
      <c r="L12" s="510"/>
      <c r="M12" s="510"/>
    </row>
    <row r="13" spans="1:13" ht="13.8" thickBot="1">
      <c r="A13" s="994"/>
      <c r="B13" s="2238"/>
      <c r="C13" s="2238"/>
      <c r="D13" s="2238"/>
      <c r="E13" s="2238"/>
      <c r="F13" s="2238"/>
      <c r="G13" s="994"/>
      <c r="H13" s="510"/>
      <c r="I13" s="510"/>
      <c r="J13" s="510"/>
      <c r="K13" s="510"/>
      <c r="L13" s="510"/>
      <c r="M13" s="510"/>
    </row>
    <row r="14" spans="1:13" ht="19.5" customHeight="1">
      <c r="A14" s="4127" t="s">
        <v>1023</v>
      </c>
      <c r="B14" s="4128"/>
      <c r="C14" s="4128"/>
      <c r="D14" s="4128"/>
      <c r="E14" s="4128"/>
      <c r="F14" s="4129"/>
      <c r="G14" s="994"/>
      <c r="H14" s="510"/>
      <c r="I14" s="510"/>
      <c r="J14" s="510"/>
      <c r="K14" s="510"/>
      <c r="L14" s="510"/>
      <c r="M14" s="510"/>
    </row>
    <row r="15" spans="1:13" ht="13.8" thickBot="1">
      <c r="A15" s="2334"/>
      <c r="B15" s="2242"/>
      <c r="C15" s="2242"/>
      <c r="D15" s="2242"/>
      <c r="E15" s="2242"/>
      <c r="F15" s="2243"/>
      <c r="G15" s="1853">
        <v>41241</v>
      </c>
      <c r="H15" s="510"/>
      <c r="I15" s="510"/>
      <c r="J15" s="510"/>
      <c r="K15" s="510"/>
      <c r="L15" s="510"/>
      <c r="M15" s="510"/>
    </row>
    <row r="16" spans="1:13" ht="13.8" thickBot="1">
      <c r="A16" s="2335"/>
      <c r="B16" s="2251" t="s">
        <v>989</v>
      </c>
      <c r="C16" s="2252"/>
      <c r="D16" s="2252"/>
      <c r="E16" s="2252"/>
      <c r="F16" s="2253"/>
      <c r="G16" s="994"/>
      <c r="H16" s="510"/>
      <c r="I16" s="510"/>
      <c r="J16" s="510"/>
      <c r="K16" s="510"/>
      <c r="L16" s="510"/>
      <c r="M16" s="510"/>
    </row>
    <row r="17" spans="1:13" ht="13.8" thickBot="1">
      <c r="A17" s="2336" t="s">
        <v>142</v>
      </c>
      <c r="B17" s="2326"/>
      <c r="C17" s="2375"/>
      <c r="D17" s="2257" t="s">
        <v>576</v>
      </c>
      <c r="E17" s="2257" t="s">
        <v>128</v>
      </c>
      <c r="F17" s="2345" t="s">
        <v>1002</v>
      </c>
      <c r="G17" s="994"/>
      <c r="H17" s="510"/>
      <c r="I17" s="510"/>
      <c r="J17" s="510"/>
      <c r="K17" s="510"/>
      <c r="L17" s="510"/>
      <c r="M17" s="510"/>
    </row>
    <row r="18" spans="1:13" ht="13.8" thickBot="1">
      <c r="A18" s="2337" t="s">
        <v>1025</v>
      </c>
      <c r="B18" s="2205">
        <v>217</v>
      </c>
      <c r="C18" s="2221"/>
      <c r="D18" s="975">
        <f>+SUM('Rayas IV a VII y X-XI-XII'!B51)</f>
        <v>197.91800000000003</v>
      </c>
      <c r="E18" s="975">
        <f>+B18-D18</f>
        <v>19.081999999999965</v>
      </c>
      <c r="F18" s="2206"/>
      <c r="G18" s="994"/>
      <c r="H18" s="510"/>
      <c r="I18" s="510"/>
      <c r="J18" s="510"/>
      <c r="K18" s="510"/>
      <c r="L18" s="510"/>
      <c r="M18" s="510"/>
    </row>
    <row r="19" spans="1:13" ht="13.8" thickBot="1">
      <c r="A19" s="2338" t="s">
        <v>111</v>
      </c>
      <c r="B19" s="2346">
        <f>SUM(B18:B18)</f>
        <v>217</v>
      </c>
      <c r="C19" s="2373"/>
      <c r="D19" s="2347">
        <f>SUM(D18:D18)</f>
        <v>197.91800000000003</v>
      </c>
      <c r="E19" s="2347">
        <f>SUM(E18:E18)</f>
        <v>19.081999999999965</v>
      </c>
      <c r="F19" s="2348"/>
      <c r="G19" s="3507" t="s">
        <v>1188</v>
      </c>
      <c r="H19" s="510"/>
      <c r="I19" s="510"/>
      <c r="J19" s="510"/>
      <c r="K19" s="510"/>
      <c r="L19" s="510"/>
      <c r="M19" s="510"/>
    </row>
    <row r="20" spans="1:13" ht="13.8" thickBot="1">
      <c r="A20" s="2339"/>
      <c r="B20" s="2236"/>
      <c r="C20" s="2236"/>
      <c r="D20" s="2236"/>
      <c r="E20" s="2236"/>
      <c r="F20" s="2237"/>
      <c r="G20" s="994"/>
      <c r="H20" s="510"/>
      <c r="I20" s="510"/>
      <c r="J20" s="510"/>
      <c r="K20" s="510"/>
      <c r="L20" s="510"/>
      <c r="M20" s="510"/>
    </row>
    <row r="21" spans="1:13" ht="13.8" thickBot="1">
      <c r="A21" s="2335"/>
      <c r="B21" s="2251" t="s">
        <v>990</v>
      </c>
      <c r="C21" s="2252"/>
      <c r="D21" s="2252"/>
      <c r="E21" s="2252"/>
      <c r="F21" s="2253"/>
      <c r="G21" s="994"/>
      <c r="H21" s="510"/>
      <c r="I21" s="510"/>
      <c r="J21" s="510"/>
      <c r="K21" s="510"/>
      <c r="L21" s="510"/>
      <c r="M21" s="510"/>
    </row>
    <row r="22" spans="1:13" ht="13.8" thickBot="1">
      <c r="A22" s="2336" t="s">
        <v>142</v>
      </c>
      <c r="B22" s="2326"/>
      <c r="C22" s="2375"/>
      <c r="D22" s="2262" t="s">
        <v>576</v>
      </c>
      <c r="E22" s="2263" t="s">
        <v>128</v>
      </c>
      <c r="F22" s="2345" t="s">
        <v>1002</v>
      </c>
      <c r="G22" s="994"/>
      <c r="H22" s="510"/>
      <c r="I22" s="510"/>
      <c r="J22" s="510"/>
      <c r="K22" s="510"/>
      <c r="L22" s="510"/>
      <c r="M22" s="510"/>
    </row>
    <row r="23" spans="1:13" ht="13.8" thickBot="1">
      <c r="A23" s="2337" t="s">
        <v>1025</v>
      </c>
      <c r="B23" s="2205">
        <v>40</v>
      </c>
      <c r="C23" s="2221"/>
      <c r="D23" s="975">
        <f>+SUM('Rayas IV a VII y X-XI-XII'!B68)</f>
        <v>11.885999999999999</v>
      </c>
      <c r="E23" s="975">
        <f>+B23-D23</f>
        <v>28.114000000000001</v>
      </c>
      <c r="F23" s="2206"/>
      <c r="G23" s="994"/>
      <c r="H23" s="510"/>
      <c r="I23" s="510"/>
      <c r="J23" s="510"/>
      <c r="K23" s="510"/>
      <c r="L23" s="510"/>
      <c r="M23" s="510"/>
    </row>
    <row r="24" spans="1:13" ht="13.8" thickBot="1">
      <c r="A24" s="2338" t="s">
        <v>111</v>
      </c>
      <c r="B24" s="2346">
        <f>SUM(B23:B23)</f>
        <v>40</v>
      </c>
      <c r="C24" s="2373"/>
      <c r="D24" s="2347">
        <f>SUM(D23:D23)</f>
        <v>11.885999999999999</v>
      </c>
      <c r="E24" s="2347">
        <f>SUM(E23:E23)</f>
        <v>28.114000000000001</v>
      </c>
      <c r="F24" s="2348"/>
      <c r="G24" s="994"/>
      <c r="H24" s="510"/>
      <c r="I24" s="510"/>
      <c r="J24" s="510"/>
      <c r="K24" s="510"/>
      <c r="L24" s="510"/>
      <c r="M24" s="510"/>
    </row>
    <row r="25" spans="1:13">
      <c r="A25" s="169"/>
    </row>
    <row r="26" spans="1:13" ht="13.8" thickBot="1">
      <c r="A26" s="169"/>
    </row>
    <row r="27" spans="1:13">
      <c r="A27" s="2340" t="s">
        <v>1030</v>
      </c>
      <c r="B27" s="2327"/>
      <c r="C27" s="2327"/>
      <c r="D27" s="2327"/>
      <c r="E27" s="2327"/>
      <c r="F27" s="2328"/>
      <c r="G27" s="994"/>
      <c r="H27" s="1742"/>
      <c r="I27" s="1742"/>
      <c r="J27" s="1742"/>
      <c r="K27" s="1742"/>
      <c r="L27" s="510"/>
      <c r="M27" s="510"/>
    </row>
    <row r="28" spans="1:13" ht="13.8" thickBot="1">
      <c r="A28" s="2334"/>
      <c r="B28" s="1722"/>
      <c r="C28" s="1722"/>
      <c r="D28" s="1722"/>
      <c r="E28" s="1722"/>
      <c r="F28" s="2232"/>
      <c r="G28" s="986"/>
      <c r="H28" s="1722"/>
      <c r="I28" s="1722"/>
      <c r="J28" s="1722"/>
      <c r="K28" s="1722"/>
      <c r="L28" s="511"/>
      <c r="M28" s="510"/>
    </row>
    <row r="29" spans="1:13" ht="13.8" thickBot="1">
      <c r="A29" s="2335"/>
      <c r="B29" s="2248" t="s">
        <v>989</v>
      </c>
      <c r="C29" s="2249"/>
      <c r="D29" s="2249"/>
      <c r="E29" s="2249"/>
      <c r="F29" s="2250"/>
      <c r="G29" s="3506"/>
      <c r="H29" s="2233"/>
      <c r="I29" s="2233"/>
      <c r="J29" s="2233"/>
      <c r="K29" s="2233"/>
      <c r="L29" s="510"/>
      <c r="M29" s="510"/>
    </row>
    <row r="30" spans="1:13" ht="13.8" thickBot="1">
      <c r="A30" s="2336" t="s">
        <v>142</v>
      </c>
      <c r="B30" s="2329"/>
      <c r="C30" s="2376"/>
      <c r="D30" s="2200" t="s">
        <v>576</v>
      </c>
      <c r="E30" s="2200" t="s">
        <v>128</v>
      </c>
      <c r="F30" s="2201" t="s">
        <v>1002</v>
      </c>
      <c r="G30" s="2227"/>
      <c r="H30" s="2227"/>
      <c r="I30" s="2227"/>
      <c r="J30" s="2227"/>
      <c r="K30" s="2227"/>
      <c r="L30" s="511"/>
      <c r="M30" s="510"/>
    </row>
    <row r="31" spans="1:13" ht="13.8" thickBot="1">
      <c r="A31" s="2337" t="s">
        <v>1025</v>
      </c>
      <c r="B31" s="2205">
        <v>14</v>
      </c>
      <c r="C31" s="2221"/>
      <c r="D31" s="975">
        <f>+SUM('Rayas IV a VII y X-XI-XII'!B86)</f>
        <v>0</v>
      </c>
      <c r="E31" s="975">
        <f>+B31-D31</f>
        <v>14</v>
      </c>
      <c r="F31" s="2206"/>
      <c r="G31" s="3506"/>
      <c r="H31" s="2233"/>
      <c r="I31" s="2233"/>
      <c r="J31" s="2233"/>
      <c r="K31" s="2233"/>
      <c r="L31" s="511"/>
      <c r="M31" s="510"/>
    </row>
    <row r="32" spans="1:13" ht="13.8" thickBot="1">
      <c r="A32" s="2338" t="s">
        <v>111</v>
      </c>
      <c r="B32" s="2346">
        <f>SUM(B31:B31)</f>
        <v>14</v>
      </c>
      <c r="C32" s="2373"/>
      <c r="D32" s="2347">
        <f>SUM(D31:D31)</f>
        <v>0</v>
      </c>
      <c r="E32" s="2347">
        <f>SUM(E31:E31)</f>
        <v>14</v>
      </c>
      <c r="F32" s="2348"/>
      <c r="G32" s="963"/>
      <c r="H32" s="511"/>
      <c r="I32" s="511"/>
      <c r="J32" s="511"/>
      <c r="K32" s="511"/>
      <c r="L32" s="511"/>
      <c r="M32" s="510"/>
    </row>
    <row r="33" spans="1:13" ht="13.8" thickBot="1">
      <c r="A33" s="2339"/>
      <c r="B33" s="2236"/>
      <c r="C33" s="2236"/>
      <c r="D33" s="2236"/>
      <c r="E33" s="2236"/>
      <c r="F33" s="2237"/>
      <c r="G33" s="986"/>
      <c r="H33" s="1722"/>
      <c r="I33" s="1722"/>
      <c r="J33" s="1722"/>
      <c r="K33" s="1722"/>
      <c r="L33" s="511"/>
      <c r="M33" s="510"/>
    </row>
    <row r="34" spans="1:13" ht="13.8" thickBot="1">
      <c r="A34" s="2335"/>
      <c r="B34" s="2251" t="s">
        <v>990</v>
      </c>
      <c r="C34" s="2252"/>
      <c r="D34" s="2252"/>
      <c r="E34" s="2252"/>
      <c r="F34" s="2253"/>
      <c r="G34" s="3506"/>
      <c r="H34" s="2233"/>
      <c r="I34" s="2233"/>
      <c r="J34" s="2233"/>
      <c r="K34" s="2233"/>
      <c r="L34" s="511"/>
      <c r="M34" s="510"/>
    </row>
    <row r="35" spans="1:13" ht="13.8" thickBot="1">
      <c r="A35" s="2336" t="s">
        <v>142</v>
      </c>
      <c r="B35" s="2330"/>
      <c r="C35" s="2377"/>
      <c r="D35" s="2262" t="s">
        <v>576</v>
      </c>
      <c r="E35" s="2263" t="s">
        <v>128</v>
      </c>
      <c r="F35" s="2345" t="s">
        <v>1002</v>
      </c>
      <c r="G35" s="2227"/>
      <c r="H35" s="2227"/>
      <c r="I35" s="2227"/>
      <c r="J35" s="2227"/>
      <c r="K35" s="2227"/>
      <c r="L35" s="511"/>
      <c r="M35" s="510"/>
    </row>
    <row r="36" spans="1:13" ht="13.8" thickBot="1">
      <c r="A36" s="2337" t="s">
        <v>1025</v>
      </c>
      <c r="B36" s="2205">
        <v>3</v>
      </c>
      <c r="C36" s="2221"/>
      <c r="D36" s="975">
        <f>+SUM('Rayas IV a VII y X-XI-XII'!B103)</f>
        <v>0</v>
      </c>
      <c r="E36" s="975">
        <f>+B36-D36</f>
        <v>3</v>
      </c>
      <c r="F36" s="2206"/>
      <c r="G36" s="3506"/>
      <c r="H36" s="2233"/>
      <c r="I36" s="2233"/>
      <c r="J36" s="2233"/>
      <c r="K36" s="2233"/>
      <c r="L36" s="511"/>
      <c r="M36" s="510"/>
    </row>
    <row r="37" spans="1:13" ht="13.8" thickBot="1">
      <c r="A37" s="2338" t="s">
        <v>111</v>
      </c>
      <c r="B37" s="2346">
        <f>SUM(B36:B36)</f>
        <v>3</v>
      </c>
      <c r="C37" s="2373"/>
      <c r="D37" s="2347">
        <f>SUM(D36:D36)</f>
        <v>0</v>
      </c>
      <c r="E37" s="2347">
        <f>SUM(E36:E36)</f>
        <v>3</v>
      </c>
      <c r="F37" s="2348"/>
      <c r="G37" s="963"/>
      <c r="H37" s="511"/>
      <c r="I37" s="511"/>
      <c r="J37" s="511"/>
      <c r="K37" s="511"/>
      <c r="L37" s="511"/>
      <c r="M37" s="510"/>
    </row>
    <row r="38" spans="1:13">
      <c r="A38" s="994"/>
      <c r="B38" s="2238"/>
      <c r="C38" s="2238"/>
      <c r="D38" s="2238"/>
      <c r="E38" s="2238"/>
      <c r="F38" s="2238"/>
      <c r="G38" s="994"/>
      <c r="H38" s="510"/>
      <c r="I38" s="510"/>
      <c r="J38" s="510"/>
      <c r="K38" s="510"/>
      <c r="L38" s="510"/>
      <c r="M38" s="510"/>
    </row>
    <row r="39" spans="1:13" ht="13.8" thickBot="1">
      <c r="A39" s="994"/>
      <c r="B39" s="2238"/>
      <c r="C39" s="2238"/>
      <c r="D39" s="2238"/>
      <c r="E39" s="2238"/>
      <c r="F39" s="2238"/>
      <c r="G39" s="994"/>
      <c r="H39" s="510"/>
      <c r="I39" s="510"/>
      <c r="J39" s="510"/>
      <c r="K39" s="510"/>
      <c r="L39" s="510"/>
      <c r="M39" s="510"/>
    </row>
    <row r="40" spans="1:13">
      <c r="A40" s="2341" t="s">
        <v>1024</v>
      </c>
      <c r="B40" s="2331"/>
      <c r="C40" s="2331"/>
      <c r="D40" s="2331"/>
      <c r="E40" s="2331"/>
      <c r="F40" s="2332"/>
      <c r="G40" s="2996">
        <v>41239</v>
      </c>
      <c r="H40" s="510"/>
      <c r="I40" s="510"/>
      <c r="J40" s="510"/>
      <c r="K40" s="510"/>
      <c r="L40" s="510"/>
      <c r="M40" s="510"/>
    </row>
    <row r="41" spans="1:13" ht="13.8" thickBot="1">
      <c r="A41" s="2334"/>
      <c r="B41" s="2242"/>
      <c r="C41" s="2242"/>
      <c r="D41" s="2242"/>
      <c r="E41" s="2242"/>
      <c r="F41" s="2243"/>
      <c r="G41" s="994"/>
      <c r="H41" s="510"/>
      <c r="I41" s="510"/>
      <c r="J41" s="510"/>
      <c r="K41" s="510"/>
      <c r="L41" s="510"/>
      <c r="M41" s="510"/>
    </row>
    <row r="42" spans="1:13" ht="13.8" thickBot="1">
      <c r="A42" s="2335"/>
      <c r="B42" s="2251" t="s">
        <v>989</v>
      </c>
      <c r="C42" s="2252"/>
      <c r="D42" s="2252"/>
      <c r="E42" s="2252"/>
      <c r="F42" s="2253"/>
      <c r="G42" s="994"/>
      <c r="H42" s="510"/>
      <c r="I42" s="510"/>
      <c r="J42" s="510"/>
      <c r="K42" s="510"/>
      <c r="L42" s="510"/>
      <c r="M42" s="510"/>
    </row>
    <row r="43" spans="1:13" ht="13.8" thickBot="1">
      <c r="A43" s="2336" t="s">
        <v>142</v>
      </c>
      <c r="B43" s="2333"/>
      <c r="C43" s="2378"/>
      <c r="D43" s="2257" t="s">
        <v>576</v>
      </c>
      <c r="E43" s="2257" t="s">
        <v>128</v>
      </c>
      <c r="F43" s="2345" t="s">
        <v>1002</v>
      </c>
      <c r="G43" s="994"/>
      <c r="H43" s="510"/>
      <c r="I43" s="510"/>
      <c r="J43" s="510"/>
      <c r="K43" s="510"/>
      <c r="L43" s="510"/>
      <c r="M43" s="510"/>
    </row>
    <row r="44" spans="1:13" ht="13.8" thickBot="1">
      <c r="A44" s="2337" t="s">
        <v>1025</v>
      </c>
      <c r="B44" s="2205">
        <v>45</v>
      </c>
      <c r="C44" s="2221"/>
      <c r="D44" s="975">
        <f>+SUM('Rayas IV a VII y X-XI-XII'!B121)</f>
        <v>34.722999999999999</v>
      </c>
      <c r="E44" s="975">
        <f>+B44-D44</f>
        <v>10.277000000000001</v>
      </c>
      <c r="F44" s="2206"/>
      <c r="G44" s="3508" t="s">
        <v>820</v>
      </c>
      <c r="H44" s="510"/>
      <c r="I44" s="510"/>
      <c r="J44" s="510"/>
      <c r="K44" s="510"/>
      <c r="L44" s="510"/>
      <c r="M44" s="510"/>
    </row>
    <row r="45" spans="1:13" ht="13.8" thickBot="1">
      <c r="A45" s="2338" t="s">
        <v>111</v>
      </c>
      <c r="B45" s="2346">
        <f>SUM(B44:B44)</f>
        <v>45</v>
      </c>
      <c r="C45" s="2373"/>
      <c r="D45" s="2347">
        <f>SUM(D44:D44)</f>
        <v>34.722999999999999</v>
      </c>
      <c r="E45" s="2347">
        <f>SUM(E44:E44)</f>
        <v>10.277000000000001</v>
      </c>
      <c r="F45" s="2348"/>
      <c r="G45" s="994"/>
      <c r="H45" s="510"/>
      <c r="I45" s="510"/>
      <c r="J45" s="510"/>
      <c r="K45" s="510"/>
      <c r="L45" s="510"/>
      <c r="M45" s="510"/>
    </row>
    <row r="46" spans="1:13" ht="13.8" thickBot="1">
      <c r="A46" s="2339"/>
      <c r="B46" s="2236"/>
      <c r="C46" s="2236"/>
      <c r="D46" s="2236"/>
      <c r="E46" s="2236"/>
      <c r="F46" s="2237"/>
      <c r="G46" s="994"/>
      <c r="H46" s="510"/>
      <c r="I46" s="510"/>
      <c r="J46" s="510"/>
      <c r="K46" s="510"/>
      <c r="L46" s="510"/>
      <c r="M46" s="510"/>
    </row>
    <row r="47" spans="1:13" ht="13.8" thickBot="1">
      <c r="A47" s="2335"/>
      <c r="B47" s="2251" t="s">
        <v>990</v>
      </c>
      <c r="C47" s="2252"/>
      <c r="D47" s="2252"/>
      <c r="E47" s="2252"/>
      <c r="F47" s="2253"/>
      <c r="G47" s="994"/>
      <c r="H47" s="510"/>
      <c r="I47" s="510"/>
      <c r="J47" s="510"/>
      <c r="K47" s="510"/>
      <c r="L47" s="510"/>
      <c r="M47" s="510"/>
    </row>
    <row r="48" spans="1:13" ht="13.8" thickBot="1">
      <c r="A48" s="2336" t="s">
        <v>142</v>
      </c>
      <c r="B48" s="2333"/>
      <c r="C48" s="2378"/>
      <c r="D48" s="2262" t="s">
        <v>576</v>
      </c>
      <c r="E48" s="2263" t="s">
        <v>128</v>
      </c>
      <c r="F48" s="2345" t="s">
        <v>1002</v>
      </c>
      <c r="G48" s="994"/>
      <c r="H48" s="510"/>
      <c r="I48" s="510"/>
      <c r="J48" s="510"/>
      <c r="K48" s="510"/>
      <c r="L48" s="510"/>
      <c r="M48" s="510"/>
    </row>
    <row r="49" spans="1:13" ht="13.8" thickBot="1">
      <c r="A49" s="2337" t="s">
        <v>1025</v>
      </c>
      <c r="B49" s="2205">
        <v>9</v>
      </c>
      <c r="C49" s="2221"/>
      <c r="D49" s="975">
        <f>+SUM('Rayas IV a VII y X-XI-XII'!B138)</f>
        <v>0</v>
      </c>
      <c r="E49" s="975">
        <f>+B49-D49</f>
        <v>9</v>
      </c>
      <c r="F49" s="2206"/>
      <c r="G49" s="994"/>
      <c r="H49" s="510"/>
      <c r="I49" s="510"/>
      <c r="J49" s="510"/>
      <c r="K49" s="510"/>
      <c r="L49" s="510"/>
      <c r="M49" s="510"/>
    </row>
    <row r="50" spans="1:13" ht="13.8" thickBot="1">
      <c r="A50" s="2212" t="s">
        <v>111</v>
      </c>
      <c r="B50" s="2346">
        <f>SUM(B49:B49)</f>
        <v>9</v>
      </c>
      <c r="C50" s="2373"/>
      <c r="D50" s="2347">
        <f>SUM(D49:D49)</f>
        <v>0</v>
      </c>
      <c r="E50" s="2347">
        <f>SUM(E49:E49)</f>
        <v>9</v>
      </c>
      <c r="F50" s="2348"/>
      <c r="G50" s="994"/>
      <c r="H50" s="510"/>
      <c r="I50" s="510"/>
      <c r="J50" s="510"/>
      <c r="K50" s="510"/>
      <c r="L50" s="510"/>
      <c r="M50" s="510"/>
    </row>
    <row r="52" spans="1:13" ht="13.8" thickBot="1">
      <c r="A52" s="510"/>
      <c r="B52" s="510"/>
      <c r="C52" s="510"/>
      <c r="D52" s="510"/>
      <c r="E52" s="510"/>
      <c r="F52" s="510"/>
      <c r="G52" s="994"/>
      <c r="H52" s="510"/>
      <c r="I52" s="510"/>
      <c r="J52" s="510"/>
      <c r="K52" s="510"/>
      <c r="L52" s="510"/>
      <c r="M52" s="510"/>
    </row>
    <row r="53" spans="1:13">
      <c r="A53" s="4124" t="s">
        <v>997</v>
      </c>
      <c r="B53" s="4125"/>
      <c r="C53" s="4125"/>
      <c r="D53" s="4125"/>
      <c r="E53" s="4125"/>
      <c r="F53" s="4125"/>
      <c r="G53" s="4125"/>
      <c r="H53" s="4125"/>
      <c r="I53" s="4125"/>
      <c r="J53" s="4125"/>
      <c r="K53" s="4126"/>
      <c r="L53" s="2468">
        <v>41262</v>
      </c>
      <c r="M53" s="510"/>
    </row>
    <row r="54" spans="1:13" ht="13.8" thickBot="1">
      <c r="A54" s="2196"/>
      <c r="B54" s="2197"/>
      <c r="C54" s="2197"/>
      <c r="D54" s="2197"/>
      <c r="E54" s="2197"/>
      <c r="F54" s="2197"/>
      <c r="G54" s="962"/>
      <c r="H54" s="2197"/>
      <c r="I54" s="2197"/>
      <c r="J54" s="2197"/>
      <c r="K54" s="2198"/>
      <c r="L54" s="510"/>
      <c r="M54" s="510"/>
    </row>
    <row r="55" spans="1:13" ht="13.8" thickBot="1">
      <c r="A55" s="1018"/>
      <c r="B55" s="4121" t="s">
        <v>989</v>
      </c>
      <c r="C55" s="4122"/>
      <c r="D55" s="4122"/>
      <c r="E55" s="4122"/>
      <c r="F55" s="4122"/>
      <c r="G55" s="4122"/>
      <c r="H55" s="4122"/>
      <c r="I55" s="4122"/>
      <c r="J55" s="4122"/>
      <c r="K55" s="4123"/>
      <c r="L55" s="510"/>
      <c r="M55" s="510"/>
    </row>
    <row r="56" spans="1:13" ht="13.8" thickBot="1">
      <c r="A56" s="2199" t="s">
        <v>142</v>
      </c>
      <c r="B56" s="2461" t="s">
        <v>998</v>
      </c>
      <c r="C56" s="2380" t="s">
        <v>1013</v>
      </c>
      <c r="D56" s="2200" t="s">
        <v>576</v>
      </c>
      <c r="E56" s="2200" t="s">
        <v>128</v>
      </c>
      <c r="F56" s="2201" t="s">
        <v>1002</v>
      </c>
      <c r="G56" s="2380" t="s">
        <v>999</v>
      </c>
      <c r="H56" s="2380" t="s">
        <v>1013</v>
      </c>
      <c r="I56" s="2202" t="s">
        <v>576</v>
      </c>
      <c r="J56" s="2203" t="s">
        <v>128</v>
      </c>
      <c r="K56" s="2914" t="s">
        <v>1002</v>
      </c>
      <c r="L56" s="510"/>
      <c r="M56" s="510"/>
    </row>
    <row r="57" spans="1:13">
      <c r="A57" s="2368" t="s">
        <v>153</v>
      </c>
      <c r="B57" s="2205">
        <v>9</v>
      </c>
      <c r="C57" s="2221">
        <f>+B57</f>
        <v>9</v>
      </c>
      <c r="D57" s="975">
        <f>+'Rayas IV a VII y X-XI-XII'!B152</f>
        <v>0</v>
      </c>
      <c r="E57" s="2385">
        <f>+C57-D57</f>
        <v>9</v>
      </c>
      <c r="F57" s="2387"/>
      <c r="G57" s="2221">
        <v>15</v>
      </c>
      <c r="H57" s="2221">
        <f>+G57</f>
        <v>15</v>
      </c>
      <c r="I57" s="2365">
        <f>SUM('Rayas IV a VII y X-XI-XII'!B187)</f>
        <v>0</v>
      </c>
      <c r="J57" s="975">
        <f>+H57-I57</f>
        <v>15</v>
      </c>
      <c r="K57" s="2371"/>
      <c r="L57" s="510"/>
      <c r="M57" s="510"/>
    </row>
    <row r="58" spans="1:13">
      <c r="A58" s="2368" t="s">
        <v>154</v>
      </c>
      <c r="B58" s="2207">
        <v>8</v>
      </c>
      <c r="C58" s="2223">
        <f>+B58+E57</f>
        <v>17</v>
      </c>
      <c r="D58" s="1084">
        <f>SUM('Rayas IV a VII y X-XI-XII'!B153)</f>
        <v>28.85</v>
      </c>
      <c r="E58" s="2389">
        <f>+C58-D58</f>
        <v>-11.850000000000001</v>
      </c>
      <c r="F58" s="2392">
        <v>41187</v>
      </c>
      <c r="G58" s="2223">
        <v>15</v>
      </c>
      <c r="H58" s="2223">
        <f>+G58+J57</f>
        <v>30</v>
      </c>
      <c r="I58" s="3512">
        <f>SUM('Rayas IV a VII y X-XI-XII'!B188)</f>
        <v>52.872</v>
      </c>
      <c r="J58" s="1013">
        <f>+H58-I58</f>
        <v>-22.872</v>
      </c>
      <c r="K58" s="2462">
        <v>41232</v>
      </c>
      <c r="L58" s="2386"/>
      <c r="M58" s="510"/>
    </row>
    <row r="59" spans="1:13" ht="13.8" thickBot="1">
      <c r="A59" s="2209" t="s">
        <v>155</v>
      </c>
      <c r="B59" s="2210">
        <v>8</v>
      </c>
      <c r="C59" s="2463">
        <f>+B59+E58</f>
        <v>-3.8500000000000014</v>
      </c>
      <c r="D59" s="980">
        <f>+'Rayas IV a VII y X-XI-XII'!B154</f>
        <v>0</v>
      </c>
      <c r="E59" s="2459">
        <f>+C59</f>
        <v>-3.8500000000000014</v>
      </c>
      <c r="F59" s="2388"/>
      <c r="G59" s="2245">
        <v>15</v>
      </c>
      <c r="H59" s="2223">
        <f>+G59+J58</f>
        <v>-7.8719999999999999</v>
      </c>
      <c r="I59" s="2366">
        <f>SUM('Rayas IV a VII y X-XI-XII'!B189)</f>
        <v>20.599</v>
      </c>
      <c r="J59" s="2913">
        <f>+H59-I59</f>
        <v>-28.471</v>
      </c>
      <c r="K59" s="2462">
        <v>41232</v>
      </c>
      <c r="L59" s="510"/>
      <c r="M59" s="510"/>
    </row>
    <row r="60" spans="1:13" ht="13.8" thickBot="1">
      <c r="A60" s="2212" t="s">
        <v>111</v>
      </c>
      <c r="B60" s="2213">
        <f>SUM(B57:B59)</f>
        <v>25</v>
      </c>
      <c r="C60" s="2391"/>
      <c r="D60" s="2213">
        <f>SUM(D57:D59)</f>
        <v>28.85</v>
      </c>
      <c r="E60" s="2460">
        <f>+B60-D60</f>
        <v>-3.8500000000000014</v>
      </c>
      <c r="F60" s="2214"/>
      <c r="G60" s="2215">
        <f>SUM(G57:G59)</f>
        <v>45</v>
      </c>
      <c r="H60" s="2215"/>
      <c r="I60" s="2215">
        <f>SUM(I57:I59)</f>
        <v>73.471000000000004</v>
      </c>
      <c r="J60" s="2460">
        <f>+G60-I60</f>
        <v>-28.471000000000004</v>
      </c>
      <c r="K60" s="2216"/>
      <c r="L60" s="2238"/>
      <c r="M60" s="510"/>
    </row>
    <row r="61" spans="1:13" ht="13.8" thickBot="1">
      <c r="A61" s="1018"/>
      <c r="B61" s="4118" t="s">
        <v>990</v>
      </c>
      <c r="C61" s="4119"/>
      <c r="D61" s="4119"/>
      <c r="E61" s="4119"/>
      <c r="F61" s="4119"/>
      <c r="G61" s="4119"/>
      <c r="H61" s="4119"/>
      <c r="I61" s="4119"/>
      <c r="J61" s="4119"/>
      <c r="K61" s="4120"/>
      <c r="L61" s="510"/>
      <c r="M61" s="510"/>
    </row>
    <row r="62" spans="1:13" ht="13.8" thickBot="1">
      <c r="A62" s="2199" t="s">
        <v>142</v>
      </c>
      <c r="B62" s="2217" t="s">
        <v>998</v>
      </c>
      <c r="C62" s="2380" t="s">
        <v>1013</v>
      </c>
      <c r="D62" s="2246" t="s">
        <v>576</v>
      </c>
      <c r="E62" s="2247" t="s">
        <v>128</v>
      </c>
      <c r="F62" s="2234" t="s">
        <v>1002</v>
      </c>
      <c r="G62" s="2217" t="s">
        <v>999</v>
      </c>
      <c r="H62" s="2380" t="s">
        <v>1013</v>
      </c>
      <c r="I62" s="2202" t="s">
        <v>576</v>
      </c>
      <c r="J62" s="2218" t="s">
        <v>128</v>
      </c>
      <c r="K62" s="2219" t="s">
        <v>1002</v>
      </c>
      <c r="L62" s="510"/>
      <c r="M62" s="510"/>
    </row>
    <row r="63" spans="1:13">
      <c r="A63" s="2368" t="s">
        <v>153</v>
      </c>
      <c r="B63" s="2220">
        <v>2</v>
      </c>
      <c r="C63" s="2390">
        <f>+B63</f>
        <v>2</v>
      </c>
      <c r="D63" s="975">
        <f>SUM('Rayas IV a VII y X-XI-XII'!B169)</f>
        <v>0</v>
      </c>
      <c r="E63" s="975">
        <f>+B63-D63</f>
        <v>2</v>
      </c>
      <c r="F63" s="2254"/>
      <c r="G63" s="2205">
        <v>2</v>
      </c>
      <c r="H63" s="2221">
        <f>+G63</f>
        <v>2</v>
      </c>
      <c r="I63" s="975">
        <f>SUM('Rayas IV a VII y X-XI-XII'!B204)</f>
        <v>0</v>
      </c>
      <c r="J63" s="975">
        <f>+H63-I63</f>
        <v>2</v>
      </c>
      <c r="K63" s="2381"/>
      <c r="L63" s="510"/>
      <c r="M63" s="510"/>
    </row>
    <row r="64" spans="1:13">
      <c r="A64" s="2204" t="s">
        <v>154</v>
      </c>
      <c r="B64" s="2222">
        <v>1</v>
      </c>
      <c r="C64" s="1013">
        <f>+B64+E63</f>
        <v>3</v>
      </c>
      <c r="D64" s="1013">
        <f>SUM('Rayas IV a VII y X-XI-XII'!B170)</f>
        <v>0</v>
      </c>
      <c r="E64" s="1013">
        <f>+C64</f>
        <v>3</v>
      </c>
      <c r="F64" s="2255"/>
      <c r="G64" s="2207">
        <v>2</v>
      </c>
      <c r="H64" s="2223">
        <f>+G64+J63</f>
        <v>4</v>
      </c>
      <c r="I64" s="1013">
        <f>SUM('Rayas IV a VII y X-XI-XII'!B205)</f>
        <v>0</v>
      </c>
      <c r="J64" s="1013">
        <f>+H64-I64</f>
        <v>4</v>
      </c>
      <c r="K64" s="2382"/>
      <c r="L64" s="510"/>
      <c r="M64" s="510"/>
    </row>
    <row r="65" spans="1:13" ht="13.8" thickBot="1">
      <c r="A65" s="2209" t="s">
        <v>155</v>
      </c>
      <c r="B65" s="2224">
        <v>1</v>
      </c>
      <c r="C65" s="2159">
        <f>+B65+E64</f>
        <v>4</v>
      </c>
      <c r="D65" s="980">
        <f>SUM('Rayas IV a VII y X-XI-XII'!B171)</f>
        <v>0</v>
      </c>
      <c r="E65" s="980">
        <f>+C65</f>
        <v>4</v>
      </c>
      <c r="F65" s="2256"/>
      <c r="G65" s="2210">
        <v>2</v>
      </c>
      <c r="H65" s="2379">
        <f>+G65+J64</f>
        <v>6</v>
      </c>
      <c r="I65" s="980">
        <f>SUM('Rayas IV a VII y X-XI-XII'!B206)</f>
        <v>0</v>
      </c>
      <c r="J65" s="980">
        <f>+H65-I65</f>
        <v>6</v>
      </c>
      <c r="K65" s="2383"/>
      <c r="L65" s="510"/>
      <c r="M65" s="510"/>
    </row>
    <row r="66" spans="1:13" ht="13.8" thickBot="1">
      <c r="A66" s="2212" t="s">
        <v>111</v>
      </c>
      <c r="B66" s="2215">
        <f>SUM(B63:B65)</f>
        <v>4</v>
      </c>
      <c r="C66" s="2391"/>
      <c r="D66" s="2215">
        <f>SUM(D63:D65)</f>
        <v>0</v>
      </c>
      <c r="E66" s="2215">
        <f>+B66-D66</f>
        <v>4</v>
      </c>
      <c r="F66" s="2391"/>
      <c r="G66" s="2213">
        <f>SUM(G63:G65)</f>
        <v>6</v>
      </c>
      <c r="H66" s="2213"/>
      <c r="I66" s="2213">
        <f>SUM(I63:I65)</f>
        <v>0</v>
      </c>
      <c r="J66" s="2391">
        <f>+G66-I66</f>
        <v>6</v>
      </c>
      <c r="K66" s="2225"/>
      <c r="L66" s="510"/>
      <c r="M66" s="510"/>
    </row>
    <row r="67" spans="1:13" ht="13.8" thickBot="1">
      <c r="A67" s="2226"/>
      <c r="B67" s="2227"/>
      <c r="C67" s="2227"/>
      <c r="D67" s="2227"/>
      <c r="E67" s="2227"/>
      <c r="F67" s="2227"/>
      <c r="G67" s="2227"/>
      <c r="H67" s="2227"/>
      <c r="I67" s="511"/>
      <c r="J67" s="511"/>
      <c r="K67" s="511"/>
      <c r="L67" s="510"/>
      <c r="M67" s="510"/>
    </row>
    <row r="68" spans="1:13">
      <c r="A68" s="2228" t="s">
        <v>1000</v>
      </c>
      <c r="B68" s="2229"/>
      <c r="C68" s="2229"/>
      <c r="D68" s="2229"/>
      <c r="E68" s="2229"/>
      <c r="F68" s="2230"/>
      <c r="G68" s="994"/>
      <c r="H68" s="1742"/>
      <c r="I68" s="1742"/>
      <c r="J68" s="1742"/>
      <c r="K68" s="1742"/>
      <c r="L68" s="510"/>
      <c r="M68" s="510"/>
    </row>
    <row r="69" spans="1:13" ht="13.8" thickBot="1">
      <c r="A69" s="2231"/>
      <c r="B69" s="1722"/>
      <c r="C69" s="1722"/>
      <c r="D69" s="1722"/>
      <c r="E69" s="1722"/>
      <c r="F69" s="2232"/>
      <c r="G69" s="986"/>
      <c r="H69" s="1722"/>
      <c r="I69" s="1722"/>
      <c r="J69" s="1722"/>
      <c r="K69" s="1722"/>
      <c r="L69" s="511"/>
      <c r="M69" s="510"/>
    </row>
    <row r="70" spans="1:13" ht="13.8" thickBot="1">
      <c r="A70" s="1018"/>
      <c r="B70" s="2248" t="s">
        <v>989</v>
      </c>
      <c r="C70" s="2249"/>
      <c r="D70" s="2249"/>
      <c r="E70" s="2249"/>
      <c r="F70" s="2250"/>
      <c r="G70" s="3506"/>
      <c r="H70" s="2233"/>
      <c r="I70" s="2233"/>
      <c r="J70" s="2233"/>
      <c r="K70" s="2233"/>
      <c r="L70" s="510"/>
      <c r="M70" s="510"/>
    </row>
    <row r="71" spans="1:13" ht="13.8" thickBot="1">
      <c r="A71" s="2199" t="s">
        <v>142</v>
      </c>
      <c r="B71" s="2883"/>
      <c r="C71" s="2380" t="s">
        <v>1013</v>
      </c>
      <c r="D71" s="2200" t="s">
        <v>576</v>
      </c>
      <c r="E71" s="2200" t="s">
        <v>128</v>
      </c>
      <c r="F71" s="2234" t="s">
        <v>1002</v>
      </c>
      <c r="G71" s="2467" t="s">
        <v>1302</v>
      </c>
      <c r="H71" s="2227"/>
      <c r="I71" s="2227"/>
      <c r="J71" s="2227"/>
      <c r="K71" s="2227"/>
      <c r="L71" s="511"/>
      <c r="M71" s="510"/>
    </row>
    <row r="72" spans="1:13">
      <c r="A72" s="2368" t="s">
        <v>153</v>
      </c>
      <c r="B72" s="2205">
        <v>24</v>
      </c>
      <c r="C72" s="2221"/>
      <c r="D72" s="975">
        <f>SUM('Rayas IV a VII y X-XI-XII'!B222)</f>
        <v>0</v>
      </c>
      <c r="E72" s="2206">
        <f>+B72-D72</f>
        <v>24</v>
      </c>
      <c r="F72" s="2258"/>
      <c r="G72" s="2227"/>
      <c r="H72" s="2227"/>
      <c r="I72" s="2227"/>
      <c r="J72" s="2227"/>
      <c r="K72" s="2227"/>
      <c r="L72" s="511"/>
      <c r="M72" s="510"/>
    </row>
    <row r="73" spans="1:13">
      <c r="A73" s="2204" t="s">
        <v>154</v>
      </c>
      <c r="B73" s="2207">
        <v>23</v>
      </c>
      <c r="C73" s="2223">
        <f>+B73+E72</f>
        <v>47</v>
      </c>
      <c r="D73" s="1013">
        <f>SUM('Rayas IV a VII y X-XI-XII'!B223)</f>
        <v>12.153</v>
      </c>
      <c r="E73" s="2208">
        <f>+C73-D73</f>
        <v>34.847000000000001</v>
      </c>
      <c r="F73" s="2259"/>
      <c r="G73" s="3506"/>
      <c r="H73" s="2233"/>
      <c r="I73" s="2233"/>
      <c r="J73" s="2233"/>
      <c r="K73" s="2233"/>
      <c r="L73" s="511"/>
      <c r="M73" s="510"/>
    </row>
    <row r="74" spans="1:13" ht="13.8" thickBot="1">
      <c r="A74" s="2209" t="s">
        <v>155</v>
      </c>
      <c r="B74" s="2210">
        <v>23</v>
      </c>
      <c r="C74" s="2379">
        <f>+B74+E73</f>
        <v>57.847000000000001</v>
      </c>
      <c r="D74" s="980">
        <f>SUM('Rayas IV a VII y X-XI-XII'!B224)</f>
        <v>36.973000000000006</v>
      </c>
      <c r="E74" s="2211">
        <f>+C74+D74</f>
        <v>94.820000000000007</v>
      </c>
      <c r="F74" s="2260"/>
      <c r="G74" s="963"/>
      <c r="H74" s="511"/>
      <c r="I74" s="511"/>
      <c r="J74" s="511"/>
      <c r="K74" s="511"/>
      <c r="L74" s="511"/>
      <c r="M74" s="510"/>
    </row>
    <row r="75" spans="1:13" ht="13.8" thickBot="1">
      <c r="A75" s="2212" t="s">
        <v>111</v>
      </c>
      <c r="B75" s="2213">
        <f>SUM(B72:B74)</f>
        <v>70</v>
      </c>
      <c r="C75" s="2213"/>
      <c r="D75" s="2213">
        <f>SUM(D72:D74)</f>
        <v>49.126000000000005</v>
      </c>
      <c r="E75" s="2213">
        <f>+B75-D75</f>
        <v>20.873999999999995</v>
      </c>
      <c r="F75" s="2391"/>
      <c r="G75" s="963"/>
      <c r="H75" s="511"/>
      <c r="I75" s="511"/>
      <c r="J75" s="511"/>
      <c r="K75" s="511"/>
      <c r="L75" s="511"/>
      <c r="M75" s="510"/>
    </row>
    <row r="76" spans="1:13">
      <c r="A76" s="2235"/>
      <c r="B76" s="2236"/>
      <c r="C76" s="2236"/>
      <c r="D76" s="2236"/>
      <c r="E76" s="2236"/>
      <c r="F76" s="2237"/>
      <c r="G76" s="986"/>
      <c r="H76" s="1722"/>
      <c r="I76" s="1722"/>
      <c r="J76" s="1722"/>
      <c r="K76" s="1722"/>
      <c r="L76" s="511"/>
      <c r="M76" s="510"/>
    </row>
    <row r="77" spans="1:13" ht="13.8" thickBot="1">
      <c r="A77" s="2235"/>
      <c r="B77" s="2236"/>
      <c r="C77" s="2236"/>
      <c r="D77" s="2236"/>
      <c r="E77" s="2236"/>
      <c r="F77" s="2237"/>
      <c r="G77" s="986"/>
      <c r="H77" s="1722"/>
      <c r="I77" s="1722"/>
      <c r="J77" s="1722"/>
      <c r="K77" s="1722"/>
      <c r="L77" s="511"/>
      <c r="M77" s="510"/>
    </row>
    <row r="78" spans="1:13" ht="13.8" thickBot="1">
      <c r="A78" s="1018"/>
      <c r="B78" s="2251" t="s">
        <v>990</v>
      </c>
      <c r="C78" s="2252"/>
      <c r="D78" s="2252"/>
      <c r="E78" s="2252"/>
      <c r="F78" s="2253"/>
      <c r="G78" s="3506"/>
      <c r="H78" s="2233"/>
      <c r="I78" s="2233"/>
      <c r="J78" s="2233"/>
      <c r="K78" s="2233"/>
      <c r="L78" s="511"/>
      <c r="M78" s="510"/>
    </row>
    <row r="79" spans="1:13" ht="13.8" thickBot="1">
      <c r="A79" s="2199" t="s">
        <v>142</v>
      </c>
      <c r="B79" s="2884"/>
      <c r="C79" s="2380" t="s">
        <v>1013</v>
      </c>
      <c r="D79" s="2262" t="s">
        <v>576</v>
      </c>
      <c r="E79" s="2263" t="s">
        <v>128</v>
      </c>
      <c r="F79" s="985" t="s">
        <v>1002</v>
      </c>
      <c r="G79" s="2467">
        <v>41269</v>
      </c>
      <c r="H79" s="2227"/>
      <c r="I79" s="2227"/>
      <c r="J79" s="2227"/>
      <c r="K79" s="2227"/>
      <c r="L79" s="511"/>
      <c r="M79" s="510"/>
    </row>
    <row r="80" spans="1:13">
      <c r="A80" s="2204" t="s">
        <v>153</v>
      </c>
      <c r="B80" s="2205">
        <v>4</v>
      </c>
      <c r="C80" s="2221"/>
      <c r="D80" s="975">
        <f>SUM('Rayas IV a VII y X-XI-XII'!B239)</f>
        <v>0</v>
      </c>
      <c r="E80" s="2206">
        <f>+B80-D80</f>
        <v>4</v>
      </c>
      <c r="F80" s="2258"/>
      <c r="G80" s="2227"/>
      <c r="H80" s="2227"/>
      <c r="I80" s="2227"/>
      <c r="J80" s="2227"/>
      <c r="K80" s="2227"/>
      <c r="L80" s="511"/>
      <c r="M80" s="510"/>
    </row>
    <row r="81" spans="1:13">
      <c r="A81" s="2204" t="s">
        <v>154</v>
      </c>
      <c r="B81" s="2207">
        <v>3</v>
      </c>
      <c r="C81" s="2223">
        <f>+B81+E80</f>
        <v>7</v>
      </c>
      <c r="D81" s="1013">
        <f>SUM('Rayas IV a VII y X-XI-XII'!B240)</f>
        <v>0</v>
      </c>
      <c r="E81" s="2208">
        <f>+C81-D81</f>
        <v>7</v>
      </c>
      <c r="F81" s="2259"/>
      <c r="G81" s="3506"/>
      <c r="H81" s="2233"/>
      <c r="I81" s="2233"/>
      <c r="J81" s="2233"/>
      <c r="K81" s="2233"/>
      <c r="L81" s="511"/>
      <c r="M81" s="510"/>
    </row>
    <row r="82" spans="1:13" ht="13.8" thickBot="1">
      <c r="A82" s="2209" t="s">
        <v>155</v>
      </c>
      <c r="B82" s="2210">
        <v>3</v>
      </c>
      <c r="C82" s="2379">
        <f>+B82+E81</f>
        <v>10</v>
      </c>
      <c r="D82" s="980">
        <f>SUM('Rayas IV a VII y X-XI-XII'!B241)</f>
        <v>0</v>
      </c>
      <c r="E82" s="2211">
        <f>+C82-D82</f>
        <v>10</v>
      </c>
      <c r="F82" s="2260"/>
      <c r="G82" s="963"/>
      <c r="H82" s="511"/>
      <c r="I82" s="511"/>
      <c r="J82" s="511"/>
      <c r="K82" s="511"/>
      <c r="L82" s="511"/>
      <c r="M82" s="510"/>
    </row>
    <row r="83" spans="1:13" ht="13.8" thickBot="1">
      <c r="A83" s="2212" t="s">
        <v>111</v>
      </c>
      <c r="B83" s="2213">
        <f>SUM(B80:B82)</f>
        <v>10</v>
      </c>
      <c r="C83" s="2213"/>
      <c r="D83" s="2213">
        <f>SUM(D80:D82)</f>
        <v>0</v>
      </c>
      <c r="E83" s="2391">
        <f>+B83-D83</f>
        <v>10</v>
      </c>
      <c r="F83" s="2216"/>
      <c r="G83" s="963"/>
      <c r="H83" s="511"/>
      <c r="I83" s="511"/>
      <c r="J83" s="511"/>
      <c r="K83" s="511"/>
      <c r="L83" s="511"/>
      <c r="M83" s="510"/>
    </row>
    <row r="84" spans="1:13">
      <c r="A84" s="510"/>
      <c r="B84" s="2238"/>
      <c r="C84" s="2238"/>
      <c r="D84" s="2238"/>
      <c r="E84" s="2238"/>
      <c r="F84" s="2238"/>
      <c r="G84" s="994"/>
      <c r="H84" s="510"/>
      <c r="I84" s="510"/>
      <c r="J84" s="510"/>
      <c r="K84" s="510"/>
      <c r="L84" s="510"/>
      <c r="M84" s="510"/>
    </row>
    <row r="85" spans="1:13" ht="13.8" thickBot="1">
      <c r="A85" s="510"/>
      <c r="B85" s="2238"/>
      <c r="C85" s="2238"/>
      <c r="D85" s="2238"/>
      <c r="E85" s="2238"/>
      <c r="F85" s="2238"/>
      <c r="G85" s="994"/>
      <c r="H85" s="510"/>
      <c r="I85" s="510"/>
      <c r="J85" s="510"/>
      <c r="K85" s="510"/>
      <c r="L85" s="510"/>
      <c r="M85" s="510"/>
    </row>
    <row r="86" spans="1:13">
      <c r="A86" s="2239" t="s">
        <v>1001</v>
      </c>
      <c r="B86" s="2240"/>
      <c r="C86" s="2240"/>
      <c r="D86" s="2240"/>
      <c r="E86" s="2240"/>
      <c r="F86" s="2241"/>
      <c r="G86" s="2768">
        <v>41236</v>
      </c>
      <c r="H86" s="510"/>
      <c r="I86" s="510"/>
      <c r="J86" s="510"/>
      <c r="K86" s="510"/>
      <c r="L86" s="510"/>
      <c r="M86" s="510"/>
    </row>
    <row r="87" spans="1:13" ht="13.8" thickBot="1">
      <c r="A87" s="2231"/>
      <c r="B87" s="2242"/>
      <c r="C87" s="2242"/>
      <c r="D87" s="2242"/>
      <c r="E87" s="2242"/>
      <c r="F87" s="2243"/>
      <c r="G87" s="994"/>
      <c r="H87" s="510"/>
      <c r="I87" s="510"/>
      <c r="J87" s="510"/>
      <c r="K87" s="510"/>
      <c r="L87" s="510"/>
      <c r="M87" s="510"/>
    </row>
    <row r="88" spans="1:13" ht="13.8" thickBot="1">
      <c r="A88" s="1018"/>
      <c r="B88" s="2251" t="s">
        <v>989</v>
      </c>
      <c r="C88" s="2252"/>
      <c r="D88" s="2252"/>
      <c r="E88" s="2252"/>
      <c r="F88" s="2253"/>
      <c r="G88" s="994"/>
      <c r="H88" s="510"/>
      <c r="I88" s="510"/>
      <c r="J88" s="510"/>
      <c r="K88" s="510"/>
      <c r="L88" s="510"/>
      <c r="M88" s="510"/>
    </row>
    <row r="89" spans="1:13" ht="13.8" thickBot="1">
      <c r="A89" s="2199" t="s">
        <v>142</v>
      </c>
      <c r="B89" s="2261"/>
      <c r="C89" s="2380" t="s">
        <v>1013</v>
      </c>
      <c r="D89" s="2770" t="s">
        <v>576</v>
      </c>
      <c r="E89" s="2771" t="s">
        <v>128</v>
      </c>
      <c r="F89" s="985" t="s">
        <v>1002</v>
      </c>
      <c r="G89" s="994"/>
      <c r="H89" s="510"/>
      <c r="I89" s="510"/>
      <c r="J89" s="510"/>
      <c r="K89" s="510"/>
      <c r="L89" s="510"/>
      <c r="M89" s="510"/>
    </row>
    <row r="90" spans="1:13">
      <c r="A90" s="2204" t="s">
        <v>153</v>
      </c>
      <c r="B90" s="2205">
        <v>24</v>
      </c>
      <c r="C90" s="2221">
        <f>+B90</f>
        <v>24</v>
      </c>
      <c r="D90" s="2390">
        <f>SUM('Rayas IV a VII y X-XI-XII'!B257)</f>
        <v>6.6260000000000003</v>
      </c>
      <c r="E90" s="2390">
        <f>+B90-D90</f>
        <v>17.373999999999999</v>
      </c>
      <c r="F90" s="2769"/>
      <c r="G90" s="994"/>
      <c r="H90" s="510"/>
      <c r="I90" s="510"/>
      <c r="J90" s="510"/>
      <c r="K90" s="510"/>
      <c r="L90" s="510"/>
      <c r="M90" s="510"/>
    </row>
    <row r="91" spans="1:13">
      <c r="A91" s="2204" t="s">
        <v>154</v>
      </c>
      <c r="B91" s="2207">
        <v>23</v>
      </c>
      <c r="C91" s="2223">
        <f>+B91+D90</f>
        <v>29.626000000000001</v>
      </c>
      <c r="D91" s="1013">
        <f>SUM('Rayas IV a VII y X-XI-XII'!B258)</f>
        <v>29.169899999999998</v>
      </c>
      <c r="E91" s="2963">
        <f>+B91-D91</f>
        <v>-6.1698999999999984</v>
      </c>
      <c r="F91" s="2259"/>
      <c r="G91" s="994"/>
      <c r="H91" s="510"/>
      <c r="I91" s="510"/>
      <c r="J91" s="510"/>
      <c r="K91" s="510"/>
      <c r="L91" s="510"/>
      <c r="M91" s="510"/>
    </row>
    <row r="92" spans="1:13" ht="13.8" thickBot="1">
      <c r="A92" s="2209" t="s">
        <v>155</v>
      </c>
      <c r="B92" s="2210">
        <v>23</v>
      </c>
      <c r="C92" s="2379">
        <f>+B92+D91</f>
        <v>52.169899999999998</v>
      </c>
      <c r="D92" s="980">
        <f>SUM('Rayas IV a VII y X-XI-XII'!B259)</f>
        <v>18.370999999999999</v>
      </c>
      <c r="E92" s="2159">
        <f>+B92-D92</f>
        <v>4.6290000000000013</v>
      </c>
      <c r="F92" s="2260"/>
      <c r="G92" s="994"/>
      <c r="H92" s="510"/>
      <c r="I92" s="510"/>
      <c r="J92" s="510"/>
      <c r="K92" s="510"/>
      <c r="L92" s="510"/>
      <c r="M92" s="510"/>
    </row>
    <row r="93" spans="1:13" ht="13.8" thickBot="1">
      <c r="A93" s="2212" t="s">
        <v>111</v>
      </c>
      <c r="B93" s="2213">
        <f>SUM(B90:B92)</f>
        <v>70</v>
      </c>
      <c r="C93" s="2213"/>
      <c r="D93" s="2213">
        <f>SUM(D90:D92)</f>
        <v>54.166899999999998</v>
      </c>
      <c r="E93" s="2391">
        <f>+B93-D93</f>
        <v>15.833100000000002</v>
      </c>
      <c r="F93" s="2391"/>
      <c r="G93" s="3509" t="s">
        <v>644</v>
      </c>
      <c r="H93" s="510"/>
      <c r="I93" s="510"/>
      <c r="J93" s="510"/>
      <c r="K93" s="510"/>
      <c r="L93" s="510"/>
      <c r="M93" s="510"/>
    </row>
    <row r="94" spans="1:13">
      <c r="A94" s="2235"/>
      <c r="B94" s="2236"/>
      <c r="C94" s="2236"/>
      <c r="D94" s="2236"/>
      <c r="E94" s="2236"/>
      <c r="F94" s="2237"/>
      <c r="G94" s="994"/>
      <c r="H94" s="510"/>
      <c r="I94" s="510"/>
      <c r="J94" s="510"/>
      <c r="K94" s="510"/>
      <c r="L94" s="510"/>
      <c r="M94" s="510"/>
    </row>
    <row r="95" spans="1:13" ht="13.8" thickBot="1">
      <c r="A95" s="2235"/>
      <c r="B95" s="2236"/>
      <c r="C95" s="2236"/>
      <c r="D95" s="2236"/>
      <c r="E95" s="2236"/>
      <c r="F95" s="2237"/>
      <c r="G95" s="994"/>
      <c r="H95" s="510"/>
      <c r="I95" s="510"/>
      <c r="J95" s="510"/>
      <c r="K95" s="510"/>
      <c r="L95" s="510"/>
      <c r="M95" s="510"/>
    </row>
    <row r="96" spans="1:13" ht="13.8" thickBot="1">
      <c r="A96" s="2244"/>
      <c r="B96" s="2251" t="s">
        <v>990</v>
      </c>
      <c r="C96" s="2252"/>
      <c r="D96" s="2252"/>
      <c r="E96" s="2252"/>
      <c r="F96" s="2253"/>
      <c r="G96" s="994"/>
      <c r="H96" s="510"/>
      <c r="I96" s="510"/>
      <c r="J96" s="510"/>
      <c r="K96" s="510"/>
      <c r="L96" s="510"/>
      <c r="M96" s="510"/>
    </row>
    <row r="97" spans="1:13" ht="13.8" thickBot="1">
      <c r="A97" s="2199" t="s">
        <v>142</v>
      </c>
      <c r="B97" s="2261"/>
      <c r="C97" s="2380" t="s">
        <v>1013</v>
      </c>
      <c r="D97" s="2262" t="s">
        <v>576</v>
      </c>
      <c r="E97" s="2263" t="s">
        <v>128</v>
      </c>
      <c r="F97" s="985" t="s">
        <v>1002</v>
      </c>
      <c r="G97" s="994"/>
      <c r="H97" s="510"/>
      <c r="I97" s="510"/>
      <c r="J97" s="510"/>
      <c r="K97" s="510"/>
      <c r="L97" s="510"/>
      <c r="M97" s="510"/>
    </row>
    <row r="98" spans="1:13">
      <c r="A98" s="2204" t="s">
        <v>153</v>
      </c>
      <c r="B98" s="2205">
        <v>4</v>
      </c>
      <c r="C98" s="2221">
        <f>+B98</f>
        <v>4</v>
      </c>
      <c r="D98" s="975">
        <f>SUM('Rayas IV a VII y X-XI-XII'!B274)</f>
        <v>0.6</v>
      </c>
      <c r="E98" s="2206">
        <f>+B98-D98</f>
        <v>3.4</v>
      </c>
      <c r="F98" s="2258"/>
      <c r="G98" s="994"/>
      <c r="H98" s="510"/>
      <c r="I98" s="510"/>
      <c r="J98" s="510"/>
      <c r="K98" s="510"/>
      <c r="L98" s="510"/>
      <c r="M98" s="510"/>
    </row>
    <row r="99" spans="1:13">
      <c r="A99" s="2204" t="s">
        <v>154</v>
      </c>
      <c r="B99" s="2207">
        <v>3</v>
      </c>
      <c r="C99" s="2223">
        <f>+B99+D98</f>
        <v>3.6</v>
      </c>
      <c r="D99" s="1013">
        <f>SUM('Rayas IV a VII y X-XI-XII'!B275)</f>
        <v>7.1539999999999999</v>
      </c>
      <c r="E99" s="2962">
        <f>+B99-D99</f>
        <v>-4.1539999999999999</v>
      </c>
      <c r="F99" s="2259"/>
      <c r="G99" s="994"/>
      <c r="H99" s="510"/>
      <c r="I99" s="510"/>
      <c r="J99" s="510"/>
      <c r="K99" s="510"/>
      <c r="L99" s="510"/>
      <c r="M99" s="510"/>
    </row>
    <row r="100" spans="1:13" ht="13.8" thickBot="1">
      <c r="A100" s="2209" t="s">
        <v>155</v>
      </c>
      <c r="B100" s="2210">
        <v>3</v>
      </c>
      <c r="C100" s="2379">
        <f>+B100+D99</f>
        <v>10.154</v>
      </c>
      <c r="D100" s="980">
        <f>SUM('Rayas IV a VII y X-XI-XII'!B276)</f>
        <v>1.46</v>
      </c>
      <c r="E100" s="2211">
        <f>+B100-D100</f>
        <v>1.54</v>
      </c>
      <c r="F100" s="2260"/>
      <c r="G100" s="994"/>
      <c r="H100" s="510"/>
      <c r="I100" s="510"/>
      <c r="J100" s="510"/>
      <c r="K100" s="510"/>
      <c r="L100" s="510"/>
      <c r="M100" s="510"/>
    </row>
    <row r="101" spans="1:13" ht="13.8" thickBot="1">
      <c r="A101" s="2212" t="s">
        <v>111</v>
      </c>
      <c r="B101" s="2213">
        <f>SUM(B98:B100)</f>
        <v>10</v>
      </c>
      <c r="C101" s="2213"/>
      <c r="D101" s="2970">
        <f>SUM(D98:D100)</f>
        <v>9.2139999999999986</v>
      </c>
      <c r="E101" s="2213">
        <f>+B101-D101</f>
        <v>0.78600000000000136</v>
      </c>
      <c r="F101" s="2391"/>
      <c r="G101" s="3509" t="s">
        <v>644</v>
      </c>
      <c r="H101" s="510"/>
      <c r="I101" s="510"/>
      <c r="J101" s="510"/>
      <c r="K101" s="510"/>
      <c r="L101" s="510"/>
      <c r="M101" s="510"/>
    </row>
    <row r="102" spans="1:13">
      <c r="A102" s="510"/>
      <c r="B102" s="510"/>
      <c r="C102" s="510"/>
      <c r="D102" s="510"/>
      <c r="E102" s="510"/>
      <c r="F102" s="510"/>
      <c r="G102" s="994"/>
      <c r="H102" s="510"/>
      <c r="I102" s="510"/>
      <c r="J102" s="510"/>
      <c r="K102" s="510"/>
      <c r="L102" s="510"/>
      <c r="M102" s="510"/>
    </row>
    <row r="104" spans="1:13" ht="15.6">
      <c r="A104" s="2792" t="s">
        <v>1155</v>
      </c>
      <c r="B104" s="2793"/>
      <c r="C104" s="2793"/>
      <c r="D104" s="2793"/>
    </row>
    <row r="105" spans="1:13" ht="15.6">
      <c r="A105" s="993" t="s">
        <v>1156</v>
      </c>
      <c r="B105" s="2794"/>
      <c r="C105" s="2794"/>
      <c r="D105" s="2794"/>
      <c r="F105" s="3510">
        <v>41278</v>
      </c>
    </row>
    <row r="106" spans="1:13" ht="15.6">
      <c r="A106" s="646" t="s">
        <v>1157</v>
      </c>
      <c r="B106" s="2794"/>
      <c r="C106" s="2794"/>
      <c r="D106" s="2794"/>
    </row>
    <row r="107" spans="1:13" ht="27.6">
      <c r="A107" s="2795" t="s">
        <v>1158</v>
      </c>
      <c r="B107" s="2796" t="s">
        <v>1159</v>
      </c>
      <c r="C107" s="2796" t="s">
        <v>1160</v>
      </c>
      <c r="D107" s="2796" t="s">
        <v>168</v>
      </c>
    </row>
    <row r="108" spans="1:13" ht="16.8">
      <c r="A108" s="2797" t="s">
        <v>1161</v>
      </c>
      <c r="B108" s="2798">
        <v>8.5</v>
      </c>
      <c r="C108" s="2799">
        <v>1.01</v>
      </c>
      <c r="D108" s="2800">
        <f>(B108-C108)</f>
        <v>7.49</v>
      </c>
    </row>
    <row r="109" spans="1:13" ht="16.8">
      <c r="A109" s="2797" t="s">
        <v>1162</v>
      </c>
      <c r="B109" s="2798"/>
      <c r="C109" s="2799">
        <v>8.7999999999999995E-2</v>
      </c>
      <c r="D109" s="2800">
        <v>-8.7999999999999995E-2</v>
      </c>
    </row>
  </sheetData>
  <mergeCells count="4">
    <mergeCell ref="B61:K61"/>
    <mergeCell ref="B55:K55"/>
    <mergeCell ref="A53:K53"/>
    <mergeCell ref="A14:F14"/>
  </mergeCell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dimension ref="A1:AH278"/>
  <sheetViews>
    <sheetView workbookViewId="0">
      <selection activeCell="D6" sqref="D6"/>
    </sheetView>
  </sheetViews>
  <sheetFormatPr baseColWidth="10" defaultRowHeight="13.2"/>
  <cols>
    <col min="10" max="10" width="14.6640625" customWidth="1"/>
    <col min="27" max="27" width="13.44140625" customWidth="1"/>
  </cols>
  <sheetData>
    <row r="1" spans="1:34" ht="14.4">
      <c r="A1" s="4154" t="s">
        <v>1028</v>
      </c>
      <c r="B1" s="4155"/>
      <c r="C1" s="4155"/>
      <c r="D1" s="4155"/>
      <c r="E1" s="4155"/>
      <c r="F1" s="4155"/>
      <c r="G1" s="4156"/>
      <c r="AH1" s="730"/>
    </row>
    <row r="2" spans="1:34" ht="13.8">
      <c r="A2" s="4157" t="s">
        <v>989</v>
      </c>
      <c r="B2" s="4158"/>
      <c r="C2" s="4159"/>
      <c r="D2" s="2183"/>
      <c r="E2" s="2183"/>
      <c r="F2" s="2183"/>
      <c r="G2" s="2183"/>
      <c r="H2" s="2183"/>
      <c r="I2" s="2183"/>
      <c r="J2" s="2183"/>
      <c r="K2" s="2183"/>
      <c r="L2" s="2183"/>
      <c r="M2" s="2184"/>
      <c r="N2" s="2183"/>
      <c r="O2" s="2183"/>
      <c r="P2" s="2183"/>
      <c r="Q2" s="2183"/>
      <c r="R2" s="2183"/>
      <c r="S2" s="2183"/>
      <c r="T2" s="2183"/>
      <c r="U2" s="2183"/>
      <c r="V2" s="2183"/>
      <c r="W2" s="2183"/>
      <c r="X2" s="2183"/>
      <c r="Y2" s="2183"/>
      <c r="Z2" s="2183"/>
      <c r="AA2" s="2183"/>
      <c r="AB2" s="2183"/>
      <c r="AC2" s="2183"/>
      <c r="AD2" s="2183"/>
      <c r="AE2" s="2183"/>
      <c r="AF2" s="2183"/>
      <c r="AG2" s="2183"/>
      <c r="AH2" s="2264"/>
    </row>
    <row r="3" spans="1:34" ht="13.8">
      <c r="A3" s="2185" t="s">
        <v>142</v>
      </c>
      <c r="B3" s="2185" t="s">
        <v>143</v>
      </c>
      <c r="C3" s="2186">
        <v>1</v>
      </c>
      <c r="D3" s="2186">
        <v>2</v>
      </c>
      <c r="E3" s="2186">
        <v>3</v>
      </c>
      <c r="F3" s="2186">
        <v>4</v>
      </c>
      <c r="G3" s="2188">
        <v>5</v>
      </c>
      <c r="H3" s="2186">
        <v>6</v>
      </c>
      <c r="I3" s="2186">
        <v>7</v>
      </c>
      <c r="J3" s="2186">
        <v>8</v>
      </c>
      <c r="K3" s="2186">
        <v>9</v>
      </c>
      <c r="L3" s="2186">
        <v>10</v>
      </c>
      <c r="M3" s="2186">
        <v>11</v>
      </c>
      <c r="N3" s="2186">
        <v>12</v>
      </c>
      <c r="O3" s="2186">
        <v>13</v>
      </c>
      <c r="P3" s="2186">
        <v>14</v>
      </c>
      <c r="Q3" s="2186">
        <v>15</v>
      </c>
      <c r="R3" s="2186">
        <v>16</v>
      </c>
      <c r="S3" s="2186">
        <v>17</v>
      </c>
      <c r="T3" s="2186">
        <v>18</v>
      </c>
      <c r="U3" s="2186">
        <v>19</v>
      </c>
      <c r="V3" s="2186">
        <v>20</v>
      </c>
      <c r="W3" s="2187">
        <v>21</v>
      </c>
      <c r="X3" s="2186">
        <v>22</v>
      </c>
      <c r="Y3" s="2186">
        <v>23</v>
      </c>
      <c r="Z3" s="2186">
        <v>24</v>
      </c>
      <c r="AA3" s="2186">
        <v>25</v>
      </c>
      <c r="AB3" s="2186">
        <v>26</v>
      </c>
      <c r="AC3" s="2187">
        <v>27</v>
      </c>
      <c r="AD3" s="2186">
        <v>28</v>
      </c>
      <c r="AE3" s="2186">
        <v>29</v>
      </c>
      <c r="AF3" s="2186">
        <v>30</v>
      </c>
      <c r="AG3" s="2186">
        <v>31</v>
      </c>
      <c r="AH3" s="2265" t="s">
        <v>111</v>
      </c>
    </row>
    <row r="4" spans="1:34" ht="13.8">
      <c r="A4" s="2187" t="s">
        <v>145</v>
      </c>
      <c r="B4" s="2194">
        <v>0</v>
      </c>
      <c r="C4" s="2189"/>
      <c r="D4" s="2189"/>
      <c r="E4" s="2189"/>
      <c r="F4" s="2189"/>
      <c r="G4" s="2189"/>
      <c r="H4" s="2189"/>
      <c r="I4" s="2189"/>
      <c r="J4" s="2189"/>
      <c r="K4" s="2189"/>
      <c r="L4" s="2189"/>
      <c r="M4" s="2189"/>
      <c r="N4" s="2189"/>
      <c r="O4" s="2189"/>
      <c r="P4" s="2189"/>
      <c r="Q4" s="2189"/>
      <c r="R4" s="2189"/>
      <c r="S4" s="2189"/>
      <c r="T4" s="2189"/>
      <c r="U4" s="2189"/>
      <c r="V4" s="2189"/>
      <c r="W4" s="2189"/>
      <c r="X4" s="2189"/>
      <c r="Y4" s="2189"/>
      <c r="Z4" s="2189"/>
      <c r="AA4" s="2189"/>
      <c r="AB4" s="2189"/>
      <c r="AC4" s="2189"/>
      <c r="AD4" s="2189"/>
      <c r="AE4" s="2189"/>
      <c r="AF4" s="2189"/>
      <c r="AG4" s="2189"/>
      <c r="AH4" s="2266">
        <v>0</v>
      </c>
    </row>
    <row r="5" spans="1:34" ht="13.8">
      <c r="A5" s="2187" t="s">
        <v>146</v>
      </c>
      <c r="B5" s="2194">
        <v>0</v>
      </c>
      <c r="C5" s="2189"/>
      <c r="D5" s="2189"/>
      <c r="E5" s="2189"/>
      <c r="F5" s="2189"/>
      <c r="G5" s="2189"/>
      <c r="H5" s="2189"/>
      <c r="I5" s="2189"/>
      <c r="J5" s="2189"/>
      <c r="K5" s="2189"/>
      <c r="L5" s="2189"/>
      <c r="M5" s="2189"/>
      <c r="N5" s="2189"/>
      <c r="O5" s="2189"/>
      <c r="P5" s="2189"/>
      <c r="Q5" s="2189"/>
      <c r="R5" s="2189"/>
      <c r="S5" s="2189"/>
      <c r="T5" s="2189"/>
      <c r="U5" s="2189"/>
      <c r="V5" s="2189"/>
      <c r="W5" s="2189"/>
      <c r="X5" s="2189"/>
      <c r="Y5" s="2189"/>
      <c r="Z5" s="2189"/>
      <c r="AA5" s="2189"/>
      <c r="AB5" s="2189"/>
      <c r="AC5" s="2189"/>
      <c r="AD5" s="2189"/>
      <c r="AE5" s="2189"/>
      <c r="AF5" s="2189"/>
      <c r="AG5" s="2189"/>
      <c r="AH5" s="2266">
        <v>0</v>
      </c>
    </row>
    <row r="6" spans="1:34" ht="13.8">
      <c r="A6" s="2187" t="s">
        <v>147</v>
      </c>
      <c r="B6" s="2194">
        <v>0</v>
      </c>
      <c r="C6" s="2189"/>
      <c r="D6" s="2189"/>
      <c r="E6" s="2189"/>
      <c r="F6" s="2189"/>
      <c r="G6" s="2189"/>
      <c r="H6" s="2189"/>
      <c r="I6" s="2189"/>
      <c r="J6" s="2189"/>
      <c r="K6" s="2189"/>
      <c r="L6" s="2189"/>
      <c r="M6" s="2189"/>
      <c r="N6" s="2189"/>
      <c r="O6" s="2189"/>
      <c r="P6" s="2189"/>
      <c r="Q6" s="2189"/>
      <c r="R6" s="2189"/>
      <c r="S6" s="2189"/>
      <c r="T6" s="2189"/>
      <c r="U6" s="2189"/>
      <c r="V6" s="2189"/>
      <c r="W6" s="2189"/>
      <c r="X6" s="2189"/>
      <c r="Y6" s="2189"/>
      <c r="Z6" s="2189"/>
      <c r="AA6" s="2189"/>
      <c r="AB6" s="2189"/>
      <c r="AC6" s="2189"/>
      <c r="AD6" s="2189"/>
      <c r="AE6" s="2189"/>
      <c r="AF6" s="2189"/>
      <c r="AG6" s="2189"/>
      <c r="AH6" s="2266">
        <v>0</v>
      </c>
    </row>
    <row r="7" spans="1:34" ht="13.8">
      <c r="A7" s="2187" t="s">
        <v>148</v>
      </c>
      <c r="B7" s="2194">
        <v>0</v>
      </c>
      <c r="C7" s="2189"/>
      <c r="D7" s="2189"/>
      <c r="E7" s="2189"/>
      <c r="F7" s="2189"/>
      <c r="G7" s="2189"/>
      <c r="H7" s="2189"/>
      <c r="I7" s="2189"/>
      <c r="J7" s="2189"/>
      <c r="K7" s="2189"/>
      <c r="L7" s="2189"/>
      <c r="M7" s="2189"/>
      <c r="N7" s="2189"/>
      <c r="O7" s="2189"/>
      <c r="P7" s="2189"/>
      <c r="Q7" s="2189"/>
      <c r="R7" s="2189"/>
      <c r="S7" s="2189"/>
      <c r="T7" s="2189"/>
      <c r="U7" s="2189"/>
      <c r="V7" s="2189"/>
      <c r="W7" s="2189"/>
      <c r="X7" s="2189"/>
      <c r="Y7" s="2189"/>
      <c r="Z7" s="2189"/>
      <c r="AA7" s="2189"/>
      <c r="AB7" s="2189"/>
      <c r="AC7" s="2189"/>
      <c r="AD7" s="2189"/>
      <c r="AE7" s="2189"/>
      <c r="AF7" s="2189"/>
      <c r="AG7" s="2189"/>
      <c r="AH7" s="2266">
        <v>0</v>
      </c>
    </row>
    <row r="8" spans="1:34" ht="13.8">
      <c r="A8" s="2187" t="s">
        <v>149</v>
      </c>
      <c r="B8" s="2194">
        <v>0</v>
      </c>
      <c r="C8" s="2189"/>
      <c r="D8" s="2189"/>
      <c r="E8" s="2189"/>
      <c r="F8" s="2189"/>
      <c r="G8" s="2189"/>
      <c r="H8" s="2189"/>
      <c r="I8" s="2189"/>
      <c r="J8" s="2189"/>
      <c r="K8" s="2189"/>
      <c r="L8" s="2189"/>
      <c r="M8" s="2189"/>
      <c r="N8" s="2189"/>
      <c r="O8" s="2189"/>
      <c r="P8" s="2189"/>
      <c r="Q8" s="2189"/>
      <c r="R8" s="2189"/>
      <c r="S8" s="2189"/>
      <c r="T8" s="2189"/>
      <c r="U8" s="2189"/>
      <c r="V8" s="2189"/>
      <c r="W8" s="2189"/>
      <c r="X8" s="2189"/>
      <c r="Y8" s="2189"/>
      <c r="Z8" s="2189"/>
      <c r="AA8" s="2189"/>
      <c r="AB8" s="2189"/>
      <c r="AC8" s="2189"/>
      <c r="AD8" s="2189"/>
      <c r="AE8" s="2189"/>
      <c r="AF8" s="2189"/>
      <c r="AG8" s="2189"/>
      <c r="AH8" s="2266">
        <v>0</v>
      </c>
    </row>
    <row r="9" spans="1:34" ht="13.8">
      <c r="A9" s="2187" t="s">
        <v>150</v>
      </c>
      <c r="B9" s="2194">
        <v>0</v>
      </c>
      <c r="C9" s="2189"/>
      <c r="D9" s="2189"/>
      <c r="E9" s="2189"/>
      <c r="F9" s="2189"/>
      <c r="G9" s="2189"/>
      <c r="H9" s="2189"/>
      <c r="I9" s="2189"/>
      <c r="J9" s="2189"/>
      <c r="K9" s="2189"/>
      <c r="L9" s="2189"/>
      <c r="M9" s="2189"/>
      <c r="N9" s="2189"/>
      <c r="O9" s="2189"/>
      <c r="P9" s="2189"/>
      <c r="Q9" s="2189"/>
      <c r="R9" s="2189"/>
      <c r="S9" s="2189"/>
      <c r="T9" s="2189"/>
      <c r="U9" s="2189"/>
      <c r="V9" s="2189"/>
      <c r="W9" s="2189"/>
      <c r="X9" s="2189"/>
      <c r="Y9" s="2189"/>
      <c r="Z9" s="2189"/>
      <c r="AA9" s="2189"/>
      <c r="AB9" s="2189"/>
      <c r="AC9" s="2189"/>
      <c r="AD9" s="2189"/>
      <c r="AE9" s="2189"/>
      <c r="AF9" s="2189"/>
      <c r="AG9" s="2189"/>
      <c r="AH9" s="2266">
        <v>0</v>
      </c>
    </row>
    <row r="10" spans="1:34" ht="13.8">
      <c r="A10" s="2187" t="s">
        <v>151</v>
      </c>
      <c r="B10" s="2194">
        <v>0</v>
      </c>
      <c r="C10" s="2189"/>
      <c r="D10" s="2189"/>
      <c r="E10" s="2189"/>
      <c r="F10" s="2189"/>
      <c r="G10" s="2189"/>
      <c r="H10" s="2189"/>
      <c r="I10" s="2189"/>
      <c r="J10" s="2189"/>
      <c r="K10" s="2189"/>
      <c r="L10" s="2189"/>
      <c r="M10" s="2189"/>
      <c r="N10" s="2189"/>
      <c r="O10" s="2189"/>
      <c r="P10" s="2189"/>
      <c r="Q10" s="2189"/>
      <c r="R10" s="2189"/>
      <c r="S10" s="2189"/>
      <c r="T10" s="2189"/>
      <c r="U10" s="2189"/>
      <c r="V10" s="2189"/>
      <c r="W10" s="2189"/>
      <c r="X10" s="2189"/>
      <c r="Y10" s="2189"/>
      <c r="Z10" s="2189"/>
      <c r="AA10" s="2189"/>
      <c r="AB10" s="2189"/>
      <c r="AC10" s="2189"/>
      <c r="AD10" s="2189"/>
      <c r="AE10" s="2189"/>
      <c r="AF10" s="2189"/>
      <c r="AG10" s="2189"/>
      <c r="AH10" s="2266">
        <v>0</v>
      </c>
    </row>
    <row r="11" spans="1:34" ht="13.8">
      <c r="A11" s="2187" t="s">
        <v>152</v>
      </c>
      <c r="B11" s="2194">
        <v>0</v>
      </c>
      <c r="C11" s="2189"/>
      <c r="D11" s="2189"/>
      <c r="E11" s="2189"/>
      <c r="F11" s="2189"/>
      <c r="G11" s="2189"/>
      <c r="H11" s="2189"/>
      <c r="I11" s="2189"/>
      <c r="J11" s="2189"/>
      <c r="K11" s="2189"/>
      <c r="L11" s="2189"/>
      <c r="M11" s="2189"/>
      <c r="N11" s="2189"/>
      <c r="O11" s="2189"/>
      <c r="P11" s="2189"/>
      <c r="Q11" s="2189"/>
      <c r="R11" s="2189"/>
      <c r="S11" s="2189"/>
      <c r="T11" s="2189"/>
      <c r="U11" s="2189"/>
      <c r="V11" s="2189"/>
      <c r="W11" s="2189"/>
      <c r="X11" s="2189"/>
      <c r="Y11" s="2189"/>
      <c r="Z11" s="2189"/>
      <c r="AA11" s="2189"/>
      <c r="AB11" s="2189"/>
      <c r="AC11" s="2189"/>
      <c r="AD11" s="2189"/>
      <c r="AE11" s="2189"/>
      <c r="AF11" s="2189"/>
      <c r="AG11" s="2189"/>
      <c r="AH11" s="2266">
        <v>0</v>
      </c>
    </row>
    <row r="12" spans="1:34" ht="13.8">
      <c r="A12" s="2187" t="s">
        <v>153</v>
      </c>
      <c r="B12" s="2194">
        <v>0</v>
      </c>
      <c r="C12" s="2189"/>
      <c r="D12" s="2189"/>
      <c r="E12" s="2189"/>
      <c r="F12" s="2189"/>
      <c r="G12" s="2189"/>
      <c r="H12" s="2189"/>
      <c r="I12" s="2189"/>
      <c r="J12" s="2189"/>
      <c r="K12" s="2189"/>
      <c r="L12" s="2189"/>
      <c r="M12" s="2189"/>
      <c r="N12" s="2189"/>
      <c r="O12" s="2189"/>
      <c r="P12" s="2189"/>
      <c r="Q12" s="2189"/>
      <c r="R12" s="2189"/>
      <c r="S12" s="2189"/>
      <c r="T12" s="2189"/>
      <c r="U12" s="2189"/>
      <c r="V12" s="2189"/>
      <c r="W12" s="2189"/>
      <c r="X12" s="2189"/>
      <c r="Y12" s="2189"/>
      <c r="Z12" s="2189"/>
      <c r="AA12" s="2189"/>
      <c r="AB12" s="2189"/>
      <c r="AC12" s="2189"/>
      <c r="AD12" s="2189"/>
      <c r="AE12" s="2189"/>
      <c r="AF12" s="2189"/>
      <c r="AG12" s="2189"/>
      <c r="AH12" s="2266">
        <v>0</v>
      </c>
    </row>
    <row r="13" spans="1:34" ht="13.8">
      <c r="A13" s="2190" t="s">
        <v>154</v>
      </c>
      <c r="B13" s="2194">
        <v>0</v>
      </c>
      <c r="C13" s="2189"/>
      <c r="D13" s="2189"/>
      <c r="E13" s="2189"/>
      <c r="F13" s="2189"/>
      <c r="G13" s="2189"/>
      <c r="H13" s="2189"/>
      <c r="I13" s="2189"/>
      <c r="J13" s="2189"/>
      <c r="K13" s="2189"/>
      <c r="L13" s="2189"/>
      <c r="M13" s="2189"/>
      <c r="N13" s="2189"/>
      <c r="O13" s="2189"/>
      <c r="P13" s="2189"/>
      <c r="Q13" s="2189"/>
      <c r="R13" s="2189"/>
      <c r="S13" s="2189"/>
      <c r="T13" s="2189"/>
      <c r="U13" s="2189"/>
      <c r="V13" s="2189"/>
      <c r="W13" s="2189"/>
      <c r="X13" s="2189"/>
      <c r="Y13" s="2189"/>
      <c r="Z13" s="2189"/>
      <c r="AA13" s="2189"/>
      <c r="AB13" s="2189"/>
      <c r="AC13" s="2189"/>
      <c r="AD13" s="2189"/>
      <c r="AE13" s="2189"/>
      <c r="AF13" s="2189"/>
      <c r="AG13" s="2189"/>
      <c r="AH13" s="2266">
        <v>0</v>
      </c>
    </row>
    <row r="14" spans="1:34" ht="13.8">
      <c r="A14" s="2191" t="s">
        <v>155</v>
      </c>
      <c r="B14" s="2194">
        <v>0</v>
      </c>
      <c r="C14" s="2189"/>
      <c r="D14" s="2189"/>
      <c r="E14" s="2189"/>
      <c r="F14" s="2189"/>
      <c r="G14" s="2189"/>
      <c r="H14" s="2189"/>
      <c r="I14" s="2189"/>
      <c r="J14" s="2189"/>
      <c r="K14" s="2189"/>
      <c r="L14" s="2189"/>
      <c r="M14" s="2189"/>
      <c r="N14" s="2189"/>
      <c r="O14" s="2189"/>
      <c r="P14" s="2189"/>
      <c r="Q14" s="2189"/>
      <c r="R14" s="2189"/>
      <c r="S14" s="2189"/>
      <c r="T14" s="2189"/>
      <c r="U14" s="2189"/>
      <c r="V14" s="2189"/>
      <c r="W14" s="2189"/>
      <c r="X14" s="2189"/>
      <c r="Y14" s="2189"/>
      <c r="Z14" s="2189"/>
      <c r="AA14" s="2189"/>
      <c r="AB14" s="2189"/>
      <c r="AC14" s="2189"/>
      <c r="AD14" s="2189"/>
      <c r="AE14" s="2189"/>
      <c r="AF14" s="2189"/>
      <c r="AG14" s="2189"/>
      <c r="AH14" s="2266">
        <v>0</v>
      </c>
    </row>
    <row r="15" spans="1:34" ht="13.8">
      <c r="A15" s="2187"/>
      <c r="B15" s="2194">
        <v>0</v>
      </c>
      <c r="C15" s="2189"/>
      <c r="D15" s="2189"/>
      <c r="E15" s="2189"/>
      <c r="F15" s="2189"/>
      <c r="G15" s="2189"/>
      <c r="H15" s="2189"/>
      <c r="I15" s="2189"/>
      <c r="J15" s="2189"/>
      <c r="K15" s="2189"/>
      <c r="L15" s="2189"/>
      <c r="M15" s="2189"/>
      <c r="N15" s="2189"/>
      <c r="O15" s="2189"/>
      <c r="P15" s="2189"/>
      <c r="Q15" s="2189"/>
      <c r="R15" s="2189"/>
      <c r="S15" s="2189"/>
      <c r="T15" s="2189"/>
      <c r="U15" s="2189"/>
      <c r="V15" s="2189"/>
      <c r="W15" s="2189"/>
      <c r="X15" s="2189"/>
      <c r="Y15" s="2189"/>
      <c r="Z15" s="2189"/>
      <c r="AA15" s="2189"/>
      <c r="AB15" s="2189"/>
      <c r="AC15" s="2189"/>
      <c r="AD15" s="2189"/>
      <c r="AE15" s="2189"/>
      <c r="AF15" s="2189"/>
      <c r="AG15" s="2189"/>
      <c r="AH15" s="2266">
        <v>0</v>
      </c>
    </row>
    <row r="16" spans="1:34" ht="13.8">
      <c r="A16" s="2192" t="s">
        <v>111</v>
      </c>
      <c r="B16" s="2195">
        <v>0</v>
      </c>
      <c r="C16" s="2193"/>
      <c r="D16" s="2193"/>
      <c r="E16" s="2193"/>
      <c r="F16" s="2193"/>
      <c r="G16" s="2193"/>
      <c r="H16" s="2193"/>
      <c r="I16" s="2193"/>
      <c r="J16" s="2193"/>
      <c r="K16" s="2193"/>
      <c r="L16" s="2193"/>
      <c r="M16" s="2193"/>
      <c r="N16" s="2193"/>
      <c r="O16" s="2193"/>
      <c r="P16" s="2193"/>
      <c r="Q16" s="2193"/>
      <c r="R16" s="2193"/>
      <c r="S16" s="2193"/>
      <c r="T16" s="2193"/>
      <c r="U16" s="2193"/>
      <c r="V16" s="2193"/>
      <c r="W16" s="2193"/>
      <c r="X16" s="2193"/>
      <c r="Y16" s="2193"/>
      <c r="Z16" s="2193"/>
      <c r="AA16" s="2193"/>
      <c r="AB16" s="2193"/>
      <c r="AC16" s="2193"/>
      <c r="AD16" s="2193"/>
      <c r="AE16" s="2193"/>
      <c r="AF16" s="2193"/>
      <c r="AG16" s="2193"/>
      <c r="AH16" s="2267">
        <v>0</v>
      </c>
    </row>
    <row r="17" spans="1:34">
      <c r="AH17" s="730"/>
    </row>
    <row r="18" spans="1:34">
      <c r="AH18" s="730"/>
    </row>
    <row r="19" spans="1:34" ht="13.8">
      <c r="A19" s="4160" t="s">
        <v>1026</v>
      </c>
      <c r="B19" s="4161"/>
      <c r="C19" s="4162"/>
      <c r="D19" s="2183"/>
      <c r="E19" s="2183"/>
      <c r="F19" s="2183"/>
      <c r="G19" s="2183"/>
      <c r="H19" s="2183"/>
      <c r="I19" s="2183"/>
      <c r="J19" s="2183"/>
      <c r="K19" s="2183"/>
      <c r="L19" s="2183"/>
      <c r="M19" s="2184"/>
      <c r="N19" s="2183"/>
      <c r="O19" s="2183"/>
      <c r="P19" s="2183"/>
      <c r="Q19" s="2183"/>
      <c r="R19" s="2183"/>
      <c r="S19" s="2183"/>
      <c r="T19" s="2183"/>
      <c r="U19" s="2183"/>
      <c r="V19" s="2183"/>
      <c r="W19" s="2183"/>
      <c r="X19" s="2183"/>
      <c r="Y19" s="2183"/>
      <c r="Z19" s="2183"/>
      <c r="AA19" s="2183"/>
      <c r="AB19" s="2183"/>
      <c r="AC19" s="2183"/>
      <c r="AD19" s="2183"/>
      <c r="AE19" s="2183"/>
      <c r="AF19" s="2183"/>
      <c r="AG19" s="2183"/>
      <c r="AH19" s="2264"/>
    </row>
    <row r="20" spans="1:34" ht="13.8">
      <c r="A20" s="2185" t="s">
        <v>142</v>
      </c>
      <c r="B20" s="2185" t="s">
        <v>143</v>
      </c>
      <c r="C20" s="2186">
        <v>1</v>
      </c>
      <c r="D20" s="2186">
        <v>2</v>
      </c>
      <c r="E20" s="2186">
        <v>3</v>
      </c>
      <c r="F20" s="2186">
        <v>4</v>
      </c>
      <c r="G20" s="2188">
        <v>5</v>
      </c>
      <c r="H20" s="2186">
        <v>6</v>
      </c>
      <c r="I20" s="2186">
        <v>7</v>
      </c>
      <c r="J20" s="2186">
        <v>8</v>
      </c>
      <c r="K20" s="2186">
        <v>9</v>
      </c>
      <c r="L20" s="2186">
        <v>10</v>
      </c>
      <c r="M20" s="2186">
        <v>11</v>
      </c>
      <c r="N20" s="2186">
        <v>12</v>
      </c>
      <c r="O20" s="2186">
        <v>13</v>
      </c>
      <c r="P20" s="2186">
        <v>14</v>
      </c>
      <c r="Q20" s="2186">
        <v>15</v>
      </c>
      <c r="R20" s="2186">
        <v>16</v>
      </c>
      <c r="S20" s="2186">
        <v>17</v>
      </c>
      <c r="T20" s="2186">
        <v>18</v>
      </c>
      <c r="U20" s="2186">
        <v>19</v>
      </c>
      <c r="V20" s="2186">
        <v>20</v>
      </c>
      <c r="W20" s="2187">
        <v>21</v>
      </c>
      <c r="X20" s="2186">
        <v>22</v>
      </c>
      <c r="Y20" s="2186">
        <v>23</v>
      </c>
      <c r="Z20" s="2186">
        <v>24</v>
      </c>
      <c r="AA20" s="2186">
        <v>25</v>
      </c>
      <c r="AB20" s="2186">
        <v>26</v>
      </c>
      <c r="AC20" s="2187">
        <v>27</v>
      </c>
      <c r="AD20" s="2186">
        <v>28</v>
      </c>
      <c r="AE20" s="2186">
        <v>29</v>
      </c>
      <c r="AF20" s="2186">
        <v>30</v>
      </c>
      <c r="AG20" s="2186">
        <v>31</v>
      </c>
      <c r="AH20" s="2265" t="s">
        <v>111</v>
      </c>
    </row>
    <row r="21" spans="1:34" ht="13.8">
      <c r="A21" s="2187" t="s">
        <v>145</v>
      </c>
      <c r="B21" s="2194">
        <v>0</v>
      </c>
      <c r="C21" s="2189"/>
      <c r="D21" s="2189"/>
      <c r="E21" s="2189"/>
      <c r="F21" s="2189"/>
      <c r="G21" s="2189"/>
      <c r="H21" s="2189"/>
      <c r="I21" s="2189"/>
      <c r="J21" s="2189"/>
      <c r="K21" s="2189"/>
      <c r="L21" s="2189"/>
      <c r="M21" s="2189"/>
      <c r="N21" s="2189"/>
      <c r="O21" s="2189"/>
      <c r="P21" s="2189"/>
      <c r="Q21" s="2189"/>
      <c r="R21" s="2189"/>
      <c r="S21" s="2189"/>
      <c r="T21" s="2189"/>
      <c r="U21" s="2189"/>
      <c r="V21" s="2189"/>
      <c r="W21" s="2189"/>
      <c r="X21" s="2189"/>
      <c r="Y21" s="2189"/>
      <c r="Z21" s="2189"/>
      <c r="AA21" s="2189"/>
      <c r="AB21" s="2189"/>
      <c r="AC21" s="2189"/>
      <c r="AD21" s="2189"/>
      <c r="AE21" s="2189"/>
      <c r="AF21" s="2189"/>
      <c r="AG21" s="2189"/>
      <c r="AH21" s="2266">
        <v>0</v>
      </c>
    </row>
    <row r="22" spans="1:34" ht="13.8">
      <c r="A22" s="2187" t="s">
        <v>146</v>
      </c>
      <c r="B22" s="2194">
        <v>0</v>
      </c>
      <c r="C22" s="2189"/>
      <c r="D22" s="2189"/>
      <c r="E22" s="2189"/>
      <c r="F22" s="2189"/>
      <c r="G22" s="2189"/>
      <c r="H22" s="2189"/>
      <c r="I22" s="2189"/>
      <c r="J22" s="2189"/>
      <c r="K22" s="2189"/>
      <c r="L22" s="2189"/>
      <c r="M22" s="2189"/>
      <c r="N22" s="2189"/>
      <c r="O22" s="2189"/>
      <c r="P22" s="2189"/>
      <c r="Q22" s="2189"/>
      <c r="R22" s="2189"/>
      <c r="S22" s="2189"/>
      <c r="T22" s="2189"/>
      <c r="U22" s="2189"/>
      <c r="V22" s="2189"/>
      <c r="W22" s="2189"/>
      <c r="X22" s="2189"/>
      <c r="Y22" s="2189"/>
      <c r="Z22" s="2189"/>
      <c r="AA22" s="2189"/>
      <c r="AB22" s="2189"/>
      <c r="AC22" s="2189"/>
      <c r="AD22" s="2189"/>
      <c r="AE22" s="2189"/>
      <c r="AF22" s="2189"/>
      <c r="AG22" s="2189"/>
      <c r="AH22" s="2266">
        <v>0</v>
      </c>
    </row>
    <row r="23" spans="1:34" ht="13.8">
      <c r="A23" s="2187" t="s">
        <v>147</v>
      </c>
      <c r="B23" s="2194">
        <v>0</v>
      </c>
      <c r="C23" s="2189"/>
      <c r="D23" s="2189"/>
      <c r="E23" s="2189"/>
      <c r="F23" s="2189"/>
      <c r="G23" s="2189"/>
      <c r="H23" s="2189"/>
      <c r="I23" s="2189"/>
      <c r="J23" s="2189"/>
      <c r="K23" s="2189"/>
      <c r="L23" s="2189"/>
      <c r="M23" s="2189"/>
      <c r="N23" s="2189"/>
      <c r="O23" s="2189"/>
      <c r="P23" s="2189"/>
      <c r="Q23" s="2189"/>
      <c r="R23" s="2189"/>
      <c r="S23" s="2189"/>
      <c r="T23" s="2189"/>
      <c r="U23" s="2189"/>
      <c r="V23" s="2189"/>
      <c r="W23" s="2189"/>
      <c r="X23" s="2189"/>
      <c r="Y23" s="2189"/>
      <c r="Z23" s="2189"/>
      <c r="AA23" s="2189"/>
      <c r="AB23" s="2189"/>
      <c r="AC23" s="2189"/>
      <c r="AD23" s="2189"/>
      <c r="AE23" s="2189"/>
      <c r="AF23" s="2189"/>
      <c r="AG23" s="2189"/>
      <c r="AH23" s="2266">
        <v>0</v>
      </c>
    </row>
    <row r="24" spans="1:34" ht="13.8">
      <c r="A24" s="2187" t="s">
        <v>148</v>
      </c>
      <c r="B24" s="2194">
        <v>0</v>
      </c>
      <c r="C24" s="2189"/>
      <c r="D24" s="2189"/>
      <c r="E24" s="2189"/>
      <c r="F24" s="2189"/>
      <c r="G24" s="2189"/>
      <c r="H24" s="2189"/>
      <c r="I24" s="2189"/>
      <c r="J24" s="2189"/>
      <c r="K24" s="2189"/>
      <c r="L24" s="2189"/>
      <c r="M24" s="2189"/>
      <c r="N24" s="2189"/>
      <c r="O24" s="2189"/>
      <c r="P24" s="2189"/>
      <c r="Q24" s="2189"/>
      <c r="R24" s="2189"/>
      <c r="S24" s="2189"/>
      <c r="T24" s="2189"/>
      <c r="U24" s="2189"/>
      <c r="V24" s="2189"/>
      <c r="W24" s="2189"/>
      <c r="X24" s="2189"/>
      <c r="Y24" s="2189"/>
      <c r="Z24" s="2189"/>
      <c r="AA24" s="2189"/>
      <c r="AB24" s="2189"/>
      <c r="AC24" s="2189"/>
      <c r="AD24" s="2189"/>
      <c r="AE24" s="2189"/>
      <c r="AF24" s="2189"/>
      <c r="AG24" s="2189"/>
      <c r="AH24" s="2266">
        <v>0</v>
      </c>
    </row>
    <row r="25" spans="1:34" ht="13.8">
      <c r="A25" s="2187" t="s">
        <v>149</v>
      </c>
      <c r="B25" s="2194">
        <v>0</v>
      </c>
      <c r="C25" s="2189"/>
      <c r="D25" s="2189"/>
      <c r="E25" s="2189"/>
      <c r="F25" s="2189"/>
      <c r="G25" s="2189"/>
      <c r="H25" s="2189"/>
      <c r="I25" s="2189"/>
      <c r="J25" s="2189"/>
      <c r="K25" s="2189"/>
      <c r="L25" s="2189"/>
      <c r="M25" s="2189"/>
      <c r="N25" s="2189"/>
      <c r="O25" s="2189"/>
      <c r="P25" s="2189"/>
      <c r="Q25" s="2189"/>
      <c r="R25" s="2189"/>
      <c r="S25" s="2189"/>
      <c r="T25" s="2189"/>
      <c r="U25" s="2189"/>
      <c r="V25" s="2189"/>
      <c r="W25" s="2189"/>
      <c r="X25" s="2189"/>
      <c r="Y25" s="2189"/>
      <c r="Z25" s="2189"/>
      <c r="AA25" s="2189"/>
      <c r="AB25" s="2189"/>
      <c r="AC25" s="2189"/>
      <c r="AD25" s="2189"/>
      <c r="AE25" s="2189"/>
      <c r="AF25" s="2189"/>
      <c r="AG25" s="2189"/>
      <c r="AH25" s="2266">
        <v>0</v>
      </c>
    </row>
    <row r="26" spans="1:34" ht="13.8">
      <c r="A26" s="2187" t="s">
        <v>150</v>
      </c>
      <c r="B26" s="2194">
        <v>0</v>
      </c>
      <c r="C26" s="2189"/>
      <c r="D26" s="2189"/>
      <c r="E26" s="2189"/>
      <c r="F26" s="2189"/>
      <c r="G26" s="2189"/>
      <c r="H26" s="2189"/>
      <c r="I26" s="2189"/>
      <c r="J26" s="2189"/>
      <c r="K26" s="2189"/>
      <c r="L26" s="2189"/>
      <c r="M26" s="2189"/>
      <c r="N26" s="2189"/>
      <c r="O26" s="2189"/>
      <c r="P26" s="2189"/>
      <c r="Q26" s="2189"/>
      <c r="R26" s="2189"/>
      <c r="S26" s="2189"/>
      <c r="T26" s="2189"/>
      <c r="U26" s="2189"/>
      <c r="V26" s="2189"/>
      <c r="W26" s="2189"/>
      <c r="X26" s="2189"/>
      <c r="Y26" s="2189"/>
      <c r="Z26" s="2189"/>
      <c r="AA26" s="2189"/>
      <c r="AB26" s="2189"/>
      <c r="AC26" s="2189"/>
      <c r="AD26" s="2189"/>
      <c r="AE26" s="2189"/>
      <c r="AF26" s="2189"/>
      <c r="AG26" s="2189"/>
      <c r="AH26" s="2266">
        <v>0</v>
      </c>
    </row>
    <row r="27" spans="1:34" ht="13.8">
      <c r="A27" s="2187" t="s">
        <v>151</v>
      </c>
      <c r="B27" s="2194">
        <v>0</v>
      </c>
      <c r="C27" s="2189"/>
      <c r="D27" s="2189"/>
      <c r="E27" s="2189"/>
      <c r="F27" s="2189"/>
      <c r="G27" s="2189"/>
      <c r="H27" s="2189"/>
      <c r="I27" s="2189"/>
      <c r="J27" s="2189"/>
      <c r="K27" s="2189"/>
      <c r="L27" s="2189"/>
      <c r="M27" s="2189"/>
      <c r="N27" s="2189"/>
      <c r="O27" s="2189"/>
      <c r="P27" s="2189"/>
      <c r="Q27" s="2189"/>
      <c r="R27" s="2189"/>
      <c r="S27" s="2189"/>
      <c r="T27" s="2189"/>
      <c r="U27" s="2189"/>
      <c r="V27" s="2189"/>
      <c r="W27" s="2189"/>
      <c r="X27" s="2189"/>
      <c r="Y27" s="2189"/>
      <c r="Z27" s="2189"/>
      <c r="AA27" s="2189"/>
      <c r="AB27" s="2189"/>
      <c r="AC27" s="2189"/>
      <c r="AD27" s="2189"/>
      <c r="AE27" s="2189"/>
      <c r="AF27" s="2189"/>
      <c r="AG27" s="2189"/>
      <c r="AH27" s="2266">
        <v>0</v>
      </c>
    </row>
    <row r="28" spans="1:34" ht="13.8">
      <c r="A28" s="2187" t="s">
        <v>152</v>
      </c>
      <c r="B28" s="2194">
        <v>0</v>
      </c>
      <c r="C28" s="2189"/>
      <c r="D28" s="2189"/>
      <c r="E28" s="2189"/>
      <c r="F28" s="2189"/>
      <c r="G28" s="2189"/>
      <c r="H28" s="2189"/>
      <c r="I28" s="2189"/>
      <c r="J28" s="2189"/>
      <c r="K28" s="2189"/>
      <c r="L28" s="2189"/>
      <c r="M28" s="2189"/>
      <c r="N28" s="2189"/>
      <c r="O28" s="2189"/>
      <c r="P28" s="2189"/>
      <c r="Q28" s="2189"/>
      <c r="R28" s="2189"/>
      <c r="S28" s="2189"/>
      <c r="T28" s="2189"/>
      <c r="U28" s="2189"/>
      <c r="V28" s="2189"/>
      <c r="W28" s="2189"/>
      <c r="X28" s="2189"/>
      <c r="Y28" s="2189"/>
      <c r="Z28" s="2189"/>
      <c r="AA28" s="2189"/>
      <c r="AB28" s="2189"/>
      <c r="AC28" s="2189"/>
      <c r="AD28" s="2189"/>
      <c r="AE28" s="2189"/>
      <c r="AF28" s="2189"/>
      <c r="AG28" s="2189"/>
      <c r="AH28" s="2266">
        <v>0</v>
      </c>
    </row>
    <row r="29" spans="1:34" ht="13.8">
      <c r="A29" s="2187" t="s">
        <v>153</v>
      </c>
      <c r="B29" s="2194">
        <v>0</v>
      </c>
      <c r="C29" s="2189"/>
      <c r="D29" s="2189"/>
      <c r="E29" s="2189"/>
      <c r="F29" s="2189"/>
      <c r="G29" s="2189"/>
      <c r="H29" s="2189"/>
      <c r="I29" s="2189"/>
      <c r="J29" s="2189"/>
      <c r="K29" s="2189"/>
      <c r="L29" s="2189"/>
      <c r="M29" s="2189"/>
      <c r="N29" s="2189"/>
      <c r="O29" s="2189"/>
      <c r="P29" s="2189"/>
      <c r="Q29" s="2189"/>
      <c r="R29" s="2189"/>
      <c r="S29" s="2189"/>
      <c r="T29" s="2189"/>
      <c r="U29" s="2189"/>
      <c r="V29" s="2189"/>
      <c r="W29" s="2189"/>
      <c r="X29" s="2189"/>
      <c r="Y29" s="2189"/>
      <c r="Z29" s="2189"/>
      <c r="AA29" s="2189"/>
      <c r="AB29" s="2189"/>
      <c r="AC29" s="2189"/>
      <c r="AD29" s="2189"/>
      <c r="AE29" s="2189"/>
      <c r="AF29" s="2189"/>
      <c r="AG29" s="2189"/>
      <c r="AH29" s="2266">
        <v>0</v>
      </c>
    </row>
    <row r="30" spans="1:34" ht="13.8">
      <c r="A30" s="2190" t="s">
        <v>154</v>
      </c>
      <c r="B30" s="2194">
        <v>0</v>
      </c>
      <c r="C30" s="2189"/>
      <c r="D30" s="2189"/>
      <c r="E30" s="2189"/>
      <c r="F30" s="2189"/>
      <c r="G30" s="2189"/>
      <c r="H30" s="2189"/>
      <c r="I30" s="2189"/>
      <c r="J30" s="2189"/>
      <c r="K30" s="2189"/>
      <c r="L30" s="2189"/>
      <c r="M30" s="2189"/>
      <c r="N30" s="2189"/>
      <c r="O30" s="2189"/>
      <c r="P30" s="2189"/>
      <c r="Q30" s="2189"/>
      <c r="R30" s="2189"/>
      <c r="S30" s="2189"/>
      <c r="T30" s="2189"/>
      <c r="U30" s="2189"/>
      <c r="V30" s="2189"/>
      <c r="W30" s="2189"/>
      <c r="X30" s="2189"/>
      <c r="Y30" s="2189"/>
      <c r="Z30" s="2189"/>
      <c r="AA30" s="2189"/>
      <c r="AB30" s="2189"/>
      <c r="AC30" s="2189"/>
      <c r="AD30" s="2189"/>
      <c r="AE30" s="2189"/>
      <c r="AF30" s="2189"/>
      <c r="AG30" s="2189"/>
      <c r="AH30" s="2266">
        <v>0</v>
      </c>
    </row>
    <row r="31" spans="1:34" ht="13.8">
      <c r="A31" s="2191" t="s">
        <v>155</v>
      </c>
      <c r="B31" s="2194">
        <v>0</v>
      </c>
      <c r="C31" s="2189"/>
      <c r="D31" s="2189"/>
      <c r="E31" s="2189"/>
      <c r="F31" s="2189"/>
      <c r="G31" s="2189"/>
      <c r="H31" s="2189"/>
      <c r="I31" s="2189"/>
      <c r="J31" s="2189"/>
      <c r="K31" s="2189"/>
      <c r="L31" s="2189"/>
      <c r="M31" s="2189"/>
      <c r="N31" s="2189"/>
      <c r="O31" s="2189"/>
      <c r="P31" s="2189"/>
      <c r="Q31" s="2189"/>
      <c r="R31" s="2189"/>
      <c r="S31" s="2189"/>
      <c r="T31" s="2189"/>
      <c r="U31" s="2189"/>
      <c r="V31" s="2189"/>
      <c r="W31" s="2189"/>
      <c r="X31" s="2189"/>
      <c r="Y31" s="2189"/>
      <c r="Z31" s="2189"/>
      <c r="AA31" s="2189"/>
      <c r="AB31" s="2189"/>
      <c r="AC31" s="2189"/>
      <c r="AD31" s="2189"/>
      <c r="AE31" s="2189"/>
      <c r="AF31" s="2189"/>
      <c r="AG31" s="2189"/>
      <c r="AH31" s="2266">
        <v>0</v>
      </c>
    </row>
    <row r="32" spans="1:34" ht="13.8">
      <c r="A32" s="2187"/>
      <c r="B32" s="2194">
        <v>0</v>
      </c>
      <c r="C32" s="2189"/>
      <c r="D32" s="2189"/>
      <c r="E32" s="2189"/>
      <c r="F32" s="2189"/>
      <c r="G32" s="2189"/>
      <c r="H32" s="2189"/>
      <c r="I32" s="2189"/>
      <c r="J32" s="2189"/>
      <c r="K32" s="2189"/>
      <c r="L32" s="2189"/>
      <c r="M32" s="2189"/>
      <c r="N32" s="2189"/>
      <c r="O32" s="2189"/>
      <c r="P32" s="2189"/>
      <c r="Q32" s="2189"/>
      <c r="R32" s="2189"/>
      <c r="S32" s="2189"/>
      <c r="T32" s="2189"/>
      <c r="U32" s="2189"/>
      <c r="V32" s="2189"/>
      <c r="W32" s="2189"/>
      <c r="X32" s="2189"/>
      <c r="Y32" s="2189"/>
      <c r="Z32" s="2189"/>
      <c r="AA32" s="2189"/>
      <c r="AB32" s="2189"/>
      <c r="AC32" s="2189"/>
      <c r="AD32" s="2189"/>
      <c r="AE32" s="2189"/>
      <c r="AF32" s="2189"/>
      <c r="AG32" s="2189"/>
      <c r="AH32" s="2266">
        <v>0</v>
      </c>
    </row>
    <row r="33" spans="1:34" ht="13.8">
      <c r="A33" s="2192" t="s">
        <v>111</v>
      </c>
      <c r="B33" s="2195">
        <v>0</v>
      </c>
      <c r="C33" s="2193"/>
      <c r="D33" s="2193"/>
      <c r="E33" s="2193"/>
      <c r="F33" s="2193"/>
      <c r="G33" s="2193"/>
      <c r="H33" s="2193"/>
      <c r="I33" s="2193"/>
      <c r="J33" s="2193"/>
      <c r="K33" s="2193"/>
      <c r="L33" s="2193"/>
      <c r="M33" s="2193"/>
      <c r="N33" s="2193"/>
      <c r="O33" s="2193"/>
      <c r="P33" s="2193"/>
      <c r="Q33" s="2193"/>
      <c r="R33" s="2193"/>
      <c r="S33" s="2193"/>
      <c r="T33" s="2193"/>
      <c r="U33" s="2193"/>
      <c r="V33" s="2193"/>
      <c r="W33" s="2193"/>
      <c r="X33" s="2193"/>
      <c r="Y33" s="2193"/>
      <c r="Z33" s="2193"/>
      <c r="AA33" s="2193"/>
      <c r="AB33" s="2193"/>
      <c r="AC33" s="2193"/>
      <c r="AD33" s="2193"/>
      <c r="AE33" s="2193"/>
      <c r="AF33" s="2193"/>
      <c r="AG33" s="2193"/>
      <c r="AH33" s="2267">
        <v>0</v>
      </c>
    </row>
    <row r="34" spans="1:34">
      <c r="AH34" s="730"/>
    </row>
    <row r="35" spans="1:34">
      <c r="AH35" s="730"/>
    </row>
    <row r="36" spans="1:34" ht="14.4">
      <c r="A36" s="4163" t="s">
        <v>1029</v>
      </c>
      <c r="B36" s="4164"/>
      <c r="C36" s="4164"/>
      <c r="D36" s="4164"/>
      <c r="E36" s="4164"/>
      <c r="F36" s="4164"/>
      <c r="G36" s="4165"/>
      <c r="AH36" s="730"/>
    </row>
    <row r="37" spans="1:34" ht="13.8">
      <c r="A37" s="4166" t="s">
        <v>1027</v>
      </c>
      <c r="B37" s="4167"/>
      <c r="C37" s="4168"/>
      <c r="D37" s="2183"/>
      <c r="E37" s="2183"/>
      <c r="F37" s="2183"/>
      <c r="G37" s="2183"/>
      <c r="H37" s="2183"/>
      <c r="I37" s="2183"/>
      <c r="J37" s="2183"/>
      <c r="K37" s="2183"/>
      <c r="L37" s="2183"/>
      <c r="M37" s="2184"/>
      <c r="N37" s="2183"/>
      <c r="O37" s="2183"/>
      <c r="P37" s="2183"/>
      <c r="Q37" s="2183"/>
      <c r="R37" s="2183"/>
      <c r="S37" s="2183"/>
      <c r="T37" s="2183"/>
      <c r="U37" s="2183"/>
      <c r="V37" s="2183"/>
      <c r="W37" s="2183"/>
      <c r="X37" s="2183"/>
      <c r="Y37" s="2183"/>
      <c r="Z37" s="2183"/>
      <c r="AA37" s="2183"/>
      <c r="AB37" s="2183"/>
      <c r="AC37" s="2183"/>
      <c r="AD37" s="2183"/>
      <c r="AE37" s="2183"/>
      <c r="AF37" s="2183"/>
      <c r="AG37" s="2183"/>
      <c r="AH37" s="2264"/>
    </row>
    <row r="38" spans="1:34" ht="13.8">
      <c r="A38" s="2185" t="s">
        <v>142</v>
      </c>
      <c r="B38" s="2185" t="s">
        <v>143</v>
      </c>
      <c r="C38" s="2186">
        <v>1</v>
      </c>
      <c r="D38" s="2186">
        <v>2</v>
      </c>
      <c r="E38" s="2186">
        <v>3</v>
      </c>
      <c r="F38" s="2186">
        <v>4</v>
      </c>
      <c r="G38" s="2188">
        <v>5</v>
      </c>
      <c r="H38" s="2186">
        <v>6</v>
      </c>
      <c r="I38" s="2186">
        <v>7</v>
      </c>
      <c r="J38" s="2186">
        <v>8</v>
      </c>
      <c r="K38" s="2186">
        <v>9</v>
      </c>
      <c r="L38" s="2186">
        <v>10</v>
      </c>
      <c r="M38" s="2186">
        <v>11</v>
      </c>
      <c r="N38" s="2186">
        <v>12</v>
      </c>
      <c r="O38" s="2186">
        <v>13</v>
      </c>
      <c r="P38" s="2186">
        <v>14</v>
      </c>
      <c r="Q38" s="2186">
        <v>15</v>
      </c>
      <c r="R38" s="2186">
        <v>16</v>
      </c>
      <c r="S38" s="2186">
        <v>17</v>
      </c>
      <c r="T38" s="2186">
        <v>18</v>
      </c>
      <c r="U38" s="2186">
        <v>19</v>
      </c>
      <c r="V38" s="2186">
        <v>20</v>
      </c>
      <c r="W38" s="2187">
        <v>21</v>
      </c>
      <c r="X38" s="2186">
        <v>22</v>
      </c>
      <c r="Y38" s="2186">
        <v>23</v>
      </c>
      <c r="Z38" s="2186">
        <v>24</v>
      </c>
      <c r="AA38" s="2186">
        <v>25</v>
      </c>
      <c r="AB38" s="2186">
        <v>26</v>
      </c>
      <c r="AC38" s="2187">
        <v>27</v>
      </c>
      <c r="AD38" s="2186">
        <v>28</v>
      </c>
      <c r="AE38" s="2186">
        <v>29</v>
      </c>
      <c r="AF38" s="2186">
        <v>30</v>
      </c>
      <c r="AG38" s="2186">
        <v>31</v>
      </c>
      <c r="AH38" s="2265" t="s">
        <v>111</v>
      </c>
    </row>
    <row r="39" spans="1:34" ht="13.8">
      <c r="A39" s="2187" t="s">
        <v>145</v>
      </c>
      <c r="B39" s="2194">
        <v>0</v>
      </c>
      <c r="C39" s="2189"/>
      <c r="D39" s="2189"/>
      <c r="E39" s="2189"/>
      <c r="F39" s="2189"/>
      <c r="G39" s="2189"/>
      <c r="H39" s="2189"/>
      <c r="I39" s="2189"/>
      <c r="J39" s="2189"/>
      <c r="K39" s="2189"/>
      <c r="L39" s="2189"/>
      <c r="M39" s="2189"/>
      <c r="N39" s="2189"/>
      <c r="O39" s="2189"/>
      <c r="P39" s="2189"/>
      <c r="Q39" s="2189"/>
      <c r="R39" s="2189"/>
      <c r="S39" s="2189"/>
      <c r="T39" s="2189"/>
      <c r="U39" s="2189"/>
      <c r="V39" s="2189"/>
      <c r="W39" s="2189"/>
      <c r="X39" s="2189"/>
      <c r="Y39" s="2189"/>
      <c r="Z39" s="2189"/>
      <c r="AA39" s="2189"/>
      <c r="AB39" s="2189"/>
      <c r="AC39" s="2189"/>
      <c r="AD39" s="2189"/>
      <c r="AE39" s="2189"/>
      <c r="AF39" s="2189"/>
      <c r="AG39" s="2189"/>
      <c r="AH39" s="2266">
        <v>0</v>
      </c>
    </row>
    <row r="40" spans="1:34" ht="13.8">
      <c r="A40" s="2187" t="s">
        <v>146</v>
      </c>
      <c r="B40" s="2194">
        <v>0</v>
      </c>
      <c r="C40" s="2189"/>
      <c r="D40" s="2189"/>
      <c r="E40" s="2189"/>
      <c r="F40" s="2189"/>
      <c r="G40" s="2189"/>
      <c r="H40" s="2189"/>
      <c r="I40" s="2189"/>
      <c r="J40" s="2189"/>
      <c r="K40" s="2189"/>
      <c r="L40" s="2189"/>
      <c r="M40" s="2189"/>
      <c r="N40" s="2189"/>
      <c r="O40" s="2189"/>
      <c r="P40" s="2189"/>
      <c r="Q40" s="2189"/>
      <c r="R40" s="2189"/>
      <c r="S40" s="2189"/>
      <c r="T40" s="2189"/>
      <c r="U40" s="2189"/>
      <c r="V40" s="2189"/>
      <c r="W40" s="2189"/>
      <c r="X40" s="2189"/>
      <c r="Y40" s="2189"/>
      <c r="Z40" s="2189"/>
      <c r="AA40" s="2189"/>
      <c r="AB40" s="2189"/>
      <c r="AC40" s="2189"/>
      <c r="AD40" s="2189"/>
      <c r="AE40" s="2189"/>
      <c r="AF40" s="2189"/>
      <c r="AG40" s="2189"/>
      <c r="AH40" s="2266">
        <v>0</v>
      </c>
    </row>
    <row r="41" spans="1:34" ht="13.8">
      <c r="A41" s="2187" t="s">
        <v>147</v>
      </c>
      <c r="B41" s="2194">
        <v>0</v>
      </c>
      <c r="C41" s="2189"/>
      <c r="D41" s="2189"/>
      <c r="E41" s="2189"/>
      <c r="F41" s="2189"/>
      <c r="G41" s="2189"/>
      <c r="H41" s="2189"/>
      <c r="I41" s="2189"/>
      <c r="J41" s="2189"/>
      <c r="K41" s="2189"/>
      <c r="L41" s="2189"/>
      <c r="M41" s="2189"/>
      <c r="N41" s="2189"/>
      <c r="O41" s="2189"/>
      <c r="P41" s="2189"/>
      <c r="Q41" s="2189"/>
      <c r="R41" s="2189"/>
      <c r="S41" s="2189"/>
      <c r="T41" s="2189"/>
      <c r="U41" s="2189"/>
      <c r="V41" s="2189"/>
      <c r="W41" s="2189"/>
      <c r="X41" s="2189"/>
      <c r="Y41" s="2189"/>
      <c r="Z41" s="2189"/>
      <c r="AA41" s="2189"/>
      <c r="AB41" s="2189"/>
      <c r="AC41" s="2189"/>
      <c r="AD41" s="2189"/>
      <c r="AE41" s="2189"/>
      <c r="AF41" s="2189"/>
      <c r="AG41" s="2189"/>
      <c r="AH41" s="2266">
        <v>0</v>
      </c>
    </row>
    <row r="42" spans="1:34" ht="13.8">
      <c r="A42" s="2187" t="s">
        <v>148</v>
      </c>
      <c r="B42" s="2194">
        <v>0</v>
      </c>
      <c r="C42" s="2189"/>
      <c r="D42" s="2189"/>
      <c r="E42" s="2189"/>
      <c r="F42" s="2189"/>
      <c r="G42" s="2189"/>
      <c r="H42" s="2189"/>
      <c r="I42" s="2189"/>
      <c r="J42" s="2189"/>
      <c r="K42" s="2189"/>
      <c r="L42" s="2189"/>
      <c r="M42" s="2189"/>
      <c r="N42" s="2189"/>
      <c r="O42" s="2189"/>
      <c r="P42" s="2189"/>
      <c r="Q42" s="2189"/>
      <c r="R42" s="2189"/>
      <c r="S42" s="2189"/>
      <c r="T42" s="2189"/>
      <c r="U42" s="2189"/>
      <c r="V42" s="2189"/>
      <c r="W42" s="2189"/>
      <c r="X42" s="2189"/>
      <c r="Y42" s="2189"/>
      <c r="Z42" s="2189"/>
      <c r="AA42" s="2189"/>
      <c r="AB42" s="2189"/>
      <c r="AC42" s="2189"/>
      <c r="AD42" s="2189"/>
      <c r="AE42" s="2189"/>
      <c r="AF42" s="2189"/>
      <c r="AG42" s="2189"/>
      <c r="AH42" s="2266">
        <v>0</v>
      </c>
    </row>
    <row r="43" spans="1:34" ht="13.8">
      <c r="A43" s="2187" t="s">
        <v>149</v>
      </c>
      <c r="B43" s="2194">
        <v>0</v>
      </c>
      <c r="C43" s="2189"/>
      <c r="D43" s="2189"/>
      <c r="E43" s="2189"/>
      <c r="F43" s="2189"/>
      <c r="G43" s="2189"/>
      <c r="H43" s="2189"/>
      <c r="I43" s="2189"/>
      <c r="J43" s="2189"/>
      <c r="K43" s="2189"/>
      <c r="L43" s="2189"/>
      <c r="M43" s="2189"/>
      <c r="N43" s="2189"/>
      <c r="O43" s="2189"/>
      <c r="P43" s="2189"/>
      <c r="Q43" s="2189"/>
      <c r="R43" s="2189"/>
      <c r="S43" s="2189"/>
      <c r="T43" s="2189"/>
      <c r="U43" s="2189"/>
      <c r="V43" s="2189"/>
      <c r="W43" s="2189"/>
      <c r="X43" s="2189"/>
      <c r="Y43" s="2189"/>
      <c r="Z43" s="2189"/>
      <c r="AA43" s="2189"/>
      <c r="AB43" s="2189"/>
      <c r="AC43" s="2189"/>
      <c r="AD43" s="2189"/>
      <c r="AE43" s="2189"/>
      <c r="AF43" s="2189"/>
      <c r="AG43" s="2189"/>
      <c r="AH43" s="2266">
        <v>0</v>
      </c>
    </row>
    <row r="44" spans="1:34" ht="13.8">
      <c r="A44" s="2187" t="s">
        <v>150</v>
      </c>
      <c r="B44" s="2194">
        <v>0</v>
      </c>
      <c r="C44" s="2189"/>
      <c r="D44" s="2189"/>
      <c r="E44" s="2189"/>
      <c r="F44" s="2189"/>
      <c r="G44" s="2189"/>
      <c r="H44" s="2189"/>
      <c r="I44" s="2189"/>
      <c r="J44" s="2189"/>
      <c r="K44" s="2189"/>
      <c r="L44" s="2189"/>
      <c r="M44" s="2189"/>
      <c r="N44" s="2189"/>
      <c r="O44" s="2189"/>
      <c r="P44" s="2189"/>
      <c r="Q44" s="2189"/>
      <c r="R44" s="2189"/>
      <c r="S44" s="2189"/>
      <c r="T44" s="2189"/>
      <c r="U44" s="2189"/>
      <c r="V44" s="2189"/>
      <c r="W44" s="2189"/>
      <c r="X44" s="2189"/>
      <c r="Y44" s="2189"/>
      <c r="Z44" s="2189"/>
      <c r="AA44" s="2189"/>
      <c r="AB44" s="2189"/>
      <c r="AC44" s="2189"/>
      <c r="AD44" s="2189"/>
      <c r="AE44" s="2189"/>
      <c r="AF44" s="2189"/>
      <c r="AG44" s="2189"/>
      <c r="AH44" s="2266">
        <v>0</v>
      </c>
    </row>
    <row r="45" spans="1:34" ht="13.8">
      <c r="A45" s="2187" t="s">
        <v>151</v>
      </c>
      <c r="B45" s="2194">
        <v>0</v>
      </c>
      <c r="C45" s="2189"/>
      <c r="D45" s="2189"/>
      <c r="E45" s="2189"/>
      <c r="F45" s="2189"/>
      <c r="G45" s="2189"/>
      <c r="H45" s="2189"/>
      <c r="I45" s="2189"/>
      <c r="J45" s="2189"/>
      <c r="K45" s="2189"/>
      <c r="L45" s="2189"/>
      <c r="M45" s="2189"/>
      <c r="N45" s="2189"/>
      <c r="O45" s="2189"/>
      <c r="P45" s="2189"/>
      <c r="Q45" s="2189"/>
      <c r="R45" s="2189"/>
      <c r="S45" s="2189"/>
      <c r="T45" s="2189"/>
      <c r="U45" s="2189"/>
      <c r="V45" s="2189"/>
      <c r="W45" s="2189"/>
      <c r="X45" s="2189"/>
      <c r="Y45" s="2189"/>
      <c r="Z45" s="2189"/>
      <c r="AA45" s="2189"/>
      <c r="AB45" s="2189"/>
      <c r="AC45" s="2189"/>
      <c r="AD45" s="2189"/>
      <c r="AE45" s="2189"/>
      <c r="AF45" s="2189"/>
      <c r="AG45" s="2189"/>
      <c r="AH45" s="2266">
        <v>0</v>
      </c>
    </row>
    <row r="46" spans="1:34" ht="13.8">
      <c r="A46" s="2187" t="s">
        <v>152</v>
      </c>
      <c r="B46" s="2194">
        <v>0</v>
      </c>
      <c r="C46" s="2189"/>
      <c r="D46" s="2189"/>
      <c r="E46" s="2189"/>
      <c r="F46" s="2189"/>
      <c r="G46" s="2189"/>
      <c r="H46" s="2189"/>
      <c r="I46" s="2189"/>
      <c r="J46" s="2189"/>
      <c r="K46" s="2189"/>
      <c r="L46" s="2189"/>
      <c r="M46" s="2189"/>
      <c r="N46" s="2189"/>
      <c r="O46" s="2189"/>
      <c r="P46" s="2189"/>
      <c r="Q46" s="2189"/>
      <c r="R46" s="2189"/>
      <c r="S46" s="2189"/>
      <c r="T46" s="2189"/>
      <c r="U46" s="2189"/>
      <c r="V46" s="2189"/>
      <c r="W46" s="2189"/>
      <c r="X46" s="2189"/>
      <c r="Y46" s="2189"/>
      <c r="Z46" s="2189"/>
      <c r="AA46" s="2189"/>
      <c r="AB46" s="2189"/>
      <c r="AC46" s="2189"/>
      <c r="AD46" s="2189"/>
      <c r="AE46" s="2189"/>
      <c r="AF46" s="2189"/>
      <c r="AG46" s="2189"/>
      <c r="AH46" s="2266">
        <v>0</v>
      </c>
    </row>
    <row r="47" spans="1:34" ht="13.8">
      <c r="A47" s="2187" t="s">
        <v>153</v>
      </c>
      <c r="B47" s="2194">
        <v>0</v>
      </c>
      <c r="C47" s="2189"/>
      <c r="D47" s="2189"/>
      <c r="E47" s="2189"/>
      <c r="F47" s="2189"/>
      <c r="G47" s="2189"/>
      <c r="H47" s="2189"/>
      <c r="I47" s="2189"/>
      <c r="J47" s="2189"/>
      <c r="K47" s="2189"/>
      <c r="L47" s="2189"/>
      <c r="M47" s="2189"/>
      <c r="N47" s="2189"/>
      <c r="O47" s="2189"/>
      <c r="P47" s="2189"/>
      <c r="Q47" s="2189"/>
      <c r="R47" s="2189"/>
      <c r="S47" s="2189"/>
      <c r="T47" s="2189"/>
      <c r="U47" s="2189"/>
      <c r="V47" s="2189"/>
      <c r="W47" s="2189"/>
      <c r="X47" s="2189"/>
      <c r="Y47" s="2189"/>
      <c r="Z47" s="2189"/>
      <c r="AA47" s="2189"/>
      <c r="AB47" s="2189"/>
      <c r="AC47" s="2189"/>
      <c r="AD47" s="2189"/>
      <c r="AE47" s="2189"/>
      <c r="AF47" s="2189"/>
      <c r="AG47" s="2189"/>
      <c r="AH47" s="2266">
        <v>0</v>
      </c>
    </row>
    <row r="48" spans="1:34" ht="13.8">
      <c r="A48" s="2190" t="s">
        <v>154</v>
      </c>
      <c r="B48" s="2194">
        <f>+AH48</f>
        <v>68.996000000000009</v>
      </c>
      <c r="C48" s="2384"/>
      <c r="D48" s="2384"/>
      <c r="E48" s="2384"/>
      <c r="F48" s="2384"/>
      <c r="G48" s="2384">
        <v>0</v>
      </c>
      <c r="H48" s="2384">
        <v>0</v>
      </c>
      <c r="I48" s="2384">
        <v>0</v>
      </c>
      <c r="J48" s="2384">
        <v>1.83</v>
      </c>
      <c r="K48" s="2384">
        <v>3.742</v>
      </c>
      <c r="L48" s="2384">
        <v>2.1</v>
      </c>
      <c r="M48" s="2384">
        <v>1.9</v>
      </c>
      <c r="N48" s="2384">
        <v>0</v>
      </c>
      <c r="O48" s="2384">
        <v>4.5250000000000004</v>
      </c>
      <c r="P48" s="2384">
        <v>0</v>
      </c>
      <c r="Q48" s="2384">
        <v>15.295999999999999</v>
      </c>
      <c r="R48" s="2384">
        <v>0</v>
      </c>
      <c r="S48" s="2384">
        <v>2.0070000000000001</v>
      </c>
      <c r="T48" s="2384">
        <v>6.6360000000000001</v>
      </c>
      <c r="U48" s="2384">
        <v>1.81</v>
      </c>
      <c r="V48" s="2384">
        <v>13.49</v>
      </c>
      <c r="W48" s="2384">
        <v>0</v>
      </c>
      <c r="X48" s="2384">
        <v>4.242</v>
      </c>
      <c r="Y48" s="2384">
        <v>3.2</v>
      </c>
      <c r="Z48" s="2384">
        <v>2.2999999999999998</v>
      </c>
      <c r="AA48" s="2384">
        <v>2.5</v>
      </c>
      <c r="AB48" s="2384">
        <v>0</v>
      </c>
      <c r="AC48" s="2384">
        <v>0</v>
      </c>
      <c r="AD48" s="2384">
        <v>0</v>
      </c>
      <c r="AE48" s="2384">
        <v>3.4180000000000001</v>
      </c>
      <c r="AF48" s="2384">
        <v>0</v>
      </c>
      <c r="AG48" s="2384">
        <v>0</v>
      </c>
      <c r="AH48" s="2266">
        <f>SUM(C48:AG48)</f>
        <v>68.996000000000009</v>
      </c>
    </row>
    <row r="49" spans="1:34" ht="13.8">
      <c r="A49" s="2191" t="s">
        <v>155</v>
      </c>
      <c r="B49" s="2194">
        <f t="shared" ref="B49:B50" si="0">+AH49</f>
        <v>128.92200000000003</v>
      </c>
      <c r="C49" s="2384">
        <v>0</v>
      </c>
      <c r="D49" s="2384">
        <v>0</v>
      </c>
      <c r="E49" s="2384">
        <v>0</v>
      </c>
      <c r="F49" s="2384">
        <v>0</v>
      </c>
      <c r="G49" s="2384">
        <v>0</v>
      </c>
      <c r="H49" s="2384">
        <v>0</v>
      </c>
      <c r="I49" s="2384">
        <v>3.9</v>
      </c>
      <c r="J49" s="2384">
        <v>9.109</v>
      </c>
      <c r="K49" s="2384">
        <v>0</v>
      </c>
      <c r="L49" s="2384">
        <v>0</v>
      </c>
      <c r="M49" s="2384">
        <v>0</v>
      </c>
      <c r="N49" s="2384">
        <v>0</v>
      </c>
      <c r="O49" s="2384">
        <v>3.5</v>
      </c>
      <c r="P49" s="2384">
        <v>10.183999999999999</v>
      </c>
      <c r="Q49" s="2384">
        <v>0</v>
      </c>
      <c r="R49" s="2384">
        <v>16.077999999999999</v>
      </c>
      <c r="S49" s="2384">
        <v>3.4</v>
      </c>
      <c r="T49" s="2384">
        <v>3.1</v>
      </c>
      <c r="U49" s="2384">
        <v>0</v>
      </c>
      <c r="V49" s="2384">
        <v>1.72</v>
      </c>
      <c r="W49" s="2384">
        <v>39.176000000000002</v>
      </c>
      <c r="X49" s="2384">
        <v>2.9239999999999999</v>
      </c>
      <c r="Y49" s="2384">
        <v>0</v>
      </c>
      <c r="Z49" s="2384">
        <v>0</v>
      </c>
      <c r="AA49" s="2384">
        <v>0</v>
      </c>
      <c r="AB49" s="2384">
        <v>12.904999999999999</v>
      </c>
      <c r="AC49" s="2384">
        <v>3.2</v>
      </c>
      <c r="AD49" s="2384">
        <v>3.302</v>
      </c>
      <c r="AE49" s="2384">
        <v>10.423999999999999</v>
      </c>
      <c r="AF49" s="2384">
        <v>6</v>
      </c>
      <c r="AG49" s="2384">
        <v>0</v>
      </c>
      <c r="AH49" s="2266">
        <f t="shared" ref="AH49:AH50" si="1">SUM(C49:AG49)</f>
        <v>128.92200000000003</v>
      </c>
    </row>
    <row r="50" spans="1:34" ht="13.8">
      <c r="A50" s="2187"/>
      <c r="B50" s="2194">
        <f t="shared" si="0"/>
        <v>0</v>
      </c>
      <c r="C50" s="2189"/>
      <c r="D50" s="2189"/>
      <c r="E50" s="2189"/>
      <c r="F50" s="2189"/>
      <c r="G50" s="2189"/>
      <c r="H50" s="2189"/>
      <c r="I50" s="2189"/>
      <c r="J50" s="2189"/>
      <c r="K50" s="2189"/>
      <c r="L50" s="2189"/>
      <c r="M50" s="2189"/>
      <c r="N50" s="2189"/>
      <c r="O50" s="2189"/>
      <c r="P50" s="2189"/>
      <c r="Q50" s="2189"/>
      <c r="R50" s="2189"/>
      <c r="S50" s="2189"/>
      <c r="T50" s="2189"/>
      <c r="U50" s="2189"/>
      <c r="V50" s="2189"/>
      <c r="W50" s="2189"/>
      <c r="X50" s="2189"/>
      <c r="Y50" s="2189"/>
      <c r="Z50" s="2189"/>
      <c r="AA50" s="2189"/>
      <c r="AB50" s="2189"/>
      <c r="AC50" s="2189"/>
      <c r="AD50" s="2189"/>
      <c r="AE50" s="2189"/>
      <c r="AF50" s="2189"/>
      <c r="AG50" s="2189"/>
      <c r="AH50" s="2266">
        <f t="shared" si="1"/>
        <v>0</v>
      </c>
    </row>
    <row r="51" spans="1:34" ht="13.8">
      <c r="A51" s="2192" t="s">
        <v>111</v>
      </c>
      <c r="B51" s="2195">
        <f>SUM(B39:B50)</f>
        <v>197.91800000000003</v>
      </c>
      <c r="C51" s="2193"/>
      <c r="D51" s="2193"/>
      <c r="E51" s="2193"/>
      <c r="F51" s="2193"/>
      <c r="G51" s="2193"/>
      <c r="H51" s="2193"/>
      <c r="I51" s="2193"/>
      <c r="J51" s="2193"/>
      <c r="K51" s="2193"/>
      <c r="L51" s="2193"/>
      <c r="M51" s="2193"/>
      <c r="N51" s="2193"/>
      <c r="O51" s="2193"/>
      <c r="P51" s="2193"/>
      <c r="Q51" s="2193"/>
      <c r="R51" s="2193"/>
      <c r="S51" s="2193"/>
      <c r="T51" s="2193"/>
      <c r="U51" s="2193"/>
      <c r="V51" s="2193"/>
      <c r="W51" s="2193"/>
      <c r="X51" s="2193"/>
      <c r="Y51" s="2193"/>
      <c r="Z51" s="2193"/>
      <c r="AA51" s="2193"/>
      <c r="AB51" s="2193"/>
      <c r="AC51" s="2193"/>
      <c r="AD51" s="2193"/>
      <c r="AE51" s="2193"/>
      <c r="AF51" s="2193"/>
      <c r="AG51" s="2193"/>
      <c r="AH51" s="2267">
        <f>SUM(AH39:AH50)</f>
        <v>197.91800000000003</v>
      </c>
    </row>
    <row r="52" spans="1:34">
      <c r="AH52" s="730"/>
    </row>
    <row r="53" spans="1:34">
      <c r="AH53" s="730"/>
    </row>
    <row r="54" spans="1:34" ht="13.8">
      <c r="A54" s="4139" t="s">
        <v>1026</v>
      </c>
      <c r="B54" s="4140"/>
      <c r="C54" s="4141"/>
      <c r="D54" s="2183"/>
      <c r="E54" s="2183"/>
      <c r="F54" s="2183"/>
      <c r="G54" s="2183"/>
      <c r="H54" s="2183"/>
      <c r="I54" s="2183"/>
      <c r="J54" s="2183"/>
      <c r="K54" s="2183"/>
      <c r="L54" s="2183"/>
      <c r="M54" s="2184"/>
      <c r="N54" s="2183"/>
      <c r="O54" s="2183"/>
      <c r="P54" s="2183"/>
      <c r="Q54" s="2183"/>
      <c r="R54" s="2183"/>
      <c r="S54" s="2183"/>
      <c r="T54" s="2183"/>
      <c r="U54" s="2183"/>
      <c r="V54" s="2183"/>
      <c r="W54" s="2183"/>
      <c r="X54" s="2183"/>
      <c r="Y54" s="2183"/>
      <c r="Z54" s="2183"/>
      <c r="AA54" s="2183"/>
      <c r="AB54" s="2183"/>
      <c r="AC54" s="2183"/>
      <c r="AD54" s="2183"/>
      <c r="AE54" s="2183"/>
      <c r="AF54" s="2183"/>
      <c r="AG54" s="2183"/>
      <c r="AH54" s="2264"/>
    </row>
    <row r="55" spans="1:34" ht="13.8">
      <c r="A55" s="2185" t="s">
        <v>142</v>
      </c>
      <c r="B55" s="2185" t="s">
        <v>143</v>
      </c>
      <c r="C55" s="2186">
        <v>1</v>
      </c>
      <c r="D55" s="2186">
        <v>2</v>
      </c>
      <c r="E55" s="2186">
        <v>3</v>
      </c>
      <c r="F55" s="2186">
        <v>4</v>
      </c>
      <c r="G55" s="2188">
        <v>5</v>
      </c>
      <c r="H55" s="2186">
        <v>6</v>
      </c>
      <c r="I55" s="2186">
        <v>7</v>
      </c>
      <c r="J55" s="2186">
        <v>8</v>
      </c>
      <c r="K55" s="2186">
        <v>9</v>
      </c>
      <c r="L55" s="2186">
        <v>10</v>
      </c>
      <c r="M55" s="2186">
        <v>11</v>
      </c>
      <c r="N55" s="2186">
        <v>12</v>
      </c>
      <c r="O55" s="2186">
        <v>13</v>
      </c>
      <c r="P55" s="2186">
        <v>14</v>
      </c>
      <c r="Q55" s="2186">
        <v>15</v>
      </c>
      <c r="R55" s="2186">
        <v>16</v>
      </c>
      <c r="S55" s="2186">
        <v>17</v>
      </c>
      <c r="T55" s="2186">
        <v>18</v>
      </c>
      <c r="U55" s="2186">
        <v>19</v>
      </c>
      <c r="V55" s="2186">
        <v>20</v>
      </c>
      <c r="W55" s="2187">
        <v>21</v>
      </c>
      <c r="X55" s="2186">
        <v>22</v>
      </c>
      <c r="Y55" s="2186">
        <v>23</v>
      </c>
      <c r="Z55" s="2186">
        <v>24</v>
      </c>
      <c r="AA55" s="2186">
        <v>25</v>
      </c>
      <c r="AB55" s="2186">
        <v>26</v>
      </c>
      <c r="AC55" s="2187">
        <v>27</v>
      </c>
      <c r="AD55" s="2186">
        <v>28</v>
      </c>
      <c r="AE55" s="2186">
        <v>29</v>
      </c>
      <c r="AF55" s="2186">
        <v>30</v>
      </c>
      <c r="AG55" s="2186">
        <v>31</v>
      </c>
      <c r="AH55" s="2265" t="s">
        <v>111</v>
      </c>
    </row>
    <row r="56" spans="1:34" ht="13.8">
      <c r="A56" s="2187" t="s">
        <v>145</v>
      </c>
      <c r="B56" s="2194">
        <v>0</v>
      </c>
      <c r="C56" s="2189"/>
      <c r="D56" s="2189"/>
      <c r="E56" s="2189"/>
      <c r="F56" s="2189"/>
      <c r="G56" s="2189"/>
      <c r="H56" s="2189"/>
      <c r="I56" s="2189"/>
      <c r="J56" s="2189"/>
      <c r="K56" s="2189"/>
      <c r="L56" s="2189"/>
      <c r="M56" s="2189"/>
      <c r="N56" s="2189"/>
      <c r="O56" s="2189"/>
      <c r="P56" s="2189"/>
      <c r="Q56" s="2189"/>
      <c r="R56" s="2189"/>
      <c r="S56" s="2189"/>
      <c r="T56" s="2189"/>
      <c r="U56" s="2189"/>
      <c r="V56" s="2189"/>
      <c r="W56" s="2189"/>
      <c r="X56" s="2189"/>
      <c r="Y56" s="2189"/>
      <c r="Z56" s="2189"/>
      <c r="AA56" s="2189"/>
      <c r="AB56" s="2189"/>
      <c r="AC56" s="2189"/>
      <c r="AD56" s="2189"/>
      <c r="AE56" s="2189"/>
      <c r="AF56" s="2189"/>
      <c r="AG56" s="2189"/>
      <c r="AH56" s="2266">
        <v>0</v>
      </c>
    </row>
    <row r="57" spans="1:34" ht="13.8">
      <c r="A57" s="2187" t="s">
        <v>146</v>
      </c>
      <c r="B57" s="2194">
        <v>0</v>
      </c>
      <c r="C57" s="2189"/>
      <c r="D57" s="2189"/>
      <c r="E57" s="2189"/>
      <c r="F57" s="2189"/>
      <c r="G57" s="2189"/>
      <c r="H57" s="2189"/>
      <c r="I57" s="2189"/>
      <c r="J57" s="2189"/>
      <c r="K57" s="2189"/>
      <c r="L57" s="2189"/>
      <c r="M57" s="2189"/>
      <c r="N57" s="2189"/>
      <c r="O57" s="2189"/>
      <c r="P57" s="2189"/>
      <c r="Q57" s="2189"/>
      <c r="R57" s="2189"/>
      <c r="S57" s="2189"/>
      <c r="T57" s="2189"/>
      <c r="U57" s="2189"/>
      <c r="V57" s="2189"/>
      <c r="W57" s="2189"/>
      <c r="X57" s="2189"/>
      <c r="Y57" s="2189"/>
      <c r="Z57" s="2189"/>
      <c r="AA57" s="2189"/>
      <c r="AB57" s="2189"/>
      <c r="AC57" s="2189"/>
      <c r="AD57" s="2189"/>
      <c r="AE57" s="2189"/>
      <c r="AF57" s="2189"/>
      <c r="AG57" s="2189"/>
      <c r="AH57" s="2266">
        <v>0</v>
      </c>
    </row>
    <row r="58" spans="1:34" ht="13.8">
      <c r="A58" s="2187" t="s">
        <v>147</v>
      </c>
      <c r="B58" s="2194">
        <v>0</v>
      </c>
      <c r="C58" s="2189"/>
      <c r="D58" s="2189"/>
      <c r="E58" s="2189"/>
      <c r="F58" s="2189"/>
      <c r="G58" s="2189"/>
      <c r="H58" s="2189"/>
      <c r="I58" s="2189"/>
      <c r="J58" s="2189"/>
      <c r="K58" s="2189"/>
      <c r="L58" s="2189"/>
      <c r="M58" s="2189"/>
      <c r="N58" s="2189"/>
      <c r="O58" s="2189"/>
      <c r="P58" s="2189"/>
      <c r="Q58" s="2189"/>
      <c r="R58" s="2189"/>
      <c r="S58" s="2189"/>
      <c r="T58" s="2189"/>
      <c r="U58" s="2189"/>
      <c r="V58" s="2189"/>
      <c r="W58" s="2189"/>
      <c r="X58" s="2189"/>
      <c r="Y58" s="2189"/>
      <c r="Z58" s="2189"/>
      <c r="AA58" s="2189"/>
      <c r="AB58" s="2189"/>
      <c r="AC58" s="2189"/>
      <c r="AD58" s="2189"/>
      <c r="AE58" s="2189"/>
      <c r="AF58" s="2189"/>
      <c r="AG58" s="2189"/>
      <c r="AH58" s="2266">
        <v>0</v>
      </c>
    </row>
    <row r="59" spans="1:34" ht="13.8">
      <c r="A59" s="2187" t="s">
        <v>148</v>
      </c>
      <c r="B59" s="2194">
        <v>0</v>
      </c>
      <c r="C59" s="2189"/>
      <c r="D59" s="2189"/>
      <c r="E59" s="2189"/>
      <c r="F59" s="2189"/>
      <c r="G59" s="2189"/>
      <c r="H59" s="2189"/>
      <c r="I59" s="2189"/>
      <c r="J59" s="2189"/>
      <c r="K59" s="2189"/>
      <c r="L59" s="2189"/>
      <c r="M59" s="2189"/>
      <c r="N59" s="2189"/>
      <c r="O59" s="2189"/>
      <c r="P59" s="2189"/>
      <c r="Q59" s="2189"/>
      <c r="R59" s="2189"/>
      <c r="S59" s="2189"/>
      <c r="T59" s="2189"/>
      <c r="U59" s="2189"/>
      <c r="V59" s="2189"/>
      <c r="W59" s="2189"/>
      <c r="X59" s="2189"/>
      <c r="Y59" s="2189"/>
      <c r="Z59" s="2189"/>
      <c r="AA59" s="2189"/>
      <c r="AB59" s="2189"/>
      <c r="AC59" s="2189"/>
      <c r="AD59" s="2189"/>
      <c r="AE59" s="2189"/>
      <c r="AF59" s="2189"/>
      <c r="AG59" s="2189"/>
      <c r="AH59" s="2266">
        <v>0</v>
      </c>
    </row>
    <row r="60" spans="1:34" ht="13.8">
      <c r="A60" s="2187" t="s">
        <v>149</v>
      </c>
      <c r="B60" s="2194">
        <v>0</v>
      </c>
      <c r="C60" s="2189"/>
      <c r="D60" s="2189"/>
      <c r="E60" s="2189"/>
      <c r="F60" s="2189"/>
      <c r="G60" s="2189"/>
      <c r="H60" s="2189"/>
      <c r="I60" s="2189"/>
      <c r="J60" s="2189"/>
      <c r="K60" s="2189"/>
      <c r="L60" s="2189"/>
      <c r="M60" s="2189"/>
      <c r="N60" s="2189"/>
      <c r="O60" s="2189"/>
      <c r="P60" s="2189"/>
      <c r="Q60" s="2189"/>
      <c r="R60" s="2189"/>
      <c r="S60" s="2189"/>
      <c r="T60" s="2189"/>
      <c r="U60" s="2189"/>
      <c r="V60" s="2189"/>
      <c r="W60" s="2189"/>
      <c r="X60" s="2189"/>
      <c r="Y60" s="2189"/>
      <c r="Z60" s="2189"/>
      <c r="AA60" s="2189"/>
      <c r="AB60" s="2189"/>
      <c r="AC60" s="2189"/>
      <c r="AD60" s="2189"/>
      <c r="AE60" s="2189"/>
      <c r="AF60" s="2189"/>
      <c r="AG60" s="2189"/>
      <c r="AH60" s="2266">
        <v>0</v>
      </c>
    </row>
    <row r="61" spans="1:34" ht="13.8">
      <c r="A61" s="2187" t="s">
        <v>150</v>
      </c>
      <c r="B61" s="2194">
        <v>0</v>
      </c>
      <c r="C61" s="2189"/>
      <c r="D61" s="2189"/>
      <c r="E61" s="2189"/>
      <c r="F61" s="2189"/>
      <c r="G61" s="2189"/>
      <c r="H61" s="2189"/>
      <c r="I61" s="2189"/>
      <c r="J61" s="2189"/>
      <c r="K61" s="2189"/>
      <c r="L61" s="2189"/>
      <c r="M61" s="2189"/>
      <c r="N61" s="2189"/>
      <c r="O61" s="2189"/>
      <c r="P61" s="2189"/>
      <c r="Q61" s="2189"/>
      <c r="R61" s="2189"/>
      <c r="S61" s="2189"/>
      <c r="T61" s="2189"/>
      <c r="U61" s="2189"/>
      <c r="V61" s="2189"/>
      <c r="W61" s="2189"/>
      <c r="X61" s="2189"/>
      <c r="Y61" s="2189"/>
      <c r="Z61" s="2189"/>
      <c r="AA61" s="2189"/>
      <c r="AB61" s="2189"/>
      <c r="AC61" s="2189"/>
      <c r="AD61" s="2189"/>
      <c r="AE61" s="2189"/>
      <c r="AF61" s="2189"/>
      <c r="AG61" s="2189"/>
      <c r="AH61" s="2266">
        <v>0</v>
      </c>
    </row>
    <row r="62" spans="1:34" ht="13.8">
      <c r="A62" s="2187" t="s">
        <v>151</v>
      </c>
      <c r="B62" s="2194">
        <v>0</v>
      </c>
      <c r="C62" s="2189"/>
      <c r="D62" s="2189"/>
      <c r="E62" s="2189"/>
      <c r="F62" s="2189"/>
      <c r="G62" s="2189"/>
      <c r="H62" s="2189"/>
      <c r="I62" s="2189"/>
      <c r="J62" s="2189"/>
      <c r="K62" s="2189"/>
      <c r="L62" s="2189"/>
      <c r="M62" s="2189"/>
      <c r="N62" s="2189"/>
      <c r="O62" s="2189"/>
      <c r="P62" s="2189"/>
      <c r="Q62" s="2189"/>
      <c r="R62" s="2189"/>
      <c r="S62" s="2189"/>
      <c r="T62" s="2189"/>
      <c r="U62" s="2189"/>
      <c r="V62" s="2189"/>
      <c r="W62" s="2189"/>
      <c r="X62" s="2189"/>
      <c r="Y62" s="2189"/>
      <c r="Z62" s="2189"/>
      <c r="AA62" s="2189"/>
      <c r="AB62" s="2189"/>
      <c r="AC62" s="2189"/>
      <c r="AD62" s="2189"/>
      <c r="AE62" s="2189"/>
      <c r="AF62" s="2189"/>
      <c r="AG62" s="2189"/>
      <c r="AH62" s="2266">
        <v>0</v>
      </c>
    </row>
    <row r="63" spans="1:34" ht="13.8">
      <c r="A63" s="2187" t="s">
        <v>152</v>
      </c>
      <c r="B63" s="2194">
        <v>0</v>
      </c>
      <c r="C63" s="2189"/>
      <c r="D63" s="2189"/>
      <c r="E63" s="2189"/>
      <c r="F63" s="2189"/>
      <c r="G63" s="2189"/>
      <c r="H63" s="2189"/>
      <c r="I63" s="2189"/>
      <c r="J63" s="2189"/>
      <c r="K63" s="2189"/>
      <c r="L63" s="2189"/>
      <c r="M63" s="2189"/>
      <c r="N63" s="2189"/>
      <c r="O63" s="2189"/>
      <c r="P63" s="2189"/>
      <c r="Q63" s="2189"/>
      <c r="R63" s="2189"/>
      <c r="S63" s="2189"/>
      <c r="T63" s="2189"/>
      <c r="U63" s="2189"/>
      <c r="V63" s="2189"/>
      <c r="W63" s="2189"/>
      <c r="X63" s="2189"/>
      <c r="Y63" s="2189"/>
      <c r="Z63" s="2189"/>
      <c r="AA63" s="2189"/>
      <c r="AB63" s="2189"/>
      <c r="AC63" s="2189"/>
      <c r="AD63" s="2189"/>
      <c r="AE63" s="2189"/>
      <c r="AF63" s="2189"/>
      <c r="AG63" s="2189"/>
      <c r="AH63" s="2266">
        <v>0</v>
      </c>
    </row>
    <row r="64" spans="1:34" ht="13.8">
      <c r="A64" s="2187" t="s">
        <v>153</v>
      </c>
      <c r="B64" s="2194">
        <v>0</v>
      </c>
      <c r="C64" s="2189"/>
      <c r="D64" s="2189"/>
      <c r="E64" s="2189"/>
      <c r="F64" s="2189"/>
      <c r="G64" s="2189"/>
      <c r="H64" s="2189"/>
      <c r="I64" s="2189"/>
      <c r="J64" s="2189"/>
      <c r="K64" s="2189"/>
      <c r="L64" s="2189"/>
      <c r="M64" s="2189"/>
      <c r="N64" s="2189"/>
      <c r="O64" s="2189"/>
      <c r="P64" s="2189"/>
      <c r="Q64" s="2189"/>
      <c r="R64" s="2189"/>
      <c r="S64" s="2189"/>
      <c r="T64" s="2189"/>
      <c r="U64" s="2189"/>
      <c r="V64" s="2189"/>
      <c r="W64" s="2189"/>
      <c r="X64" s="2189"/>
      <c r="Y64" s="2189"/>
      <c r="Z64" s="2189"/>
      <c r="AA64" s="2189"/>
      <c r="AB64" s="2189"/>
      <c r="AC64" s="2189"/>
      <c r="AD64" s="2189"/>
      <c r="AE64" s="2189"/>
      <c r="AF64" s="2189"/>
      <c r="AG64" s="2189"/>
      <c r="AH64" s="2266">
        <v>0</v>
      </c>
    </row>
    <row r="65" spans="1:34" ht="13.8">
      <c r="A65" s="2190" t="s">
        <v>154</v>
      </c>
      <c r="B65" s="2194">
        <f>+AH65</f>
        <v>9.125</v>
      </c>
      <c r="C65" s="2364">
        <v>0</v>
      </c>
      <c r="D65" s="2364">
        <v>0</v>
      </c>
      <c r="E65" s="2364">
        <v>0</v>
      </c>
      <c r="F65" s="2364">
        <v>0</v>
      </c>
      <c r="G65" s="2364">
        <v>0</v>
      </c>
      <c r="H65" s="2364">
        <v>0</v>
      </c>
      <c r="I65" s="2364">
        <v>0</v>
      </c>
      <c r="J65" s="2364">
        <v>0</v>
      </c>
      <c r="K65" s="2364">
        <v>0</v>
      </c>
      <c r="L65" s="2364">
        <v>0</v>
      </c>
      <c r="M65" s="2364">
        <v>9.125</v>
      </c>
      <c r="N65" s="2364">
        <v>0</v>
      </c>
      <c r="O65" s="2364">
        <v>0</v>
      </c>
      <c r="P65" s="2364">
        <v>0</v>
      </c>
      <c r="Q65" s="2364">
        <v>0</v>
      </c>
      <c r="R65" s="2364">
        <v>0</v>
      </c>
      <c r="S65" s="2364">
        <v>0</v>
      </c>
      <c r="T65" s="2364">
        <v>0</v>
      </c>
      <c r="U65" s="2364">
        <v>0</v>
      </c>
      <c r="V65" s="2364">
        <v>0</v>
      </c>
      <c r="W65" s="2364">
        <v>0</v>
      </c>
      <c r="X65" s="2364">
        <v>0</v>
      </c>
      <c r="Y65" s="2364">
        <v>0</v>
      </c>
      <c r="Z65" s="2364">
        <v>0</v>
      </c>
      <c r="AA65" s="2364">
        <v>0</v>
      </c>
      <c r="AB65" s="2364">
        <v>0</v>
      </c>
      <c r="AC65" s="2364">
        <v>0</v>
      </c>
      <c r="AD65" s="2189">
        <v>0</v>
      </c>
      <c r="AE65" s="2189">
        <v>0</v>
      </c>
      <c r="AF65" s="2189">
        <v>0</v>
      </c>
      <c r="AG65" s="2189">
        <v>0</v>
      </c>
      <c r="AH65" s="2266">
        <f>SUM(C65:AG65)</f>
        <v>9.125</v>
      </c>
    </row>
    <row r="66" spans="1:34" ht="13.8">
      <c r="A66" s="2191" t="s">
        <v>155</v>
      </c>
      <c r="B66" s="2194">
        <f t="shared" ref="B66:B67" si="2">+AH66</f>
        <v>2.7610000000000001</v>
      </c>
      <c r="C66" s="2364">
        <v>0</v>
      </c>
      <c r="D66" s="2364">
        <v>0</v>
      </c>
      <c r="E66" s="2364">
        <v>0</v>
      </c>
      <c r="F66" s="2364">
        <v>0</v>
      </c>
      <c r="G66" s="2364">
        <v>0</v>
      </c>
      <c r="H66" s="2364">
        <v>0</v>
      </c>
      <c r="I66" s="2364">
        <v>0</v>
      </c>
      <c r="J66" s="2364">
        <v>0</v>
      </c>
      <c r="K66" s="2364">
        <v>0</v>
      </c>
      <c r="L66" s="2364">
        <v>0</v>
      </c>
      <c r="M66" s="2364">
        <v>0</v>
      </c>
      <c r="N66" s="2364">
        <v>0</v>
      </c>
      <c r="O66" s="2364">
        <v>0</v>
      </c>
      <c r="P66" s="2364">
        <v>0</v>
      </c>
      <c r="Q66" s="2364">
        <v>0</v>
      </c>
      <c r="R66" s="2364">
        <v>2.7610000000000001</v>
      </c>
      <c r="S66" s="2364">
        <v>0</v>
      </c>
      <c r="T66" s="2364">
        <v>0</v>
      </c>
      <c r="U66" s="2364">
        <v>0</v>
      </c>
      <c r="V66" s="2364">
        <v>0</v>
      </c>
      <c r="W66" s="2364">
        <v>0</v>
      </c>
      <c r="X66" s="2364">
        <v>0</v>
      </c>
      <c r="Y66" s="2364">
        <v>0</v>
      </c>
      <c r="Z66" s="2364">
        <v>0</v>
      </c>
      <c r="AA66" s="2364">
        <v>0</v>
      </c>
      <c r="AB66" s="2364">
        <v>0</v>
      </c>
      <c r="AC66" s="2364">
        <v>0</v>
      </c>
      <c r="AD66" s="2364">
        <v>0</v>
      </c>
      <c r="AE66" s="2364">
        <v>0</v>
      </c>
      <c r="AF66" s="2364">
        <v>0</v>
      </c>
      <c r="AG66" s="2364">
        <v>0</v>
      </c>
      <c r="AH66" s="2266">
        <f t="shared" ref="AH66:AH67" si="3">SUM(C66:AG66)</f>
        <v>2.7610000000000001</v>
      </c>
    </row>
    <row r="67" spans="1:34" ht="13.8">
      <c r="A67" s="2187"/>
      <c r="B67" s="2194">
        <f t="shared" si="2"/>
        <v>0</v>
      </c>
      <c r="C67" s="2189"/>
      <c r="D67" s="2189"/>
      <c r="E67" s="2189"/>
      <c r="F67" s="2189"/>
      <c r="G67" s="2189"/>
      <c r="H67" s="2189"/>
      <c r="I67" s="2189"/>
      <c r="J67" s="2189"/>
      <c r="K67" s="2189"/>
      <c r="L67" s="2189"/>
      <c r="M67" s="2189"/>
      <c r="N67" s="2189"/>
      <c r="O67" s="2189"/>
      <c r="P67" s="2189"/>
      <c r="Q67" s="2189"/>
      <c r="R67" s="2189"/>
      <c r="S67" s="2189"/>
      <c r="T67" s="2189"/>
      <c r="U67" s="2189"/>
      <c r="V67" s="2189"/>
      <c r="W67" s="2189"/>
      <c r="X67" s="2189"/>
      <c r="Y67" s="2189"/>
      <c r="Z67" s="2189"/>
      <c r="AA67" s="2189"/>
      <c r="AB67" s="2189"/>
      <c r="AC67" s="2189"/>
      <c r="AD67" s="2189"/>
      <c r="AE67" s="2189"/>
      <c r="AF67" s="2189"/>
      <c r="AG67" s="2189"/>
      <c r="AH67" s="2266">
        <f t="shared" si="3"/>
        <v>0</v>
      </c>
    </row>
    <row r="68" spans="1:34" ht="13.8">
      <c r="A68" s="2192" t="s">
        <v>111</v>
      </c>
      <c r="B68" s="2195">
        <f>SUM(B65:B67)</f>
        <v>11.885999999999999</v>
      </c>
      <c r="C68" s="2193"/>
      <c r="D68" s="2193"/>
      <c r="E68" s="2193"/>
      <c r="F68" s="2193"/>
      <c r="G68" s="2193"/>
      <c r="H68" s="2193"/>
      <c r="I68" s="2193"/>
      <c r="J68" s="2193"/>
      <c r="K68" s="2193"/>
      <c r="L68" s="2193"/>
      <c r="M68" s="2193"/>
      <c r="N68" s="2193"/>
      <c r="O68" s="2193"/>
      <c r="P68" s="2193"/>
      <c r="Q68" s="2193"/>
      <c r="R68" s="2193"/>
      <c r="S68" s="2193"/>
      <c r="T68" s="2193"/>
      <c r="U68" s="2193"/>
      <c r="V68" s="2193"/>
      <c r="W68" s="2193"/>
      <c r="X68" s="2193"/>
      <c r="Y68" s="2193"/>
      <c r="Z68" s="2193"/>
      <c r="AA68" s="2193"/>
      <c r="AB68" s="2193"/>
      <c r="AC68" s="2193"/>
      <c r="AD68" s="2193"/>
      <c r="AE68" s="2193"/>
      <c r="AF68" s="2193"/>
      <c r="AG68" s="2193"/>
      <c r="AH68" s="2267">
        <f>SUM(AH65:AH67)</f>
        <v>11.885999999999999</v>
      </c>
    </row>
    <row r="69" spans="1:34">
      <c r="AH69" s="730"/>
    </row>
    <row r="70" spans="1:34">
      <c r="AH70" s="730"/>
    </row>
    <row r="71" spans="1:34" ht="14.4">
      <c r="A71" s="4142" t="s">
        <v>1031</v>
      </c>
      <c r="B71" s="4143"/>
      <c r="C71" s="4143"/>
      <c r="D71" s="4143"/>
      <c r="E71" s="4143"/>
      <c r="F71" s="4143"/>
      <c r="G71" s="4144"/>
      <c r="AH71" s="730"/>
    </row>
    <row r="72" spans="1:34" ht="13.8">
      <c r="A72" s="4145" t="s">
        <v>989</v>
      </c>
      <c r="B72" s="4146"/>
      <c r="C72" s="4147"/>
      <c r="D72" s="2183"/>
      <c r="E72" s="2183"/>
      <c r="F72" s="2183"/>
      <c r="G72" s="2183"/>
      <c r="H72" s="2183"/>
      <c r="I72" s="2183"/>
      <c r="J72" s="2183"/>
      <c r="K72" s="2183"/>
      <c r="L72" s="2183"/>
      <c r="M72" s="2184"/>
      <c r="N72" s="2183"/>
      <c r="O72" s="2183"/>
      <c r="P72" s="2183"/>
      <c r="Q72" s="2183"/>
      <c r="R72" s="2183"/>
      <c r="S72" s="2183"/>
      <c r="T72" s="2183"/>
      <c r="U72" s="2183"/>
      <c r="V72" s="2183"/>
      <c r="W72" s="2183"/>
      <c r="X72" s="2183"/>
      <c r="Y72" s="2183"/>
      <c r="Z72" s="2183"/>
      <c r="AA72" s="2183"/>
      <c r="AB72" s="2183"/>
      <c r="AC72" s="2183"/>
      <c r="AD72" s="2183"/>
      <c r="AE72" s="2183"/>
      <c r="AF72" s="2183"/>
      <c r="AG72" s="2183"/>
      <c r="AH72" s="2264"/>
    </row>
    <row r="73" spans="1:34" ht="13.8">
      <c r="A73" s="2185" t="s">
        <v>142</v>
      </c>
      <c r="B73" s="2185" t="s">
        <v>143</v>
      </c>
      <c r="C73" s="2186">
        <v>1</v>
      </c>
      <c r="D73" s="2186">
        <v>2</v>
      </c>
      <c r="E73" s="2186">
        <v>3</v>
      </c>
      <c r="F73" s="2186">
        <v>4</v>
      </c>
      <c r="G73" s="2188">
        <v>5</v>
      </c>
      <c r="H73" s="2186">
        <v>6</v>
      </c>
      <c r="I73" s="2186">
        <v>7</v>
      </c>
      <c r="J73" s="2186">
        <v>8</v>
      </c>
      <c r="K73" s="2186">
        <v>9</v>
      </c>
      <c r="L73" s="2186">
        <v>10</v>
      </c>
      <c r="M73" s="2186">
        <v>11</v>
      </c>
      <c r="N73" s="2186">
        <v>12</v>
      </c>
      <c r="O73" s="2186">
        <v>13</v>
      </c>
      <c r="P73" s="2186">
        <v>14</v>
      </c>
      <c r="Q73" s="2186">
        <v>15</v>
      </c>
      <c r="R73" s="2186">
        <v>16</v>
      </c>
      <c r="S73" s="2186">
        <v>17</v>
      </c>
      <c r="T73" s="2186">
        <v>18</v>
      </c>
      <c r="U73" s="2186">
        <v>19</v>
      </c>
      <c r="V73" s="2186">
        <v>20</v>
      </c>
      <c r="W73" s="2187">
        <v>21</v>
      </c>
      <c r="X73" s="2186">
        <v>22</v>
      </c>
      <c r="Y73" s="2186">
        <v>23</v>
      </c>
      <c r="Z73" s="2186">
        <v>24</v>
      </c>
      <c r="AA73" s="2186">
        <v>25</v>
      </c>
      <c r="AB73" s="2186">
        <v>26</v>
      </c>
      <c r="AC73" s="2187">
        <v>27</v>
      </c>
      <c r="AD73" s="2186">
        <v>28</v>
      </c>
      <c r="AE73" s="2186">
        <v>29</v>
      </c>
      <c r="AF73" s="2186">
        <v>30</v>
      </c>
      <c r="AG73" s="2186">
        <v>31</v>
      </c>
      <c r="AH73" s="2265" t="s">
        <v>111</v>
      </c>
    </row>
    <row r="74" spans="1:34" ht="13.8">
      <c r="A74" s="2187" t="s">
        <v>145</v>
      </c>
      <c r="B74" s="2194">
        <f>+AH74</f>
        <v>0</v>
      </c>
      <c r="C74" s="2189"/>
      <c r="D74" s="2189"/>
      <c r="E74" s="2189"/>
      <c r="F74" s="2189"/>
      <c r="G74" s="2189"/>
      <c r="H74" s="2189"/>
      <c r="I74" s="2189"/>
      <c r="J74" s="2189"/>
      <c r="K74" s="2189"/>
      <c r="L74" s="2189"/>
      <c r="M74" s="2189"/>
      <c r="N74" s="2189"/>
      <c r="O74" s="2189"/>
      <c r="P74" s="2189"/>
      <c r="Q74" s="2189"/>
      <c r="R74" s="2189"/>
      <c r="S74" s="2189"/>
      <c r="T74" s="2189"/>
      <c r="U74" s="2189"/>
      <c r="V74" s="2189"/>
      <c r="W74" s="2189"/>
      <c r="X74" s="2189"/>
      <c r="Y74" s="2189"/>
      <c r="Z74" s="2189"/>
      <c r="AA74" s="2189"/>
      <c r="AB74" s="2189"/>
      <c r="AC74" s="2189"/>
      <c r="AD74" s="2189"/>
      <c r="AE74" s="2189"/>
      <c r="AF74" s="2189"/>
      <c r="AG74" s="2189"/>
      <c r="AH74" s="2266">
        <f>SUM(C74:AG74)</f>
        <v>0</v>
      </c>
    </row>
    <row r="75" spans="1:34" ht="13.8">
      <c r="A75" s="2187" t="s">
        <v>146</v>
      </c>
      <c r="B75" s="2194">
        <f t="shared" ref="B75:B85" si="4">+AH75</f>
        <v>0</v>
      </c>
      <c r="C75" s="2189"/>
      <c r="D75" s="2189"/>
      <c r="E75" s="2189"/>
      <c r="F75" s="2189"/>
      <c r="G75" s="2189"/>
      <c r="H75" s="2189"/>
      <c r="I75" s="2189"/>
      <c r="J75" s="2189"/>
      <c r="K75" s="2189"/>
      <c r="L75" s="2189"/>
      <c r="M75" s="2189"/>
      <c r="N75" s="2189"/>
      <c r="O75" s="2189"/>
      <c r="P75" s="2189"/>
      <c r="Q75" s="2189"/>
      <c r="R75" s="2189"/>
      <c r="S75" s="2189"/>
      <c r="T75" s="2189"/>
      <c r="U75" s="2189"/>
      <c r="V75" s="2189"/>
      <c r="W75" s="2189"/>
      <c r="X75" s="2189"/>
      <c r="Y75" s="2189"/>
      <c r="Z75" s="2189"/>
      <c r="AA75" s="2189"/>
      <c r="AB75" s="2189"/>
      <c r="AC75" s="2189"/>
      <c r="AD75" s="2189"/>
      <c r="AE75" s="2189"/>
      <c r="AF75" s="2189"/>
      <c r="AG75" s="2189"/>
      <c r="AH75" s="2266">
        <f t="shared" ref="AH75:AH84" si="5">SUM(C75:AG75)</f>
        <v>0</v>
      </c>
    </row>
    <row r="76" spans="1:34" ht="13.8">
      <c r="A76" s="2187" t="s">
        <v>147</v>
      </c>
      <c r="B76" s="2194">
        <f t="shared" si="4"/>
        <v>0</v>
      </c>
      <c r="C76" s="2189"/>
      <c r="D76" s="2189"/>
      <c r="E76" s="2189"/>
      <c r="F76" s="2189"/>
      <c r="G76" s="2189"/>
      <c r="H76" s="2189"/>
      <c r="I76" s="2189"/>
      <c r="J76" s="2189"/>
      <c r="K76" s="2189"/>
      <c r="L76" s="2189"/>
      <c r="M76" s="2189"/>
      <c r="N76" s="2189"/>
      <c r="O76" s="2189"/>
      <c r="P76" s="2189"/>
      <c r="Q76" s="2189"/>
      <c r="R76" s="2189"/>
      <c r="S76" s="2189"/>
      <c r="T76" s="2189"/>
      <c r="U76" s="2189"/>
      <c r="V76" s="2189"/>
      <c r="W76" s="2189"/>
      <c r="X76" s="2189"/>
      <c r="Y76" s="2189"/>
      <c r="Z76" s="2189"/>
      <c r="AA76" s="2189"/>
      <c r="AB76" s="2189"/>
      <c r="AC76" s="2189"/>
      <c r="AD76" s="2189"/>
      <c r="AE76" s="2189"/>
      <c r="AF76" s="2189"/>
      <c r="AG76" s="2189"/>
      <c r="AH76" s="2266">
        <f t="shared" si="5"/>
        <v>0</v>
      </c>
    </row>
    <row r="77" spans="1:34" ht="13.8">
      <c r="A77" s="2187" t="s">
        <v>148</v>
      </c>
      <c r="B77" s="2194">
        <f t="shared" si="4"/>
        <v>0</v>
      </c>
      <c r="C77" s="2189"/>
      <c r="D77" s="2189"/>
      <c r="E77" s="2189"/>
      <c r="F77" s="2189"/>
      <c r="G77" s="2189"/>
      <c r="H77" s="2189"/>
      <c r="I77" s="2189"/>
      <c r="J77" s="2189"/>
      <c r="K77" s="2189"/>
      <c r="L77" s="2189"/>
      <c r="M77" s="2189"/>
      <c r="N77" s="2189"/>
      <c r="O77" s="2189"/>
      <c r="P77" s="2189"/>
      <c r="Q77" s="2189"/>
      <c r="R77" s="2189"/>
      <c r="S77" s="2189"/>
      <c r="T77" s="2189"/>
      <c r="U77" s="2189"/>
      <c r="V77" s="2189"/>
      <c r="W77" s="2189"/>
      <c r="X77" s="2189"/>
      <c r="Y77" s="2189"/>
      <c r="Z77" s="2189"/>
      <c r="AA77" s="2189"/>
      <c r="AB77" s="2189"/>
      <c r="AC77" s="2189"/>
      <c r="AD77" s="2189"/>
      <c r="AE77" s="2189"/>
      <c r="AF77" s="2189"/>
      <c r="AG77" s="2189"/>
      <c r="AH77" s="2266">
        <f t="shared" si="5"/>
        <v>0</v>
      </c>
    </row>
    <row r="78" spans="1:34" ht="13.8">
      <c r="A78" s="2187" t="s">
        <v>149</v>
      </c>
      <c r="B78" s="2194">
        <f t="shared" si="4"/>
        <v>0</v>
      </c>
      <c r="C78" s="2189"/>
      <c r="D78" s="2189"/>
      <c r="E78" s="2189"/>
      <c r="F78" s="2189"/>
      <c r="G78" s="2189"/>
      <c r="H78" s="2189"/>
      <c r="I78" s="2189"/>
      <c r="J78" s="2189"/>
      <c r="K78" s="2189"/>
      <c r="L78" s="2189"/>
      <c r="M78" s="2189"/>
      <c r="N78" s="2189"/>
      <c r="O78" s="2189"/>
      <c r="P78" s="2189"/>
      <c r="Q78" s="2189"/>
      <c r="R78" s="2189"/>
      <c r="S78" s="2189"/>
      <c r="T78" s="2189"/>
      <c r="U78" s="2189"/>
      <c r="V78" s="2189"/>
      <c r="W78" s="2189"/>
      <c r="X78" s="2189"/>
      <c r="Y78" s="2189"/>
      <c r="Z78" s="2189"/>
      <c r="AA78" s="2189"/>
      <c r="AB78" s="2189"/>
      <c r="AC78" s="2189"/>
      <c r="AD78" s="2189"/>
      <c r="AE78" s="2189"/>
      <c r="AF78" s="2189"/>
      <c r="AG78" s="2189"/>
      <c r="AH78" s="2266">
        <f t="shared" si="5"/>
        <v>0</v>
      </c>
    </row>
    <row r="79" spans="1:34" ht="13.8">
      <c r="A79" s="2187" t="s">
        <v>150</v>
      </c>
      <c r="B79" s="2194">
        <f t="shared" si="4"/>
        <v>0</v>
      </c>
      <c r="C79" s="2189"/>
      <c r="D79" s="2189"/>
      <c r="E79" s="2189"/>
      <c r="F79" s="2189"/>
      <c r="G79" s="2189"/>
      <c r="H79" s="2189"/>
      <c r="I79" s="2189"/>
      <c r="J79" s="2189"/>
      <c r="K79" s="2189"/>
      <c r="L79" s="2189"/>
      <c r="M79" s="2189"/>
      <c r="N79" s="2189"/>
      <c r="O79" s="2189"/>
      <c r="P79" s="2189"/>
      <c r="Q79" s="2189"/>
      <c r="R79" s="2189"/>
      <c r="S79" s="2189"/>
      <c r="T79" s="2189"/>
      <c r="U79" s="2189"/>
      <c r="V79" s="2189"/>
      <c r="W79" s="2189"/>
      <c r="X79" s="2189"/>
      <c r="Y79" s="2189"/>
      <c r="Z79" s="2189"/>
      <c r="AA79" s="2189"/>
      <c r="AB79" s="2189"/>
      <c r="AC79" s="2189"/>
      <c r="AD79" s="2189"/>
      <c r="AE79" s="2189"/>
      <c r="AF79" s="2189"/>
      <c r="AG79" s="2189"/>
      <c r="AH79" s="2266">
        <f t="shared" si="5"/>
        <v>0</v>
      </c>
    </row>
    <row r="80" spans="1:34" ht="13.8">
      <c r="A80" s="2187" t="s">
        <v>151</v>
      </c>
      <c r="B80" s="2194">
        <f t="shared" si="4"/>
        <v>0</v>
      </c>
      <c r="C80" s="2189"/>
      <c r="D80" s="2189"/>
      <c r="E80" s="2189"/>
      <c r="F80" s="2189"/>
      <c r="G80" s="2189"/>
      <c r="H80" s="2189"/>
      <c r="I80" s="2189"/>
      <c r="J80" s="2189"/>
      <c r="K80" s="2189"/>
      <c r="L80" s="2189"/>
      <c r="M80" s="2189"/>
      <c r="N80" s="2189"/>
      <c r="O80" s="2189"/>
      <c r="P80" s="2189"/>
      <c r="Q80" s="2189"/>
      <c r="R80" s="2189"/>
      <c r="S80" s="2189"/>
      <c r="T80" s="2189"/>
      <c r="U80" s="2189"/>
      <c r="V80" s="2189"/>
      <c r="W80" s="2189"/>
      <c r="X80" s="2189"/>
      <c r="Y80" s="2189"/>
      <c r="Z80" s="2189"/>
      <c r="AA80" s="2189"/>
      <c r="AB80" s="2189"/>
      <c r="AC80" s="2189"/>
      <c r="AD80" s="2189"/>
      <c r="AE80" s="2189"/>
      <c r="AF80" s="2189"/>
      <c r="AG80" s="2189"/>
      <c r="AH80" s="2266">
        <f t="shared" si="5"/>
        <v>0</v>
      </c>
    </row>
    <row r="81" spans="1:34" ht="13.8">
      <c r="A81" s="2187" t="s">
        <v>152</v>
      </c>
      <c r="B81" s="2194">
        <f t="shared" si="4"/>
        <v>0</v>
      </c>
      <c r="C81" s="2189"/>
      <c r="D81" s="2189"/>
      <c r="E81" s="2189"/>
      <c r="F81" s="2189"/>
      <c r="G81" s="2189"/>
      <c r="H81" s="2189"/>
      <c r="I81" s="2189"/>
      <c r="J81" s="2189"/>
      <c r="K81" s="2189"/>
      <c r="L81" s="2189"/>
      <c r="M81" s="2189"/>
      <c r="N81" s="2189"/>
      <c r="O81" s="2189"/>
      <c r="P81" s="2189"/>
      <c r="Q81" s="2189"/>
      <c r="R81" s="2189"/>
      <c r="S81" s="2189"/>
      <c r="T81" s="2189"/>
      <c r="U81" s="2189"/>
      <c r="V81" s="2189"/>
      <c r="W81" s="2189"/>
      <c r="X81" s="2189"/>
      <c r="Y81" s="2189"/>
      <c r="Z81" s="2189"/>
      <c r="AA81" s="2189"/>
      <c r="AB81" s="2189"/>
      <c r="AC81" s="2189"/>
      <c r="AD81" s="2189"/>
      <c r="AE81" s="2189"/>
      <c r="AF81" s="2189"/>
      <c r="AG81" s="2189"/>
      <c r="AH81" s="2266">
        <f t="shared" si="5"/>
        <v>0</v>
      </c>
    </row>
    <row r="82" spans="1:34" ht="13.8">
      <c r="A82" s="2187" t="s">
        <v>153</v>
      </c>
      <c r="B82" s="2194">
        <f t="shared" si="4"/>
        <v>0</v>
      </c>
      <c r="C82" s="2189"/>
      <c r="D82" s="2189"/>
      <c r="E82" s="2189"/>
      <c r="F82" s="2189"/>
      <c r="G82" s="2189"/>
      <c r="H82" s="2189"/>
      <c r="I82" s="2189"/>
      <c r="J82" s="2189"/>
      <c r="K82" s="2189"/>
      <c r="L82" s="2189"/>
      <c r="M82" s="2189"/>
      <c r="N82" s="2189"/>
      <c r="O82" s="2189"/>
      <c r="P82" s="2189"/>
      <c r="Q82" s="2189"/>
      <c r="R82" s="2189"/>
      <c r="S82" s="2189"/>
      <c r="T82" s="2189"/>
      <c r="U82" s="2189"/>
      <c r="V82" s="2189"/>
      <c r="W82" s="2189"/>
      <c r="X82" s="2189"/>
      <c r="Y82" s="2189"/>
      <c r="Z82" s="2189"/>
      <c r="AA82" s="2189"/>
      <c r="AB82" s="2189"/>
      <c r="AC82" s="2189"/>
      <c r="AD82" s="2189"/>
      <c r="AE82" s="2189"/>
      <c r="AF82" s="2189"/>
      <c r="AG82" s="2189"/>
      <c r="AH82" s="2266">
        <f t="shared" si="5"/>
        <v>0</v>
      </c>
    </row>
    <row r="83" spans="1:34" ht="13.8">
      <c r="A83" s="2190" t="s">
        <v>154</v>
      </c>
      <c r="B83" s="2194">
        <f t="shared" si="4"/>
        <v>0</v>
      </c>
      <c r="C83" s="2189"/>
      <c r="D83" s="2189"/>
      <c r="E83" s="2189"/>
      <c r="F83" s="2189"/>
      <c r="G83" s="2189"/>
      <c r="H83" s="2189"/>
      <c r="I83" s="2189"/>
      <c r="J83" s="2189"/>
      <c r="K83" s="2189"/>
      <c r="L83" s="2189"/>
      <c r="M83" s="2189"/>
      <c r="N83" s="2189"/>
      <c r="O83" s="2189"/>
      <c r="P83" s="2189"/>
      <c r="Q83" s="2189"/>
      <c r="R83" s="2189"/>
      <c r="S83" s="2189"/>
      <c r="T83" s="2189"/>
      <c r="U83" s="2189"/>
      <c r="V83" s="2189"/>
      <c r="W83" s="2189"/>
      <c r="X83" s="2189"/>
      <c r="Y83" s="2189"/>
      <c r="Z83" s="2189"/>
      <c r="AA83" s="2189"/>
      <c r="AB83" s="2189"/>
      <c r="AC83" s="2189"/>
      <c r="AD83" s="2189"/>
      <c r="AE83" s="2189"/>
      <c r="AF83" s="2189"/>
      <c r="AG83" s="2189"/>
      <c r="AH83" s="2266">
        <f t="shared" si="5"/>
        <v>0</v>
      </c>
    </row>
    <row r="84" spans="1:34" ht="13.8">
      <c r="A84" s="2191" t="s">
        <v>155</v>
      </c>
      <c r="B84" s="2194">
        <f t="shared" si="4"/>
        <v>0</v>
      </c>
      <c r="C84" s="2189"/>
      <c r="D84" s="2189"/>
      <c r="E84" s="2189"/>
      <c r="F84" s="2189"/>
      <c r="G84" s="2189"/>
      <c r="H84" s="2189"/>
      <c r="I84" s="2189"/>
      <c r="J84" s="2189"/>
      <c r="K84" s="2189"/>
      <c r="L84" s="2189"/>
      <c r="M84" s="2189"/>
      <c r="N84" s="2189"/>
      <c r="O84" s="2189"/>
      <c r="P84" s="2189"/>
      <c r="Q84" s="2189"/>
      <c r="R84" s="2189"/>
      <c r="S84" s="2189"/>
      <c r="T84" s="2189"/>
      <c r="U84" s="2189"/>
      <c r="V84" s="2189"/>
      <c r="W84" s="2189"/>
      <c r="X84" s="2189"/>
      <c r="Y84" s="2189"/>
      <c r="Z84" s="2189"/>
      <c r="AA84" s="2189"/>
      <c r="AB84" s="2189"/>
      <c r="AC84" s="2189"/>
      <c r="AD84" s="2189"/>
      <c r="AE84" s="2189"/>
      <c r="AF84" s="2189"/>
      <c r="AG84" s="2189"/>
      <c r="AH84" s="2266">
        <f t="shared" si="5"/>
        <v>0</v>
      </c>
    </row>
    <row r="85" spans="1:34" ht="13.8">
      <c r="A85" s="2187"/>
      <c r="B85" s="2194">
        <f t="shared" si="4"/>
        <v>0</v>
      </c>
      <c r="C85" s="2189"/>
      <c r="D85" s="2189"/>
      <c r="E85" s="2189"/>
      <c r="F85" s="2189"/>
      <c r="G85" s="2189"/>
      <c r="H85" s="2189"/>
      <c r="I85" s="2189"/>
      <c r="J85" s="2189"/>
      <c r="K85" s="2189"/>
      <c r="L85" s="2189"/>
      <c r="M85" s="2189"/>
      <c r="N85" s="2189"/>
      <c r="O85" s="2189"/>
      <c r="P85" s="2189"/>
      <c r="Q85" s="2189"/>
      <c r="R85" s="2189"/>
      <c r="S85" s="2189"/>
      <c r="T85" s="2189"/>
      <c r="U85" s="2189"/>
      <c r="V85" s="2189"/>
      <c r="W85" s="2189"/>
      <c r="X85" s="2189"/>
      <c r="Y85" s="2189"/>
      <c r="Z85" s="2189"/>
      <c r="AA85" s="2189"/>
      <c r="AB85" s="2189"/>
      <c r="AC85" s="2189"/>
      <c r="AD85" s="2189"/>
      <c r="AE85" s="2189"/>
      <c r="AF85" s="2189"/>
      <c r="AG85" s="2189"/>
      <c r="AH85" s="2266">
        <f>SUM(C85:AG85)</f>
        <v>0</v>
      </c>
    </row>
    <row r="86" spans="1:34" ht="13.8">
      <c r="A86" s="2192" t="s">
        <v>111</v>
      </c>
      <c r="B86" s="2195">
        <f>SUM(B74:B85)</f>
        <v>0</v>
      </c>
      <c r="C86" s="2193"/>
      <c r="D86" s="2193"/>
      <c r="E86" s="2193"/>
      <c r="F86" s="2193"/>
      <c r="G86" s="2193"/>
      <c r="H86" s="2193"/>
      <c r="I86" s="2193"/>
      <c r="J86" s="2193"/>
      <c r="K86" s="2193"/>
      <c r="L86" s="2193"/>
      <c r="M86" s="2193"/>
      <c r="N86" s="2193"/>
      <c r="O86" s="2193"/>
      <c r="P86" s="2193"/>
      <c r="Q86" s="2193"/>
      <c r="R86" s="2193"/>
      <c r="S86" s="2193"/>
      <c r="T86" s="2193"/>
      <c r="U86" s="2193"/>
      <c r="V86" s="2193"/>
      <c r="W86" s="2193"/>
      <c r="X86" s="2193"/>
      <c r="Y86" s="2193"/>
      <c r="Z86" s="2193"/>
      <c r="AA86" s="2193"/>
      <c r="AB86" s="2193"/>
      <c r="AC86" s="2193"/>
      <c r="AD86" s="2193"/>
      <c r="AE86" s="2193"/>
      <c r="AF86" s="2193"/>
      <c r="AG86" s="2193"/>
      <c r="AH86" s="2267">
        <f>SUM(AH74:AH85)</f>
        <v>0</v>
      </c>
    </row>
    <row r="87" spans="1:34">
      <c r="AH87" s="730"/>
    </row>
    <row r="88" spans="1:34">
      <c r="AH88" s="730"/>
    </row>
    <row r="89" spans="1:34" ht="13.8">
      <c r="A89" s="4148" t="s">
        <v>990</v>
      </c>
      <c r="B89" s="4149"/>
      <c r="C89" s="4150"/>
      <c r="D89" s="2183"/>
      <c r="E89" s="2183"/>
      <c r="F89" s="2183"/>
      <c r="G89" s="2183"/>
      <c r="H89" s="2183"/>
      <c r="I89" s="2183"/>
      <c r="J89" s="2183"/>
      <c r="K89" s="2183"/>
      <c r="L89" s="2183"/>
      <c r="M89" s="2184"/>
      <c r="N89" s="2183"/>
      <c r="O89" s="2183"/>
      <c r="P89" s="2183"/>
      <c r="Q89" s="2183"/>
      <c r="R89" s="2183"/>
      <c r="S89" s="2183"/>
      <c r="T89" s="2183"/>
      <c r="U89" s="2183"/>
      <c r="V89" s="2183"/>
      <c r="W89" s="2183"/>
      <c r="X89" s="2183"/>
      <c r="Y89" s="2183"/>
      <c r="Z89" s="2183"/>
      <c r="AA89" s="2183"/>
      <c r="AB89" s="2183"/>
      <c r="AC89" s="2183"/>
      <c r="AD89" s="2183"/>
      <c r="AE89" s="2183"/>
      <c r="AF89" s="2183"/>
      <c r="AG89" s="2183"/>
      <c r="AH89" s="2264"/>
    </row>
    <row r="90" spans="1:34" ht="13.8">
      <c r="A90" s="2185" t="s">
        <v>142</v>
      </c>
      <c r="B90" s="2185" t="s">
        <v>143</v>
      </c>
      <c r="C90" s="2186">
        <v>1</v>
      </c>
      <c r="D90" s="2186">
        <v>2</v>
      </c>
      <c r="E90" s="2186">
        <v>3</v>
      </c>
      <c r="F90" s="2186">
        <v>4</v>
      </c>
      <c r="G90" s="2188">
        <v>5</v>
      </c>
      <c r="H90" s="2186">
        <v>6</v>
      </c>
      <c r="I90" s="2186">
        <v>7</v>
      </c>
      <c r="J90" s="2186">
        <v>8</v>
      </c>
      <c r="K90" s="2186">
        <v>9</v>
      </c>
      <c r="L90" s="2186">
        <v>10</v>
      </c>
      <c r="M90" s="2186">
        <v>11</v>
      </c>
      <c r="N90" s="2186">
        <v>12</v>
      </c>
      <c r="O90" s="2186">
        <v>13</v>
      </c>
      <c r="P90" s="2186">
        <v>14</v>
      </c>
      <c r="Q90" s="2186">
        <v>15</v>
      </c>
      <c r="R90" s="2186">
        <v>16</v>
      </c>
      <c r="S90" s="2186">
        <v>17</v>
      </c>
      <c r="T90" s="2186">
        <v>18</v>
      </c>
      <c r="U90" s="2186">
        <v>19</v>
      </c>
      <c r="V90" s="2186">
        <v>20</v>
      </c>
      <c r="W90" s="2187">
        <v>21</v>
      </c>
      <c r="X90" s="2186">
        <v>22</v>
      </c>
      <c r="Y90" s="2186">
        <v>23</v>
      </c>
      <c r="Z90" s="2186">
        <v>24</v>
      </c>
      <c r="AA90" s="2186">
        <v>25</v>
      </c>
      <c r="AB90" s="2186">
        <v>26</v>
      </c>
      <c r="AC90" s="2187">
        <v>27</v>
      </c>
      <c r="AD90" s="2186">
        <v>28</v>
      </c>
      <c r="AE90" s="2186">
        <v>29</v>
      </c>
      <c r="AF90" s="2186">
        <v>30</v>
      </c>
      <c r="AG90" s="2186">
        <v>31</v>
      </c>
      <c r="AH90" s="2265" t="s">
        <v>111</v>
      </c>
    </row>
    <row r="91" spans="1:34" ht="13.8">
      <c r="A91" s="2187" t="s">
        <v>145</v>
      </c>
      <c r="B91" s="2194">
        <f>+AH91</f>
        <v>0</v>
      </c>
      <c r="C91" s="2189"/>
      <c r="D91" s="2189"/>
      <c r="E91" s="2189"/>
      <c r="F91" s="2189"/>
      <c r="G91" s="2189"/>
      <c r="H91" s="2189"/>
      <c r="I91" s="2189"/>
      <c r="J91" s="2189"/>
      <c r="K91" s="2189"/>
      <c r="L91" s="2189"/>
      <c r="M91" s="2189"/>
      <c r="N91" s="2189"/>
      <c r="O91" s="2189"/>
      <c r="P91" s="2189"/>
      <c r="Q91" s="2189"/>
      <c r="R91" s="2189"/>
      <c r="S91" s="2189"/>
      <c r="T91" s="2189"/>
      <c r="U91" s="2189"/>
      <c r="V91" s="2189"/>
      <c r="W91" s="2189"/>
      <c r="X91" s="2189"/>
      <c r="Y91" s="2189"/>
      <c r="Z91" s="2189"/>
      <c r="AA91" s="2189"/>
      <c r="AB91" s="2189"/>
      <c r="AC91" s="2189"/>
      <c r="AD91" s="2189"/>
      <c r="AE91" s="2189"/>
      <c r="AF91" s="2189"/>
      <c r="AG91" s="2189"/>
      <c r="AH91" s="2266">
        <f>SUM(C91:AG91)</f>
        <v>0</v>
      </c>
    </row>
    <row r="92" spans="1:34" ht="13.8">
      <c r="A92" s="2187" t="s">
        <v>146</v>
      </c>
      <c r="B92" s="2194">
        <f t="shared" ref="B92:B102" si="6">+AH92</f>
        <v>0</v>
      </c>
      <c r="C92" s="2189"/>
      <c r="D92" s="2189"/>
      <c r="E92" s="2189"/>
      <c r="F92" s="2189"/>
      <c r="G92" s="2189"/>
      <c r="H92" s="2189"/>
      <c r="I92" s="2189"/>
      <c r="J92" s="2189"/>
      <c r="K92" s="2189"/>
      <c r="L92" s="2189"/>
      <c r="M92" s="2189"/>
      <c r="N92" s="2189"/>
      <c r="O92" s="2189"/>
      <c r="P92" s="2189"/>
      <c r="Q92" s="2189"/>
      <c r="R92" s="2189"/>
      <c r="S92" s="2189"/>
      <c r="T92" s="2189"/>
      <c r="U92" s="2189"/>
      <c r="V92" s="2189"/>
      <c r="W92" s="2189"/>
      <c r="X92" s="2189"/>
      <c r="Y92" s="2189"/>
      <c r="Z92" s="2189"/>
      <c r="AA92" s="2189"/>
      <c r="AB92" s="2189"/>
      <c r="AC92" s="2189"/>
      <c r="AD92" s="2189"/>
      <c r="AE92" s="2189"/>
      <c r="AF92" s="2189"/>
      <c r="AG92" s="2189"/>
      <c r="AH92" s="2266">
        <f t="shared" ref="AH92:AH101" si="7">SUM(C92:AG92)</f>
        <v>0</v>
      </c>
    </row>
    <row r="93" spans="1:34" ht="13.8">
      <c r="A93" s="2187" t="s">
        <v>147</v>
      </c>
      <c r="B93" s="2194">
        <f t="shared" si="6"/>
        <v>0</v>
      </c>
      <c r="C93" s="2189"/>
      <c r="D93" s="2189"/>
      <c r="E93" s="2189"/>
      <c r="F93" s="2189"/>
      <c r="G93" s="2189"/>
      <c r="H93" s="2189"/>
      <c r="I93" s="2189"/>
      <c r="J93" s="2189"/>
      <c r="K93" s="2189"/>
      <c r="L93" s="2189"/>
      <c r="M93" s="2189"/>
      <c r="N93" s="2189"/>
      <c r="O93" s="2189"/>
      <c r="P93" s="2189"/>
      <c r="Q93" s="2189"/>
      <c r="R93" s="2189"/>
      <c r="S93" s="2189"/>
      <c r="T93" s="2189"/>
      <c r="U93" s="2189"/>
      <c r="V93" s="2189"/>
      <c r="W93" s="2189"/>
      <c r="X93" s="2189"/>
      <c r="Y93" s="2189"/>
      <c r="Z93" s="2189"/>
      <c r="AA93" s="2189"/>
      <c r="AB93" s="2189"/>
      <c r="AC93" s="2189"/>
      <c r="AD93" s="2189"/>
      <c r="AE93" s="2189"/>
      <c r="AF93" s="2189"/>
      <c r="AG93" s="2189"/>
      <c r="AH93" s="2266">
        <f t="shared" si="7"/>
        <v>0</v>
      </c>
    </row>
    <row r="94" spans="1:34" ht="13.8">
      <c r="A94" s="2187" t="s">
        <v>148</v>
      </c>
      <c r="B94" s="2194">
        <f t="shared" si="6"/>
        <v>0</v>
      </c>
      <c r="C94" s="2189"/>
      <c r="D94" s="2189"/>
      <c r="E94" s="2189"/>
      <c r="F94" s="2189"/>
      <c r="G94" s="2189"/>
      <c r="H94" s="2189"/>
      <c r="I94" s="2189"/>
      <c r="J94" s="2189"/>
      <c r="K94" s="2189"/>
      <c r="L94" s="2189"/>
      <c r="M94" s="2189"/>
      <c r="N94" s="2189"/>
      <c r="O94" s="2189"/>
      <c r="P94" s="2189"/>
      <c r="Q94" s="2189"/>
      <c r="R94" s="2189"/>
      <c r="S94" s="2189"/>
      <c r="T94" s="2189"/>
      <c r="U94" s="2189"/>
      <c r="V94" s="2189"/>
      <c r="W94" s="2189"/>
      <c r="X94" s="2189"/>
      <c r="Y94" s="2189"/>
      <c r="Z94" s="2189"/>
      <c r="AA94" s="2189"/>
      <c r="AB94" s="2189"/>
      <c r="AC94" s="2189"/>
      <c r="AD94" s="2189"/>
      <c r="AE94" s="2189"/>
      <c r="AF94" s="2189"/>
      <c r="AG94" s="2189"/>
      <c r="AH94" s="2266">
        <f t="shared" si="7"/>
        <v>0</v>
      </c>
    </row>
    <row r="95" spans="1:34" ht="13.8">
      <c r="A95" s="2187" t="s">
        <v>149</v>
      </c>
      <c r="B95" s="2194">
        <f t="shared" si="6"/>
        <v>0</v>
      </c>
      <c r="C95" s="2189"/>
      <c r="D95" s="2189"/>
      <c r="E95" s="2189"/>
      <c r="F95" s="2189"/>
      <c r="G95" s="2189"/>
      <c r="H95" s="2189"/>
      <c r="I95" s="2189"/>
      <c r="J95" s="2189"/>
      <c r="K95" s="2189"/>
      <c r="L95" s="2189"/>
      <c r="M95" s="2189"/>
      <c r="N95" s="2189"/>
      <c r="O95" s="2189"/>
      <c r="P95" s="2189"/>
      <c r="Q95" s="2189"/>
      <c r="R95" s="2189"/>
      <c r="S95" s="2189"/>
      <c r="T95" s="2189"/>
      <c r="U95" s="2189"/>
      <c r="V95" s="2189"/>
      <c r="W95" s="2189"/>
      <c r="X95" s="2189"/>
      <c r="Y95" s="2189"/>
      <c r="Z95" s="2189"/>
      <c r="AA95" s="2189"/>
      <c r="AB95" s="2189"/>
      <c r="AC95" s="2189"/>
      <c r="AD95" s="2189"/>
      <c r="AE95" s="2189"/>
      <c r="AF95" s="2189"/>
      <c r="AG95" s="2189"/>
      <c r="AH95" s="2266">
        <f t="shared" si="7"/>
        <v>0</v>
      </c>
    </row>
    <row r="96" spans="1:34" ht="13.8">
      <c r="A96" s="2187" t="s">
        <v>150</v>
      </c>
      <c r="B96" s="2194">
        <f t="shared" si="6"/>
        <v>0</v>
      </c>
      <c r="C96" s="2189"/>
      <c r="D96" s="2189"/>
      <c r="E96" s="2189"/>
      <c r="F96" s="2189"/>
      <c r="G96" s="2189"/>
      <c r="H96" s="2189"/>
      <c r="I96" s="2189"/>
      <c r="J96" s="2189"/>
      <c r="K96" s="2189"/>
      <c r="L96" s="2189"/>
      <c r="M96" s="2189"/>
      <c r="N96" s="2189"/>
      <c r="O96" s="2189"/>
      <c r="P96" s="2189"/>
      <c r="Q96" s="2189"/>
      <c r="R96" s="2189"/>
      <c r="S96" s="2189"/>
      <c r="T96" s="2189"/>
      <c r="U96" s="2189"/>
      <c r="V96" s="2189"/>
      <c r="W96" s="2189"/>
      <c r="X96" s="2189"/>
      <c r="Y96" s="2189"/>
      <c r="Z96" s="2189"/>
      <c r="AA96" s="2189"/>
      <c r="AB96" s="2189"/>
      <c r="AC96" s="2189"/>
      <c r="AD96" s="2189"/>
      <c r="AE96" s="2189"/>
      <c r="AF96" s="2189"/>
      <c r="AG96" s="2189"/>
      <c r="AH96" s="2266">
        <f t="shared" si="7"/>
        <v>0</v>
      </c>
    </row>
    <row r="97" spans="1:34" ht="13.8">
      <c r="A97" s="2187" t="s">
        <v>151</v>
      </c>
      <c r="B97" s="2194">
        <f t="shared" si="6"/>
        <v>0</v>
      </c>
      <c r="C97" s="2189"/>
      <c r="D97" s="2189"/>
      <c r="E97" s="2189"/>
      <c r="F97" s="2189"/>
      <c r="G97" s="2189"/>
      <c r="H97" s="2189"/>
      <c r="I97" s="2189"/>
      <c r="J97" s="2189"/>
      <c r="K97" s="2189"/>
      <c r="L97" s="2189"/>
      <c r="M97" s="2189"/>
      <c r="N97" s="2189"/>
      <c r="O97" s="2189"/>
      <c r="P97" s="2189"/>
      <c r="Q97" s="2189"/>
      <c r="R97" s="2189"/>
      <c r="S97" s="2189"/>
      <c r="T97" s="2189"/>
      <c r="U97" s="2189"/>
      <c r="V97" s="2189"/>
      <c r="W97" s="2189"/>
      <c r="X97" s="2189"/>
      <c r="Y97" s="2189"/>
      <c r="Z97" s="2189"/>
      <c r="AA97" s="2189"/>
      <c r="AB97" s="2189"/>
      <c r="AC97" s="2189"/>
      <c r="AD97" s="2189"/>
      <c r="AE97" s="2189"/>
      <c r="AF97" s="2189"/>
      <c r="AG97" s="2189"/>
      <c r="AH97" s="2266">
        <f t="shared" si="7"/>
        <v>0</v>
      </c>
    </row>
    <row r="98" spans="1:34" ht="13.8">
      <c r="A98" s="2187" t="s">
        <v>152</v>
      </c>
      <c r="B98" s="2194">
        <f t="shared" si="6"/>
        <v>0</v>
      </c>
      <c r="C98" s="2189"/>
      <c r="D98" s="2189"/>
      <c r="E98" s="2189"/>
      <c r="F98" s="2189"/>
      <c r="G98" s="2189"/>
      <c r="H98" s="2189"/>
      <c r="I98" s="2189"/>
      <c r="J98" s="2189"/>
      <c r="K98" s="2189"/>
      <c r="L98" s="2189"/>
      <c r="M98" s="2189"/>
      <c r="N98" s="2189"/>
      <c r="O98" s="2189"/>
      <c r="P98" s="2189"/>
      <c r="Q98" s="2189"/>
      <c r="R98" s="2189"/>
      <c r="S98" s="2189"/>
      <c r="T98" s="2189"/>
      <c r="U98" s="2189"/>
      <c r="V98" s="2189"/>
      <c r="W98" s="2189"/>
      <c r="X98" s="2189"/>
      <c r="Y98" s="2189"/>
      <c r="Z98" s="2189"/>
      <c r="AA98" s="2189"/>
      <c r="AB98" s="2189"/>
      <c r="AC98" s="2189"/>
      <c r="AD98" s="2189"/>
      <c r="AE98" s="2189"/>
      <c r="AF98" s="2189"/>
      <c r="AG98" s="2189"/>
      <c r="AH98" s="2266">
        <f t="shared" si="7"/>
        <v>0</v>
      </c>
    </row>
    <row r="99" spans="1:34" ht="13.8">
      <c r="A99" s="2187" t="s">
        <v>153</v>
      </c>
      <c r="B99" s="2194">
        <f t="shared" si="6"/>
        <v>0</v>
      </c>
      <c r="C99" s="2189"/>
      <c r="D99" s="2189"/>
      <c r="E99" s="2189"/>
      <c r="F99" s="2189"/>
      <c r="G99" s="2189"/>
      <c r="H99" s="2189"/>
      <c r="I99" s="2189"/>
      <c r="J99" s="2189"/>
      <c r="K99" s="2189"/>
      <c r="L99" s="2189"/>
      <c r="M99" s="2189"/>
      <c r="N99" s="2189"/>
      <c r="O99" s="2189"/>
      <c r="P99" s="2189"/>
      <c r="Q99" s="2189"/>
      <c r="R99" s="2189"/>
      <c r="S99" s="2189"/>
      <c r="T99" s="2189"/>
      <c r="U99" s="2189"/>
      <c r="V99" s="2189"/>
      <c r="W99" s="2189"/>
      <c r="X99" s="2189"/>
      <c r="Y99" s="2189"/>
      <c r="Z99" s="2189"/>
      <c r="AA99" s="2189"/>
      <c r="AB99" s="2189"/>
      <c r="AC99" s="2189"/>
      <c r="AD99" s="2189"/>
      <c r="AE99" s="2189"/>
      <c r="AF99" s="2189"/>
      <c r="AG99" s="2189"/>
      <c r="AH99" s="2266">
        <f t="shared" si="7"/>
        <v>0</v>
      </c>
    </row>
    <row r="100" spans="1:34" ht="13.8">
      <c r="A100" s="2190" t="s">
        <v>154</v>
      </c>
      <c r="B100" s="2194">
        <f t="shared" si="6"/>
        <v>0</v>
      </c>
      <c r="C100" s="2189"/>
      <c r="D100" s="2189"/>
      <c r="E100" s="2189"/>
      <c r="F100" s="2189"/>
      <c r="G100" s="2189"/>
      <c r="H100" s="2189"/>
      <c r="I100" s="2189"/>
      <c r="J100" s="2189"/>
      <c r="K100" s="2189"/>
      <c r="L100" s="2189"/>
      <c r="M100" s="2189"/>
      <c r="N100" s="2189"/>
      <c r="O100" s="2189"/>
      <c r="P100" s="2189"/>
      <c r="Q100" s="2189"/>
      <c r="R100" s="2189"/>
      <c r="S100" s="2189"/>
      <c r="T100" s="2189"/>
      <c r="U100" s="2189"/>
      <c r="V100" s="2189"/>
      <c r="W100" s="2189"/>
      <c r="X100" s="2189"/>
      <c r="Y100" s="2189"/>
      <c r="Z100" s="2189"/>
      <c r="AA100" s="2189"/>
      <c r="AB100" s="2189"/>
      <c r="AC100" s="2189"/>
      <c r="AD100" s="2189"/>
      <c r="AE100" s="2189"/>
      <c r="AF100" s="2189"/>
      <c r="AG100" s="2189"/>
      <c r="AH100" s="2266">
        <f t="shared" si="7"/>
        <v>0</v>
      </c>
    </row>
    <row r="101" spans="1:34" ht="13.8">
      <c r="A101" s="2191" t="s">
        <v>155</v>
      </c>
      <c r="B101" s="2194">
        <f t="shared" si="6"/>
        <v>0</v>
      </c>
      <c r="C101" s="2189"/>
      <c r="D101" s="2189"/>
      <c r="E101" s="2189"/>
      <c r="F101" s="2189"/>
      <c r="G101" s="2189"/>
      <c r="H101" s="2189"/>
      <c r="I101" s="2189"/>
      <c r="J101" s="2189"/>
      <c r="K101" s="2189"/>
      <c r="L101" s="2189"/>
      <c r="M101" s="2189"/>
      <c r="N101" s="2189"/>
      <c r="O101" s="2189"/>
      <c r="P101" s="2189"/>
      <c r="Q101" s="2189"/>
      <c r="R101" s="2189"/>
      <c r="S101" s="2189"/>
      <c r="T101" s="2189"/>
      <c r="U101" s="2189"/>
      <c r="V101" s="2189"/>
      <c r="W101" s="2189"/>
      <c r="X101" s="2189"/>
      <c r="Y101" s="2189"/>
      <c r="Z101" s="2189"/>
      <c r="AA101" s="2189"/>
      <c r="AB101" s="2189"/>
      <c r="AC101" s="2189"/>
      <c r="AD101" s="2189"/>
      <c r="AE101" s="2189"/>
      <c r="AF101" s="2189"/>
      <c r="AG101" s="2189"/>
      <c r="AH101" s="2266">
        <f t="shared" si="7"/>
        <v>0</v>
      </c>
    </row>
    <row r="102" spans="1:34" ht="13.8">
      <c r="A102" s="2187"/>
      <c r="B102" s="2194">
        <f t="shared" si="6"/>
        <v>0</v>
      </c>
      <c r="C102" s="2189"/>
      <c r="D102" s="2189"/>
      <c r="E102" s="2189"/>
      <c r="F102" s="2189"/>
      <c r="G102" s="2189"/>
      <c r="H102" s="2189"/>
      <c r="I102" s="2189"/>
      <c r="J102" s="2189"/>
      <c r="K102" s="2189"/>
      <c r="L102" s="2189"/>
      <c r="M102" s="2189"/>
      <c r="N102" s="2189"/>
      <c r="O102" s="2189"/>
      <c r="P102" s="2189"/>
      <c r="Q102" s="2189"/>
      <c r="R102" s="2189"/>
      <c r="S102" s="2189"/>
      <c r="T102" s="2189"/>
      <c r="U102" s="2189"/>
      <c r="V102" s="2189"/>
      <c r="W102" s="2189"/>
      <c r="X102" s="2189"/>
      <c r="Y102" s="2189"/>
      <c r="Z102" s="2189"/>
      <c r="AA102" s="2189"/>
      <c r="AB102" s="2189"/>
      <c r="AC102" s="2189"/>
      <c r="AD102" s="2189"/>
      <c r="AE102" s="2189"/>
      <c r="AF102" s="2189"/>
      <c r="AG102" s="2189"/>
      <c r="AH102" s="2266">
        <f>SUM(C102:AG102)</f>
        <v>0</v>
      </c>
    </row>
    <row r="103" spans="1:34" ht="13.8">
      <c r="A103" s="2192" t="s">
        <v>111</v>
      </c>
      <c r="B103" s="2195">
        <f>SUM(B91:B102)</f>
        <v>0</v>
      </c>
      <c r="C103" s="2193"/>
      <c r="D103" s="2193"/>
      <c r="E103" s="2193"/>
      <c r="F103" s="2193"/>
      <c r="G103" s="2193"/>
      <c r="H103" s="2193"/>
      <c r="I103" s="2193"/>
      <c r="J103" s="2193"/>
      <c r="K103" s="2193"/>
      <c r="L103" s="2193"/>
      <c r="M103" s="2193"/>
      <c r="N103" s="2193"/>
      <c r="O103" s="2193"/>
      <c r="P103" s="2193"/>
      <c r="Q103" s="2193"/>
      <c r="R103" s="2193"/>
      <c r="S103" s="2193"/>
      <c r="T103" s="2193"/>
      <c r="U103" s="2193"/>
      <c r="V103" s="2193"/>
      <c r="W103" s="2193"/>
      <c r="X103" s="2193"/>
      <c r="Y103" s="2193"/>
      <c r="Z103" s="2193"/>
      <c r="AA103" s="2193"/>
      <c r="AB103" s="2193"/>
      <c r="AC103" s="2193"/>
      <c r="AD103" s="2193"/>
      <c r="AE103" s="2193"/>
      <c r="AF103" s="2193"/>
      <c r="AG103" s="2193"/>
      <c r="AH103" s="2267">
        <f>SUM(AH91:AH102)</f>
        <v>0</v>
      </c>
    </row>
    <row r="104" spans="1:34">
      <c r="AH104" s="730"/>
    </row>
    <row r="105" spans="1:34">
      <c r="AH105" s="730"/>
    </row>
    <row r="106" spans="1:34" ht="14.4">
      <c r="A106" s="4151" t="s">
        <v>1032</v>
      </c>
      <c r="B106" s="4152"/>
      <c r="C106" s="4152"/>
      <c r="D106" s="4152"/>
      <c r="E106" s="4152"/>
      <c r="F106" s="4152"/>
      <c r="G106" s="4153"/>
      <c r="AH106" s="730"/>
    </row>
    <row r="107" spans="1:34" ht="13.8">
      <c r="A107" s="4130" t="s">
        <v>989</v>
      </c>
      <c r="B107" s="4131"/>
      <c r="C107" s="4132"/>
      <c r="D107" s="2183"/>
      <c r="E107" s="2183"/>
      <c r="F107" s="2183"/>
      <c r="G107" s="2183"/>
      <c r="H107" s="2183"/>
      <c r="I107" s="2183"/>
      <c r="J107" s="2183"/>
      <c r="K107" s="2183"/>
      <c r="L107" s="2183"/>
      <c r="M107" s="2184"/>
      <c r="N107" s="2183"/>
      <c r="O107" s="2183"/>
      <c r="P107" s="2183"/>
      <c r="Q107" s="2183"/>
      <c r="R107" s="2183"/>
      <c r="S107" s="2183"/>
      <c r="T107" s="2183"/>
      <c r="U107" s="2183"/>
      <c r="V107" s="2183"/>
      <c r="W107" s="2183"/>
      <c r="X107" s="2183"/>
      <c r="Y107" s="2183"/>
      <c r="Z107" s="2183"/>
      <c r="AA107" s="2183"/>
      <c r="AB107" s="2183"/>
      <c r="AC107" s="2183"/>
      <c r="AD107" s="2183"/>
      <c r="AE107" s="2183"/>
      <c r="AF107" s="2183"/>
      <c r="AG107" s="2183"/>
      <c r="AH107" s="2264"/>
    </row>
    <row r="108" spans="1:34" ht="13.8">
      <c r="A108" s="2185" t="s">
        <v>142</v>
      </c>
      <c r="B108" s="2185" t="s">
        <v>143</v>
      </c>
      <c r="C108" s="2186">
        <v>1</v>
      </c>
      <c r="D108" s="2186">
        <v>2</v>
      </c>
      <c r="E108" s="2186">
        <v>3</v>
      </c>
      <c r="F108" s="2186">
        <v>4</v>
      </c>
      <c r="G108" s="2188">
        <v>5</v>
      </c>
      <c r="H108" s="2186">
        <v>6</v>
      </c>
      <c r="I108" s="2186">
        <v>7</v>
      </c>
      <c r="J108" s="2186">
        <v>8</v>
      </c>
      <c r="K108" s="2186">
        <v>9</v>
      </c>
      <c r="L108" s="2186">
        <v>10</v>
      </c>
      <c r="M108" s="2186">
        <v>11</v>
      </c>
      <c r="N108" s="2186">
        <v>12</v>
      </c>
      <c r="O108" s="2186">
        <v>13</v>
      </c>
      <c r="P108" s="2186">
        <v>14</v>
      </c>
      <c r="Q108" s="2186">
        <v>15</v>
      </c>
      <c r="R108" s="2186">
        <v>16</v>
      </c>
      <c r="S108" s="2186">
        <v>17</v>
      </c>
      <c r="T108" s="2186">
        <v>18</v>
      </c>
      <c r="U108" s="2186">
        <v>19</v>
      </c>
      <c r="V108" s="2186">
        <v>20</v>
      </c>
      <c r="W108" s="2187">
        <v>21</v>
      </c>
      <c r="X108" s="2186">
        <v>22</v>
      </c>
      <c r="Y108" s="2186">
        <v>23</v>
      </c>
      <c r="Z108" s="2186">
        <v>24</v>
      </c>
      <c r="AA108" s="2186">
        <v>25</v>
      </c>
      <c r="AB108" s="2186">
        <v>26</v>
      </c>
      <c r="AC108" s="2187">
        <v>27</v>
      </c>
      <c r="AD108" s="2186">
        <v>28</v>
      </c>
      <c r="AE108" s="2186">
        <v>29</v>
      </c>
      <c r="AF108" s="2186">
        <v>30</v>
      </c>
      <c r="AG108" s="2186">
        <v>31</v>
      </c>
      <c r="AH108" s="2265" t="s">
        <v>111</v>
      </c>
    </row>
    <row r="109" spans="1:34" ht="13.8">
      <c r="A109" s="2187" t="s">
        <v>145</v>
      </c>
      <c r="B109" s="2194">
        <f>+AH109</f>
        <v>0</v>
      </c>
      <c r="C109" s="2189"/>
      <c r="D109" s="2189"/>
      <c r="E109" s="2189"/>
      <c r="F109" s="2189"/>
      <c r="G109" s="2189"/>
      <c r="H109" s="2189"/>
      <c r="I109" s="2189"/>
      <c r="J109" s="2189"/>
      <c r="K109" s="2189"/>
      <c r="L109" s="2189"/>
      <c r="M109" s="2189"/>
      <c r="N109" s="2189"/>
      <c r="O109" s="2189"/>
      <c r="P109" s="2189"/>
      <c r="Q109" s="2189"/>
      <c r="R109" s="2189"/>
      <c r="S109" s="2189"/>
      <c r="T109" s="2189"/>
      <c r="U109" s="2189"/>
      <c r="V109" s="2189"/>
      <c r="W109" s="2189"/>
      <c r="X109" s="2189"/>
      <c r="Y109" s="2189"/>
      <c r="Z109" s="2189"/>
      <c r="AA109" s="2189"/>
      <c r="AB109" s="2189"/>
      <c r="AC109" s="2189"/>
      <c r="AD109" s="2189"/>
      <c r="AE109" s="2189"/>
      <c r="AF109" s="2189"/>
      <c r="AG109" s="2189"/>
      <c r="AH109" s="2266">
        <f>SUM(C109:AG109)</f>
        <v>0</v>
      </c>
    </row>
    <row r="110" spans="1:34" ht="13.8">
      <c r="A110" s="2187" t="s">
        <v>146</v>
      </c>
      <c r="B110" s="2194">
        <f t="shared" ref="B110:B120" si="8">+AH110</f>
        <v>0</v>
      </c>
      <c r="C110" s="2189"/>
      <c r="D110" s="2189"/>
      <c r="E110" s="2189"/>
      <c r="F110" s="2189"/>
      <c r="G110" s="2189"/>
      <c r="H110" s="2189"/>
      <c r="I110" s="2189"/>
      <c r="J110" s="2189"/>
      <c r="K110" s="2189"/>
      <c r="L110" s="2189"/>
      <c r="M110" s="2189"/>
      <c r="N110" s="2189"/>
      <c r="O110" s="2189"/>
      <c r="P110" s="2189"/>
      <c r="Q110" s="2189"/>
      <c r="R110" s="2189"/>
      <c r="S110" s="2189"/>
      <c r="T110" s="2189"/>
      <c r="U110" s="2189"/>
      <c r="V110" s="2189"/>
      <c r="W110" s="2189"/>
      <c r="X110" s="2189"/>
      <c r="Y110" s="2189"/>
      <c r="Z110" s="2189"/>
      <c r="AA110" s="2189"/>
      <c r="AB110" s="2189"/>
      <c r="AC110" s="2189"/>
      <c r="AD110" s="2189"/>
      <c r="AE110" s="2189"/>
      <c r="AF110" s="2189"/>
      <c r="AG110" s="2189"/>
      <c r="AH110" s="2266">
        <f t="shared" ref="AH110:AH119" si="9">SUM(C110:AG110)</f>
        <v>0</v>
      </c>
    </row>
    <row r="111" spans="1:34" ht="13.8">
      <c r="A111" s="2187" t="s">
        <v>147</v>
      </c>
      <c r="B111" s="2194">
        <f t="shared" si="8"/>
        <v>0</v>
      </c>
      <c r="C111" s="2189"/>
      <c r="D111" s="2189"/>
      <c r="E111" s="2189"/>
      <c r="F111" s="2189"/>
      <c r="G111" s="2189"/>
      <c r="H111" s="2189"/>
      <c r="I111" s="2189"/>
      <c r="J111" s="2189"/>
      <c r="K111" s="2189"/>
      <c r="L111" s="2189"/>
      <c r="M111" s="2189"/>
      <c r="N111" s="2189"/>
      <c r="O111" s="2189"/>
      <c r="P111" s="2189"/>
      <c r="Q111" s="2189"/>
      <c r="R111" s="2189"/>
      <c r="S111" s="2189"/>
      <c r="T111" s="2189"/>
      <c r="U111" s="2189"/>
      <c r="V111" s="2189"/>
      <c r="W111" s="2189"/>
      <c r="X111" s="2189"/>
      <c r="Y111" s="2189"/>
      <c r="Z111" s="2189"/>
      <c r="AA111" s="2189"/>
      <c r="AB111" s="2189"/>
      <c r="AC111" s="2189"/>
      <c r="AD111" s="2189"/>
      <c r="AE111" s="2189"/>
      <c r="AF111" s="2189"/>
      <c r="AG111" s="2189"/>
      <c r="AH111" s="2266">
        <f t="shared" si="9"/>
        <v>0</v>
      </c>
    </row>
    <row r="112" spans="1:34" ht="13.8">
      <c r="A112" s="2187" t="s">
        <v>148</v>
      </c>
      <c r="B112" s="2194">
        <f t="shared" si="8"/>
        <v>0</v>
      </c>
      <c r="C112" s="2189"/>
      <c r="D112" s="2189"/>
      <c r="E112" s="2189"/>
      <c r="F112" s="2189"/>
      <c r="G112" s="2189"/>
      <c r="H112" s="2189"/>
      <c r="I112" s="2189"/>
      <c r="J112" s="2189"/>
      <c r="K112" s="2189"/>
      <c r="L112" s="2189"/>
      <c r="M112" s="2189"/>
      <c r="N112" s="2189"/>
      <c r="O112" s="2189"/>
      <c r="P112" s="2189"/>
      <c r="Q112" s="2189"/>
      <c r="R112" s="2189"/>
      <c r="S112" s="2189"/>
      <c r="T112" s="2189"/>
      <c r="U112" s="2189"/>
      <c r="V112" s="2189"/>
      <c r="W112" s="2189"/>
      <c r="X112" s="2189"/>
      <c r="Y112" s="2189"/>
      <c r="Z112" s="2189"/>
      <c r="AA112" s="2189"/>
      <c r="AB112" s="2189"/>
      <c r="AC112" s="2189"/>
      <c r="AD112" s="2189"/>
      <c r="AE112" s="2189"/>
      <c r="AF112" s="2189"/>
      <c r="AG112" s="2189"/>
      <c r="AH112" s="2266">
        <f t="shared" si="9"/>
        <v>0</v>
      </c>
    </row>
    <row r="113" spans="1:34" ht="13.8">
      <c r="A113" s="2187" t="s">
        <v>149</v>
      </c>
      <c r="B113" s="2194">
        <f t="shared" si="8"/>
        <v>0</v>
      </c>
      <c r="C113" s="2189"/>
      <c r="D113" s="2189"/>
      <c r="E113" s="2189"/>
      <c r="F113" s="2189"/>
      <c r="G113" s="2189"/>
      <c r="H113" s="2189"/>
      <c r="I113" s="2189"/>
      <c r="J113" s="2189"/>
      <c r="K113" s="2189"/>
      <c r="L113" s="2189"/>
      <c r="M113" s="2189"/>
      <c r="N113" s="2189"/>
      <c r="O113" s="2189"/>
      <c r="P113" s="2189"/>
      <c r="Q113" s="2189"/>
      <c r="R113" s="2189"/>
      <c r="S113" s="2189"/>
      <c r="T113" s="2189"/>
      <c r="U113" s="2189"/>
      <c r="V113" s="2189"/>
      <c r="W113" s="2189"/>
      <c r="X113" s="2189"/>
      <c r="Y113" s="2189"/>
      <c r="Z113" s="2189"/>
      <c r="AA113" s="2189"/>
      <c r="AB113" s="2189"/>
      <c r="AC113" s="2189"/>
      <c r="AD113" s="2189"/>
      <c r="AE113" s="2189"/>
      <c r="AF113" s="2189"/>
      <c r="AG113" s="2189"/>
      <c r="AH113" s="2266">
        <f t="shared" si="9"/>
        <v>0</v>
      </c>
    </row>
    <row r="114" spans="1:34" ht="13.8">
      <c r="A114" s="2187" t="s">
        <v>150</v>
      </c>
      <c r="B114" s="2194">
        <f t="shared" si="8"/>
        <v>0</v>
      </c>
      <c r="C114" s="2189"/>
      <c r="D114" s="2189"/>
      <c r="E114" s="2189"/>
      <c r="F114" s="2189"/>
      <c r="G114" s="2189"/>
      <c r="H114" s="2189"/>
      <c r="I114" s="2189"/>
      <c r="J114" s="2189"/>
      <c r="K114" s="2189"/>
      <c r="L114" s="2189"/>
      <c r="M114" s="2189"/>
      <c r="N114" s="2189"/>
      <c r="O114" s="2189"/>
      <c r="P114" s="2189"/>
      <c r="Q114" s="2189"/>
      <c r="R114" s="2189"/>
      <c r="S114" s="2189"/>
      <c r="T114" s="2189"/>
      <c r="U114" s="2189"/>
      <c r="V114" s="2189"/>
      <c r="W114" s="2189"/>
      <c r="X114" s="2189"/>
      <c r="Y114" s="2189"/>
      <c r="Z114" s="2189"/>
      <c r="AA114" s="2189"/>
      <c r="AB114" s="2189"/>
      <c r="AC114" s="2189"/>
      <c r="AD114" s="2189"/>
      <c r="AE114" s="2189"/>
      <c r="AF114" s="2189"/>
      <c r="AG114" s="2189"/>
      <c r="AH114" s="2266">
        <f t="shared" si="9"/>
        <v>0</v>
      </c>
    </row>
    <row r="115" spans="1:34" ht="13.8">
      <c r="A115" s="2187" t="s">
        <v>151</v>
      </c>
      <c r="B115" s="2194">
        <f t="shared" si="8"/>
        <v>0</v>
      </c>
      <c r="C115" s="2189"/>
      <c r="D115" s="2189"/>
      <c r="E115" s="2189"/>
      <c r="F115" s="2189"/>
      <c r="G115" s="2189"/>
      <c r="H115" s="2189"/>
      <c r="I115" s="2189"/>
      <c r="J115" s="2189"/>
      <c r="K115" s="2189"/>
      <c r="L115" s="2189"/>
      <c r="M115" s="2189"/>
      <c r="N115" s="2189"/>
      <c r="O115" s="2189"/>
      <c r="P115" s="2189"/>
      <c r="Q115" s="2189"/>
      <c r="R115" s="2189"/>
      <c r="S115" s="2189"/>
      <c r="T115" s="2189"/>
      <c r="U115" s="2189"/>
      <c r="V115" s="2189"/>
      <c r="W115" s="2189"/>
      <c r="X115" s="2189"/>
      <c r="Y115" s="2189"/>
      <c r="Z115" s="2189"/>
      <c r="AA115" s="2189"/>
      <c r="AB115" s="2189"/>
      <c r="AC115" s="2189"/>
      <c r="AD115" s="2189"/>
      <c r="AE115" s="2189"/>
      <c r="AF115" s="2189"/>
      <c r="AG115" s="2189"/>
      <c r="AH115" s="2266">
        <f t="shared" si="9"/>
        <v>0</v>
      </c>
    </row>
    <row r="116" spans="1:34" ht="13.8">
      <c r="A116" s="2187" t="s">
        <v>152</v>
      </c>
      <c r="B116" s="2194">
        <f t="shared" si="8"/>
        <v>0</v>
      </c>
      <c r="C116" s="2189"/>
      <c r="D116" s="2189"/>
      <c r="E116" s="2189"/>
      <c r="F116" s="2189"/>
      <c r="G116" s="2189"/>
      <c r="H116" s="2189"/>
      <c r="I116" s="2189"/>
      <c r="J116" s="2189"/>
      <c r="K116" s="2189"/>
      <c r="L116" s="2189"/>
      <c r="M116" s="2189"/>
      <c r="N116" s="2189"/>
      <c r="O116" s="2189"/>
      <c r="P116" s="2189"/>
      <c r="Q116" s="2189"/>
      <c r="R116" s="2189"/>
      <c r="S116" s="2189"/>
      <c r="T116" s="2189"/>
      <c r="U116" s="2189"/>
      <c r="V116" s="2189"/>
      <c r="W116" s="2189"/>
      <c r="X116" s="2189"/>
      <c r="Y116" s="2189"/>
      <c r="Z116" s="2189"/>
      <c r="AA116" s="2189"/>
      <c r="AB116" s="2189"/>
      <c r="AC116" s="2189"/>
      <c r="AD116" s="2189"/>
      <c r="AE116" s="2189"/>
      <c r="AF116" s="2189"/>
      <c r="AG116" s="2189"/>
      <c r="AH116" s="2266">
        <f t="shared" si="9"/>
        <v>0</v>
      </c>
    </row>
    <row r="117" spans="1:34" ht="13.8">
      <c r="A117" s="2187" t="s">
        <v>153</v>
      </c>
      <c r="B117" s="2194">
        <f t="shared" si="8"/>
        <v>0</v>
      </c>
      <c r="C117" s="2189"/>
      <c r="D117" s="2189"/>
      <c r="E117" s="2189"/>
      <c r="F117" s="2189"/>
      <c r="G117" s="2189"/>
      <c r="H117" s="2189"/>
      <c r="I117" s="2189"/>
      <c r="J117" s="2189"/>
      <c r="K117" s="2189"/>
      <c r="L117" s="2189"/>
      <c r="M117" s="2189"/>
      <c r="N117" s="2189"/>
      <c r="O117" s="2189"/>
      <c r="P117" s="2189"/>
      <c r="Q117" s="2189"/>
      <c r="R117" s="2189"/>
      <c r="S117" s="2189"/>
      <c r="T117" s="2189"/>
      <c r="U117" s="2189"/>
      <c r="V117" s="2189"/>
      <c r="W117" s="2189"/>
      <c r="X117" s="2189"/>
      <c r="Y117" s="2189"/>
      <c r="Z117" s="2189"/>
      <c r="AA117" s="2189"/>
      <c r="AB117" s="2189"/>
      <c r="AC117" s="2189"/>
      <c r="AD117" s="2189"/>
      <c r="AE117" s="2189"/>
      <c r="AF117" s="2189"/>
      <c r="AG117" s="2189"/>
      <c r="AH117" s="2266">
        <f t="shared" si="9"/>
        <v>0</v>
      </c>
    </row>
    <row r="118" spans="1:34" ht="13.8">
      <c r="A118" s="2190" t="s">
        <v>154</v>
      </c>
      <c r="B118" s="2194">
        <f t="shared" si="8"/>
        <v>18.547999999999998</v>
      </c>
      <c r="C118" s="2189"/>
      <c r="D118" s="2189"/>
      <c r="E118" s="2189"/>
      <c r="F118" s="2189"/>
      <c r="G118" s="2189"/>
      <c r="H118" s="2189"/>
      <c r="I118" s="2189"/>
      <c r="J118" s="2364">
        <v>1.2E-2</v>
      </c>
      <c r="K118" s="2743"/>
      <c r="L118" s="2364">
        <v>0.01</v>
      </c>
      <c r="M118" s="2364">
        <v>3.0000000000000001E-3</v>
      </c>
      <c r="N118" s="2743">
        <v>0.02</v>
      </c>
      <c r="O118" s="2189"/>
      <c r="P118" s="2189"/>
      <c r="Q118" s="2189"/>
      <c r="R118" s="2189">
        <v>11.362</v>
      </c>
      <c r="S118" s="2189"/>
      <c r="T118" s="2189"/>
      <c r="U118" s="2364">
        <v>2E-3</v>
      </c>
      <c r="V118" s="2189"/>
      <c r="W118" s="2189"/>
      <c r="X118" s="2189"/>
      <c r="Y118" s="2364">
        <v>1.081</v>
      </c>
      <c r="Z118" s="2364">
        <v>3.4239999999999999</v>
      </c>
      <c r="AA118" s="2189"/>
      <c r="AB118" s="2189"/>
      <c r="AC118" s="2189"/>
      <c r="AD118" s="2189"/>
      <c r="AE118" s="2189"/>
      <c r="AF118" s="2364">
        <v>2.6339999999999999</v>
      </c>
      <c r="AG118" s="2189"/>
      <c r="AH118" s="2266">
        <f t="shared" si="9"/>
        <v>18.547999999999998</v>
      </c>
    </row>
    <row r="119" spans="1:34" ht="13.8">
      <c r="A119" s="2191" t="s">
        <v>155</v>
      </c>
      <c r="B119" s="2194">
        <f t="shared" si="8"/>
        <v>16.174999999999997</v>
      </c>
      <c r="C119" s="2189"/>
      <c r="D119" s="2189"/>
      <c r="E119" s="2189"/>
      <c r="F119" s="2189"/>
      <c r="G119" s="2189"/>
      <c r="H119" s="2189"/>
      <c r="I119" s="2364">
        <v>1.2E-2</v>
      </c>
      <c r="J119" s="2189"/>
      <c r="K119" s="2743">
        <v>0.02</v>
      </c>
      <c r="L119" s="2189"/>
      <c r="M119" s="2189"/>
      <c r="N119" s="2364">
        <v>2.3479999999999999</v>
      </c>
      <c r="O119" s="2364">
        <v>8.1229999999999993</v>
      </c>
      <c r="P119" s="2189">
        <v>5.3999999999999999E-2</v>
      </c>
      <c r="Q119" s="2189">
        <v>2.4E-2</v>
      </c>
      <c r="R119" s="2189">
        <v>4.4999999999999998E-2</v>
      </c>
      <c r="S119" s="2189"/>
      <c r="T119" s="2189"/>
      <c r="U119" s="2189">
        <v>2.7E-2</v>
      </c>
      <c r="V119" s="2189"/>
      <c r="W119" s="2189">
        <v>5.5220000000000002</v>
      </c>
      <c r="X119" s="2189"/>
      <c r="Y119" s="2189"/>
      <c r="Z119" s="2189"/>
      <c r="AA119" s="2189"/>
      <c r="AB119" s="2189"/>
      <c r="AC119" s="2189"/>
      <c r="AD119" s="2189"/>
      <c r="AE119" s="2189"/>
      <c r="AF119" s="2189"/>
      <c r="AG119" s="2189"/>
      <c r="AH119" s="2266">
        <f t="shared" si="9"/>
        <v>16.174999999999997</v>
      </c>
    </row>
    <row r="120" spans="1:34" ht="13.8">
      <c r="A120" s="2187"/>
      <c r="B120" s="2194">
        <f t="shared" si="8"/>
        <v>0</v>
      </c>
      <c r="C120" s="2189"/>
      <c r="D120" s="2189"/>
      <c r="E120" s="2189"/>
      <c r="F120" s="2189"/>
      <c r="G120" s="2189"/>
      <c r="H120" s="2189"/>
      <c r="I120" s="2189"/>
      <c r="J120" s="2189"/>
      <c r="K120" s="2189"/>
      <c r="L120" s="2189"/>
      <c r="M120" s="2189"/>
      <c r="N120" s="2189"/>
      <c r="O120" s="2189"/>
      <c r="P120" s="2189"/>
      <c r="Q120" s="2189"/>
      <c r="R120" s="2189"/>
      <c r="S120" s="2189"/>
      <c r="T120" s="2189"/>
      <c r="U120" s="2189"/>
      <c r="V120" s="2189"/>
      <c r="W120" s="2189"/>
      <c r="X120" s="2189"/>
      <c r="Y120" s="2189"/>
      <c r="Z120" s="2189"/>
      <c r="AA120" s="2189"/>
      <c r="AB120" s="2189"/>
      <c r="AC120" s="2189"/>
      <c r="AD120" s="2189"/>
      <c r="AE120" s="2189"/>
      <c r="AF120" s="2189"/>
      <c r="AG120" s="2189"/>
      <c r="AH120" s="2266">
        <f>SUM(C120:AG120)</f>
        <v>0</v>
      </c>
    </row>
    <row r="121" spans="1:34" ht="13.8">
      <c r="A121" s="2192" t="s">
        <v>111</v>
      </c>
      <c r="B121" s="2195">
        <f>SUM(B109:B120)</f>
        <v>34.722999999999999</v>
      </c>
      <c r="C121" s="2193"/>
      <c r="D121" s="2193"/>
      <c r="E121" s="2193"/>
      <c r="F121" s="2193"/>
      <c r="G121" s="2193"/>
      <c r="H121" s="2193"/>
      <c r="I121" s="2193"/>
      <c r="J121" s="2193"/>
      <c r="K121" s="2193"/>
      <c r="L121" s="2193"/>
      <c r="M121" s="2193"/>
      <c r="N121" s="2193"/>
      <c r="O121" s="2193"/>
      <c r="P121" s="2193"/>
      <c r="Q121" s="2193"/>
      <c r="R121" s="2193"/>
      <c r="S121" s="2193"/>
      <c r="T121" s="2193"/>
      <c r="U121" s="2193"/>
      <c r="V121" s="2193"/>
      <c r="W121" s="2193"/>
      <c r="X121" s="2193"/>
      <c r="Y121" s="2193"/>
      <c r="Z121" s="2193"/>
      <c r="AA121" s="2193"/>
      <c r="AB121" s="2193"/>
      <c r="AC121" s="2193"/>
      <c r="AD121" s="2193"/>
      <c r="AE121" s="2193"/>
      <c r="AF121" s="2193"/>
      <c r="AG121" s="2193"/>
      <c r="AH121" s="2267">
        <f>SUM(AH109:AH120)</f>
        <v>34.722999999999999</v>
      </c>
    </row>
    <row r="122" spans="1:34">
      <c r="AH122" s="730"/>
    </row>
    <row r="123" spans="1:34">
      <c r="AH123" s="730"/>
    </row>
    <row r="124" spans="1:34" ht="13.8">
      <c r="A124" s="4133" t="s">
        <v>990</v>
      </c>
      <c r="B124" s="4134"/>
      <c r="C124" s="4135"/>
      <c r="D124" s="2183"/>
      <c r="E124" s="2183"/>
      <c r="F124" s="2183"/>
      <c r="G124" s="2183"/>
      <c r="H124" s="2183"/>
      <c r="I124" s="2183"/>
      <c r="J124" s="2183"/>
      <c r="K124" s="2183"/>
      <c r="L124" s="2183"/>
      <c r="M124" s="2184"/>
      <c r="N124" s="2183"/>
      <c r="O124" s="2183"/>
      <c r="P124" s="2183"/>
      <c r="Q124" s="2183"/>
      <c r="R124" s="2183"/>
      <c r="S124" s="2183"/>
      <c r="T124" s="2183"/>
      <c r="U124" s="2183"/>
      <c r="V124" s="2183"/>
      <c r="W124" s="2183"/>
      <c r="X124" s="2183"/>
      <c r="Y124" s="2183"/>
      <c r="Z124" s="2183"/>
      <c r="AA124" s="2183"/>
      <c r="AB124" s="2183"/>
      <c r="AC124" s="2183"/>
      <c r="AD124" s="2183"/>
      <c r="AE124" s="2183"/>
      <c r="AF124" s="2183"/>
      <c r="AG124" s="2183"/>
      <c r="AH124" s="2264"/>
    </row>
    <row r="125" spans="1:34" ht="13.8">
      <c r="A125" s="2185" t="s">
        <v>142</v>
      </c>
      <c r="B125" s="2185" t="s">
        <v>143</v>
      </c>
      <c r="C125" s="2186">
        <v>1</v>
      </c>
      <c r="D125" s="2186">
        <v>2</v>
      </c>
      <c r="E125" s="2186">
        <v>3</v>
      </c>
      <c r="F125" s="2186">
        <v>4</v>
      </c>
      <c r="G125" s="2188">
        <v>5</v>
      </c>
      <c r="H125" s="2186">
        <v>6</v>
      </c>
      <c r="I125" s="2186">
        <v>7</v>
      </c>
      <c r="J125" s="2186">
        <v>8</v>
      </c>
      <c r="K125" s="2186">
        <v>9</v>
      </c>
      <c r="L125" s="2186">
        <v>10</v>
      </c>
      <c r="M125" s="2186">
        <v>11</v>
      </c>
      <c r="N125" s="2186">
        <v>12</v>
      </c>
      <c r="O125" s="2186">
        <v>13</v>
      </c>
      <c r="P125" s="2186">
        <v>14</v>
      </c>
      <c r="Q125" s="2186">
        <v>15</v>
      </c>
      <c r="R125" s="2186">
        <v>16</v>
      </c>
      <c r="S125" s="2186">
        <v>17</v>
      </c>
      <c r="T125" s="2186">
        <v>18</v>
      </c>
      <c r="U125" s="2186">
        <v>19</v>
      </c>
      <c r="V125" s="2186">
        <v>20</v>
      </c>
      <c r="W125" s="2187">
        <v>21</v>
      </c>
      <c r="X125" s="2186">
        <v>22</v>
      </c>
      <c r="Y125" s="2186">
        <v>23</v>
      </c>
      <c r="Z125" s="2186">
        <v>24</v>
      </c>
      <c r="AA125" s="2186">
        <v>25</v>
      </c>
      <c r="AB125" s="2186">
        <v>26</v>
      </c>
      <c r="AC125" s="2187">
        <v>27</v>
      </c>
      <c r="AD125" s="2186">
        <v>28</v>
      </c>
      <c r="AE125" s="2186">
        <v>29</v>
      </c>
      <c r="AF125" s="2186">
        <v>30</v>
      </c>
      <c r="AG125" s="2186">
        <v>31</v>
      </c>
      <c r="AH125" s="2265" t="s">
        <v>111</v>
      </c>
    </row>
    <row r="126" spans="1:34" ht="13.8">
      <c r="A126" s="2187" t="s">
        <v>145</v>
      </c>
      <c r="B126" s="2194">
        <f>+AH126</f>
        <v>0</v>
      </c>
      <c r="C126" s="2189"/>
      <c r="D126" s="2189"/>
      <c r="E126" s="2189"/>
      <c r="F126" s="2189"/>
      <c r="G126" s="2189"/>
      <c r="H126" s="2189"/>
      <c r="I126" s="2189"/>
      <c r="J126" s="2189"/>
      <c r="K126" s="2189"/>
      <c r="L126" s="2189"/>
      <c r="M126" s="2189"/>
      <c r="N126" s="2189"/>
      <c r="O126" s="2189"/>
      <c r="P126" s="2189"/>
      <c r="Q126" s="2189"/>
      <c r="R126" s="2189"/>
      <c r="S126" s="2189"/>
      <c r="T126" s="2189"/>
      <c r="U126" s="2189"/>
      <c r="V126" s="2189"/>
      <c r="W126" s="2189"/>
      <c r="X126" s="2189"/>
      <c r="Y126" s="2189"/>
      <c r="Z126" s="2189"/>
      <c r="AA126" s="2189"/>
      <c r="AB126" s="2189"/>
      <c r="AC126" s="2189"/>
      <c r="AD126" s="2189"/>
      <c r="AE126" s="2189"/>
      <c r="AF126" s="2189"/>
      <c r="AG126" s="2189"/>
      <c r="AH126" s="2266">
        <f>SUM(C126:AG126)</f>
        <v>0</v>
      </c>
    </row>
    <row r="127" spans="1:34" ht="13.8">
      <c r="A127" s="2187" t="s">
        <v>146</v>
      </c>
      <c r="B127" s="2194">
        <f t="shared" ref="B127:B137" si="10">+AH127</f>
        <v>0</v>
      </c>
      <c r="C127" s="2189"/>
      <c r="D127" s="2189"/>
      <c r="E127" s="2189"/>
      <c r="F127" s="2189"/>
      <c r="G127" s="2189"/>
      <c r="H127" s="2189"/>
      <c r="I127" s="2189"/>
      <c r="J127" s="2189"/>
      <c r="K127" s="2189"/>
      <c r="L127" s="2189"/>
      <c r="M127" s="2189"/>
      <c r="N127" s="2189"/>
      <c r="O127" s="2189"/>
      <c r="P127" s="2189"/>
      <c r="Q127" s="2189"/>
      <c r="R127" s="2189"/>
      <c r="S127" s="2189"/>
      <c r="T127" s="2189"/>
      <c r="U127" s="2189"/>
      <c r="V127" s="2189"/>
      <c r="W127" s="2189"/>
      <c r="X127" s="2189"/>
      <c r="Y127" s="2189"/>
      <c r="Z127" s="2189"/>
      <c r="AA127" s="2189"/>
      <c r="AB127" s="2189"/>
      <c r="AC127" s="2189"/>
      <c r="AD127" s="2189"/>
      <c r="AE127" s="2189"/>
      <c r="AF127" s="2189"/>
      <c r="AG127" s="2189"/>
      <c r="AH127" s="2266">
        <f t="shared" ref="AH127:AH136" si="11">SUM(C127:AG127)</f>
        <v>0</v>
      </c>
    </row>
    <row r="128" spans="1:34" ht="13.8">
      <c r="A128" s="2187" t="s">
        <v>147</v>
      </c>
      <c r="B128" s="2194">
        <f t="shared" si="10"/>
        <v>0</v>
      </c>
      <c r="C128" s="2189"/>
      <c r="D128" s="2189"/>
      <c r="E128" s="2189"/>
      <c r="F128" s="2189"/>
      <c r="G128" s="2189"/>
      <c r="H128" s="2189"/>
      <c r="I128" s="2189"/>
      <c r="J128" s="2189"/>
      <c r="K128" s="2189"/>
      <c r="L128" s="2189"/>
      <c r="M128" s="2189"/>
      <c r="N128" s="2189"/>
      <c r="O128" s="2189"/>
      <c r="P128" s="2189"/>
      <c r="Q128" s="2189"/>
      <c r="R128" s="2189"/>
      <c r="S128" s="2189"/>
      <c r="T128" s="2189"/>
      <c r="U128" s="2189"/>
      <c r="V128" s="2189"/>
      <c r="W128" s="2189"/>
      <c r="X128" s="2189"/>
      <c r="Y128" s="2189"/>
      <c r="Z128" s="2189"/>
      <c r="AA128" s="2189"/>
      <c r="AB128" s="2189"/>
      <c r="AC128" s="2189"/>
      <c r="AD128" s="2189"/>
      <c r="AE128" s="2189"/>
      <c r="AF128" s="2189"/>
      <c r="AG128" s="2189"/>
      <c r="AH128" s="2266">
        <f t="shared" si="11"/>
        <v>0</v>
      </c>
    </row>
    <row r="129" spans="1:34" ht="13.8">
      <c r="A129" s="2187" t="s">
        <v>148</v>
      </c>
      <c r="B129" s="2194">
        <f t="shared" si="10"/>
        <v>0</v>
      </c>
      <c r="C129" s="2189"/>
      <c r="D129" s="2189"/>
      <c r="E129" s="2189"/>
      <c r="F129" s="2189"/>
      <c r="G129" s="2189"/>
      <c r="H129" s="2189"/>
      <c r="I129" s="2189"/>
      <c r="J129" s="2189"/>
      <c r="K129" s="2189"/>
      <c r="L129" s="2189"/>
      <c r="M129" s="2189"/>
      <c r="N129" s="2189"/>
      <c r="O129" s="2189"/>
      <c r="P129" s="2189"/>
      <c r="Q129" s="2189"/>
      <c r="R129" s="2189"/>
      <c r="S129" s="2189"/>
      <c r="T129" s="2189"/>
      <c r="U129" s="2189"/>
      <c r="V129" s="2189"/>
      <c r="W129" s="2189"/>
      <c r="X129" s="2189"/>
      <c r="Y129" s="2189"/>
      <c r="Z129" s="2189"/>
      <c r="AA129" s="2189"/>
      <c r="AB129" s="2189"/>
      <c r="AC129" s="2189"/>
      <c r="AD129" s="2189"/>
      <c r="AE129" s="2189"/>
      <c r="AF129" s="2189"/>
      <c r="AG129" s="2189"/>
      <c r="AH129" s="2266">
        <f t="shared" si="11"/>
        <v>0</v>
      </c>
    </row>
    <row r="130" spans="1:34" ht="13.8">
      <c r="A130" s="2187" t="s">
        <v>149</v>
      </c>
      <c r="B130" s="2194">
        <f t="shared" si="10"/>
        <v>0</v>
      </c>
      <c r="C130" s="2189"/>
      <c r="D130" s="2189"/>
      <c r="E130" s="2189"/>
      <c r="F130" s="2189"/>
      <c r="G130" s="2189"/>
      <c r="H130" s="2189"/>
      <c r="I130" s="2189"/>
      <c r="J130" s="2189"/>
      <c r="K130" s="2189"/>
      <c r="L130" s="2189"/>
      <c r="M130" s="2189"/>
      <c r="N130" s="2189"/>
      <c r="O130" s="2189"/>
      <c r="P130" s="2189"/>
      <c r="Q130" s="2189"/>
      <c r="R130" s="2189"/>
      <c r="S130" s="2189"/>
      <c r="T130" s="2189"/>
      <c r="U130" s="2189"/>
      <c r="V130" s="2189"/>
      <c r="W130" s="2189"/>
      <c r="X130" s="2189"/>
      <c r="Y130" s="2189"/>
      <c r="Z130" s="2189"/>
      <c r="AA130" s="2189"/>
      <c r="AB130" s="2189"/>
      <c r="AC130" s="2189"/>
      <c r="AD130" s="2189"/>
      <c r="AE130" s="2189"/>
      <c r="AF130" s="2189"/>
      <c r="AG130" s="2189"/>
      <c r="AH130" s="2266">
        <f t="shared" si="11"/>
        <v>0</v>
      </c>
    </row>
    <row r="131" spans="1:34" ht="13.8">
      <c r="A131" s="2187" t="s">
        <v>150</v>
      </c>
      <c r="B131" s="2194">
        <f t="shared" si="10"/>
        <v>0</v>
      </c>
      <c r="C131" s="2189"/>
      <c r="D131" s="2189"/>
      <c r="E131" s="2189"/>
      <c r="F131" s="2189"/>
      <c r="G131" s="2189"/>
      <c r="H131" s="2189"/>
      <c r="I131" s="2189"/>
      <c r="J131" s="2189"/>
      <c r="K131" s="2189"/>
      <c r="L131" s="2189"/>
      <c r="M131" s="2189"/>
      <c r="N131" s="2189"/>
      <c r="O131" s="2189"/>
      <c r="P131" s="2189"/>
      <c r="Q131" s="2189"/>
      <c r="R131" s="2189"/>
      <c r="S131" s="2189"/>
      <c r="T131" s="2189"/>
      <c r="U131" s="2189"/>
      <c r="V131" s="2189"/>
      <c r="W131" s="2189"/>
      <c r="X131" s="2189"/>
      <c r="Y131" s="2189"/>
      <c r="Z131" s="2189"/>
      <c r="AA131" s="2189"/>
      <c r="AB131" s="2189"/>
      <c r="AC131" s="2189"/>
      <c r="AD131" s="2189"/>
      <c r="AE131" s="2189"/>
      <c r="AF131" s="2189"/>
      <c r="AG131" s="2189"/>
      <c r="AH131" s="2266">
        <f t="shared" si="11"/>
        <v>0</v>
      </c>
    </row>
    <row r="132" spans="1:34" ht="13.8">
      <c r="A132" s="2187" t="s">
        <v>151</v>
      </c>
      <c r="B132" s="2194">
        <f t="shared" si="10"/>
        <v>0</v>
      </c>
      <c r="C132" s="2189"/>
      <c r="D132" s="2189"/>
      <c r="E132" s="2189"/>
      <c r="F132" s="2189"/>
      <c r="G132" s="2189"/>
      <c r="H132" s="2189"/>
      <c r="I132" s="2189"/>
      <c r="J132" s="2189"/>
      <c r="K132" s="2189"/>
      <c r="L132" s="2189"/>
      <c r="M132" s="2189"/>
      <c r="N132" s="2189"/>
      <c r="O132" s="2189"/>
      <c r="P132" s="2189"/>
      <c r="Q132" s="2189"/>
      <c r="R132" s="2189"/>
      <c r="S132" s="2189"/>
      <c r="T132" s="2189"/>
      <c r="U132" s="2189"/>
      <c r="V132" s="2189"/>
      <c r="W132" s="2189"/>
      <c r="X132" s="2189"/>
      <c r="Y132" s="2189"/>
      <c r="Z132" s="2189"/>
      <c r="AA132" s="2189"/>
      <c r="AB132" s="2189"/>
      <c r="AC132" s="2189"/>
      <c r="AD132" s="2189"/>
      <c r="AE132" s="2189"/>
      <c r="AF132" s="2189"/>
      <c r="AG132" s="2189"/>
      <c r="AH132" s="2266">
        <f t="shared" si="11"/>
        <v>0</v>
      </c>
    </row>
    <row r="133" spans="1:34" ht="13.8">
      <c r="A133" s="2187" t="s">
        <v>152</v>
      </c>
      <c r="B133" s="2194">
        <f t="shared" si="10"/>
        <v>0</v>
      </c>
      <c r="C133" s="2189"/>
      <c r="D133" s="2189"/>
      <c r="E133" s="2189"/>
      <c r="F133" s="2189"/>
      <c r="G133" s="2189"/>
      <c r="H133" s="2189"/>
      <c r="I133" s="2189"/>
      <c r="J133" s="2189"/>
      <c r="K133" s="2189"/>
      <c r="L133" s="2189"/>
      <c r="M133" s="2189"/>
      <c r="N133" s="2189"/>
      <c r="O133" s="2189"/>
      <c r="P133" s="2189"/>
      <c r="Q133" s="2189"/>
      <c r="R133" s="2189"/>
      <c r="S133" s="2189"/>
      <c r="T133" s="2189"/>
      <c r="U133" s="2189"/>
      <c r="V133" s="2189"/>
      <c r="W133" s="2189"/>
      <c r="X133" s="2189"/>
      <c r="Y133" s="2189"/>
      <c r="Z133" s="2189"/>
      <c r="AA133" s="2189"/>
      <c r="AB133" s="2189"/>
      <c r="AC133" s="2189"/>
      <c r="AD133" s="2189"/>
      <c r="AE133" s="2189"/>
      <c r="AF133" s="2189"/>
      <c r="AG133" s="2189"/>
      <c r="AH133" s="2266">
        <f t="shared" si="11"/>
        <v>0</v>
      </c>
    </row>
    <row r="134" spans="1:34" ht="13.8">
      <c r="A134" s="2187" t="s">
        <v>153</v>
      </c>
      <c r="B134" s="2194">
        <f t="shared" si="10"/>
        <v>0</v>
      </c>
      <c r="C134" s="2189"/>
      <c r="D134" s="2189"/>
      <c r="E134" s="2189"/>
      <c r="F134" s="2189"/>
      <c r="G134" s="2189"/>
      <c r="H134" s="2189"/>
      <c r="I134" s="2189"/>
      <c r="J134" s="2189"/>
      <c r="K134" s="2189"/>
      <c r="L134" s="2189"/>
      <c r="M134" s="2189"/>
      <c r="N134" s="2189"/>
      <c r="O134" s="2189"/>
      <c r="P134" s="2189"/>
      <c r="Q134" s="2189"/>
      <c r="R134" s="2189"/>
      <c r="S134" s="2189"/>
      <c r="T134" s="2189"/>
      <c r="U134" s="2189"/>
      <c r="V134" s="2189"/>
      <c r="W134" s="2189"/>
      <c r="X134" s="2189"/>
      <c r="Y134" s="2189"/>
      <c r="Z134" s="2189"/>
      <c r="AA134" s="2189"/>
      <c r="AB134" s="2189"/>
      <c r="AC134" s="2189"/>
      <c r="AD134" s="2189"/>
      <c r="AE134" s="2189"/>
      <c r="AF134" s="2189"/>
      <c r="AG134" s="2189"/>
      <c r="AH134" s="2266">
        <f t="shared" si="11"/>
        <v>0</v>
      </c>
    </row>
    <row r="135" spans="1:34" ht="13.8">
      <c r="A135" s="2190" t="s">
        <v>154</v>
      </c>
      <c r="B135" s="2194">
        <f t="shared" si="10"/>
        <v>0</v>
      </c>
      <c r="C135" s="2189"/>
      <c r="D135" s="2189"/>
      <c r="E135" s="2189"/>
      <c r="F135" s="2189"/>
      <c r="G135" s="2189"/>
      <c r="H135" s="2189"/>
      <c r="I135" s="2189"/>
      <c r="J135" s="2189"/>
      <c r="K135" s="2189"/>
      <c r="L135" s="2189"/>
      <c r="M135" s="2189"/>
      <c r="N135" s="2189"/>
      <c r="O135" s="2189"/>
      <c r="P135" s="2189"/>
      <c r="Q135" s="2189"/>
      <c r="R135" s="2189"/>
      <c r="S135" s="2189"/>
      <c r="T135" s="2189"/>
      <c r="U135" s="2189"/>
      <c r="V135" s="2189"/>
      <c r="W135" s="2189"/>
      <c r="X135" s="2189"/>
      <c r="Y135" s="2189"/>
      <c r="Z135" s="2189"/>
      <c r="AA135" s="2189"/>
      <c r="AB135" s="2189"/>
      <c r="AC135" s="2189"/>
      <c r="AD135" s="2189"/>
      <c r="AE135" s="2189"/>
      <c r="AF135" s="2189"/>
      <c r="AG135" s="2189"/>
      <c r="AH135" s="2266">
        <f t="shared" si="11"/>
        <v>0</v>
      </c>
    </row>
    <row r="136" spans="1:34" ht="13.8">
      <c r="A136" s="2191" t="s">
        <v>155</v>
      </c>
      <c r="B136" s="2194">
        <f t="shared" si="10"/>
        <v>0</v>
      </c>
      <c r="C136" s="2189"/>
      <c r="D136" s="2189"/>
      <c r="E136" s="2189"/>
      <c r="F136" s="2189"/>
      <c r="G136" s="2189"/>
      <c r="H136" s="2189"/>
      <c r="I136" s="2189"/>
      <c r="J136" s="2189"/>
      <c r="K136" s="2189"/>
      <c r="L136" s="2189"/>
      <c r="M136" s="2189"/>
      <c r="N136" s="2189"/>
      <c r="O136" s="2189"/>
      <c r="P136" s="2189"/>
      <c r="Q136" s="2189"/>
      <c r="R136" s="2189"/>
      <c r="S136" s="2189"/>
      <c r="T136" s="2189"/>
      <c r="U136" s="2189"/>
      <c r="V136" s="2189"/>
      <c r="W136" s="2189"/>
      <c r="X136" s="2189"/>
      <c r="Y136" s="2189"/>
      <c r="Z136" s="2189"/>
      <c r="AA136" s="2189"/>
      <c r="AB136" s="2189"/>
      <c r="AC136" s="2189"/>
      <c r="AD136" s="2189"/>
      <c r="AE136" s="2189"/>
      <c r="AF136" s="2189"/>
      <c r="AG136" s="2189"/>
      <c r="AH136" s="2266">
        <f t="shared" si="11"/>
        <v>0</v>
      </c>
    </row>
    <row r="137" spans="1:34" ht="13.8">
      <c r="A137" s="2187"/>
      <c r="B137" s="2194">
        <f t="shared" si="10"/>
        <v>0</v>
      </c>
      <c r="C137" s="2189"/>
      <c r="D137" s="2189"/>
      <c r="E137" s="2189"/>
      <c r="F137" s="2189"/>
      <c r="G137" s="2189"/>
      <c r="H137" s="2189"/>
      <c r="I137" s="2189"/>
      <c r="J137" s="2189"/>
      <c r="K137" s="2189"/>
      <c r="L137" s="2189"/>
      <c r="M137" s="2189"/>
      <c r="N137" s="2189"/>
      <c r="O137" s="2189"/>
      <c r="P137" s="2189"/>
      <c r="Q137" s="2189"/>
      <c r="R137" s="2189"/>
      <c r="S137" s="2189"/>
      <c r="T137" s="2189"/>
      <c r="U137" s="2189"/>
      <c r="V137" s="2189"/>
      <c r="W137" s="2189"/>
      <c r="X137" s="2189"/>
      <c r="Y137" s="2189"/>
      <c r="Z137" s="2189"/>
      <c r="AA137" s="2189"/>
      <c r="AB137" s="2189"/>
      <c r="AC137" s="2189"/>
      <c r="AD137" s="2189"/>
      <c r="AE137" s="2189"/>
      <c r="AF137" s="2189"/>
      <c r="AG137" s="2189"/>
      <c r="AH137" s="2266">
        <f>SUM(C137:AG137)</f>
        <v>0</v>
      </c>
    </row>
    <row r="138" spans="1:34" ht="13.8">
      <c r="A138" s="2192" t="s">
        <v>111</v>
      </c>
      <c r="B138" s="2195">
        <f>SUM(B126:B137)</f>
        <v>0</v>
      </c>
      <c r="C138" s="2193"/>
      <c r="D138" s="2193"/>
      <c r="E138" s="2193"/>
      <c r="F138" s="2193"/>
      <c r="G138" s="2193"/>
      <c r="H138" s="2193"/>
      <c r="I138" s="2193"/>
      <c r="J138" s="2193"/>
      <c r="K138" s="2193"/>
      <c r="L138" s="2193"/>
      <c r="M138" s="2193"/>
      <c r="N138" s="2193"/>
      <c r="O138" s="2193"/>
      <c r="P138" s="2193"/>
      <c r="Q138" s="2193"/>
      <c r="R138" s="2193"/>
      <c r="S138" s="2193"/>
      <c r="T138" s="2193"/>
      <c r="U138" s="2193"/>
      <c r="V138" s="2193"/>
      <c r="W138" s="2193"/>
      <c r="X138" s="2193"/>
      <c r="Y138" s="2193"/>
      <c r="Z138" s="2193"/>
      <c r="AA138" s="2193"/>
      <c r="AB138" s="2193"/>
      <c r="AC138" s="2193"/>
      <c r="AD138" s="2193"/>
      <c r="AE138" s="2193"/>
      <c r="AF138" s="2193"/>
      <c r="AG138" s="2193"/>
      <c r="AH138" s="2267">
        <f>SUM(AH126:AH137)</f>
        <v>0</v>
      </c>
    </row>
    <row r="140" spans="1:34">
      <c r="AH140" s="730"/>
    </row>
    <row r="141" spans="1:34" ht="14.4">
      <c r="A141" s="4178" t="s">
        <v>988</v>
      </c>
      <c r="B141" s="4179"/>
      <c r="C141" s="4179"/>
      <c r="D141" s="4179"/>
      <c r="E141" s="4179"/>
      <c r="F141" s="4179"/>
      <c r="G141" s="4180"/>
      <c r="AH141" s="730"/>
    </row>
    <row r="142" spans="1:34" ht="13.8">
      <c r="A142" s="4181" t="s">
        <v>993</v>
      </c>
      <c r="B142" s="4182"/>
      <c r="C142" s="4183"/>
      <c r="D142" s="2183"/>
      <c r="E142" s="2183"/>
      <c r="F142" s="2183"/>
      <c r="G142" s="2183"/>
      <c r="H142" s="2183"/>
      <c r="I142" s="2183"/>
      <c r="J142" s="2183"/>
      <c r="K142" s="2183"/>
      <c r="L142" s="2183"/>
      <c r="M142" s="2184"/>
      <c r="N142" s="2183"/>
      <c r="O142" s="2183"/>
      <c r="P142" s="2183"/>
      <c r="Q142" s="2183"/>
      <c r="R142" s="2183"/>
      <c r="S142" s="2183"/>
      <c r="T142" s="2183"/>
      <c r="U142" s="2183"/>
      <c r="V142" s="2183"/>
      <c r="W142" s="2183"/>
      <c r="X142" s="2183"/>
      <c r="Y142" s="2183"/>
      <c r="Z142" s="2183"/>
      <c r="AA142" s="2183"/>
      <c r="AB142" s="2183"/>
      <c r="AC142" s="2183"/>
      <c r="AD142" s="2183"/>
      <c r="AE142" s="2183"/>
      <c r="AF142" s="2183"/>
      <c r="AG142" s="2183"/>
      <c r="AH142" s="2264"/>
    </row>
    <row r="143" spans="1:34" ht="13.8">
      <c r="A143" s="2185" t="s">
        <v>142</v>
      </c>
      <c r="B143" s="2185" t="s">
        <v>143</v>
      </c>
      <c r="C143" s="2909">
        <v>1</v>
      </c>
      <c r="D143" s="2186">
        <v>2</v>
      </c>
      <c r="E143" s="2186">
        <v>3</v>
      </c>
      <c r="F143" s="2186">
        <v>4</v>
      </c>
      <c r="G143" s="2186">
        <v>5</v>
      </c>
      <c r="H143" s="2186">
        <v>6</v>
      </c>
      <c r="I143" s="2186">
        <v>7</v>
      </c>
      <c r="J143" s="2186">
        <v>8</v>
      </c>
      <c r="K143" s="2186">
        <v>9</v>
      </c>
      <c r="L143" s="2186">
        <v>10</v>
      </c>
      <c r="M143" s="2186">
        <v>11</v>
      </c>
      <c r="N143" s="2186">
        <v>12</v>
      </c>
      <c r="O143" s="2186">
        <v>13</v>
      </c>
      <c r="P143" s="2186">
        <v>14</v>
      </c>
      <c r="Q143" s="2186">
        <v>15</v>
      </c>
      <c r="R143" s="2186">
        <v>16</v>
      </c>
      <c r="S143" s="2186">
        <v>17</v>
      </c>
      <c r="T143" s="2186">
        <v>18</v>
      </c>
      <c r="U143" s="2186">
        <v>19</v>
      </c>
      <c r="V143" s="2186">
        <v>20</v>
      </c>
      <c r="W143" s="2187">
        <v>21</v>
      </c>
      <c r="X143" s="2186">
        <v>22</v>
      </c>
      <c r="Y143" s="2186">
        <v>23</v>
      </c>
      <c r="Z143" s="2186">
        <v>24</v>
      </c>
      <c r="AA143" s="2186">
        <v>25</v>
      </c>
      <c r="AB143" s="2186">
        <v>26</v>
      </c>
      <c r="AC143" s="2188">
        <v>27</v>
      </c>
      <c r="AD143" s="2186">
        <v>28</v>
      </c>
      <c r="AE143" s="2186">
        <v>29</v>
      </c>
      <c r="AF143" s="2186">
        <v>30</v>
      </c>
      <c r="AG143" s="2186">
        <v>31</v>
      </c>
      <c r="AH143" s="2265" t="s">
        <v>111</v>
      </c>
    </row>
    <row r="144" spans="1:34" ht="13.8">
      <c r="A144" s="2187" t="s">
        <v>145</v>
      </c>
      <c r="B144" s="2194">
        <v>0</v>
      </c>
      <c r="C144" s="2189"/>
      <c r="D144" s="2189"/>
      <c r="E144" s="2189"/>
      <c r="F144" s="2189"/>
      <c r="G144" s="2189"/>
      <c r="H144" s="2189"/>
      <c r="I144" s="2189"/>
      <c r="J144" s="2189"/>
      <c r="K144" s="2189"/>
      <c r="L144" s="2189"/>
      <c r="M144" s="2189"/>
      <c r="N144" s="2189"/>
      <c r="O144" s="2189"/>
      <c r="P144" s="2189"/>
      <c r="Q144" s="2189"/>
      <c r="R144" s="2189"/>
      <c r="S144" s="2189"/>
      <c r="T144" s="2189"/>
      <c r="U144" s="2189"/>
      <c r="V144" s="2189"/>
      <c r="W144" s="2189"/>
      <c r="X144" s="2189"/>
      <c r="Y144" s="2189"/>
      <c r="Z144" s="2189"/>
      <c r="AA144" s="2189"/>
      <c r="AB144" s="2189"/>
      <c r="AC144" s="2189"/>
      <c r="AD144" s="2189"/>
      <c r="AE144" s="2189"/>
      <c r="AF144" s="2189"/>
      <c r="AG144" s="2189"/>
      <c r="AH144" s="2266">
        <v>0</v>
      </c>
    </row>
    <row r="145" spans="1:34" ht="13.8">
      <c r="A145" s="2187" t="s">
        <v>146</v>
      </c>
      <c r="B145" s="2194">
        <v>0</v>
      </c>
      <c r="C145" s="2189"/>
      <c r="D145" s="2189"/>
      <c r="E145" s="2189"/>
      <c r="F145" s="2189"/>
      <c r="G145" s="2189"/>
      <c r="H145" s="2189"/>
      <c r="I145" s="2189"/>
      <c r="J145" s="2189"/>
      <c r="K145" s="2189"/>
      <c r="L145" s="2189"/>
      <c r="M145" s="2189"/>
      <c r="N145" s="2189"/>
      <c r="O145" s="2189"/>
      <c r="P145" s="2189"/>
      <c r="Q145" s="2189"/>
      <c r="R145" s="2189"/>
      <c r="S145" s="2189"/>
      <c r="T145" s="2189"/>
      <c r="U145" s="2189"/>
      <c r="V145" s="2189"/>
      <c r="W145" s="2189"/>
      <c r="X145" s="2189"/>
      <c r="Y145" s="2189"/>
      <c r="Z145" s="2189"/>
      <c r="AA145" s="2189"/>
      <c r="AB145" s="2189"/>
      <c r="AC145" s="2189"/>
      <c r="AD145" s="2189"/>
      <c r="AE145" s="2189"/>
      <c r="AF145" s="2189"/>
      <c r="AG145" s="2189"/>
      <c r="AH145" s="2266">
        <v>0</v>
      </c>
    </row>
    <row r="146" spans="1:34" ht="13.8">
      <c r="A146" s="2187" t="s">
        <v>147</v>
      </c>
      <c r="B146" s="2194">
        <v>0</v>
      </c>
      <c r="C146" s="2189"/>
      <c r="D146" s="2189"/>
      <c r="E146" s="2189"/>
      <c r="F146" s="2189"/>
      <c r="G146" s="2189"/>
      <c r="H146" s="2189"/>
      <c r="I146" s="2189"/>
      <c r="J146" s="2189"/>
      <c r="K146" s="2189"/>
      <c r="L146" s="2189"/>
      <c r="M146" s="2189"/>
      <c r="N146" s="2189"/>
      <c r="O146" s="2189"/>
      <c r="P146" s="2189"/>
      <c r="Q146" s="2189"/>
      <c r="R146" s="2189"/>
      <c r="S146" s="2189"/>
      <c r="T146" s="2189"/>
      <c r="U146" s="2189"/>
      <c r="V146" s="2189"/>
      <c r="W146" s="2189"/>
      <c r="X146" s="2189"/>
      <c r="Y146" s="2189"/>
      <c r="Z146" s="2189"/>
      <c r="AA146" s="2189"/>
      <c r="AB146" s="2189"/>
      <c r="AC146" s="2189"/>
      <c r="AD146" s="2189"/>
      <c r="AE146" s="2189"/>
      <c r="AF146" s="2189"/>
      <c r="AG146" s="2189"/>
      <c r="AH146" s="2266">
        <v>0</v>
      </c>
    </row>
    <row r="147" spans="1:34" ht="13.8">
      <c r="A147" s="2187" t="s">
        <v>148</v>
      </c>
      <c r="B147" s="2194">
        <v>0</v>
      </c>
      <c r="C147" s="2189"/>
      <c r="D147" s="2189"/>
      <c r="E147" s="2189"/>
      <c r="F147" s="2189"/>
      <c r="G147" s="2189"/>
      <c r="H147" s="2189"/>
      <c r="I147" s="2189"/>
      <c r="J147" s="2189"/>
      <c r="K147" s="2189"/>
      <c r="L147" s="2189"/>
      <c r="M147" s="2189"/>
      <c r="N147" s="2189"/>
      <c r="O147" s="2189"/>
      <c r="P147" s="2189"/>
      <c r="Q147" s="2189"/>
      <c r="R147" s="2189"/>
      <c r="S147" s="2189"/>
      <c r="T147" s="2189"/>
      <c r="U147" s="2189"/>
      <c r="V147" s="2189"/>
      <c r="W147" s="2189"/>
      <c r="X147" s="2189"/>
      <c r="Y147" s="2189"/>
      <c r="Z147" s="2189"/>
      <c r="AA147" s="2189"/>
      <c r="AB147" s="2189"/>
      <c r="AC147" s="2189"/>
      <c r="AD147" s="2189"/>
      <c r="AE147" s="2189"/>
      <c r="AF147" s="2189"/>
      <c r="AG147" s="2189"/>
      <c r="AH147" s="2266">
        <v>0</v>
      </c>
    </row>
    <row r="148" spans="1:34" ht="13.8">
      <c r="A148" s="2187" t="s">
        <v>149</v>
      </c>
      <c r="B148" s="2194">
        <v>0</v>
      </c>
      <c r="C148" s="2189"/>
      <c r="D148" s="2189"/>
      <c r="E148" s="2189"/>
      <c r="F148" s="2189"/>
      <c r="G148" s="2189"/>
      <c r="H148" s="2189"/>
      <c r="I148" s="2189"/>
      <c r="J148" s="2189"/>
      <c r="K148" s="2189"/>
      <c r="L148" s="2189"/>
      <c r="M148" s="2189"/>
      <c r="N148" s="2189"/>
      <c r="O148" s="2189"/>
      <c r="P148" s="2189"/>
      <c r="Q148" s="2189"/>
      <c r="R148" s="2189"/>
      <c r="S148" s="2189"/>
      <c r="T148" s="2189"/>
      <c r="U148" s="2189"/>
      <c r="V148" s="2189"/>
      <c r="W148" s="2189"/>
      <c r="X148" s="2189"/>
      <c r="Y148" s="2189"/>
      <c r="Z148" s="2189"/>
      <c r="AA148" s="2189"/>
      <c r="AB148" s="2189"/>
      <c r="AC148" s="2189"/>
      <c r="AD148" s="2189"/>
      <c r="AE148" s="2189"/>
      <c r="AF148" s="2189"/>
      <c r="AG148" s="2189"/>
      <c r="AH148" s="2266">
        <v>0</v>
      </c>
    </row>
    <row r="149" spans="1:34" ht="13.8">
      <c r="A149" s="2187" t="s">
        <v>150</v>
      </c>
      <c r="B149" s="2194">
        <v>0</v>
      </c>
      <c r="C149" s="2189"/>
      <c r="D149" s="2189"/>
      <c r="E149" s="2189"/>
      <c r="F149" s="2189"/>
      <c r="G149" s="2189"/>
      <c r="H149" s="2189"/>
      <c r="I149" s="2189"/>
      <c r="J149" s="2189"/>
      <c r="K149" s="2189"/>
      <c r="L149" s="2189"/>
      <c r="M149" s="2189"/>
      <c r="N149" s="2189"/>
      <c r="O149" s="2189"/>
      <c r="P149" s="2189"/>
      <c r="Q149" s="2189"/>
      <c r="R149" s="2189"/>
      <c r="S149" s="2189"/>
      <c r="T149" s="2189"/>
      <c r="U149" s="2189"/>
      <c r="V149" s="2189"/>
      <c r="W149" s="2189"/>
      <c r="X149" s="2189"/>
      <c r="Y149" s="2189"/>
      <c r="Z149" s="2189"/>
      <c r="AA149" s="2189"/>
      <c r="AB149" s="2189"/>
      <c r="AC149" s="2189"/>
      <c r="AD149" s="2189"/>
      <c r="AE149" s="2189"/>
      <c r="AF149" s="2189"/>
      <c r="AG149" s="2189"/>
      <c r="AH149" s="2266">
        <v>0</v>
      </c>
    </row>
    <row r="150" spans="1:34" ht="13.8">
      <c r="A150" s="2187" t="s">
        <v>151</v>
      </c>
      <c r="B150" s="2194">
        <v>0</v>
      </c>
      <c r="C150" s="2189"/>
      <c r="D150" s="2189"/>
      <c r="E150" s="2189"/>
      <c r="F150" s="2189"/>
      <c r="G150" s="2189"/>
      <c r="H150" s="2189"/>
      <c r="I150" s="2189"/>
      <c r="J150" s="2189"/>
      <c r="K150" s="2189"/>
      <c r="L150" s="2189"/>
      <c r="M150" s="2189"/>
      <c r="N150" s="2189"/>
      <c r="O150" s="2189"/>
      <c r="P150" s="2189"/>
      <c r="Q150" s="2189"/>
      <c r="R150" s="2189"/>
      <c r="S150" s="2189"/>
      <c r="T150" s="2189"/>
      <c r="U150" s="2189"/>
      <c r="V150" s="2189"/>
      <c r="W150" s="2189"/>
      <c r="X150" s="2189"/>
      <c r="Y150" s="2189"/>
      <c r="Z150" s="2189"/>
      <c r="AA150" s="2189"/>
      <c r="AB150" s="2189"/>
      <c r="AC150" s="2189"/>
      <c r="AD150" s="2189"/>
      <c r="AE150" s="2189"/>
      <c r="AF150" s="2189"/>
      <c r="AG150" s="2189"/>
      <c r="AH150" s="2266">
        <v>0</v>
      </c>
    </row>
    <row r="151" spans="1:34" ht="13.8">
      <c r="A151" s="2187" t="s">
        <v>152</v>
      </c>
      <c r="B151" s="2194">
        <v>0</v>
      </c>
      <c r="C151" s="2189"/>
      <c r="D151" s="2189"/>
      <c r="E151" s="2189"/>
      <c r="F151" s="2189"/>
      <c r="G151" s="2189"/>
      <c r="H151" s="2189"/>
      <c r="I151" s="2189"/>
      <c r="J151" s="2189"/>
      <c r="K151" s="2189"/>
      <c r="L151" s="2189"/>
      <c r="M151" s="2189"/>
      <c r="N151" s="2189"/>
      <c r="O151" s="2189"/>
      <c r="P151" s="2189"/>
      <c r="Q151" s="2189"/>
      <c r="R151" s="2189"/>
      <c r="S151" s="2189"/>
      <c r="T151" s="2189"/>
      <c r="U151" s="2189"/>
      <c r="V151" s="2189"/>
      <c r="W151" s="2189"/>
      <c r="X151" s="2189"/>
      <c r="Y151" s="2189"/>
      <c r="Z151" s="2189"/>
      <c r="AA151" s="2189"/>
      <c r="AB151" s="2189"/>
      <c r="AC151" s="2189"/>
      <c r="AD151" s="2189"/>
      <c r="AE151" s="2189"/>
      <c r="AF151" s="2189"/>
      <c r="AG151" s="2189"/>
      <c r="AH151" s="2266">
        <v>0</v>
      </c>
    </row>
    <row r="152" spans="1:34" ht="13.8">
      <c r="A152" s="2188" t="s">
        <v>153</v>
      </c>
      <c r="B152" s="2194">
        <f>+AH152</f>
        <v>0</v>
      </c>
      <c r="C152" s="2364"/>
      <c r="D152" s="2364"/>
      <c r="E152" s="2364"/>
      <c r="F152" s="2364"/>
      <c r="G152" s="2364"/>
      <c r="H152" s="2364"/>
      <c r="I152" s="2364"/>
      <c r="J152" s="2364"/>
      <c r="K152" s="2364"/>
      <c r="L152" s="2189"/>
      <c r="M152" s="2189"/>
      <c r="N152" s="2189"/>
      <c r="O152" s="2189"/>
      <c r="P152" s="2189"/>
      <c r="Q152" s="2189"/>
      <c r="R152" s="2189"/>
      <c r="S152" s="2189"/>
      <c r="T152" s="2189"/>
      <c r="U152" s="2189"/>
      <c r="V152" s="2189"/>
      <c r="W152" s="2189"/>
      <c r="X152" s="2189"/>
      <c r="Y152" s="2189"/>
      <c r="Z152" s="2189"/>
      <c r="AA152" s="2189"/>
      <c r="AB152" s="2189"/>
      <c r="AC152" s="2189"/>
      <c r="AD152" s="2189"/>
      <c r="AE152" s="2189"/>
      <c r="AF152" s="2189"/>
      <c r="AG152" s="2189">
        <v>0</v>
      </c>
      <c r="AH152" s="2266">
        <f>SUM(C152:AG152)</f>
        <v>0</v>
      </c>
    </row>
    <row r="153" spans="1:34" ht="13.8">
      <c r="A153" s="2190" t="s">
        <v>154</v>
      </c>
      <c r="B153" s="2194">
        <f>+AH153</f>
        <v>28.85</v>
      </c>
      <c r="C153" s="2384">
        <v>0.25</v>
      </c>
      <c r="D153" s="2384">
        <v>5.27</v>
      </c>
      <c r="E153" s="2384"/>
      <c r="F153" s="2384">
        <v>11.436999999999999</v>
      </c>
      <c r="G153" s="2384"/>
      <c r="H153" s="2384"/>
      <c r="I153" s="2384"/>
      <c r="J153" s="2384">
        <v>0.2</v>
      </c>
      <c r="K153" s="2384">
        <v>1.58</v>
      </c>
      <c r="L153" s="2189"/>
      <c r="M153" s="2189"/>
      <c r="N153" s="2189"/>
      <c r="O153" s="2364">
        <v>0.98699999999999999</v>
      </c>
      <c r="P153" s="2364"/>
      <c r="Q153" s="2364">
        <v>6.3259999999999996</v>
      </c>
      <c r="R153" s="2364">
        <v>2.8</v>
      </c>
      <c r="S153" s="2189"/>
      <c r="T153" s="2189"/>
      <c r="U153" s="2189"/>
      <c r="V153" s="2189"/>
      <c r="W153" s="2189"/>
      <c r="X153" s="2189"/>
      <c r="Y153" s="2189"/>
      <c r="Z153" s="2189"/>
      <c r="AA153" s="2189"/>
      <c r="AB153" s="2189"/>
      <c r="AC153" s="2189"/>
      <c r="AD153" s="2189"/>
      <c r="AE153" s="2189"/>
      <c r="AF153" s="2189"/>
      <c r="AG153" s="2189">
        <v>0</v>
      </c>
      <c r="AH153" s="2266">
        <f>SUM(C153:AG153)</f>
        <v>28.85</v>
      </c>
    </row>
    <row r="154" spans="1:34" ht="13.8">
      <c r="A154" s="2191" t="s">
        <v>155</v>
      </c>
      <c r="B154" s="2194">
        <v>0</v>
      </c>
      <c r="C154" s="2189"/>
      <c r="D154" s="2189"/>
      <c r="E154" s="2189"/>
      <c r="F154" s="2189"/>
      <c r="G154" s="2189"/>
      <c r="H154" s="2189"/>
      <c r="I154" s="2189"/>
      <c r="J154" s="2189"/>
      <c r="K154" s="2189"/>
      <c r="L154" s="2189"/>
      <c r="M154" s="2189"/>
      <c r="N154" s="2189"/>
      <c r="O154" s="2189"/>
      <c r="P154" s="2189"/>
      <c r="Q154" s="2189"/>
      <c r="R154" s="2189"/>
      <c r="S154" s="2189"/>
      <c r="T154" s="2189"/>
      <c r="U154" s="2189"/>
      <c r="V154" s="2189"/>
      <c r="W154" s="2189"/>
      <c r="X154" s="2189"/>
      <c r="Y154" s="2189"/>
      <c r="Z154" s="2189"/>
      <c r="AA154" s="2189"/>
      <c r="AB154" s="2189"/>
      <c r="AC154" s="2189"/>
      <c r="AD154" s="2189"/>
      <c r="AE154" s="2189"/>
      <c r="AF154" s="2189"/>
      <c r="AG154" s="2189"/>
      <c r="AH154" s="2266">
        <f>SUM(C154:AG154)</f>
        <v>0</v>
      </c>
    </row>
    <row r="155" spans="1:34" ht="13.8">
      <c r="A155" s="2187"/>
      <c r="B155" s="2194">
        <v>0</v>
      </c>
      <c r="C155" s="2189"/>
      <c r="D155" s="2189"/>
      <c r="E155" s="2189"/>
      <c r="F155" s="2189"/>
      <c r="G155" s="2189"/>
      <c r="H155" s="2189"/>
      <c r="I155" s="2189"/>
      <c r="J155" s="2189"/>
      <c r="K155" s="2189"/>
      <c r="L155" s="2189"/>
      <c r="M155" s="2189"/>
      <c r="N155" s="2189"/>
      <c r="O155" s="2189"/>
      <c r="P155" s="2189"/>
      <c r="Q155" s="2189"/>
      <c r="R155" s="2189"/>
      <c r="S155" s="2189"/>
      <c r="T155" s="2189"/>
      <c r="U155" s="2189"/>
      <c r="V155" s="2189"/>
      <c r="W155" s="2189"/>
      <c r="X155" s="2189"/>
      <c r="Y155" s="2189"/>
      <c r="Z155" s="2189"/>
      <c r="AA155" s="2189"/>
      <c r="AB155" s="2189"/>
      <c r="AC155" s="2189"/>
      <c r="AD155" s="2189"/>
      <c r="AE155" s="2189"/>
      <c r="AF155" s="2189"/>
      <c r="AG155" s="2189"/>
      <c r="AH155" s="2266">
        <f>SUM(C155:AG155)</f>
        <v>0</v>
      </c>
    </row>
    <row r="156" spans="1:34" ht="13.8">
      <c r="A156" s="2192" t="s">
        <v>111</v>
      </c>
      <c r="B156" s="2195">
        <f>SUM(B144:B155)</f>
        <v>28.85</v>
      </c>
      <c r="C156" s="2193"/>
      <c r="D156" s="2193"/>
      <c r="E156" s="2193"/>
      <c r="F156" s="2193"/>
      <c r="G156" s="2193"/>
      <c r="H156" s="2193"/>
      <c r="I156" s="2193"/>
      <c r="J156" s="2193"/>
      <c r="K156" s="2193"/>
      <c r="L156" s="2193"/>
      <c r="M156" s="2193"/>
      <c r="N156" s="2193"/>
      <c r="O156" s="2193"/>
      <c r="P156" s="2193"/>
      <c r="Q156" s="2193"/>
      <c r="R156" s="2193"/>
      <c r="S156" s="2193"/>
      <c r="T156" s="2193"/>
      <c r="U156" s="2193"/>
      <c r="V156" s="2193"/>
      <c r="W156" s="2193"/>
      <c r="X156" s="2193"/>
      <c r="Y156" s="2193"/>
      <c r="Z156" s="2193"/>
      <c r="AA156" s="2193"/>
      <c r="AB156" s="2193"/>
      <c r="AC156" s="2193"/>
      <c r="AD156" s="2193"/>
      <c r="AE156" s="2193"/>
      <c r="AF156" s="2193"/>
      <c r="AG156" s="2193"/>
      <c r="AH156" s="2267">
        <f>SUM(AH144:AH155)</f>
        <v>28.85</v>
      </c>
    </row>
    <row r="157" spans="1:34">
      <c r="AH157" s="730"/>
    </row>
    <row r="158" spans="1:34">
      <c r="AH158" s="730"/>
    </row>
    <row r="159" spans="1:34" ht="13.8">
      <c r="A159" s="4184" t="s">
        <v>994</v>
      </c>
      <c r="B159" s="4185"/>
      <c r="C159" s="4186"/>
      <c r="D159" s="2183"/>
      <c r="E159" s="2183"/>
      <c r="F159" s="2183"/>
      <c r="G159" s="2183"/>
      <c r="H159" s="2183"/>
      <c r="I159" s="2183"/>
      <c r="J159" s="2183"/>
      <c r="K159" s="2183"/>
      <c r="L159" s="2183"/>
      <c r="M159" s="2184"/>
      <c r="N159" s="2183"/>
      <c r="O159" s="2183"/>
      <c r="P159" s="2183"/>
      <c r="Q159" s="2183"/>
      <c r="R159" s="2183"/>
      <c r="S159" s="2183"/>
      <c r="T159" s="2183"/>
      <c r="U159" s="2183"/>
      <c r="V159" s="2183"/>
      <c r="W159" s="2183"/>
      <c r="X159" s="2183"/>
      <c r="Y159" s="2183"/>
      <c r="Z159" s="2183"/>
      <c r="AA159" s="2183"/>
      <c r="AB159" s="2183"/>
      <c r="AC159" s="2183"/>
      <c r="AD159" s="2183"/>
      <c r="AE159" s="2183"/>
      <c r="AF159" s="2183"/>
      <c r="AG159" s="2183"/>
      <c r="AH159" s="2264"/>
    </row>
    <row r="160" spans="1:34" ht="13.8">
      <c r="A160" s="2185" t="s">
        <v>142</v>
      </c>
      <c r="B160" s="2185" t="s">
        <v>143</v>
      </c>
      <c r="C160" s="2186" t="s">
        <v>1185</v>
      </c>
      <c r="D160" s="2186">
        <v>2</v>
      </c>
      <c r="E160" s="2186">
        <v>3</v>
      </c>
      <c r="F160" s="2186">
        <v>4</v>
      </c>
      <c r="G160" s="2186">
        <v>5</v>
      </c>
      <c r="H160" s="2186">
        <v>6</v>
      </c>
      <c r="I160" s="2186">
        <v>7</v>
      </c>
      <c r="J160" s="2186">
        <v>8</v>
      </c>
      <c r="K160" s="2186">
        <v>9</v>
      </c>
      <c r="L160" s="2186">
        <v>10</v>
      </c>
      <c r="M160" s="2186">
        <v>11</v>
      </c>
      <c r="N160" s="2186">
        <v>12</v>
      </c>
      <c r="O160" s="2186">
        <v>13</v>
      </c>
      <c r="P160" s="2186">
        <v>14</v>
      </c>
      <c r="Q160" s="2186">
        <v>15</v>
      </c>
      <c r="R160" s="2186">
        <v>16</v>
      </c>
      <c r="S160" s="2186">
        <v>17</v>
      </c>
      <c r="T160" s="2186">
        <v>18</v>
      </c>
      <c r="U160" s="2186">
        <v>19</v>
      </c>
      <c r="V160" s="2186">
        <v>20</v>
      </c>
      <c r="W160" s="2187">
        <v>21</v>
      </c>
      <c r="X160" s="2186">
        <v>22</v>
      </c>
      <c r="Y160" s="2186">
        <v>23</v>
      </c>
      <c r="Z160" s="2186">
        <v>24</v>
      </c>
      <c r="AA160" s="2186">
        <v>25</v>
      </c>
      <c r="AB160" s="2186">
        <v>26</v>
      </c>
      <c r="AC160" s="2188">
        <v>27</v>
      </c>
      <c r="AD160" s="2186">
        <v>28</v>
      </c>
      <c r="AE160" s="2186">
        <v>29</v>
      </c>
      <c r="AF160" s="2186">
        <v>30</v>
      </c>
      <c r="AG160" s="2186">
        <v>31</v>
      </c>
      <c r="AH160" s="2265" t="s">
        <v>111</v>
      </c>
    </row>
    <row r="161" spans="1:34" ht="13.8">
      <c r="A161" s="2187" t="s">
        <v>145</v>
      </c>
      <c r="B161" s="2194">
        <v>0</v>
      </c>
      <c r="C161" s="2189"/>
      <c r="D161" s="2189"/>
      <c r="E161" s="2189"/>
      <c r="F161" s="2189"/>
      <c r="G161" s="2189"/>
      <c r="H161" s="2189"/>
      <c r="I161" s="2189"/>
      <c r="J161" s="2189"/>
      <c r="K161" s="2189"/>
      <c r="L161" s="2189"/>
      <c r="M161" s="2189"/>
      <c r="N161" s="2189"/>
      <c r="O161" s="2189"/>
      <c r="P161" s="2189"/>
      <c r="Q161" s="2189"/>
      <c r="R161" s="2189"/>
      <c r="S161" s="2189"/>
      <c r="T161" s="2189"/>
      <c r="U161" s="2189"/>
      <c r="V161" s="2189"/>
      <c r="W161" s="2189"/>
      <c r="X161" s="2189"/>
      <c r="Y161" s="2189"/>
      <c r="Z161" s="2189"/>
      <c r="AA161" s="2189"/>
      <c r="AB161" s="2189"/>
      <c r="AC161" s="2189"/>
      <c r="AD161" s="2189"/>
      <c r="AE161" s="2189"/>
      <c r="AF161" s="2189"/>
      <c r="AG161" s="2189"/>
      <c r="AH161" s="2266">
        <v>0</v>
      </c>
    </row>
    <row r="162" spans="1:34" ht="13.8">
      <c r="A162" s="2187" t="s">
        <v>146</v>
      </c>
      <c r="B162" s="2194">
        <v>0</v>
      </c>
      <c r="C162" s="2189"/>
      <c r="D162" s="2189"/>
      <c r="E162" s="2189"/>
      <c r="F162" s="2189"/>
      <c r="G162" s="2189"/>
      <c r="H162" s="2189"/>
      <c r="I162" s="2189"/>
      <c r="J162" s="2189"/>
      <c r="K162" s="2189"/>
      <c r="L162" s="2189"/>
      <c r="M162" s="2189"/>
      <c r="N162" s="2189"/>
      <c r="O162" s="2189"/>
      <c r="P162" s="2189"/>
      <c r="Q162" s="2189"/>
      <c r="R162" s="2189"/>
      <c r="S162" s="2189"/>
      <c r="T162" s="2189"/>
      <c r="U162" s="2189"/>
      <c r="V162" s="2189"/>
      <c r="W162" s="2189"/>
      <c r="X162" s="2189"/>
      <c r="Y162" s="2189"/>
      <c r="Z162" s="2189"/>
      <c r="AA162" s="2189"/>
      <c r="AB162" s="2189"/>
      <c r="AC162" s="2189"/>
      <c r="AD162" s="2189"/>
      <c r="AE162" s="2189"/>
      <c r="AF162" s="2189"/>
      <c r="AG162" s="2189"/>
      <c r="AH162" s="2266">
        <v>0</v>
      </c>
    </row>
    <row r="163" spans="1:34" ht="13.8">
      <c r="A163" s="2187" t="s">
        <v>147</v>
      </c>
      <c r="B163" s="2194">
        <v>0</v>
      </c>
      <c r="C163" s="2189"/>
      <c r="D163" s="2189"/>
      <c r="E163" s="2189"/>
      <c r="F163" s="2189"/>
      <c r="G163" s="2189"/>
      <c r="H163" s="2189"/>
      <c r="I163" s="2189"/>
      <c r="J163" s="2189"/>
      <c r="K163" s="2189"/>
      <c r="L163" s="2189"/>
      <c r="M163" s="2189"/>
      <c r="N163" s="2189"/>
      <c r="O163" s="2189"/>
      <c r="P163" s="2189"/>
      <c r="Q163" s="2189"/>
      <c r="R163" s="2189"/>
      <c r="S163" s="2189"/>
      <c r="T163" s="2189"/>
      <c r="U163" s="2189"/>
      <c r="V163" s="2189"/>
      <c r="W163" s="2189"/>
      <c r="X163" s="2189"/>
      <c r="Y163" s="2189"/>
      <c r="Z163" s="2189"/>
      <c r="AA163" s="2189"/>
      <c r="AB163" s="2189"/>
      <c r="AC163" s="2189"/>
      <c r="AD163" s="2189"/>
      <c r="AE163" s="2189"/>
      <c r="AF163" s="2189"/>
      <c r="AG163" s="2189"/>
      <c r="AH163" s="2266">
        <v>0</v>
      </c>
    </row>
    <row r="164" spans="1:34" ht="13.8">
      <c r="A164" s="2187" t="s">
        <v>148</v>
      </c>
      <c r="B164" s="2194">
        <v>0</v>
      </c>
      <c r="C164" s="2189"/>
      <c r="D164" s="2189"/>
      <c r="E164" s="2189"/>
      <c r="F164" s="2189"/>
      <c r="G164" s="2189"/>
      <c r="H164" s="2189"/>
      <c r="I164" s="2189"/>
      <c r="J164" s="2189"/>
      <c r="K164" s="2189"/>
      <c r="L164" s="2189"/>
      <c r="M164" s="2189"/>
      <c r="N164" s="2189"/>
      <c r="O164" s="2189"/>
      <c r="P164" s="2189"/>
      <c r="Q164" s="2189"/>
      <c r="R164" s="2189"/>
      <c r="S164" s="2189"/>
      <c r="T164" s="2189"/>
      <c r="U164" s="2189"/>
      <c r="V164" s="2189"/>
      <c r="W164" s="2189"/>
      <c r="X164" s="2189"/>
      <c r="Y164" s="2189"/>
      <c r="Z164" s="2189"/>
      <c r="AA164" s="2189"/>
      <c r="AB164" s="2189"/>
      <c r="AC164" s="2189"/>
      <c r="AD164" s="2189"/>
      <c r="AE164" s="2189"/>
      <c r="AF164" s="2189"/>
      <c r="AG164" s="2189"/>
      <c r="AH164" s="2266">
        <v>0</v>
      </c>
    </row>
    <row r="165" spans="1:34" ht="13.8">
      <c r="A165" s="2187" t="s">
        <v>149</v>
      </c>
      <c r="B165" s="2194">
        <v>0</v>
      </c>
      <c r="C165" s="2189"/>
      <c r="D165" s="2189"/>
      <c r="E165" s="2189"/>
      <c r="F165" s="2189"/>
      <c r="G165" s="2189"/>
      <c r="H165" s="2189"/>
      <c r="I165" s="2189"/>
      <c r="J165" s="2189"/>
      <c r="K165" s="2189"/>
      <c r="L165" s="2189"/>
      <c r="M165" s="2189"/>
      <c r="N165" s="2189"/>
      <c r="O165" s="2189"/>
      <c r="P165" s="2189"/>
      <c r="Q165" s="2189"/>
      <c r="R165" s="2189"/>
      <c r="S165" s="2189"/>
      <c r="T165" s="2189"/>
      <c r="U165" s="2189"/>
      <c r="V165" s="2189"/>
      <c r="W165" s="2189"/>
      <c r="X165" s="2189"/>
      <c r="Y165" s="2189"/>
      <c r="Z165" s="2189"/>
      <c r="AA165" s="2189"/>
      <c r="AB165" s="2189"/>
      <c r="AC165" s="2189"/>
      <c r="AD165" s="2189"/>
      <c r="AE165" s="2189"/>
      <c r="AF165" s="2189"/>
      <c r="AG165" s="2189"/>
      <c r="AH165" s="2266">
        <v>0</v>
      </c>
    </row>
    <row r="166" spans="1:34" ht="13.8">
      <c r="A166" s="2187" t="s">
        <v>150</v>
      </c>
      <c r="B166" s="2194">
        <v>0</v>
      </c>
      <c r="C166" s="2189"/>
      <c r="D166" s="2189"/>
      <c r="E166" s="2189"/>
      <c r="F166" s="2189"/>
      <c r="G166" s="2189"/>
      <c r="H166" s="2189"/>
      <c r="I166" s="2189"/>
      <c r="J166" s="2189"/>
      <c r="K166" s="2189"/>
      <c r="L166" s="2189"/>
      <c r="M166" s="2189"/>
      <c r="N166" s="2189"/>
      <c r="O166" s="2189"/>
      <c r="P166" s="2189"/>
      <c r="Q166" s="2189"/>
      <c r="R166" s="2189"/>
      <c r="S166" s="2189"/>
      <c r="T166" s="2189"/>
      <c r="U166" s="2189"/>
      <c r="V166" s="2189"/>
      <c r="W166" s="2189"/>
      <c r="X166" s="2189"/>
      <c r="Y166" s="2189"/>
      <c r="Z166" s="2189"/>
      <c r="AA166" s="2189"/>
      <c r="AB166" s="2189"/>
      <c r="AC166" s="2189"/>
      <c r="AD166" s="2189"/>
      <c r="AE166" s="2189"/>
      <c r="AF166" s="2189"/>
      <c r="AG166" s="2189"/>
      <c r="AH166" s="2266">
        <v>0</v>
      </c>
    </row>
    <row r="167" spans="1:34" ht="13.8">
      <c r="A167" s="2187" t="s">
        <v>151</v>
      </c>
      <c r="B167" s="2194">
        <v>0</v>
      </c>
      <c r="C167" s="2189"/>
      <c r="D167" s="2189"/>
      <c r="E167" s="2189"/>
      <c r="F167" s="2189"/>
      <c r="G167" s="2189"/>
      <c r="H167" s="2189"/>
      <c r="I167" s="2189"/>
      <c r="J167" s="2189"/>
      <c r="K167" s="2189"/>
      <c r="L167" s="2189"/>
      <c r="M167" s="2189"/>
      <c r="N167" s="2189"/>
      <c r="O167" s="2189"/>
      <c r="P167" s="2189"/>
      <c r="Q167" s="2189"/>
      <c r="R167" s="2189"/>
      <c r="S167" s="2189"/>
      <c r="T167" s="2189"/>
      <c r="U167" s="2189"/>
      <c r="V167" s="2189"/>
      <c r="W167" s="2189"/>
      <c r="X167" s="2189"/>
      <c r="Y167" s="2189"/>
      <c r="Z167" s="2189"/>
      <c r="AA167" s="2189"/>
      <c r="AB167" s="2189"/>
      <c r="AC167" s="2189"/>
      <c r="AD167" s="2189"/>
      <c r="AE167" s="2189"/>
      <c r="AF167" s="2189"/>
      <c r="AG167" s="2189"/>
      <c r="AH167" s="2266">
        <v>0</v>
      </c>
    </row>
    <row r="168" spans="1:34" ht="13.8">
      <c r="A168" s="2187" t="s">
        <v>152</v>
      </c>
      <c r="B168" s="2194">
        <v>0</v>
      </c>
      <c r="C168" s="2189"/>
      <c r="D168" s="2189"/>
      <c r="E168" s="2189"/>
      <c r="F168" s="2189"/>
      <c r="G168" s="2189"/>
      <c r="H168" s="2189"/>
      <c r="I168" s="2189"/>
      <c r="J168" s="2189"/>
      <c r="K168" s="2189"/>
      <c r="L168" s="2189"/>
      <c r="M168" s="2189"/>
      <c r="N168" s="2189"/>
      <c r="O168" s="2189"/>
      <c r="P168" s="2189"/>
      <c r="Q168" s="2189"/>
      <c r="R168" s="2189"/>
      <c r="S168" s="2189"/>
      <c r="T168" s="2189"/>
      <c r="U168" s="2189"/>
      <c r="V168" s="2189"/>
      <c r="W168" s="2189"/>
      <c r="X168" s="2189"/>
      <c r="Y168" s="2189"/>
      <c r="Z168" s="2189"/>
      <c r="AA168" s="2189"/>
      <c r="AB168" s="2189"/>
      <c r="AC168" s="2189"/>
      <c r="AD168" s="2189"/>
      <c r="AE168" s="2189"/>
      <c r="AF168" s="2189"/>
      <c r="AG168" s="2189"/>
      <c r="AH168" s="2266">
        <v>0</v>
      </c>
    </row>
    <row r="169" spans="1:34" ht="13.8">
      <c r="A169" s="2188" t="s">
        <v>153</v>
      </c>
      <c r="B169" s="2194">
        <v>0</v>
      </c>
      <c r="C169" s="2189"/>
      <c r="D169" s="2189"/>
      <c r="E169" s="2189"/>
      <c r="F169" s="2189"/>
      <c r="G169" s="2189"/>
      <c r="H169" s="2189"/>
      <c r="I169" s="2189"/>
      <c r="J169" s="2189"/>
      <c r="K169" s="2189"/>
      <c r="L169" s="2189"/>
      <c r="M169" s="2189"/>
      <c r="N169" s="2189"/>
      <c r="O169" s="2189"/>
      <c r="P169" s="2189"/>
      <c r="Q169" s="2189"/>
      <c r="R169" s="2189"/>
      <c r="S169" s="2189"/>
      <c r="T169" s="2189"/>
      <c r="U169" s="2189"/>
      <c r="V169" s="2189"/>
      <c r="W169" s="2189"/>
      <c r="X169" s="2189"/>
      <c r="Y169" s="2189"/>
      <c r="Z169" s="2189"/>
      <c r="AA169" s="2189"/>
      <c r="AB169" s="2189"/>
      <c r="AC169" s="2189"/>
      <c r="AD169" s="2189"/>
      <c r="AE169" s="2189"/>
      <c r="AF169" s="2189"/>
      <c r="AG169" s="2189"/>
      <c r="AH169" s="2266">
        <v>0</v>
      </c>
    </row>
    <row r="170" spans="1:34" ht="13.8">
      <c r="A170" s="2190" t="s">
        <v>154</v>
      </c>
      <c r="B170" s="2194">
        <v>0</v>
      </c>
      <c r="C170" s="2189"/>
      <c r="D170" s="2189"/>
      <c r="E170" s="2189"/>
      <c r="F170" s="2189"/>
      <c r="G170" s="2189"/>
      <c r="H170" s="2189"/>
      <c r="I170" s="2189"/>
      <c r="J170" s="2189"/>
      <c r="K170" s="2189"/>
      <c r="L170" s="2189"/>
      <c r="M170" s="2189"/>
      <c r="N170" s="2189"/>
      <c r="O170" s="2189"/>
      <c r="P170" s="2189"/>
      <c r="Q170" s="2189"/>
      <c r="R170" s="2189"/>
      <c r="S170" s="2189"/>
      <c r="T170" s="2189"/>
      <c r="U170" s="2189"/>
      <c r="V170" s="2189"/>
      <c r="W170" s="2189"/>
      <c r="X170" s="2189"/>
      <c r="Y170" s="2189"/>
      <c r="Z170" s="2189"/>
      <c r="AA170" s="2189"/>
      <c r="AB170" s="2189"/>
      <c r="AC170" s="2189"/>
      <c r="AD170" s="2189"/>
      <c r="AE170" s="2189"/>
      <c r="AF170" s="2189"/>
      <c r="AG170" s="2189"/>
      <c r="AH170" s="2266">
        <v>0</v>
      </c>
    </row>
    <row r="171" spans="1:34" ht="13.8">
      <c r="A171" s="2191" t="s">
        <v>155</v>
      </c>
      <c r="B171" s="2194">
        <v>0</v>
      </c>
      <c r="C171" s="2189"/>
      <c r="D171" s="2189"/>
      <c r="E171" s="2189"/>
      <c r="F171" s="2189"/>
      <c r="G171" s="2189"/>
      <c r="H171" s="2189"/>
      <c r="I171" s="2189"/>
      <c r="J171" s="2189"/>
      <c r="K171" s="2189"/>
      <c r="L171" s="2189"/>
      <c r="M171" s="2189"/>
      <c r="N171" s="2189"/>
      <c r="O171" s="2189"/>
      <c r="P171" s="2189"/>
      <c r="Q171" s="2189"/>
      <c r="R171" s="2189"/>
      <c r="S171" s="2189"/>
      <c r="T171" s="2189"/>
      <c r="U171" s="2189"/>
      <c r="V171" s="2189"/>
      <c r="W171" s="2189"/>
      <c r="X171" s="2189"/>
      <c r="Y171" s="2189"/>
      <c r="Z171" s="2189"/>
      <c r="AA171" s="2189"/>
      <c r="AB171" s="2189"/>
      <c r="AC171" s="2189"/>
      <c r="AD171" s="2189"/>
      <c r="AE171" s="2189"/>
      <c r="AF171" s="2189"/>
      <c r="AG171" s="2189"/>
      <c r="AH171" s="2266">
        <v>0</v>
      </c>
    </row>
    <row r="172" spans="1:34" ht="13.8">
      <c r="A172" s="2187"/>
      <c r="B172" s="2194">
        <v>0</v>
      </c>
      <c r="C172" s="2189"/>
      <c r="D172" s="2189"/>
      <c r="E172" s="2189"/>
      <c r="F172" s="2189"/>
      <c r="G172" s="2189"/>
      <c r="H172" s="2189"/>
      <c r="I172" s="2189"/>
      <c r="J172" s="2189"/>
      <c r="K172" s="2189"/>
      <c r="L172" s="2189"/>
      <c r="M172" s="2189"/>
      <c r="N172" s="2189"/>
      <c r="O172" s="2189"/>
      <c r="P172" s="2189"/>
      <c r="Q172" s="2189"/>
      <c r="R172" s="2189"/>
      <c r="S172" s="2189"/>
      <c r="T172" s="2189"/>
      <c r="U172" s="2189"/>
      <c r="V172" s="2189"/>
      <c r="W172" s="2189"/>
      <c r="X172" s="2189"/>
      <c r="Y172" s="2189"/>
      <c r="Z172" s="2189"/>
      <c r="AA172" s="2189"/>
      <c r="AB172" s="2189"/>
      <c r="AC172" s="2189"/>
      <c r="AD172" s="2189"/>
      <c r="AE172" s="2189"/>
      <c r="AF172" s="2189"/>
      <c r="AG172" s="2189"/>
      <c r="AH172" s="2266">
        <v>0</v>
      </c>
    </row>
    <row r="173" spans="1:34" ht="13.8">
      <c r="A173" s="2192" t="s">
        <v>111</v>
      </c>
      <c r="B173" s="2195">
        <v>0</v>
      </c>
      <c r="C173" s="2193"/>
      <c r="D173" s="2193"/>
      <c r="E173" s="2193"/>
      <c r="F173" s="2193"/>
      <c r="G173" s="2193"/>
      <c r="H173" s="2193"/>
      <c r="I173" s="2193"/>
      <c r="J173" s="2193"/>
      <c r="K173" s="2193"/>
      <c r="L173" s="2193"/>
      <c r="M173" s="2193"/>
      <c r="N173" s="2193"/>
      <c r="O173" s="2193"/>
      <c r="P173" s="2193"/>
      <c r="Q173" s="2193"/>
      <c r="R173" s="2193"/>
      <c r="S173" s="2193"/>
      <c r="T173" s="2193"/>
      <c r="U173" s="2193"/>
      <c r="V173" s="2193"/>
      <c r="W173" s="2193"/>
      <c r="X173" s="2193"/>
      <c r="Y173" s="2193"/>
      <c r="Z173" s="2193"/>
      <c r="AA173" s="2193"/>
      <c r="AB173" s="2193"/>
      <c r="AC173" s="2193"/>
      <c r="AD173" s="2193"/>
      <c r="AE173" s="2193"/>
      <c r="AF173" s="2193"/>
      <c r="AG173" s="2193"/>
      <c r="AH173" s="2267">
        <v>0</v>
      </c>
    </row>
    <row r="174" spans="1:34">
      <c r="AH174" s="730"/>
    </row>
    <row r="175" spans="1:34">
      <c r="AH175" s="730"/>
    </row>
    <row r="176" spans="1:34" ht="14.4">
      <c r="A176" s="4178" t="s">
        <v>988</v>
      </c>
      <c r="B176" s="4179"/>
      <c r="C176" s="4179"/>
      <c r="D176" s="4179"/>
      <c r="E176" s="4179"/>
      <c r="F176" s="4179"/>
      <c r="G176" s="4180"/>
      <c r="AH176" s="730"/>
    </row>
    <row r="177" spans="1:34" ht="13.8">
      <c r="A177" s="4181" t="s">
        <v>995</v>
      </c>
      <c r="B177" s="4182"/>
      <c r="C177" s="4183"/>
      <c r="D177" s="2183"/>
      <c r="E177" s="2183"/>
      <c r="F177" s="2183"/>
      <c r="G177" s="2183"/>
      <c r="H177" s="2183"/>
      <c r="I177" s="2183"/>
      <c r="J177" s="2183"/>
      <c r="K177" s="2183"/>
      <c r="L177" s="2183"/>
      <c r="M177" s="2184"/>
      <c r="N177" s="2183"/>
      <c r="O177" s="2183"/>
      <c r="P177" s="2183"/>
      <c r="Q177" s="2183"/>
      <c r="R177" s="2183"/>
      <c r="S177" s="2183"/>
      <c r="T177" s="2183"/>
      <c r="U177" s="2183"/>
      <c r="V177" s="2183"/>
      <c r="W177" s="2183"/>
      <c r="X177" s="2183"/>
      <c r="Y177" s="2183"/>
      <c r="Z177" s="2183"/>
      <c r="AA177" s="2183"/>
      <c r="AB177" s="2183"/>
      <c r="AC177" s="2183"/>
      <c r="AD177" s="2183"/>
      <c r="AE177" s="2183"/>
      <c r="AF177" s="2183"/>
      <c r="AG177" s="2183"/>
      <c r="AH177" s="2264"/>
    </row>
    <row r="178" spans="1:34" ht="13.8">
      <c r="A178" s="2185" t="s">
        <v>142</v>
      </c>
      <c r="B178" s="2185" t="s">
        <v>143</v>
      </c>
      <c r="C178" s="2186">
        <v>1</v>
      </c>
      <c r="D178" s="2186">
        <v>2</v>
      </c>
      <c r="E178" s="2186">
        <v>3</v>
      </c>
      <c r="F178" s="2186">
        <v>4</v>
      </c>
      <c r="G178" s="2186">
        <v>5</v>
      </c>
      <c r="H178" s="2186">
        <v>6</v>
      </c>
      <c r="I178" s="2186">
        <v>7</v>
      </c>
      <c r="J178" s="2186">
        <v>8</v>
      </c>
      <c r="K178" s="2186">
        <v>9</v>
      </c>
      <c r="L178" s="2186">
        <v>10</v>
      </c>
      <c r="M178" s="2186">
        <v>11</v>
      </c>
      <c r="N178" s="2186">
        <v>12</v>
      </c>
      <c r="O178" s="2186">
        <v>13</v>
      </c>
      <c r="P178" s="2186">
        <v>14</v>
      </c>
      <c r="Q178" s="2186">
        <v>15</v>
      </c>
      <c r="R178" s="2186">
        <v>16</v>
      </c>
      <c r="S178" s="2186">
        <v>17</v>
      </c>
      <c r="T178" s="2186">
        <v>18</v>
      </c>
      <c r="U178" s="2186">
        <v>19</v>
      </c>
      <c r="V178" s="2186">
        <v>20</v>
      </c>
      <c r="W178" s="2187">
        <v>21</v>
      </c>
      <c r="X178" s="2186">
        <v>22</v>
      </c>
      <c r="Y178" s="2186">
        <v>23</v>
      </c>
      <c r="Z178" s="2186">
        <v>24</v>
      </c>
      <c r="AA178" s="2186">
        <v>25</v>
      </c>
      <c r="AB178" s="2186">
        <v>26</v>
      </c>
      <c r="AC178" s="2188">
        <v>27</v>
      </c>
      <c r="AD178" s="2186">
        <v>28</v>
      </c>
      <c r="AE178" s="2186">
        <v>29</v>
      </c>
      <c r="AF178" s="2186">
        <v>30</v>
      </c>
      <c r="AG178" s="2186">
        <v>31</v>
      </c>
      <c r="AH178" s="2265" t="s">
        <v>111</v>
      </c>
    </row>
    <row r="179" spans="1:34" ht="13.8">
      <c r="A179" s="2187" t="s">
        <v>145</v>
      </c>
      <c r="B179" s="2194">
        <v>0</v>
      </c>
      <c r="C179" s="2189"/>
      <c r="D179" s="2189"/>
      <c r="E179" s="2189"/>
      <c r="F179" s="2189"/>
      <c r="G179" s="2189"/>
      <c r="H179" s="2189"/>
      <c r="I179" s="2189"/>
      <c r="J179" s="2189"/>
      <c r="K179" s="2189"/>
      <c r="L179" s="2189"/>
      <c r="M179" s="2189"/>
      <c r="N179" s="2189"/>
      <c r="O179" s="2189"/>
      <c r="P179" s="2189"/>
      <c r="Q179" s="2189"/>
      <c r="R179" s="2189"/>
      <c r="S179" s="2189"/>
      <c r="T179" s="2189"/>
      <c r="U179" s="2189"/>
      <c r="V179" s="2189"/>
      <c r="W179" s="2189"/>
      <c r="X179" s="2189"/>
      <c r="Y179" s="2189"/>
      <c r="Z179" s="2189"/>
      <c r="AA179" s="2189"/>
      <c r="AB179" s="2189"/>
      <c r="AC179" s="2189"/>
      <c r="AD179" s="2189"/>
      <c r="AE179" s="2189"/>
      <c r="AF179" s="2189"/>
      <c r="AG179" s="2189"/>
      <c r="AH179" s="2266">
        <v>0</v>
      </c>
    </row>
    <row r="180" spans="1:34" ht="13.8">
      <c r="A180" s="2187" t="s">
        <v>146</v>
      </c>
      <c r="B180" s="2194">
        <v>0</v>
      </c>
      <c r="C180" s="2189"/>
      <c r="D180" s="2189"/>
      <c r="E180" s="2189"/>
      <c r="F180" s="2189"/>
      <c r="G180" s="2189"/>
      <c r="H180" s="2189"/>
      <c r="I180" s="2189"/>
      <c r="J180" s="2189"/>
      <c r="K180" s="2189"/>
      <c r="L180" s="2189"/>
      <c r="M180" s="2189"/>
      <c r="N180" s="2189"/>
      <c r="O180" s="2189"/>
      <c r="P180" s="2189"/>
      <c r="Q180" s="2189"/>
      <c r="R180" s="2189"/>
      <c r="S180" s="2189"/>
      <c r="T180" s="2189"/>
      <c r="U180" s="2189"/>
      <c r="V180" s="2189"/>
      <c r="W180" s="2189"/>
      <c r="X180" s="2189"/>
      <c r="Y180" s="2189"/>
      <c r="Z180" s="2189"/>
      <c r="AA180" s="2189"/>
      <c r="AB180" s="2189"/>
      <c r="AC180" s="2189"/>
      <c r="AD180" s="2189"/>
      <c r="AE180" s="2189"/>
      <c r="AF180" s="2189"/>
      <c r="AG180" s="2189"/>
      <c r="AH180" s="2266">
        <v>0</v>
      </c>
    </row>
    <row r="181" spans="1:34" ht="13.8">
      <c r="A181" s="2187" t="s">
        <v>147</v>
      </c>
      <c r="B181" s="2194">
        <v>0</v>
      </c>
      <c r="C181" s="2189"/>
      <c r="D181" s="2189"/>
      <c r="E181" s="2189"/>
      <c r="F181" s="2189"/>
      <c r="G181" s="2189"/>
      <c r="H181" s="2189"/>
      <c r="I181" s="2189"/>
      <c r="J181" s="2189"/>
      <c r="K181" s="2189"/>
      <c r="L181" s="2189"/>
      <c r="M181" s="2189"/>
      <c r="N181" s="2189"/>
      <c r="O181" s="2189"/>
      <c r="P181" s="2189"/>
      <c r="Q181" s="2189"/>
      <c r="R181" s="2189"/>
      <c r="S181" s="2189"/>
      <c r="T181" s="2189"/>
      <c r="U181" s="2189"/>
      <c r="V181" s="2189"/>
      <c r="W181" s="2189"/>
      <c r="X181" s="2189"/>
      <c r="Y181" s="2189"/>
      <c r="Z181" s="2189"/>
      <c r="AA181" s="2189"/>
      <c r="AB181" s="2189"/>
      <c r="AC181" s="2189"/>
      <c r="AD181" s="2189"/>
      <c r="AE181" s="2189"/>
      <c r="AF181" s="2189"/>
      <c r="AG181" s="2189"/>
      <c r="AH181" s="2266">
        <v>0</v>
      </c>
    </row>
    <row r="182" spans="1:34" ht="13.8">
      <c r="A182" s="2187" t="s">
        <v>148</v>
      </c>
      <c r="B182" s="2194">
        <v>0</v>
      </c>
      <c r="C182" s="2189"/>
      <c r="D182" s="2189"/>
      <c r="E182" s="2189"/>
      <c r="F182" s="2189"/>
      <c r="G182" s="2189"/>
      <c r="H182" s="2189"/>
      <c r="I182" s="2189"/>
      <c r="J182" s="2189"/>
      <c r="K182" s="2189"/>
      <c r="L182" s="2189"/>
      <c r="M182" s="2189"/>
      <c r="N182" s="2189"/>
      <c r="O182" s="2189"/>
      <c r="P182" s="2189"/>
      <c r="Q182" s="2189"/>
      <c r="R182" s="2189"/>
      <c r="S182" s="2189"/>
      <c r="T182" s="2189"/>
      <c r="U182" s="2189"/>
      <c r="V182" s="2189"/>
      <c r="W182" s="2189"/>
      <c r="X182" s="2189"/>
      <c r="Y182" s="2189"/>
      <c r="Z182" s="2189"/>
      <c r="AA182" s="2189"/>
      <c r="AB182" s="2189"/>
      <c r="AC182" s="2189"/>
      <c r="AD182" s="2189"/>
      <c r="AE182" s="2189"/>
      <c r="AF182" s="2189"/>
      <c r="AG182" s="2189"/>
      <c r="AH182" s="2266">
        <v>0</v>
      </c>
    </row>
    <row r="183" spans="1:34" ht="13.8">
      <c r="A183" s="2187" t="s">
        <v>149</v>
      </c>
      <c r="B183" s="2194">
        <v>0</v>
      </c>
      <c r="C183" s="2189"/>
      <c r="D183" s="2189"/>
      <c r="E183" s="2189"/>
      <c r="F183" s="2189"/>
      <c r="G183" s="2189"/>
      <c r="H183" s="2189"/>
      <c r="I183" s="2189"/>
      <c r="J183" s="2189"/>
      <c r="K183" s="2189"/>
      <c r="L183" s="2189"/>
      <c r="M183" s="2189"/>
      <c r="N183" s="2189"/>
      <c r="O183" s="2189"/>
      <c r="P183" s="2189"/>
      <c r="Q183" s="2189"/>
      <c r="R183" s="2189"/>
      <c r="S183" s="2189"/>
      <c r="T183" s="2189"/>
      <c r="U183" s="2189"/>
      <c r="V183" s="2189"/>
      <c r="W183" s="2189"/>
      <c r="X183" s="2189"/>
      <c r="Y183" s="2189"/>
      <c r="Z183" s="2189"/>
      <c r="AA183" s="2189"/>
      <c r="AB183" s="2189"/>
      <c r="AC183" s="2189"/>
      <c r="AD183" s="2189"/>
      <c r="AE183" s="2189"/>
      <c r="AF183" s="2189"/>
      <c r="AG183" s="2189"/>
      <c r="AH183" s="2266">
        <v>0</v>
      </c>
    </row>
    <row r="184" spans="1:34" ht="13.8">
      <c r="A184" s="2187" t="s">
        <v>150</v>
      </c>
      <c r="B184" s="2194">
        <v>0</v>
      </c>
      <c r="C184" s="2189"/>
      <c r="D184" s="2189"/>
      <c r="E184" s="2189"/>
      <c r="F184" s="2189"/>
      <c r="G184" s="2189"/>
      <c r="H184" s="2189"/>
      <c r="I184" s="2189"/>
      <c r="J184" s="2189"/>
      <c r="K184" s="2189"/>
      <c r="L184" s="2189"/>
      <c r="M184" s="2189"/>
      <c r="N184" s="2189"/>
      <c r="O184" s="2189"/>
      <c r="P184" s="2189"/>
      <c r="Q184" s="2189"/>
      <c r="R184" s="2189"/>
      <c r="S184" s="2189"/>
      <c r="T184" s="2189"/>
      <c r="U184" s="2189"/>
      <c r="V184" s="2189"/>
      <c r="W184" s="2189"/>
      <c r="X184" s="2189"/>
      <c r="Y184" s="2189"/>
      <c r="Z184" s="2189"/>
      <c r="AA184" s="2189"/>
      <c r="AB184" s="2189"/>
      <c r="AC184" s="2189"/>
      <c r="AD184" s="2189"/>
      <c r="AE184" s="2189"/>
      <c r="AF184" s="2189"/>
      <c r="AG184" s="2189"/>
      <c r="AH184" s="2266">
        <v>0</v>
      </c>
    </row>
    <row r="185" spans="1:34" ht="13.8">
      <c r="A185" s="2187" t="s">
        <v>151</v>
      </c>
      <c r="B185" s="2194">
        <v>0</v>
      </c>
      <c r="C185" s="2189"/>
      <c r="D185" s="2189"/>
      <c r="E185" s="2189"/>
      <c r="F185" s="2189"/>
      <c r="G185" s="2189"/>
      <c r="H185" s="2189"/>
      <c r="I185" s="2189"/>
      <c r="J185" s="2189"/>
      <c r="K185" s="2189"/>
      <c r="L185" s="2189"/>
      <c r="M185" s="2189"/>
      <c r="N185" s="2189"/>
      <c r="O185" s="2189"/>
      <c r="P185" s="2189"/>
      <c r="Q185" s="2189"/>
      <c r="R185" s="2189"/>
      <c r="S185" s="2189"/>
      <c r="T185" s="2189"/>
      <c r="U185" s="2189"/>
      <c r="V185" s="2189"/>
      <c r="W185" s="2189"/>
      <c r="X185" s="2189"/>
      <c r="Y185" s="2189"/>
      <c r="Z185" s="2189"/>
      <c r="AA185" s="2189"/>
      <c r="AB185" s="2189"/>
      <c r="AC185" s="2189"/>
      <c r="AD185" s="2189"/>
      <c r="AE185" s="2189"/>
      <c r="AF185" s="2189"/>
      <c r="AG185" s="2189"/>
      <c r="AH185" s="2266">
        <v>0</v>
      </c>
    </row>
    <row r="186" spans="1:34" ht="13.8">
      <c r="A186" s="2187" t="s">
        <v>152</v>
      </c>
      <c r="B186" s="2194">
        <v>0</v>
      </c>
      <c r="C186" s="2189"/>
      <c r="D186" s="2189"/>
      <c r="E186" s="2189"/>
      <c r="F186" s="2189"/>
      <c r="G186" s="2189"/>
      <c r="H186" s="2189"/>
      <c r="I186" s="2189"/>
      <c r="J186" s="2189"/>
      <c r="K186" s="2189"/>
      <c r="L186" s="2189"/>
      <c r="M186" s="2189"/>
      <c r="N186" s="2189"/>
      <c r="O186" s="2189"/>
      <c r="P186" s="2189"/>
      <c r="Q186" s="2189"/>
      <c r="R186" s="2189"/>
      <c r="S186" s="2189"/>
      <c r="T186" s="2189"/>
      <c r="U186" s="2189"/>
      <c r="V186" s="2189"/>
      <c r="W186" s="2189"/>
      <c r="X186" s="2189"/>
      <c r="Y186" s="2189"/>
      <c r="Z186" s="2189"/>
      <c r="AA186" s="2189"/>
      <c r="AB186" s="2189"/>
      <c r="AC186" s="2189"/>
      <c r="AD186" s="2189"/>
      <c r="AE186" s="2189"/>
      <c r="AF186" s="2189"/>
      <c r="AG186" s="2189"/>
      <c r="AH186" s="2266">
        <v>0</v>
      </c>
    </row>
    <row r="187" spans="1:34" ht="13.8">
      <c r="A187" s="2188" t="s">
        <v>153</v>
      </c>
      <c r="B187" s="2194">
        <v>0</v>
      </c>
      <c r="C187" s="2189"/>
      <c r="D187" s="2189"/>
      <c r="E187" s="2189"/>
      <c r="F187" s="2189"/>
      <c r="G187" s="2189"/>
      <c r="H187" s="2189"/>
      <c r="I187" s="2189"/>
      <c r="J187" s="2189"/>
      <c r="K187" s="2189"/>
      <c r="L187" s="2189"/>
      <c r="M187" s="2189"/>
      <c r="N187" s="2189"/>
      <c r="O187" s="2189"/>
      <c r="P187" s="2189"/>
      <c r="Q187" s="2189"/>
      <c r="R187" s="2189"/>
      <c r="S187" s="2189"/>
      <c r="T187" s="2189"/>
      <c r="U187" s="2189"/>
      <c r="V187" s="2189"/>
      <c r="W187" s="2189"/>
      <c r="X187" s="2189"/>
      <c r="Y187" s="2189"/>
      <c r="Z187" s="2189"/>
      <c r="AA187" s="2189"/>
      <c r="AB187" s="2189"/>
      <c r="AC187" s="2189"/>
      <c r="AD187" s="2189"/>
      <c r="AE187" s="2189"/>
      <c r="AF187" s="2189"/>
      <c r="AG187" s="2189"/>
      <c r="AH187" s="2266">
        <v>0</v>
      </c>
    </row>
    <row r="188" spans="1:34" ht="13.8">
      <c r="A188" s="2190" t="s">
        <v>154</v>
      </c>
      <c r="B188" s="2194">
        <f>+AH188</f>
        <v>52.872</v>
      </c>
      <c r="C188" s="2384"/>
      <c r="D188" s="2384"/>
      <c r="E188" s="2384">
        <v>1.7</v>
      </c>
      <c r="F188" s="2384"/>
      <c r="G188" s="2384"/>
      <c r="H188" s="2384"/>
      <c r="I188" s="2384"/>
      <c r="J188" s="2384">
        <v>5.2</v>
      </c>
      <c r="K188" s="2384"/>
      <c r="L188" s="2384"/>
      <c r="M188" s="2384"/>
      <c r="N188" s="2384"/>
      <c r="O188" s="2384"/>
      <c r="P188" s="2384"/>
      <c r="Q188" s="2384"/>
      <c r="R188" s="2384">
        <v>13.3</v>
      </c>
      <c r="S188" s="2384">
        <v>0.6</v>
      </c>
      <c r="T188" s="2384">
        <v>18.215</v>
      </c>
      <c r="U188" s="2384"/>
      <c r="V188" s="2384"/>
      <c r="W188" s="2384"/>
      <c r="X188" s="2384">
        <v>5.13</v>
      </c>
      <c r="Y188" s="2384">
        <v>2.5</v>
      </c>
      <c r="Z188" s="2384"/>
      <c r="AA188" s="2384">
        <v>3.8</v>
      </c>
      <c r="AB188" s="2384"/>
      <c r="AC188" s="2384"/>
      <c r="AD188" s="2384"/>
      <c r="AE188" s="2384"/>
      <c r="AF188" s="2384">
        <v>2.427</v>
      </c>
      <c r="AG188" s="2384"/>
      <c r="AH188" s="2266">
        <f>SUM(C188:AG188)</f>
        <v>52.872</v>
      </c>
    </row>
    <row r="189" spans="1:34" ht="13.8">
      <c r="A189" s="2191" t="s">
        <v>155</v>
      </c>
      <c r="B189" s="2194">
        <f>+AH189</f>
        <v>20.599</v>
      </c>
      <c r="C189" s="2364"/>
      <c r="D189" s="2364"/>
      <c r="E189" s="2364"/>
      <c r="F189" s="2364"/>
      <c r="G189" s="2364">
        <v>3.0489999999999999</v>
      </c>
      <c r="H189" s="2364"/>
      <c r="I189" s="2364"/>
      <c r="J189" s="2364"/>
      <c r="K189" s="2364"/>
      <c r="L189" s="2364"/>
      <c r="M189" s="2364"/>
      <c r="N189" s="2364"/>
      <c r="O189" s="2364"/>
      <c r="P189" s="2364"/>
      <c r="Q189" s="2364"/>
      <c r="R189" s="2364"/>
      <c r="S189" s="2364"/>
      <c r="T189" s="2364"/>
      <c r="U189" s="2743">
        <v>17.55</v>
      </c>
      <c r="V189" s="2189"/>
      <c r="W189" s="2189"/>
      <c r="X189" s="2189"/>
      <c r="Y189" s="2189"/>
      <c r="Z189" s="2189"/>
      <c r="AA189" s="2189"/>
      <c r="AB189" s="2189"/>
      <c r="AC189" s="2189"/>
      <c r="AD189" s="2189"/>
      <c r="AE189" s="2189"/>
      <c r="AF189" s="2189"/>
      <c r="AG189" s="2189"/>
      <c r="AH189" s="2266">
        <f>SUM(C189:AG189)</f>
        <v>20.599</v>
      </c>
    </row>
    <row r="190" spans="1:34" ht="13.8">
      <c r="A190" s="2187"/>
      <c r="B190" s="2194">
        <v>0</v>
      </c>
      <c r="C190" s="2364"/>
      <c r="D190" s="2364"/>
      <c r="E190" s="2364"/>
      <c r="F190" s="2364"/>
      <c r="G190" s="2364"/>
      <c r="H190" s="2364"/>
      <c r="I190" s="2364"/>
      <c r="J190" s="2364"/>
      <c r="K190" s="2364"/>
      <c r="L190" s="2364"/>
      <c r="M190" s="2364"/>
      <c r="N190" s="2364"/>
      <c r="O190" s="2364"/>
      <c r="P190" s="2364"/>
      <c r="Q190" s="2364"/>
      <c r="R190" s="2364"/>
      <c r="S190" s="2364"/>
      <c r="T190" s="2364"/>
      <c r="U190" s="2189"/>
      <c r="V190" s="2189"/>
      <c r="W190" s="2189"/>
      <c r="X190" s="2189"/>
      <c r="Y190" s="2189"/>
      <c r="Z190" s="2189"/>
      <c r="AA190" s="2189"/>
      <c r="AB190" s="2189"/>
      <c r="AC190" s="2189"/>
      <c r="AD190" s="2189"/>
      <c r="AE190" s="2189"/>
      <c r="AF190" s="2189"/>
      <c r="AG190" s="2189"/>
      <c r="AH190" s="2266">
        <f>SUM(C190:AG190)</f>
        <v>0</v>
      </c>
    </row>
    <row r="191" spans="1:34" ht="13.8">
      <c r="A191" s="2192" t="s">
        <v>111</v>
      </c>
      <c r="B191" s="2195">
        <f>SUM(B179:B190)</f>
        <v>73.471000000000004</v>
      </c>
      <c r="C191" s="2193"/>
      <c r="D191" s="2193"/>
      <c r="E191" s="2193"/>
      <c r="F191" s="2193"/>
      <c r="G191" s="2193"/>
      <c r="H191" s="2193"/>
      <c r="I191" s="2193"/>
      <c r="J191" s="2193"/>
      <c r="K191" s="2193"/>
      <c r="L191" s="2193"/>
      <c r="M191" s="2193"/>
      <c r="N191" s="2193"/>
      <c r="O191" s="2193"/>
      <c r="P191" s="2193"/>
      <c r="Q191" s="2193"/>
      <c r="R191" s="2193"/>
      <c r="S191" s="2193"/>
      <c r="T191" s="2193"/>
      <c r="U191" s="2193"/>
      <c r="V191" s="2193"/>
      <c r="W191" s="2193"/>
      <c r="X191" s="2193"/>
      <c r="Y191" s="2193"/>
      <c r="Z191" s="2193"/>
      <c r="AA191" s="2193"/>
      <c r="AB191" s="2193"/>
      <c r="AC191" s="2193"/>
      <c r="AD191" s="2193"/>
      <c r="AE191" s="2193"/>
      <c r="AF191" s="2193"/>
      <c r="AG191" s="2193"/>
      <c r="AH191" s="2267">
        <f>SUM(AH179:AH190)</f>
        <v>73.471000000000004</v>
      </c>
    </row>
    <row r="192" spans="1:34">
      <c r="AH192" s="730"/>
    </row>
    <row r="193" spans="1:34">
      <c r="AH193" s="730"/>
    </row>
    <row r="194" spans="1:34" ht="13.8">
      <c r="A194" s="4184" t="s">
        <v>996</v>
      </c>
      <c r="B194" s="4185"/>
      <c r="C194" s="4186"/>
      <c r="D194" s="2183"/>
      <c r="E194" s="2183"/>
      <c r="F194" s="2183"/>
      <c r="G194" s="2183"/>
      <c r="H194" s="2183"/>
      <c r="I194" s="2183"/>
      <c r="J194" s="2183"/>
      <c r="K194" s="2183"/>
      <c r="L194" s="2183"/>
      <c r="M194" s="2184"/>
      <c r="N194" s="2183"/>
      <c r="O194" s="2183"/>
      <c r="P194" s="2183"/>
      <c r="Q194" s="2183"/>
      <c r="R194" s="2183"/>
      <c r="S194" s="2183"/>
      <c r="T194" s="2183"/>
      <c r="U194" s="2183"/>
      <c r="V194" s="2183"/>
      <c r="W194" s="2183"/>
      <c r="X194" s="2183"/>
      <c r="Y194" s="2183"/>
      <c r="Z194" s="2183"/>
      <c r="AA194" s="2183"/>
      <c r="AB194" s="2183"/>
      <c r="AC194" s="2183"/>
      <c r="AD194" s="2183"/>
      <c r="AE194" s="2183"/>
      <c r="AF194" s="2183"/>
      <c r="AG194" s="2183"/>
      <c r="AH194" s="2264"/>
    </row>
    <row r="195" spans="1:34" ht="13.8">
      <c r="A195" s="2185" t="s">
        <v>142</v>
      </c>
      <c r="B195" s="2185" t="s">
        <v>143</v>
      </c>
      <c r="C195" s="2186">
        <v>1</v>
      </c>
      <c r="D195" s="2186">
        <v>2</v>
      </c>
      <c r="E195" s="2186">
        <v>3</v>
      </c>
      <c r="F195" s="2186">
        <v>4</v>
      </c>
      <c r="G195" s="2186">
        <v>5</v>
      </c>
      <c r="H195" s="2186">
        <v>6</v>
      </c>
      <c r="I195" s="2186">
        <v>7</v>
      </c>
      <c r="J195" s="2186">
        <v>8</v>
      </c>
      <c r="K195" s="2186">
        <v>9</v>
      </c>
      <c r="L195" s="2186">
        <v>10</v>
      </c>
      <c r="M195" s="2186">
        <v>11</v>
      </c>
      <c r="N195" s="2186">
        <v>12</v>
      </c>
      <c r="O195" s="2186">
        <v>13</v>
      </c>
      <c r="P195" s="2186">
        <v>14</v>
      </c>
      <c r="Q195" s="2186">
        <v>15</v>
      </c>
      <c r="R195" s="2186">
        <v>16</v>
      </c>
      <c r="S195" s="2186">
        <v>17</v>
      </c>
      <c r="T195" s="2186">
        <v>18</v>
      </c>
      <c r="U195" s="2186">
        <v>19</v>
      </c>
      <c r="V195" s="2186">
        <v>20</v>
      </c>
      <c r="W195" s="2187">
        <v>21</v>
      </c>
      <c r="X195" s="2186">
        <v>22</v>
      </c>
      <c r="Y195" s="2186">
        <v>23</v>
      </c>
      <c r="Z195" s="2186">
        <v>24</v>
      </c>
      <c r="AA195" s="2186">
        <v>25</v>
      </c>
      <c r="AB195" s="2186">
        <v>26</v>
      </c>
      <c r="AC195" s="2188">
        <v>27</v>
      </c>
      <c r="AD195" s="2186">
        <v>28</v>
      </c>
      <c r="AE195" s="2186">
        <v>29</v>
      </c>
      <c r="AF195" s="2186">
        <v>30</v>
      </c>
      <c r="AG195" s="2186">
        <v>31</v>
      </c>
      <c r="AH195" s="2265" t="s">
        <v>111</v>
      </c>
    </row>
    <row r="196" spans="1:34" ht="13.8">
      <c r="A196" s="2187" t="s">
        <v>145</v>
      </c>
      <c r="B196" s="2194">
        <v>0</v>
      </c>
      <c r="C196" s="2189"/>
      <c r="D196" s="2189"/>
      <c r="E196" s="2189"/>
      <c r="F196" s="2189"/>
      <c r="G196" s="2189"/>
      <c r="H196" s="2189"/>
      <c r="I196" s="2189"/>
      <c r="J196" s="2189"/>
      <c r="K196" s="2189"/>
      <c r="L196" s="2189"/>
      <c r="M196" s="2189"/>
      <c r="N196" s="2189"/>
      <c r="O196" s="2189"/>
      <c r="P196" s="2189"/>
      <c r="Q196" s="2189"/>
      <c r="R196" s="2189"/>
      <c r="S196" s="2189"/>
      <c r="T196" s="2189"/>
      <c r="U196" s="2189"/>
      <c r="V196" s="2189"/>
      <c r="W196" s="2189"/>
      <c r="X196" s="2189"/>
      <c r="Y196" s="2189"/>
      <c r="Z196" s="2189"/>
      <c r="AA196" s="2189"/>
      <c r="AB196" s="2189"/>
      <c r="AC196" s="2189"/>
      <c r="AD196" s="2189"/>
      <c r="AE196" s="2189"/>
      <c r="AF196" s="2189"/>
      <c r="AG196" s="2189"/>
      <c r="AH196" s="2266">
        <v>0</v>
      </c>
    </row>
    <row r="197" spans="1:34" ht="13.8">
      <c r="A197" s="2187" t="s">
        <v>146</v>
      </c>
      <c r="B197" s="2194">
        <v>0</v>
      </c>
      <c r="C197" s="2189"/>
      <c r="D197" s="2189"/>
      <c r="E197" s="2189"/>
      <c r="F197" s="2189"/>
      <c r="G197" s="2189"/>
      <c r="H197" s="2189"/>
      <c r="I197" s="2189"/>
      <c r="J197" s="2189"/>
      <c r="K197" s="2189"/>
      <c r="L197" s="2189"/>
      <c r="M197" s="2189"/>
      <c r="N197" s="2189"/>
      <c r="O197" s="2189"/>
      <c r="P197" s="2189"/>
      <c r="Q197" s="2189"/>
      <c r="R197" s="2189"/>
      <c r="S197" s="2189"/>
      <c r="T197" s="2189"/>
      <c r="U197" s="2189"/>
      <c r="V197" s="2189"/>
      <c r="W197" s="2189"/>
      <c r="X197" s="2189"/>
      <c r="Y197" s="2189"/>
      <c r="Z197" s="2189"/>
      <c r="AA197" s="2189"/>
      <c r="AB197" s="2189"/>
      <c r="AC197" s="2189"/>
      <c r="AD197" s="2189"/>
      <c r="AE197" s="2189"/>
      <c r="AF197" s="2189"/>
      <c r="AG197" s="2189"/>
      <c r="AH197" s="2266">
        <v>0</v>
      </c>
    </row>
    <row r="198" spans="1:34" ht="13.8">
      <c r="A198" s="2187" t="s">
        <v>147</v>
      </c>
      <c r="B198" s="2194">
        <v>0</v>
      </c>
      <c r="C198" s="2189"/>
      <c r="D198" s="2189"/>
      <c r="E198" s="2189"/>
      <c r="F198" s="2189"/>
      <c r="G198" s="2189"/>
      <c r="H198" s="2189"/>
      <c r="I198" s="2189"/>
      <c r="J198" s="2189"/>
      <c r="K198" s="2189"/>
      <c r="L198" s="2189"/>
      <c r="M198" s="2189"/>
      <c r="N198" s="2189"/>
      <c r="O198" s="2189"/>
      <c r="P198" s="2189"/>
      <c r="Q198" s="2189"/>
      <c r="R198" s="2189"/>
      <c r="S198" s="2189"/>
      <c r="T198" s="2189"/>
      <c r="U198" s="2189"/>
      <c r="V198" s="2189"/>
      <c r="W198" s="2189"/>
      <c r="X198" s="2189"/>
      <c r="Y198" s="2189"/>
      <c r="Z198" s="2189"/>
      <c r="AA198" s="2189"/>
      <c r="AB198" s="2189"/>
      <c r="AC198" s="2189"/>
      <c r="AD198" s="2189"/>
      <c r="AE198" s="2189"/>
      <c r="AF198" s="2189"/>
      <c r="AG198" s="2189"/>
      <c r="AH198" s="2266">
        <v>0</v>
      </c>
    </row>
    <row r="199" spans="1:34" ht="13.8">
      <c r="A199" s="2187" t="s">
        <v>148</v>
      </c>
      <c r="B199" s="2194">
        <v>0</v>
      </c>
      <c r="C199" s="2189"/>
      <c r="D199" s="2189"/>
      <c r="E199" s="2189"/>
      <c r="F199" s="2189"/>
      <c r="G199" s="2189"/>
      <c r="H199" s="2189"/>
      <c r="I199" s="2189"/>
      <c r="J199" s="2189"/>
      <c r="K199" s="2189"/>
      <c r="L199" s="2189"/>
      <c r="M199" s="2189"/>
      <c r="N199" s="2189"/>
      <c r="O199" s="2189"/>
      <c r="P199" s="2189"/>
      <c r="Q199" s="2189"/>
      <c r="R199" s="2189"/>
      <c r="S199" s="2189"/>
      <c r="T199" s="2189"/>
      <c r="U199" s="2189"/>
      <c r="V199" s="2189"/>
      <c r="W199" s="2189"/>
      <c r="X199" s="2189"/>
      <c r="Y199" s="2189"/>
      <c r="Z199" s="2189"/>
      <c r="AA199" s="2189"/>
      <c r="AB199" s="2189"/>
      <c r="AC199" s="2189"/>
      <c r="AD199" s="2189"/>
      <c r="AE199" s="2189"/>
      <c r="AF199" s="2189"/>
      <c r="AG199" s="2189"/>
      <c r="AH199" s="2266">
        <v>0</v>
      </c>
    </row>
    <row r="200" spans="1:34" ht="13.8">
      <c r="A200" s="2187" t="s">
        <v>149</v>
      </c>
      <c r="B200" s="2194">
        <v>0</v>
      </c>
      <c r="C200" s="2189"/>
      <c r="D200" s="2189"/>
      <c r="E200" s="2189"/>
      <c r="F200" s="2189"/>
      <c r="G200" s="2189"/>
      <c r="H200" s="2189"/>
      <c r="I200" s="2189"/>
      <c r="J200" s="2189"/>
      <c r="K200" s="2189"/>
      <c r="L200" s="2189"/>
      <c r="M200" s="2189"/>
      <c r="N200" s="2189"/>
      <c r="O200" s="2189"/>
      <c r="P200" s="2189"/>
      <c r="Q200" s="2189"/>
      <c r="R200" s="2189"/>
      <c r="S200" s="2189"/>
      <c r="T200" s="2189"/>
      <c r="U200" s="2189"/>
      <c r="V200" s="2189"/>
      <c r="W200" s="2189"/>
      <c r="X200" s="2189"/>
      <c r="Y200" s="2189"/>
      <c r="Z200" s="2189"/>
      <c r="AA200" s="2189"/>
      <c r="AB200" s="2189"/>
      <c r="AC200" s="2189"/>
      <c r="AD200" s="2189"/>
      <c r="AE200" s="2189"/>
      <c r="AF200" s="2189"/>
      <c r="AG200" s="2189"/>
      <c r="AH200" s="2266">
        <v>0</v>
      </c>
    </row>
    <row r="201" spans="1:34" ht="13.8">
      <c r="A201" s="2187" t="s">
        <v>150</v>
      </c>
      <c r="B201" s="2194">
        <v>0</v>
      </c>
      <c r="C201" s="2189"/>
      <c r="D201" s="2189"/>
      <c r="E201" s="2189"/>
      <c r="F201" s="2189"/>
      <c r="G201" s="2189"/>
      <c r="H201" s="2189"/>
      <c r="I201" s="2189"/>
      <c r="J201" s="2189"/>
      <c r="K201" s="2189"/>
      <c r="L201" s="2189"/>
      <c r="M201" s="2189"/>
      <c r="N201" s="2189"/>
      <c r="O201" s="2189"/>
      <c r="P201" s="2189"/>
      <c r="Q201" s="2189"/>
      <c r="R201" s="2189"/>
      <c r="S201" s="2189"/>
      <c r="T201" s="2189"/>
      <c r="U201" s="2189"/>
      <c r="V201" s="2189"/>
      <c r="W201" s="2189"/>
      <c r="X201" s="2189"/>
      <c r="Y201" s="2189"/>
      <c r="Z201" s="2189"/>
      <c r="AA201" s="2189"/>
      <c r="AB201" s="2189"/>
      <c r="AC201" s="2189"/>
      <c r="AD201" s="2189"/>
      <c r="AE201" s="2189"/>
      <c r="AF201" s="2189"/>
      <c r="AG201" s="2189"/>
      <c r="AH201" s="2266">
        <v>0</v>
      </c>
    </row>
    <row r="202" spans="1:34" ht="13.8">
      <c r="A202" s="2187" t="s">
        <v>151</v>
      </c>
      <c r="B202" s="2194">
        <v>0</v>
      </c>
      <c r="C202" s="2189"/>
      <c r="D202" s="2189"/>
      <c r="E202" s="2189"/>
      <c r="F202" s="2189"/>
      <c r="G202" s="2189"/>
      <c r="H202" s="2189"/>
      <c r="I202" s="2189"/>
      <c r="J202" s="2189"/>
      <c r="K202" s="2189"/>
      <c r="L202" s="2189"/>
      <c r="M202" s="2189"/>
      <c r="N202" s="2189"/>
      <c r="O202" s="2189"/>
      <c r="P202" s="2189"/>
      <c r="Q202" s="2189"/>
      <c r="R202" s="2189"/>
      <c r="S202" s="2189"/>
      <c r="T202" s="2189"/>
      <c r="U202" s="2189"/>
      <c r="V202" s="2189"/>
      <c r="W202" s="2189"/>
      <c r="X202" s="2189"/>
      <c r="Y202" s="2189"/>
      <c r="Z202" s="2189"/>
      <c r="AA202" s="2189"/>
      <c r="AB202" s="2189"/>
      <c r="AC202" s="2189"/>
      <c r="AD202" s="2189"/>
      <c r="AE202" s="2189"/>
      <c r="AF202" s="2189"/>
      <c r="AG202" s="2189"/>
      <c r="AH202" s="2266">
        <v>0</v>
      </c>
    </row>
    <row r="203" spans="1:34" ht="13.8">
      <c r="A203" s="2187" t="s">
        <v>152</v>
      </c>
      <c r="B203" s="2194">
        <v>0</v>
      </c>
      <c r="C203" s="2189"/>
      <c r="D203" s="2189"/>
      <c r="E203" s="2189"/>
      <c r="F203" s="2189"/>
      <c r="G203" s="2189"/>
      <c r="H203" s="2189"/>
      <c r="I203" s="2189"/>
      <c r="J203" s="2189"/>
      <c r="K203" s="2189"/>
      <c r="L203" s="2189"/>
      <c r="M203" s="2189"/>
      <c r="N203" s="2189"/>
      <c r="O203" s="2189"/>
      <c r="P203" s="2189"/>
      <c r="Q203" s="2189"/>
      <c r="R203" s="2189"/>
      <c r="S203" s="2189"/>
      <c r="T203" s="2189"/>
      <c r="U203" s="2189"/>
      <c r="V203" s="2189"/>
      <c r="W203" s="2189"/>
      <c r="X203" s="2189"/>
      <c r="Y203" s="2189"/>
      <c r="Z203" s="2189"/>
      <c r="AA203" s="2189"/>
      <c r="AB203" s="2189"/>
      <c r="AC203" s="2189"/>
      <c r="AD203" s="2189"/>
      <c r="AE203" s="2189"/>
      <c r="AF203" s="2189"/>
      <c r="AG203" s="2189"/>
      <c r="AH203" s="2266">
        <v>0</v>
      </c>
    </row>
    <row r="204" spans="1:34" ht="13.8">
      <c r="A204" s="2188" t="s">
        <v>153</v>
      </c>
      <c r="B204" s="2194">
        <v>0</v>
      </c>
      <c r="C204" s="2189"/>
      <c r="D204" s="2189"/>
      <c r="E204" s="2189"/>
      <c r="F204" s="2189"/>
      <c r="G204" s="2189"/>
      <c r="H204" s="2189"/>
      <c r="I204" s="2189"/>
      <c r="J204" s="2189"/>
      <c r="K204" s="2189"/>
      <c r="L204" s="2189"/>
      <c r="M204" s="2189"/>
      <c r="N204" s="2189"/>
      <c r="O204" s="2189"/>
      <c r="P204" s="2189"/>
      <c r="Q204" s="2189"/>
      <c r="R204" s="2189"/>
      <c r="S204" s="2189"/>
      <c r="T204" s="2189"/>
      <c r="U204" s="2189"/>
      <c r="V204" s="2189"/>
      <c r="W204" s="2189"/>
      <c r="X204" s="2189"/>
      <c r="Y204" s="2189"/>
      <c r="Z204" s="2189"/>
      <c r="AA204" s="2189"/>
      <c r="AB204" s="2189"/>
      <c r="AC204" s="2189"/>
      <c r="AD204" s="2189"/>
      <c r="AE204" s="2189"/>
      <c r="AF204" s="2189"/>
      <c r="AG204" s="2189"/>
      <c r="AH204" s="2266">
        <v>0</v>
      </c>
    </row>
    <row r="205" spans="1:34" ht="13.8">
      <c r="A205" s="2190" t="s">
        <v>154</v>
      </c>
      <c r="B205" s="2194">
        <v>0</v>
      </c>
      <c r="C205" s="2189"/>
      <c r="D205" s="2189"/>
      <c r="E205" s="2189"/>
      <c r="F205" s="2189"/>
      <c r="G205" s="2189"/>
      <c r="H205" s="2189"/>
      <c r="I205" s="2189"/>
      <c r="J205" s="2189"/>
      <c r="K205" s="2189"/>
      <c r="L205" s="2189"/>
      <c r="M205" s="2189"/>
      <c r="N205" s="2189"/>
      <c r="O205" s="2189"/>
      <c r="P205" s="2189"/>
      <c r="Q205" s="2189"/>
      <c r="R205" s="2189"/>
      <c r="S205" s="2189"/>
      <c r="T205" s="2189"/>
      <c r="U205" s="2189"/>
      <c r="V205" s="2189"/>
      <c r="W205" s="2189"/>
      <c r="X205" s="2189"/>
      <c r="Y205" s="2189"/>
      <c r="Z205" s="2189"/>
      <c r="AA205" s="2189"/>
      <c r="AB205" s="2189"/>
      <c r="AC205" s="2189"/>
      <c r="AD205" s="2189"/>
      <c r="AE205" s="2189"/>
      <c r="AF205" s="2189"/>
      <c r="AG205" s="2189"/>
      <c r="AH205" s="2266">
        <v>0</v>
      </c>
    </row>
    <row r="206" spans="1:34" ht="13.8">
      <c r="A206" s="2191" t="s">
        <v>155</v>
      </c>
      <c r="B206" s="2194">
        <v>0</v>
      </c>
      <c r="C206" s="2189"/>
      <c r="D206" s="2189"/>
      <c r="E206" s="2189"/>
      <c r="F206" s="2189"/>
      <c r="G206" s="2189"/>
      <c r="H206" s="2189"/>
      <c r="I206" s="2189"/>
      <c r="J206" s="2189"/>
      <c r="K206" s="2189"/>
      <c r="L206" s="2189"/>
      <c r="M206" s="2189"/>
      <c r="N206" s="2189"/>
      <c r="O206" s="2189"/>
      <c r="P206" s="2189"/>
      <c r="Q206" s="2189"/>
      <c r="R206" s="2189"/>
      <c r="S206" s="2189"/>
      <c r="T206" s="2189"/>
      <c r="U206" s="2189"/>
      <c r="V206" s="2189"/>
      <c r="W206" s="2189"/>
      <c r="X206" s="2189"/>
      <c r="Y206" s="2189"/>
      <c r="Z206" s="2189"/>
      <c r="AA206" s="2189"/>
      <c r="AB206" s="2189"/>
      <c r="AC206" s="2189"/>
      <c r="AD206" s="2189"/>
      <c r="AE206" s="2189"/>
      <c r="AF206" s="2189"/>
      <c r="AG206" s="2189"/>
      <c r="AH206" s="2266">
        <v>0</v>
      </c>
    </row>
    <row r="207" spans="1:34" ht="13.8">
      <c r="A207" s="2187"/>
      <c r="B207" s="2194">
        <v>0</v>
      </c>
      <c r="C207" s="2189"/>
      <c r="D207" s="2189"/>
      <c r="E207" s="2189"/>
      <c r="F207" s="2189"/>
      <c r="G207" s="2189"/>
      <c r="H207" s="2189"/>
      <c r="I207" s="2189"/>
      <c r="J207" s="2189"/>
      <c r="K207" s="2189"/>
      <c r="L207" s="2189"/>
      <c r="M207" s="2189"/>
      <c r="N207" s="2189"/>
      <c r="O207" s="2189"/>
      <c r="P207" s="2189"/>
      <c r="Q207" s="2189"/>
      <c r="R207" s="2189"/>
      <c r="S207" s="2189"/>
      <c r="T207" s="2189"/>
      <c r="U207" s="2189"/>
      <c r="V207" s="2189"/>
      <c r="W207" s="2189"/>
      <c r="X207" s="2189"/>
      <c r="Y207" s="2189"/>
      <c r="Z207" s="2189"/>
      <c r="AA207" s="2189"/>
      <c r="AB207" s="2189"/>
      <c r="AC207" s="2189"/>
      <c r="AD207" s="2189"/>
      <c r="AE207" s="2189"/>
      <c r="AF207" s="2189"/>
      <c r="AG207" s="2189"/>
      <c r="AH207" s="2266">
        <v>0</v>
      </c>
    </row>
    <row r="208" spans="1:34" ht="13.8">
      <c r="A208" s="2192" t="s">
        <v>111</v>
      </c>
      <c r="B208" s="2195">
        <v>0</v>
      </c>
      <c r="C208" s="2193"/>
      <c r="D208" s="2193"/>
      <c r="E208" s="2193"/>
      <c r="F208" s="2193"/>
      <c r="G208" s="2193"/>
      <c r="H208" s="2193"/>
      <c r="I208" s="2193"/>
      <c r="J208" s="2193"/>
      <c r="K208" s="2193"/>
      <c r="L208" s="2193"/>
      <c r="M208" s="2193"/>
      <c r="N208" s="2193"/>
      <c r="O208" s="2193"/>
      <c r="P208" s="2193"/>
      <c r="Q208" s="2193"/>
      <c r="R208" s="2193"/>
      <c r="S208" s="2193"/>
      <c r="T208" s="2193"/>
      <c r="U208" s="2193"/>
      <c r="V208" s="2193"/>
      <c r="W208" s="2193"/>
      <c r="X208" s="2193"/>
      <c r="Y208" s="2193"/>
      <c r="Z208" s="2193"/>
      <c r="AA208" s="2193"/>
      <c r="AB208" s="2193"/>
      <c r="AC208" s="2193"/>
      <c r="AD208" s="2193"/>
      <c r="AE208" s="2193"/>
      <c r="AF208" s="2193"/>
      <c r="AG208" s="2193"/>
      <c r="AH208" s="2267">
        <v>0</v>
      </c>
    </row>
    <row r="209" spans="1:34">
      <c r="AH209" s="730"/>
    </row>
    <row r="210" spans="1:34">
      <c r="AH210" s="730"/>
    </row>
    <row r="211" spans="1:34" ht="14.4">
      <c r="A211" s="4190" t="s">
        <v>991</v>
      </c>
      <c r="B211" s="4191"/>
      <c r="C211" s="4191"/>
      <c r="D211" s="4191"/>
      <c r="E211" s="4191"/>
      <c r="F211" s="4191"/>
      <c r="G211" s="4192"/>
      <c r="AH211" s="730"/>
    </row>
    <row r="212" spans="1:34" ht="13.8">
      <c r="A212" s="4136" t="s">
        <v>989</v>
      </c>
      <c r="B212" s="4137"/>
      <c r="C212" s="4138"/>
      <c r="D212" s="2183"/>
      <c r="E212" s="2183"/>
      <c r="F212" s="2183"/>
      <c r="G212" s="2183"/>
      <c r="H212" s="2183"/>
      <c r="I212" s="2183"/>
      <c r="J212" s="2183"/>
      <c r="K212" s="2183"/>
      <c r="L212" s="2183"/>
      <c r="M212" s="2184"/>
      <c r="N212" s="2183"/>
      <c r="O212" s="2183"/>
      <c r="P212" s="2183"/>
      <c r="Q212" s="2183"/>
      <c r="R212" s="2183"/>
      <c r="S212" s="2183"/>
      <c r="T212" s="2183"/>
      <c r="U212" s="2183"/>
      <c r="V212" s="2183"/>
      <c r="W212" s="2183"/>
      <c r="X212" s="2183"/>
      <c r="Y212" s="2183"/>
      <c r="Z212" s="2183"/>
      <c r="AA212" s="2183"/>
      <c r="AB212" s="2183"/>
      <c r="AC212" s="2183"/>
      <c r="AD212" s="2183"/>
      <c r="AE212" s="2183"/>
      <c r="AF212" s="2183"/>
      <c r="AG212" s="2183"/>
      <c r="AH212" s="2264"/>
    </row>
    <row r="213" spans="1:34" ht="13.8">
      <c r="A213" s="2185" t="s">
        <v>142</v>
      </c>
      <c r="B213" s="2185" t="s">
        <v>143</v>
      </c>
      <c r="C213" s="2186">
        <v>1</v>
      </c>
      <c r="D213" s="2186">
        <v>2</v>
      </c>
      <c r="E213" s="2186">
        <v>3</v>
      </c>
      <c r="F213" s="2186">
        <v>4</v>
      </c>
      <c r="G213" s="2186">
        <v>5</v>
      </c>
      <c r="H213" s="2186">
        <v>6</v>
      </c>
      <c r="I213" s="2186">
        <v>7</v>
      </c>
      <c r="J213" s="2186">
        <v>8</v>
      </c>
      <c r="K213" s="2186">
        <v>9</v>
      </c>
      <c r="L213" s="2186">
        <v>10</v>
      </c>
      <c r="M213" s="2186">
        <v>11</v>
      </c>
      <c r="N213" s="2186">
        <v>12</v>
      </c>
      <c r="O213" s="2186">
        <v>13</v>
      </c>
      <c r="P213" s="2186">
        <v>14</v>
      </c>
      <c r="Q213" s="2186">
        <v>15</v>
      </c>
      <c r="R213" s="2186">
        <v>16</v>
      </c>
      <c r="S213" s="2186">
        <v>17</v>
      </c>
      <c r="T213" s="2186">
        <v>18</v>
      </c>
      <c r="U213" s="2186">
        <v>19</v>
      </c>
      <c r="V213" s="2186">
        <v>20</v>
      </c>
      <c r="W213" s="2187">
        <v>21</v>
      </c>
      <c r="X213" s="2186">
        <v>22</v>
      </c>
      <c r="Y213" s="2186">
        <v>23</v>
      </c>
      <c r="Z213" s="2186">
        <v>24</v>
      </c>
      <c r="AA213" s="2186">
        <v>25</v>
      </c>
      <c r="AB213" s="2186">
        <v>26</v>
      </c>
      <c r="AC213" s="2188">
        <v>27</v>
      </c>
      <c r="AD213" s="2186">
        <v>28</v>
      </c>
      <c r="AE213" s="2186">
        <v>29</v>
      </c>
      <c r="AF213" s="2186">
        <v>30</v>
      </c>
      <c r="AG213" s="2186">
        <v>31</v>
      </c>
      <c r="AH213" s="2265" t="s">
        <v>111</v>
      </c>
    </row>
    <row r="214" spans="1:34" ht="13.8">
      <c r="A214" s="2187" t="s">
        <v>145</v>
      </c>
      <c r="B214" s="2194">
        <f>+AH214</f>
        <v>0</v>
      </c>
      <c r="C214" s="2189"/>
      <c r="D214" s="2189"/>
      <c r="E214" s="2189"/>
      <c r="F214" s="2189"/>
      <c r="G214" s="2189"/>
      <c r="H214" s="2189"/>
      <c r="I214" s="2189"/>
      <c r="J214" s="2189"/>
      <c r="K214" s="2189"/>
      <c r="L214" s="2189"/>
      <c r="M214" s="2189"/>
      <c r="N214" s="2189"/>
      <c r="O214" s="2189"/>
      <c r="P214" s="2189"/>
      <c r="Q214" s="2189"/>
      <c r="R214" s="2189"/>
      <c r="S214" s="2189"/>
      <c r="T214" s="2189"/>
      <c r="U214" s="2189"/>
      <c r="V214" s="2189"/>
      <c r="W214" s="2189"/>
      <c r="X214" s="2189"/>
      <c r="Y214" s="2189"/>
      <c r="Z214" s="2189"/>
      <c r="AA214" s="2189"/>
      <c r="AB214" s="2189"/>
      <c r="AC214" s="2189"/>
      <c r="AD214" s="2189"/>
      <c r="AE214" s="2189"/>
      <c r="AF214" s="2189"/>
      <c r="AG214" s="2189"/>
      <c r="AH214" s="2266">
        <f>SUM(C214:AG214)</f>
        <v>0</v>
      </c>
    </row>
    <row r="215" spans="1:34" ht="13.8">
      <c r="A215" s="2187" t="s">
        <v>146</v>
      </c>
      <c r="B215" s="2194">
        <f t="shared" ref="B215:B225" si="12">+AH215</f>
        <v>0</v>
      </c>
      <c r="C215" s="2189"/>
      <c r="D215" s="2189"/>
      <c r="E215" s="2189"/>
      <c r="F215" s="2189"/>
      <c r="G215" s="2189"/>
      <c r="H215" s="2189"/>
      <c r="I215" s="2189"/>
      <c r="J215" s="2189"/>
      <c r="K215" s="2189"/>
      <c r="L215" s="2189"/>
      <c r="M215" s="2189"/>
      <c r="N215" s="2189"/>
      <c r="O215" s="2189"/>
      <c r="P215" s="2189"/>
      <c r="Q215" s="2189"/>
      <c r="R215" s="2189"/>
      <c r="S215" s="2189"/>
      <c r="T215" s="2189"/>
      <c r="U215" s="2189"/>
      <c r="V215" s="2189"/>
      <c r="W215" s="2189"/>
      <c r="X215" s="2189"/>
      <c r="Y215" s="2189"/>
      <c r="Z215" s="2189"/>
      <c r="AA215" s="2189"/>
      <c r="AB215" s="2189"/>
      <c r="AC215" s="2189"/>
      <c r="AD215" s="2189"/>
      <c r="AE215" s="2189"/>
      <c r="AF215" s="2189"/>
      <c r="AG215" s="2189"/>
      <c r="AH215" s="2266">
        <f t="shared" ref="AH215:AH224" si="13">SUM(C215:AG215)</f>
        <v>0</v>
      </c>
    </row>
    <row r="216" spans="1:34" ht="13.8">
      <c r="A216" s="2187" t="s">
        <v>147</v>
      </c>
      <c r="B216" s="2194">
        <f t="shared" si="12"/>
        <v>0</v>
      </c>
      <c r="C216" s="2189"/>
      <c r="D216" s="2189"/>
      <c r="E216" s="2189"/>
      <c r="F216" s="2189"/>
      <c r="G216" s="2189"/>
      <c r="H216" s="2189"/>
      <c r="I216" s="2189"/>
      <c r="J216" s="2189"/>
      <c r="K216" s="2189"/>
      <c r="L216" s="2189"/>
      <c r="M216" s="2189"/>
      <c r="N216" s="2189"/>
      <c r="O216" s="2189"/>
      <c r="P216" s="2189"/>
      <c r="Q216" s="2189"/>
      <c r="R216" s="2189"/>
      <c r="S216" s="2189"/>
      <c r="T216" s="2189"/>
      <c r="U216" s="2189"/>
      <c r="V216" s="2189"/>
      <c r="W216" s="2189"/>
      <c r="X216" s="2189"/>
      <c r="Y216" s="2189"/>
      <c r="Z216" s="2189"/>
      <c r="AA216" s="2189"/>
      <c r="AB216" s="2189"/>
      <c r="AC216" s="2189"/>
      <c r="AD216" s="2189"/>
      <c r="AE216" s="2189"/>
      <c r="AF216" s="2189"/>
      <c r="AG216" s="2189"/>
      <c r="AH216" s="2266">
        <f t="shared" si="13"/>
        <v>0</v>
      </c>
    </row>
    <row r="217" spans="1:34" ht="13.8">
      <c r="A217" s="2187" t="s">
        <v>148</v>
      </c>
      <c r="B217" s="2194">
        <f t="shared" si="12"/>
        <v>0</v>
      </c>
      <c r="C217" s="2189"/>
      <c r="D217" s="2189"/>
      <c r="E217" s="2189"/>
      <c r="F217" s="2189"/>
      <c r="G217" s="2189"/>
      <c r="H217" s="2189"/>
      <c r="I217" s="2189"/>
      <c r="J217" s="2189"/>
      <c r="K217" s="2189"/>
      <c r="L217" s="2189"/>
      <c r="M217" s="2189"/>
      <c r="N217" s="2189"/>
      <c r="O217" s="2189"/>
      <c r="P217" s="2189"/>
      <c r="Q217" s="2189"/>
      <c r="R217" s="2189"/>
      <c r="S217" s="2189"/>
      <c r="T217" s="2189"/>
      <c r="U217" s="2189"/>
      <c r="V217" s="2189"/>
      <c r="W217" s="2189"/>
      <c r="X217" s="2189"/>
      <c r="Y217" s="2189"/>
      <c r="Z217" s="2189"/>
      <c r="AA217" s="2189"/>
      <c r="AB217" s="2189"/>
      <c r="AC217" s="2189"/>
      <c r="AD217" s="2189"/>
      <c r="AE217" s="2189"/>
      <c r="AF217" s="2189"/>
      <c r="AG217" s="2189"/>
      <c r="AH217" s="2266">
        <f t="shared" si="13"/>
        <v>0</v>
      </c>
    </row>
    <row r="218" spans="1:34" ht="13.8">
      <c r="A218" s="2187" t="s">
        <v>149</v>
      </c>
      <c r="B218" s="2194">
        <f t="shared" si="12"/>
        <v>0</v>
      </c>
      <c r="C218" s="2189"/>
      <c r="D218" s="2189"/>
      <c r="E218" s="2189"/>
      <c r="F218" s="2189"/>
      <c r="G218" s="2189"/>
      <c r="H218" s="2189"/>
      <c r="I218" s="2189"/>
      <c r="J218" s="2189"/>
      <c r="K218" s="2189"/>
      <c r="L218" s="2189"/>
      <c r="M218" s="2189"/>
      <c r="N218" s="2189"/>
      <c r="O218" s="2189"/>
      <c r="P218" s="2189"/>
      <c r="Q218" s="2189"/>
      <c r="R218" s="2189"/>
      <c r="S218" s="2189"/>
      <c r="T218" s="2189"/>
      <c r="U218" s="2189"/>
      <c r="V218" s="2189"/>
      <c r="W218" s="2189"/>
      <c r="X218" s="2189"/>
      <c r="Y218" s="2189"/>
      <c r="Z218" s="2189"/>
      <c r="AA218" s="2189"/>
      <c r="AB218" s="2189"/>
      <c r="AC218" s="2189"/>
      <c r="AD218" s="2189"/>
      <c r="AE218" s="2189"/>
      <c r="AF218" s="2189"/>
      <c r="AG218" s="2189"/>
      <c r="AH218" s="2266">
        <f t="shared" si="13"/>
        <v>0</v>
      </c>
    </row>
    <row r="219" spans="1:34" ht="13.8">
      <c r="A219" s="2187" t="s">
        <v>150</v>
      </c>
      <c r="B219" s="2194">
        <f t="shared" si="12"/>
        <v>0</v>
      </c>
      <c r="C219" s="2189"/>
      <c r="D219" s="2189"/>
      <c r="E219" s="2189"/>
      <c r="F219" s="2189"/>
      <c r="G219" s="2189"/>
      <c r="H219" s="2189"/>
      <c r="I219" s="2189"/>
      <c r="J219" s="2189"/>
      <c r="K219" s="2189"/>
      <c r="L219" s="2189"/>
      <c r="M219" s="2189"/>
      <c r="N219" s="2189"/>
      <c r="O219" s="2189"/>
      <c r="P219" s="2189"/>
      <c r="Q219" s="2189"/>
      <c r="R219" s="2189"/>
      <c r="S219" s="2189"/>
      <c r="T219" s="2189"/>
      <c r="U219" s="2189"/>
      <c r="V219" s="2189"/>
      <c r="W219" s="2189"/>
      <c r="X219" s="2189"/>
      <c r="Y219" s="2189"/>
      <c r="Z219" s="2189"/>
      <c r="AA219" s="2189"/>
      <c r="AB219" s="2189"/>
      <c r="AC219" s="2189"/>
      <c r="AD219" s="2189"/>
      <c r="AE219" s="2189"/>
      <c r="AF219" s="2189"/>
      <c r="AG219" s="2189"/>
      <c r="AH219" s="2266">
        <f t="shared" si="13"/>
        <v>0</v>
      </c>
    </row>
    <row r="220" spans="1:34" ht="13.8">
      <c r="A220" s="2187" t="s">
        <v>151</v>
      </c>
      <c r="B220" s="2194">
        <f t="shared" si="12"/>
        <v>0</v>
      </c>
      <c r="C220" s="2189"/>
      <c r="D220" s="2189"/>
      <c r="E220" s="2189"/>
      <c r="F220" s="2189"/>
      <c r="G220" s="2189"/>
      <c r="H220" s="2189"/>
      <c r="I220" s="2189"/>
      <c r="J220" s="2189"/>
      <c r="K220" s="2189"/>
      <c r="L220" s="2189"/>
      <c r="M220" s="2189"/>
      <c r="N220" s="2189"/>
      <c r="O220" s="2189"/>
      <c r="P220" s="2189"/>
      <c r="Q220" s="2189"/>
      <c r="R220" s="2189"/>
      <c r="S220" s="2189"/>
      <c r="T220" s="2189"/>
      <c r="U220" s="2189"/>
      <c r="V220" s="2189"/>
      <c r="W220" s="2189"/>
      <c r="X220" s="2189"/>
      <c r="Y220" s="2189"/>
      <c r="Z220" s="2189"/>
      <c r="AA220" s="2189"/>
      <c r="AB220" s="2189"/>
      <c r="AC220" s="2189"/>
      <c r="AD220" s="2189"/>
      <c r="AE220" s="2189"/>
      <c r="AF220" s="2189"/>
      <c r="AG220" s="2189"/>
      <c r="AH220" s="2266">
        <f t="shared" si="13"/>
        <v>0</v>
      </c>
    </row>
    <row r="221" spans="1:34" ht="13.8">
      <c r="A221" s="2187" t="s">
        <v>152</v>
      </c>
      <c r="B221" s="2194">
        <f t="shared" si="12"/>
        <v>0</v>
      </c>
      <c r="C221" s="2189"/>
      <c r="D221" s="2189"/>
      <c r="E221" s="2189"/>
      <c r="F221" s="2189"/>
      <c r="G221" s="2189"/>
      <c r="H221" s="2189"/>
      <c r="I221" s="2189"/>
      <c r="J221" s="2189"/>
      <c r="K221" s="2189"/>
      <c r="L221" s="2189"/>
      <c r="M221" s="2189"/>
      <c r="N221" s="2189"/>
      <c r="O221" s="2189"/>
      <c r="P221" s="2189"/>
      <c r="Q221" s="2189"/>
      <c r="R221" s="2189"/>
      <c r="S221" s="2189"/>
      <c r="T221" s="2189"/>
      <c r="U221" s="2189"/>
      <c r="V221" s="2189"/>
      <c r="W221" s="2189"/>
      <c r="X221" s="2189"/>
      <c r="Y221" s="2189"/>
      <c r="Z221" s="2189"/>
      <c r="AA221" s="2189"/>
      <c r="AB221" s="2189"/>
      <c r="AC221" s="2189"/>
      <c r="AD221" s="2189"/>
      <c r="AE221" s="2189"/>
      <c r="AF221" s="2189"/>
      <c r="AG221" s="2189"/>
      <c r="AH221" s="2266">
        <f t="shared" si="13"/>
        <v>0</v>
      </c>
    </row>
    <row r="222" spans="1:34" ht="13.8">
      <c r="A222" s="2188" t="s">
        <v>153</v>
      </c>
      <c r="B222" s="2194">
        <f t="shared" si="12"/>
        <v>0</v>
      </c>
      <c r="C222" s="2189"/>
      <c r="D222" s="2189"/>
      <c r="E222" s="2189"/>
      <c r="F222" s="2189"/>
      <c r="G222" s="2189"/>
      <c r="H222" s="2189"/>
      <c r="I222" s="2189"/>
      <c r="J222" s="2189"/>
      <c r="K222" s="2189"/>
      <c r="L222" s="2189"/>
      <c r="M222" s="2189"/>
      <c r="N222" s="2189"/>
      <c r="O222" s="2189"/>
      <c r="P222" s="2189"/>
      <c r="Q222" s="2189"/>
      <c r="R222" s="2189"/>
      <c r="S222" s="2189"/>
      <c r="T222" s="2189"/>
      <c r="U222" s="2189"/>
      <c r="V222" s="2189"/>
      <c r="W222" s="2189"/>
      <c r="X222" s="2189"/>
      <c r="Y222" s="2189"/>
      <c r="Z222" s="2189"/>
      <c r="AA222" s="2189"/>
      <c r="AB222" s="2189"/>
      <c r="AC222" s="2189"/>
      <c r="AD222" s="2189"/>
      <c r="AE222" s="2189"/>
      <c r="AF222" s="2189"/>
      <c r="AG222" s="2189"/>
      <c r="AH222" s="2266">
        <f t="shared" si="13"/>
        <v>0</v>
      </c>
    </row>
    <row r="223" spans="1:34" ht="13.8">
      <c r="A223" s="2190" t="s">
        <v>154</v>
      </c>
      <c r="B223" s="2444">
        <f t="shared" si="12"/>
        <v>12.153</v>
      </c>
      <c r="C223" s="2384"/>
      <c r="D223" s="2384"/>
      <c r="E223" s="2384"/>
      <c r="F223" s="2384"/>
      <c r="G223" s="2384"/>
      <c r="H223" s="2384"/>
      <c r="I223" s="2384"/>
      <c r="J223" s="2384"/>
      <c r="K223" s="2384">
        <v>0.76900000000000002</v>
      </c>
      <c r="L223" s="2384">
        <v>0.36699999999999999</v>
      </c>
      <c r="M223" s="2384">
        <v>1.1299999999999999</v>
      </c>
      <c r="N223" s="2384">
        <v>0.80100000000000005</v>
      </c>
      <c r="O223" s="2384">
        <v>0.98</v>
      </c>
      <c r="P223" s="2384">
        <v>0.33300000000000002</v>
      </c>
      <c r="Q223" s="2384">
        <v>1.93</v>
      </c>
      <c r="R223" s="2384"/>
      <c r="S223" s="2384">
        <v>0.86799999999999999</v>
      </c>
      <c r="T223" s="2384">
        <v>0.9</v>
      </c>
      <c r="U223" s="2384"/>
      <c r="V223" s="2384"/>
      <c r="W223" s="2384">
        <v>1.1439999999999999</v>
      </c>
      <c r="X223" s="2384">
        <v>1.2689999999999999</v>
      </c>
      <c r="Y223" s="2384">
        <v>0.55900000000000005</v>
      </c>
      <c r="Z223" s="2384"/>
      <c r="AA223" s="2384"/>
      <c r="AB223" s="2384"/>
      <c r="AC223" s="2384">
        <v>0.92400000000000004</v>
      </c>
      <c r="AD223" s="2384"/>
      <c r="AE223" s="2384">
        <v>0.17899999999999999</v>
      </c>
      <c r="AF223" s="2384"/>
      <c r="AG223" s="2384"/>
      <c r="AH223" s="2266">
        <f t="shared" si="13"/>
        <v>12.153</v>
      </c>
    </row>
    <row r="224" spans="1:34" ht="13.8">
      <c r="A224" s="2191" t="s">
        <v>155</v>
      </c>
      <c r="B224" s="2444">
        <f t="shared" si="12"/>
        <v>36.973000000000006</v>
      </c>
      <c r="C224" s="2384"/>
      <c r="D224" s="2384"/>
      <c r="E224" s="2384"/>
      <c r="F224" s="2384">
        <v>0.28799999999999998</v>
      </c>
      <c r="G224" s="2384"/>
      <c r="H224" s="2384">
        <v>5.8999999999999997E-2</v>
      </c>
      <c r="I224" s="2384"/>
      <c r="J224" s="2384"/>
      <c r="K224" s="2384"/>
      <c r="L224" s="2384">
        <v>0.59299999999999997</v>
      </c>
      <c r="M224" s="2384">
        <v>0.90400000000000003</v>
      </c>
      <c r="N224" s="2384">
        <v>0.96699999999999997</v>
      </c>
      <c r="O224" s="2384">
        <v>1.206</v>
      </c>
      <c r="P224" s="2384">
        <v>0.66300000000000003</v>
      </c>
      <c r="Q224" s="2384">
        <v>3.3169999999999997</v>
      </c>
      <c r="R224" s="2384">
        <v>3.5259999999999998</v>
      </c>
      <c r="S224" s="2384">
        <v>7.9509999999999996</v>
      </c>
      <c r="T224" s="2384">
        <v>4.9360000000000008</v>
      </c>
      <c r="U224" s="2384">
        <v>2.6869999999999998</v>
      </c>
      <c r="V224" s="2384">
        <v>8.2000000000000003E-2</v>
      </c>
      <c r="W224" s="2384">
        <v>0.69199999999999995</v>
      </c>
      <c r="X224" s="2384">
        <v>1.6870000000000001</v>
      </c>
      <c r="Y224" s="2384"/>
      <c r="Z224" s="2384">
        <v>0.13400000000000001</v>
      </c>
      <c r="AA224" s="2384">
        <v>1.08</v>
      </c>
      <c r="AB224" s="2384">
        <v>5.487000000000001</v>
      </c>
      <c r="AC224" s="2384"/>
      <c r="AD224" s="2384">
        <v>0.61099999999999999</v>
      </c>
      <c r="AE224" s="2384">
        <v>0.10299999999999999</v>
      </c>
      <c r="AF224" s="2384"/>
      <c r="AG224" s="2384"/>
      <c r="AH224" s="2266">
        <f t="shared" si="13"/>
        <v>36.973000000000006</v>
      </c>
    </row>
    <row r="225" spans="1:34" ht="13.8">
      <c r="A225" s="2187"/>
      <c r="B225" s="2444">
        <f t="shared" si="12"/>
        <v>0</v>
      </c>
      <c r="C225" s="2384"/>
      <c r="D225" s="2384"/>
      <c r="E225" s="2384"/>
      <c r="F225" s="2384"/>
      <c r="G225" s="2384"/>
      <c r="H225" s="2384"/>
      <c r="I225" s="2384"/>
      <c r="J225" s="2384"/>
      <c r="K225" s="2384"/>
      <c r="L225" s="2384"/>
      <c r="M225" s="2384"/>
      <c r="N225" s="2384"/>
      <c r="O225" s="2384"/>
      <c r="P225" s="2384"/>
      <c r="Q225" s="2384"/>
      <c r="R225" s="2384"/>
      <c r="S225" s="2384"/>
      <c r="T225" s="2384"/>
      <c r="U225" s="2384"/>
      <c r="V225" s="2384"/>
      <c r="W225" s="2384"/>
      <c r="X225" s="2384"/>
      <c r="Y225" s="2384"/>
      <c r="Z225" s="2384"/>
      <c r="AA225" s="2384"/>
      <c r="AB225" s="2384"/>
      <c r="AC225" s="2384"/>
      <c r="AD225" s="2384"/>
      <c r="AE225" s="2384"/>
      <c r="AF225" s="2384"/>
      <c r="AG225" s="2384"/>
      <c r="AH225" s="2266">
        <f>SUM(C225:AG225)</f>
        <v>0</v>
      </c>
    </row>
    <row r="226" spans="1:34" ht="13.8">
      <c r="A226" s="2192" t="s">
        <v>111</v>
      </c>
      <c r="B226" s="2445">
        <f>SUM(B214:B225)</f>
        <v>49.126000000000005</v>
      </c>
      <c r="C226" s="2446"/>
      <c r="D226" s="2446"/>
      <c r="E226" s="2446"/>
      <c r="F226" s="2446"/>
      <c r="G226" s="2446"/>
      <c r="H226" s="2446"/>
      <c r="I226" s="2446"/>
      <c r="J226" s="2446"/>
      <c r="K226" s="2446"/>
      <c r="L226" s="2446"/>
      <c r="M226" s="2446"/>
      <c r="N226" s="2446"/>
      <c r="O226" s="2446"/>
      <c r="P226" s="2446"/>
      <c r="Q226" s="2446"/>
      <c r="R226" s="2446"/>
      <c r="S226" s="2446"/>
      <c r="T226" s="2446"/>
      <c r="U226" s="2446"/>
      <c r="V226" s="2446"/>
      <c r="W226" s="2446"/>
      <c r="X226" s="2446"/>
      <c r="Y226" s="2446"/>
      <c r="Z226" s="2446"/>
      <c r="AA226" s="2446"/>
      <c r="AB226" s="2446"/>
      <c r="AC226" s="2446"/>
      <c r="AD226" s="2446"/>
      <c r="AE226" s="2446"/>
      <c r="AF226" s="2446"/>
      <c r="AG226" s="2446"/>
      <c r="AH226" s="2267">
        <f>SUM(AH214:AH225)</f>
        <v>49.126000000000005</v>
      </c>
    </row>
    <row r="227" spans="1:34">
      <c r="AH227" s="730"/>
    </row>
    <row r="228" spans="1:34">
      <c r="AH228" s="730"/>
    </row>
    <row r="229" spans="1:34" ht="13.8">
      <c r="A229" s="4187" t="s">
        <v>990</v>
      </c>
      <c r="B229" s="4188"/>
      <c r="C229" s="4189"/>
      <c r="D229" s="2183"/>
      <c r="E229" s="2183"/>
      <c r="F229" s="2183"/>
      <c r="G229" s="2183"/>
      <c r="H229" s="2183"/>
      <c r="I229" s="2183"/>
      <c r="J229" s="2183"/>
      <c r="K229" s="2183"/>
      <c r="L229" s="2183"/>
      <c r="M229" s="2184"/>
      <c r="N229" s="2183"/>
      <c r="O229" s="2183"/>
      <c r="P229" s="2183"/>
      <c r="Q229" s="2183"/>
      <c r="R229" s="2183"/>
      <c r="S229" s="2183"/>
      <c r="T229" s="2183"/>
      <c r="U229" s="2183"/>
      <c r="V229" s="2183"/>
      <c r="W229" s="2183"/>
      <c r="X229" s="2183"/>
      <c r="Y229" s="2183"/>
      <c r="Z229" s="2183"/>
      <c r="AA229" s="2183"/>
      <c r="AB229" s="2183"/>
      <c r="AC229" s="2183"/>
      <c r="AD229" s="2183"/>
      <c r="AE229" s="2183"/>
      <c r="AF229" s="2183"/>
      <c r="AG229" s="2183"/>
      <c r="AH229" s="2264"/>
    </row>
    <row r="230" spans="1:34" ht="13.8">
      <c r="A230" s="2185" t="s">
        <v>142</v>
      </c>
      <c r="B230" s="2185" t="s">
        <v>143</v>
      </c>
      <c r="C230" s="2186">
        <v>1</v>
      </c>
      <c r="D230" s="2186">
        <v>2</v>
      </c>
      <c r="E230" s="2186">
        <v>3</v>
      </c>
      <c r="F230" s="2186">
        <v>4</v>
      </c>
      <c r="G230" s="2186">
        <v>5</v>
      </c>
      <c r="H230" s="2186">
        <v>6</v>
      </c>
      <c r="I230" s="2186">
        <v>7</v>
      </c>
      <c r="J230" s="2186">
        <v>8</v>
      </c>
      <c r="K230" s="2186">
        <v>9</v>
      </c>
      <c r="L230" s="2186">
        <v>10</v>
      </c>
      <c r="M230" s="2186">
        <v>11</v>
      </c>
      <c r="N230" s="2186">
        <v>12</v>
      </c>
      <c r="O230" s="2186">
        <v>13</v>
      </c>
      <c r="P230" s="2186">
        <v>14</v>
      </c>
      <c r="Q230" s="2186">
        <v>15</v>
      </c>
      <c r="R230" s="2186">
        <v>16</v>
      </c>
      <c r="S230" s="2186">
        <v>17</v>
      </c>
      <c r="T230" s="2186">
        <v>18</v>
      </c>
      <c r="U230" s="2186">
        <v>19</v>
      </c>
      <c r="V230" s="2186">
        <v>20</v>
      </c>
      <c r="W230" s="2187">
        <v>21</v>
      </c>
      <c r="X230" s="2186">
        <v>22</v>
      </c>
      <c r="Y230" s="2186">
        <v>23</v>
      </c>
      <c r="Z230" s="2186">
        <v>24</v>
      </c>
      <c r="AA230" s="2186">
        <v>25</v>
      </c>
      <c r="AB230" s="2186">
        <v>26</v>
      </c>
      <c r="AC230" s="2188">
        <v>27</v>
      </c>
      <c r="AD230" s="2186">
        <v>28</v>
      </c>
      <c r="AE230" s="2186">
        <v>29</v>
      </c>
      <c r="AF230" s="2186">
        <v>30</v>
      </c>
      <c r="AG230" s="2186">
        <v>31</v>
      </c>
      <c r="AH230" s="2265" t="s">
        <v>111</v>
      </c>
    </row>
    <row r="231" spans="1:34" ht="13.8">
      <c r="A231" s="2187" t="s">
        <v>145</v>
      </c>
      <c r="B231" s="2194">
        <f>+AH231</f>
        <v>0</v>
      </c>
      <c r="C231" s="2189"/>
      <c r="D231" s="2189"/>
      <c r="E231" s="2189"/>
      <c r="F231" s="2189"/>
      <c r="G231" s="2189"/>
      <c r="H231" s="2189"/>
      <c r="I231" s="2189"/>
      <c r="J231" s="2189"/>
      <c r="K231" s="2189"/>
      <c r="L231" s="2189"/>
      <c r="M231" s="2189"/>
      <c r="N231" s="2189"/>
      <c r="O231" s="2189"/>
      <c r="P231" s="2189"/>
      <c r="Q231" s="2189"/>
      <c r="R231" s="2189"/>
      <c r="S231" s="2189"/>
      <c r="T231" s="2189"/>
      <c r="U231" s="2189"/>
      <c r="V231" s="2189"/>
      <c r="W231" s="2189"/>
      <c r="X231" s="2189"/>
      <c r="Y231" s="2189"/>
      <c r="Z231" s="2189"/>
      <c r="AA231" s="2189"/>
      <c r="AB231" s="2189"/>
      <c r="AC231" s="2189"/>
      <c r="AD231" s="2189"/>
      <c r="AE231" s="2189"/>
      <c r="AF231" s="2189"/>
      <c r="AG231" s="2189"/>
      <c r="AH231" s="2266">
        <f>SUM(C231:AG231)</f>
        <v>0</v>
      </c>
    </row>
    <row r="232" spans="1:34" ht="13.8">
      <c r="A232" s="2187" t="s">
        <v>146</v>
      </c>
      <c r="B232" s="2194">
        <f t="shared" ref="B232:B242" si="14">+AH232</f>
        <v>0</v>
      </c>
      <c r="C232" s="2189"/>
      <c r="D232" s="2189"/>
      <c r="E232" s="2189"/>
      <c r="F232" s="2189"/>
      <c r="G232" s="2189"/>
      <c r="H232" s="2189"/>
      <c r="I232" s="2189"/>
      <c r="J232" s="2189"/>
      <c r="K232" s="2189"/>
      <c r="L232" s="2189"/>
      <c r="M232" s="2189"/>
      <c r="N232" s="2189"/>
      <c r="O232" s="2189"/>
      <c r="P232" s="2189"/>
      <c r="Q232" s="2189"/>
      <c r="R232" s="2189"/>
      <c r="S232" s="2189"/>
      <c r="T232" s="2189"/>
      <c r="U232" s="2189"/>
      <c r="V232" s="2189"/>
      <c r="W232" s="2189"/>
      <c r="X232" s="2189"/>
      <c r="Y232" s="2189"/>
      <c r="Z232" s="2189"/>
      <c r="AA232" s="2189"/>
      <c r="AB232" s="2189"/>
      <c r="AC232" s="2189"/>
      <c r="AD232" s="2189"/>
      <c r="AE232" s="2189"/>
      <c r="AF232" s="2189"/>
      <c r="AG232" s="2189"/>
      <c r="AH232" s="2266">
        <f t="shared" ref="AH232:AH241" si="15">SUM(C232:AG232)</f>
        <v>0</v>
      </c>
    </row>
    <row r="233" spans="1:34" ht="13.8">
      <c r="A233" s="2187" t="s">
        <v>147</v>
      </c>
      <c r="B233" s="2194">
        <f t="shared" si="14"/>
        <v>0</v>
      </c>
      <c r="C233" s="2189"/>
      <c r="D233" s="2189"/>
      <c r="E233" s="2189"/>
      <c r="F233" s="2189"/>
      <c r="G233" s="2189"/>
      <c r="H233" s="2189"/>
      <c r="I233" s="2189"/>
      <c r="J233" s="2189"/>
      <c r="K233" s="2189"/>
      <c r="L233" s="2189"/>
      <c r="M233" s="2189"/>
      <c r="N233" s="2189"/>
      <c r="O233" s="2189"/>
      <c r="P233" s="2189"/>
      <c r="Q233" s="2189"/>
      <c r="R233" s="2189"/>
      <c r="S233" s="2189"/>
      <c r="T233" s="2189"/>
      <c r="U233" s="2189"/>
      <c r="V233" s="2189"/>
      <c r="W233" s="2189"/>
      <c r="X233" s="2189"/>
      <c r="Y233" s="2189"/>
      <c r="Z233" s="2189"/>
      <c r="AA233" s="2189"/>
      <c r="AB233" s="2189"/>
      <c r="AC233" s="2189"/>
      <c r="AD233" s="2189"/>
      <c r="AE233" s="2189"/>
      <c r="AF233" s="2189"/>
      <c r="AG233" s="2189"/>
      <c r="AH233" s="2266">
        <f t="shared" si="15"/>
        <v>0</v>
      </c>
    </row>
    <row r="234" spans="1:34" ht="13.8">
      <c r="A234" s="2187" t="s">
        <v>148</v>
      </c>
      <c r="B234" s="2194">
        <f t="shared" si="14"/>
        <v>0</v>
      </c>
      <c r="C234" s="2189"/>
      <c r="D234" s="2189"/>
      <c r="E234" s="2189"/>
      <c r="F234" s="2189"/>
      <c r="G234" s="2189"/>
      <c r="H234" s="2189"/>
      <c r="I234" s="2189"/>
      <c r="J234" s="2189"/>
      <c r="K234" s="2189"/>
      <c r="L234" s="2189"/>
      <c r="M234" s="2189"/>
      <c r="N234" s="2189"/>
      <c r="O234" s="2189"/>
      <c r="P234" s="2189"/>
      <c r="Q234" s="2189"/>
      <c r="R234" s="2189"/>
      <c r="S234" s="2189"/>
      <c r="T234" s="2189"/>
      <c r="U234" s="2189"/>
      <c r="V234" s="2189"/>
      <c r="W234" s="2189"/>
      <c r="X234" s="2189"/>
      <c r="Y234" s="2189"/>
      <c r="Z234" s="2189"/>
      <c r="AA234" s="2189"/>
      <c r="AB234" s="2189"/>
      <c r="AC234" s="2189"/>
      <c r="AD234" s="2189"/>
      <c r="AE234" s="2189"/>
      <c r="AF234" s="2189"/>
      <c r="AG234" s="2189"/>
      <c r="AH234" s="2266">
        <f t="shared" si="15"/>
        <v>0</v>
      </c>
    </row>
    <row r="235" spans="1:34" ht="13.8">
      <c r="A235" s="2187" t="s">
        <v>149</v>
      </c>
      <c r="B235" s="2194">
        <f t="shared" si="14"/>
        <v>0</v>
      </c>
      <c r="C235" s="2189"/>
      <c r="D235" s="2189"/>
      <c r="E235" s="2189"/>
      <c r="F235" s="2189"/>
      <c r="G235" s="2189"/>
      <c r="H235" s="2189"/>
      <c r="I235" s="2189"/>
      <c r="J235" s="2189"/>
      <c r="K235" s="2189"/>
      <c r="L235" s="2189"/>
      <c r="M235" s="2189"/>
      <c r="N235" s="2189"/>
      <c r="O235" s="2189"/>
      <c r="P235" s="2189"/>
      <c r="Q235" s="2189"/>
      <c r="R235" s="2189"/>
      <c r="S235" s="2189"/>
      <c r="T235" s="2189"/>
      <c r="U235" s="2189"/>
      <c r="V235" s="2189"/>
      <c r="W235" s="2189"/>
      <c r="X235" s="2189"/>
      <c r="Y235" s="2189"/>
      <c r="Z235" s="2189"/>
      <c r="AA235" s="2189"/>
      <c r="AB235" s="2189"/>
      <c r="AC235" s="2189"/>
      <c r="AD235" s="2189"/>
      <c r="AE235" s="2189"/>
      <c r="AF235" s="2189"/>
      <c r="AG235" s="2189"/>
      <c r="AH235" s="2266">
        <f t="shared" si="15"/>
        <v>0</v>
      </c>
    </row>
    <row r="236" spans="1:34" ht="13.8">
      <c r="A236" s="2187" t="s">
        <v>150</v>
      </c>
      <c r="B236" s="2194">
        <f t="shared" si="14"/>
        <v>0</v>
      </c>
      <c r="C236" s="2189"/>
      <c r="D236" s="2189"/>
      <c r="E236" s="2189"/>
      <c r="F236" s="2189"/>
      <c r="G236" s="2189"/>
      <c r="H236" s="2189"/>
      <c r="I236" s="2189"/>
      <c r="J236" s="2189"/>
      <c r="K236" s="2189"/>
      <c r="L236" s="2189"/>
      <c r="M236" s="2189"/>
      <c r="N236" s="2189"/>
      <c r="O236" s="2189"/>
      <c r="P236" s="2189"/>
      <c r="Q236" s="2189"/>
      <c r="R236" s="2189"/>
      <c r="S236" s="2189"/>
      <c r="T236" s="2189"/>
      <c r="U236" s="2189"/>
      <c r="V236" s="2189"/>
      <c r="W236" s="2189"/>
      <c r="X236" s="2189"/>
      <c r="Y236" s="2189"/>
      <c r="Z236" s="2189"/>
      <c r="AA236" s="2189"/>
      <c r="AB236" s="2189"/>
      <c r="AC236" s="2189"/>
      <c r="AD236" s="2189"/>
      <c r="AE236" s="2189"/>
      <c r="AF236" s="2189"/>
      <c r="AG236" s="2189"/>
      <c r="AH236" s="2266">
        <f t="shared" si="15"/>
        <v>0</v>
      </c>
    </row>
    <row r="237" spans="1:34" ht="13.8">
      <c r="A237" s="2187" t="s">
        <v>151</v>
      </c>
      <c r="B237" s="2194">
        <f t="shared" si="14"/>
        <v>0</v>
      </c>
      <c r="C237" s="2189"/>
      <c r="D237" s="2189"/>
      <c r="E237" s="2189"/>
      <c r="F237" s="2189"/>
      <c r="G237" s="2189"/>
      <c r="H237" s="2189"/>
      <c r="I237" s="2189"/>
      <c r="J237" s="2189"/>
      <c r="K237" s="2189"/>
      <c r="L237" s="2189"/>
      <c r="M237" s="2189"/>
      <c r="N237" s="2189"/>
      <c r="O237" s="2189"/>
      <c r="P237" s="2189"/>
      <c r="Q237" s="2189"/>
      <c r="R237" s="2189"/>
      <c r="S237" s="2189"/>
      <c r="T237" s="2189"/>
      <c r="U237" s="2189"/>
      <c r="V237" s="2189"/>
      <c r="W237" s="2189"/>
      <c r="X237" s="2189"/>
      <c r="Y237" s="2189"/>
      <c r="Z237" s="2189"/>
      <c r="AA237" s="2189"/>
      <c r="AB237" s="2189"/>
      <c r="AC237" s="2189"/>
      <c r="AD237" s="2189"/>
      <c r="AE237" s="2189"/>
      <c r="AF237" s="2189"/>
      <c r="AG237" s="2189"/>
      <c r="AH237" s="2266">
        <f t="shared" si="15"/>
        <v>0</v>
      </c>
    </row>
    <row r="238" spans="1:34" ht="13.8">
      <c r="A238" s="2187" t="s">
        <v>152</v>
      </c>
      <c r="B238" s="2194">
        <f t="shared" si="14"/>
        <v>0</v>
      </c>
      <c r="C238" s="2189"/>
      <c r="D238" s="2189"/>
      <c r="E238" s="2189"/>
      <c r="F238" s="2189"/>
      <c r="G238" s="2189"/>
      <c r="H238" s="2189"/>
      <c r="I238" s="2189"/>
      <c r="J238" s="2189"/>
      <c r="K238" s="2189"/>
      <c r="L238" s="2189"/>
      <c r="M238" s="2189"/>
      <c r="N238" s="2189"/>
      <c r="O238" s="2189"/>
      <c r="P238" s="2189"/>
      <c r="Q238" s="2189"/>
      <c r="R238" s="2189"/>
      <c r="S238" s="2189"/>
      <c r="T238" s="2189"/>
      <c r="U238" s="2189"/>
      <c r="V238" s="2189"/>
      <c r="W238" s="2189"/>
      <c r="X238" s="2189"/>
      <c r="Y238" s="2189"/>
      <c r="Z238" s="2189"/>
      <c r="AA238" s="2189"/>
      <c r="AB238" s="2189"/>
      <c r="AC238" s="2189"/>
      <c r="AD238" s="2189"/>
      <c r="AE238" s="2189"/>
      <c r="AF238" s="2189"/>
      <c r="AG238" s="2189"/>
      <c r="AH238" s="2266">
        <f t="shared" si="15"/>
        <v>0</v>
      </c>
    </row>
    <row r="239" spans="1:34" ht="13.8">
      <c r="A239" s="2188" t="s">
        <v>153</v>
      </c>
      <c r="B239" s="2194">
        <f t="shared" si="14"/>
        <v>0</v>
      </c>
      <c r="C239" s="2189"/>
      <c r="D239" s="2189"/>
      <c r="E239" s="2189"/>
      <c r="F239" s="2189"/>
      <c r="G239" s="2189"/>
      <c r="H239" s="2189"/>
      <c r="I239" s="2189"/>
      <c r="J239" s="2189"/>
      <c r="K239" s="2189"/>
      <c r="L239" s="2189"/>
      <c r="M239" s="2189"/>
      <c r="N239" s="2189"/>
      <c r="O239" s="2189"/>
      <c r="P239" s="2189"/>
      <c r="Q239" s="2189"/>
      <c r="R239" s="2189"/>
      <c r="S239" s="2189"/>
      <c r="T239" s="2189"/>
      <c r="U239" s="2189"/>
      <c r="V239" s="2189"/>
      <c r="W239" s="2189"/>
      <c r="X239" s="2189"/>
      <c r="Y239" s="2189"/>
      <c r="Z239" s="2189"/>
      <c r="AA239" s="2189"/>
      <c r="AB239" s="2189"/>
      <c r="AC239" s="2189"/>
      <c r="AD239" s="2189"/>
      <c r="AE239" s="2189"/>
      <c r="AF239" s="2189"/>
      <c r="AG239" s="2189"/>
      <c r="AH239" s="2266">
        <f t="shared" si="15"/>
        <v>0</v>
      </c>
    </row>
    <row r="240" spans="1:34" ht="13.8">
      <c r="A240" s="2190" t="s">
        <v>154</v>
      </c>
      <c r="B240" s="2194">
        <f t="shared" si="14"/>
        <v>0</v>
      </c>
      <c r="C240" s="2189"/>
      <c r="D240" s="2189"/>
      <c r="E240" s="2189"/>
      <c r="F240" s="2189"/>
      <c r="G240" s="2189"/>
      <c r="H240" s="2189"/>
      <c r="I240" s="2189"/>
      <c r="J240" s="2189"/>
      <c r="K240" s="2189"/>
      <c r="L240" s="2189"/>
      <c r="M240" s="2189"/>
      <c r="N240" s="2189"/>
      <c r="O240" s="2189"/>
      <c r="P240" s="2189"/>
      <c r="Q240" s="2189"/>
      <c r="R240" s="2189"/>
      <c r="S240" s="2189"/>
      <c r="T240" s="2189"/>
      <c r="U240" s="2189"/>
      <c r="V240" s="2189"/>
      <c r="W240" s="2189"/>
      <c r="X240" s="2189"/>
      <c r="Y240" s="2189"/>
      <c r="Z240" s="2189"/>
      <c r="AA240" s="2189"/>
      <c r="AB240" s="2189"/>
      <c r="AC240" s="2189"/>
      <c r="AD240" s="2189"/>
      <c r="AE240" s="2189"/>
      <c r="AF240" s="2189"/>
      <c r="AG240" s="2189"/>
      <c r="AH240" s="2266">
        <f t="shared" si="15"/>
        <v>0</v>
      </c>
    </row>
    <row r="241" spans="1:34" ht="13.8">
      <c r="A241" s="2191" t="s">
        <v>155</v>
      </c>
      <c r="B241" s="2194">
        <f t="shared" si="14"/>
        <v>0</v>
      </c>
      <c r="C241" s="2189"/>
      <c r="D241" s="2189"/>
      <c r="E241" s="2189"/>
      <c r="F241" s="2189"/>
      <c r="G241" s="2189"/>
      <c r="H241" s="2189"/>
      <c r="I241" s="2189"/>
      <c r="J241" s="2189"/>
      <c r="K241" s="2189"/>
      <c r="L241" s="2189"/>
      <c r="M241" s="2189"/>
      <c r="N241" s="2189"/>
      <c r="O241" s="2189"/>
      <c r="P241" s="2189"/>
      <c r="Q241" s="2189"/>
      <c r="R241" s="2189"/>
      <c r="S241" s="2189"/>
      <c r="T241" s="2189"/>
      <c r="U241" s="2189"/>
      <c r="V241" s="2189"/>
      <c r="W241" s="2189"/>
      <c r="X241" s="2189"/>
      <c r="Y241" s="2189"/>
      <c r="Z241" s="2189"/>
      <c r="AA241" s="2189"/>
      <c r="AB241" s="2189"/>
      <c r="AC241" s="2189"/>
      <c r="AD241" s="2189"/>
      <c r="AE241" s="2189"/>
      <c r="AF241" s="2189"/>
      <c r="AG241" s="2189"/>
      <c r="AH241" s="2266">
        <f t="shared" si="15"/>
        <v>0</v>
      </c>
    </row>
    <row r="242" spans="1:34" ht="13.8">
      <c r="A242" s="2187"/>
      <c r="B242" s="2194">
        <f t="shared" si="14"/>
        <v>0</v>
      </c>
      <c r="C242" s="2189"/>
      <c r="D242" s="2189"/>
      <c r="E242" s="2189"/>
      <c r="F242" s="2189"/>
      <c r="G242" s="2189"/>
      <c r="H242" s="2189"/>
      <c r="I242" s="2189"/>
      <c r="J242" s="2189"/>
      <c r="K242" s="2189"/>
      <c r="L242" s="2189"/>
      <c r="M242" s="2189"/>
      <c r="N242" s="2189"/>
      <c r="O242" s="2189"/>
      <c r="P242" s="2189"/>
      <c r="Q242" s="2189"/>
      <c r="R242" s="2189"/>
      <c r="S242" s="2189"/>
      <c r="T242" s="2189"/>
      <c r="U242" s="2189"/>
      <c r="V242" s="2189"/>
      <c r="W242" s="2189"/>
      <c r="X242" s="2189"/>
      <c r="Y242" s="2189"/>
      <c r="Z242" s="2189"/>
      <c r="AA242" s="2189"/>
      <c r="AB242" s="2189"/>
      <c r="AC242" s="2189"/>
      <c r="AD242" s="2189"/>
      <c r="AE242" s="2189"/>
      <c r="AF242" s="2189"/>
      <c r="AG242" s="2189"/>
      <c r="AH242" s="2266">
        <f>SUM(C242:AG242)</f>
        <v>0</v>
      </c>
    </row>
    <row r="243" spans="1:34" ht="13.8">
      <c r="A243" s="2192" t="s">
        <v>111</v>
      </c>
      <c r="B243" s="2195">
        <f>SUM(B231:B242)</f>
        <v>0</v>
      </c>
      <c r="C243" s="2193"/>
      <c r="D243" s="2193"/>
      <c r="E243" s="2193"/>
      <c r="F243" s="2193"/>
      <c r="G243" s="2193"/>
      <c r="H243" s="2193"/>
      <c r="I243" s="2193"/>
      <c r="J243" s="2193"/>
      <c r="K243" s="2193"/>
      <c r="L243" s="2193"/>
      <c r="M243" s="2193"/>
      <c r="N243" s="2193"/>
      <c r="O243" s="2193"/>
      <c r="P243" s="2193"/>
      <c r="Q243" s="2193"/>
      <c r="R243" s="2193"/>
      <c r="S243" s="2193"/>
      <c r="T243" s="2193"/>
      <c r="U243" s="2193"/>
      <c r="V243" s="2193"/>
      <c r="W243" s="2193"/>
      <c r="X243" s="2193"/>
      <c r="Y243" s="2193"/>
      <c r="Z243" s="2193"/>
      <c r="AA243" s="2193"/>
      <c r="AB243" s="2193"/>
      <c r="AC243" s="2193"/>
      <c r="AD243" s="2193"/>
      <c r="AE243" s="2193"/>
      <c r="AF243" s="2193"/>
      <c r="AG243" s="2193"/>
      <c r="AH243" s="2267">
        <f>SUM(AH231:AH242)</f>
        <v>0</v>
      </c>
    </row>
    <row r="244" spans="1:34">
      <c r="AH244" s="730"/>
    </row>
    <row r="245" spans="1:34">
      <c r="AH245" s="730"/>
    </row>
    <row r="246" spans="1:34" ht="14.4">
      <c r="A246" s="4169" t="s">
        <v>992</v>
      </c>
      <c r="B246" s="4170"/>
      <c r="C246" s="4170"/>
      <c r="D246" s="4170"/>
      <c r="E246" s="4170"/>
      <c r="F246" s="4170"/>
      <c r="G246" s="4171"/>
      <c r="AH246" s="730"/>
    </row>
    <row r="247" spans="1:34" ht="13.8">
      <c r="A247" s="4172" t="s">
        <v>989</v>
      </c>
      <c r="B247" s="4173"/>
      <c r="C247" s="4174"/>
      <c r="D247" s="2183"/>
      <c r="E247" s="2183"/>
      <c r="F247" s="2183"/>
      <c r="G247" s="2183"/>
      <c r="H247" s="2183"/>
      <c r="I247" s="2183"/>
      <c r="J247" s="2183"/>
      <c r="K247" s="2183"/>
      <c r="L247" s="2183"/>
      <c r="M247" s="2184"/>
      <c r="N247" s="2183"/>
      <c r="O247" s="2183"/>
      <c r="P247" s="2183"/>
      <c r="Q247" s="2183"/>
      <c r="R247" s="2183"/>
      <c r="S247" s="2183"/>
      <c r="T247" s="2183"/>
      <c r="U247" s="2183"/>
      <c r="V247" s="2183"/>
      <c r="W247" s="2183"/>
      <c r="X247" s="2183"/>
      <c r="Y247" s="2183"/>
      <c r="Z247" s="2183"/>
      <c r="AA247" s="2183"/>
      <c r="AB247" s="2183"/>
      <c r="AC247" s="2183"/>
      <c r="AD247" s="2183"/>
      <c r="AE247" s="2183"/>
      <c r="AF247" s="2183"/>
      <c r="AG247" s="2183"/>
      <c r="AH247" s="2264"/>
    </row>
    <row r="248" spans="1:34" ht="13.8">
      <c r="A248" s="2185" t="s">
        <v>142</v>
      </c>
      <c r="B248" s="2185" t="s">
        <v>143</v>
      </c>
      <c r="C248" s="2186">
        <v>1</v>
      </c>
      <c r="D248" s="2186">
        <v>2</v>
      </c>
      <c r="E248" s="2186">
        <v>3</v>
      </c>
      <c r="F248" s="2186">
        <v>4</v>
      </c>
      <c r="G248" s="2186">
        <v>5</v>
      </c>
      <c r="H248" s="2186">
        <v>6</v>
      </c>
      <c r="I248" s="2186">
        <v>7</v>
      </c>
      <c r="J248" s="2186">
        <v>8</v>
      </c>
      <c r="K248" s="2186">
        <v>9</v>
      </c>
      <c r="L248" s="2186">
        <v>10</v>
      </c>
      <c r="M248" s="2186">
        <v>11</v>
      </c>
      <c r="N248" s="2186">
        <v>12</v>
      </c>
      <c r="O248" s="2186">
        <v>13</v>
      </c>
      <c r="P248" s="2186">
        <v>14</v>
      </c>
      <c r="Q248" s="2186">
        <v>15</v>
      </c>
      <c r="R248" s="2186">
        <v>16</v>
      </c>
      <c r="S248" s="2186">
        <v>17</v>
      </c>
      <c r="T248" s="2186">
        <v>18</v>
      </c>
      <c r="U248" s="2186">
        <v>19</v>
      </c>
      <c r="V248" s="2186">
        <v>20</v>
      </c>
      <c r="W248" s="2187">
        <v>21</v>
      </c>
      <c r="X248" s="2186">
        <v>22</v>
      </c>
      <c r="Y248" s="2186">
        <v>23</v>
      </c>
      <c r="Z248" s="2186">
        <v>24</v>
      </c>
      <c r="AA248" s="2186">
        <v>25</v>
      </c>
      <c r="AB248" s="2186">
        <v>26</v>
      </c>
      <c r="AC248" s="2188">
        <v>27</v>
      </c>
      <c r="AD248" s="2186">
        <v>28</v>
      </c>
      <c r="AE248" s="2186">
        <v>29</v>
      </c>
      <c r="AF248" s="2186">
        <v>30</v>
      </c>
      <c r="AG248" s="2186">
        <v>31</v>
      </c>
      <c r="AH248" s="2265" t="s">
        <v>111</v>
      </c>
    </row>
    <row r="249" spans="1:34" ht="13.8">
      <c r="A249" s="2187" t="s">
        <v>145</v>
      </c>
      <c r="B249" s="2194">
        <f>+AH249</f>
        <v>0</v>
      </c>
      <c r="C249" s="2189"/>
      <c r="D249" s="2189"/>
      <c r="E249" s="2189"/>
      <c r="F249" s="2189"/>
      <c r="G249" s="2189"/>
      <c r="H249" s="2189"/>
      <c r="I249" s="2189"/>
      <c r="J249" s="2189"/>
      <c r="K249" s="2189"/>
      <c r="L249" s="2189"/>
      <c r="M249" s="2189"/>
      <c r="N249" s="2189"/>
      <c r="O249" s="2189"/>
      <c r="P249" s="2189"/>
      <c r="Q249" s="2189"/>
      <c r="R249" s="2189"/>
      <c r="S249" s="2189"/>
      <c r="T249" s="2189"/>
      <c r="U249" s="2189"/>
      <c r="V249" s="2189"/>
      <c r="W249" s="2189"/>
      <c r="X249" s="2189"/>
      <c r="Y249" s="2189"/>
      <c r="Z249" s="2189"/>
      <c r="AA249" s="2189"/>
      <c r="AB249" s="2189"/>
      <c r="AC249" s="2189"/>
      <c r="AD249" s="2189"/>
      <c r="AE249" s="2189"/>
      <c r="AF249" s="2189"/>
      <c r="AG249" s="2189"/>
      <c r="AH249" s="2266">
        <f>SUM(C249:AG249)</f>
        <v>0</v>
      </c>
    </row>
    <row r="250" spans="1:34" ht="13.8">
      <c r="A250" s="2187" t="s">
        <v>146</v>
      </c>
      <c r="B250" s="2194">
        <f t="shared" ref="B250:B260" si="16">+AH250</f>
        <v>0</v>
      </c>
      <c r="C250" s="2189"/>
      <c r="D250" s="2189"/>
      <c r="E250" s="2189"/>
      <c r="F250" s="2189"/>
      <c r="G250" s="2189"/>
      <c r="H250" s="2189"/>
      <c r="I250" s="2189"/>
      <c r="J250" s="2189"/>
      <c r="K250" s="2189"/>
      <c r="L250" s="2189"/>
      <c r="M250" s="2189"/>
      <c r="N250" s="2189"/>
      <c r="O250" s="2189"/>
      <c r="P250" s="2189"/>
      <c r="Q250" s="2189"/>
      <c r="R250" s="2189"/>
      <c r="S250" s="2189"/>
      <c r="T250" s="2189"/>
      <c r="U250" s="2189"/>
      <c r="V250" s="2189"/>
      <c r="W250" s="2189"/>
      <c r="X250" s="2189"/>
      <c r="Y250" s="2189"/>
      <c r="Z250" s="2189"/>
      <c r="AA250" s="2189"/>
      <c r="AB250" s="2189"/>
      <c r="AC250" s="2189"/>
      <c r="AD250" s="2189"/>
      <c r="AE250" s="2189"/>
      <c r="AF250" s="2189"/>
      <c r="AG250" s="2189"/>
      <c r="AH250" s="2266">
        <f t="shared" ref="AH250:AH259" si="17">SUM(C250:AG250)</f>
        <v>0</v>
      </c>
    </row>
    <row r="251" spans="1:34" ht="13.8">
      <c r="A251" s="2187" t="s">
        <v>147</v>
      </c>
      <c r="B251" s="2194">
        <f t="shared" si="16"/>
        <v>0</v>
      </c>
      <c r="C251" s="2189"/>
      <c r="D251" s="2189"/>
      <c r="E251" s="2189"/>
      <c r="F251" s="2189"/>
      <c r="G251" s="2189"/>
      <c r="H251" s="2189"/>
      <c r="I251" s="2189"/>
      <c r="J251" s="2189"/>
      <c r="K251" s="2189"/>
      <c r="L251" s="2189"/>
      <c r="M251" s="2189"/>
      <c r="N251" s="2189"/>
      <c r="O251" s="2189"/>
      <c r="P251" s="2189"/>
      <c r="Q251" s="2189"/>
      <c r="R251" s="2189"/>
      <c r="S251" s="2189"/>
      <c r="T251" s="2189"/>
      <c r="U251" s="2189"/>
      <c r="V251" s="2189"/>
      <c r="W251" s="2189"/>
      <c r="X251" s="2189"/>
      <c r="Y251" s="2189"/>
      <c r="Z251" s="2189"/>
      <c r="AA251" s="2189"/>
      <c r="AB251" s="2189"/>
      <c r="AC251" s="2189"/>
      <c r="AD251" s="2189"/>
      <c r="AE251" s="2189"/>
      <c r="AF251" s="2189"/>
      <c r="AG251" s="2189"/>
      <c r="AH251" s="2266">
        <f t="shared" si="17"/>
        <v>0</v>
      </c>
    </row>
    <row r="252" spans="1:34" ht="13.8">
      <c r="A252" s="2187" t="s">
        <v>148</v>
      </c>
      <c r="B252" s="2194">
        <f t="shared" si="16"/>
        <v>0</v>
      </c>
      <c r="C252" s="2189"/>
      <c r="D252" s="2189"/>
      <c r="E252" s="2189"/>
      <c r="F252" s="2189"/>
      <c r="G252" s="2189"/>
      <c r="H252" s="2189"/>
      <c r="I252" s="2189"/>
      <c r="J252" s="2189"/>
      <c r="K252" s="2189"/>
      <c r="L252" s="2189"/>
      <c r="M252" s="2189"/>
      <c r="N252" s="2189"/>
      <c r="O252" s="2189"/>
      <c r="P252" s="2189"/>
      <c r="Q252" s="2189"/>
      <c r="R252" s="2189"/>
      <c r="S252" s="2189"/>
      <c r="T252" s="2189"/>
      <c r="U252" s="2189"/>
      <c r="V252" s="2189"/>
      <c r="W252" s="2189"/>
      <c r="X252" s="2189"/>
      <c r="Y252" s="2189"/>
      <c r="Z252" s="2189"/>
      <c r="AA252" s="2189"/>
      <c r="AB252" s="2189"/>
      <c r="AC252" s="2189"/>
      <c r="AD252" s="2189"/>
      <c r="AE252" s="2189"/>
      <c r="AF252" s="2189"/>
      <c r="AG252" s="2189"/>
      <c r="AH252" s="2266">
        <f t="shared" si="17"/>
        <v>0</v>
      </c>
    </row>
    <row r="253" spans="1:34" ht="13.8">
      <c r="A253" s="2187" t="s">
        <v>149</v>
      </c>
      <c r="B253" s="2194">
        <f t="shared" si="16"/>
        <v>0</v>
      </c>
      <c r="C253" s="2189"/>
      <c r="D253" s="2189"/>
      <c r="E253" s="2189"/>
      <c r="F253" s="2189"/>
      <c r="G253" s="2189"/>
      <c r="H253" s="2189"/>
      <c r="I253" s="2189"/>
      <c r="J253" s="2189"/>
      <c r="K253" s="2189"/>
      <c r="L253" s="2189"/>
      <c r="M253" s="2189"/>
      <c r="N253" s="2189"/>
      <c r="O253" s="2189"/>
      <c r="P253" s="2189"/>
      <c r="Q253" s="2189"/>
      <c r="R253" s="2189"/>
      <c r="S253" s="2189"/>
      <c r="T253" s="2189"/>
      <c r="U253" s="2189"/>
      <c r="V253" s="2189"/>
      <c r="W253" s="2189"/>
      <c r="X253" s="2189"/>
      <c r="Y253" s="2189"/>
      <c r="Z253" s="2189"/>
      <c r="AA253" s="2189"/>
      <c r="AB253" s="2189"/>
      <c r="AC253" s="2189"/>
      <c r="AD253" s="2189"/>
      <c r="AE253" s="2189"/>
      <c r="AF253" s="2189"/>
      <c r="AG253" s="2189"/>
      <c r="AH253" s="2266">
        <f t="shared" si="17"/>
        <v>0</v>
      </c>
    </row>
    <row r="254" spans="1:34" ht="13.8">
      <c r="A254" s="2187" t="s">
        <v>150</v>
      </c>
      <c r="B254" s="2194">
        <f t="shared" si="16"/>
        <v>0</v>
      </c>
      <c r="C254" s="2189"/>
      <c r="D254" s="2189"/>
      <c r="E254" s="2189"/>
      <c r="F254" s="2189"/>
      <c r="G254" s="2189"/>
      <c r="H254" s="2189"/>
      <c r="I254" s="2189"/>
      <c r="J254" s="2189"/>
      <c r="K254" s="2189"/>
      <c r="L254" s="2189"/>
      <c r="M254" s="2189"/>
      <c r="N254" s="2189"/>
      <c r="O254" s="2189"/>
      <c r="P254" s="2189"/>
      <c r="Q254" s="2189"/>
      <c r="R254" s="2189"/>
      <c r="S254" s="2189"/>
      <c r="T254" s="2189"/>
      <c r="U254" s="2189"/>
      <c r="V254" s="2189"/>
      <c r="W254" s="2189"/>
      <c r="X254" s="2189"/>
      <c r="Y254" s="2189"/>
      <c r="Z254" s="2189"/>
      <c r="AA254" s="2189"/>
      <c r="AB254" s="2189"/>
      <c r="AC254" s="2189"/>
      <c r="AD254" s="2189"/>
      <c r="AE254" s="2189"/>
      <c r="AF254" s="2189"/>
      <c r="AG254" s="2189"/>
      <c r="AH254" s="2266">
        <f t="shared" si="17"/>
        <v>0</v>
      </c>
    </row>
    <row r="255" spans="1:34" ht="13.8">
      <c r="A255" s="2187" t="s">
        <v>151</v>
      </c>
      <c r="B255" s="2194">
        <f t="shared" si="16"/>
        <v>0</v>
      </c>
      <c r="C255" s="2189"/>
      <c r="D255" s="2189"/>
      <c r="E255" s="2189"/>
      <c r="F255" s="2189"/>
      <c r="G255" s="2189"/>
      <c r="H255" s="2189"/>
      <c r="I255" s="2189"/>
      <c r="J255" s="2189"/>
      <c r="K255" s="2189"/>
      <c r="L255" s="2189"/>
      <c r="M255" s="2189"/>
      <c r="N255" s="2189"/>
      <c r="O255" s="2189"/>
      <c r="P255" s="2189"/>
      <c r="Q255" s="2189"/>
      <c r="R255" s="2189"/>
      <c r="S255" s="2189"/>
      <c r="T255" s="2189"/>
      <c r="U255" s="2189"/>
      <c r="V255" s="2189"/>
      <c r="W255" s="2189"/>
      <c r="X255" s="2189"/>
      <c r="Y255" s="2189"/>
      <c r="Z255" s="2189"/>
      <c r="AA255" s="2189"/>
      <c r="AB255" s="2189"/>
      <c r="AC255" s="2189"/>
      <c r="AD255" s="2189"/>
      <c r="AE255" s="2189"/>
      <c r="AF255" s="2189"/>
      <c r="AG255" s="2189"/>
      <c r="AH255" s="2983">
        <f t="shared" si="17"/>
        <v>0</v>
      </c>
    </row>
    <row r="256" spans="1:34" ht="13.8">
      <c r="A256" s="2187" t="s">
        <v>152</v>
      </c>
      <c r="B256" s="2982">
        <f t="shared" si="16"/>
        <v>0</v>
      </c>
      <c r="C256" s="2364"/>
      <c r="D256" s="2364"/>
      <c r="E256" s="2364"/>
      <c r="F256" s="2364"/>
      <c r="G256" s="2364"/>
      <c r="H256" s="2364"/>
      <c r="I256" s="2364"/>
      <c r="J256" s="2364"/>
      <c r="K256" s="2364"/>
      <c r="L256" s="2364"/>
      <c r="M256" s="2364"/>
      <c r="N256" s="2364"/>
      <c r="O256" s="2364"/>
      <c r="P256" s="2364"/>
      <c r="Q256" s="2364"/>
      <c r="R256" s="2364"/>
      <c r="S256" s="2364"/>
      <c r="T256" s="2364"/>
      <c r="U256" s="2364"/>
      <c r="V256" s="2364"/>
      <c r="W256" s="2364"/>
      <c r="X256" s="2364"/>
      <c r="Y256" s="2364"/>
      <c r="Z256" s="2364"/>
      <c r="AA256" s="2364"/>
      <c r="AB256" s="2364"/>
      <c r="AC256" s="2364"/>
      <c r="AD256" s="2364"/>
      <c r="AE256" s="2364"/>
      <c r="AF256" s="2364"/>
      <c r="AG256" s="2364"/>
      <c r="AH256" s="2983">
        <f t="shared" si="17"/>
        <v>0</v>
      </c>
    </row>
    <row r="257" spans="1:34" ht="13.8">
      <c r="A257" s="2188" t="s">
        <v>153</v>
      </c>
      <c r="B257" s="2982">
        <f t="shared" si="16"/>
        <v>6.6260000000000003</v>
      </c>
      <c r="C257" s="2364"/>
      <c r="D257" s="2364"/>
      <c r="E257" s="2364"/>
      <c r="F257" s="2364"/>
      <c r="G257" s="2364"/>
      <c r="H257" s="2364"/>
      <c r="I257" s="2364"/>
      <c r="J257" s="2364"/>
      <c r="K257" s="2364"/>
      <c r="L257" s="2364"/>
      <c r="M257" s="2364"/>
      <c r="N257" s="2364"/>
      <c r="O257" s="2364"/>
      <c r="P257" s="2364"/>
      <c r="Q257" s="2364"/>
      <c r="R257" s="2364"/>
      <c r="S257" s="2364"/>
      <c r="T257" s="2364"/>
      <c r="U257" s="2364"/>
      <c r="V257" s="2364"/>
      <c r="W257" s="2364"/>
      <c r="X257" s="2364"/>
      <c r="Y257" s="2364"/>
      <c r="Z257" s="2364"/>
      <c r="AA257" s="2364"/>
      <c r="AB257" s="2364"/>
      <c r="AC257" s="2364"/>
      <c r="AD257" s="2364"/>
      <c r="AE257" s="2364">
        <v>6.6260000000000003</v>
      </c>
      <c r="AF257" s="2364"/>
      <c r="AG257" s="2364"/>
      <c r="AH257" s="2983">
        <f t="shared" si="17"/>
        <v>6.6260000000000003</v>
      </c>
    </row>
    <row r="258" spans="1:34" ht="13.8">
      <c r="A258" s="2190" t="s">
        <v>154</v>
      </c>
      <c r="B258" s="2982">
        <f t="shared" si="16"/>
        <v>29.169899999999998</v>
      </c>
      <c r="C258" s="2364"/>
      <c r="D258" s="2364"/>
      <c r="E258" s="2364"/>
      <c r="F258" s="2364"/>
      <c r="G258" s="2364"/>
      <c r="H258" s="2364"/>
      <c r="I258" s="2364"/>
      <c r="J258" s="2910">
        <v>1.6930000000000001</v>
      </c>
      <c r="K258" s="2364"/>
      <c r="L258" s="2364">
        <v>12.375999999999999</v>
      </c>
      <c r="M258" s="2364"/>
      <c r="N258" s="2364"/>
      <c r="O258" s="2364"/>
      <c r="P258" s="2364"/>
      <c r="Q258" s="2364"/>
      <c r="R258" s="2364"/>
      <c r="S258" s="2364"/>
      <c r="T258" s="2364"/>
      <c r="U258" s="2364">
        <v>0.58720000000000006</v>
      </c>
      <c r="V258" s="2364">
        <v>1.252</v>
      </c>
      <c r="W258" s="2364"/>
      <c r="X258" s="2910">
        <v>8.9928000000000008</v>
      </c>
      <c r="Y258" s="2364"/>
      <c r="Z258" s="2364"/>
      <c r="AA258" s="2364">
        <v>2.6509</v>
      </c>
      <c r="AB258" s="2364"/>
      <c r="AC258" s="2364"/>
      <c r="AD258" s="2364"/>
      <c r="AE258" s="2364">
        <v>1.6180000000000001</v>
      </c>
      <c r="AF258" s="2364"/>
      <c r="AG258" s="2364"/>
      <c r="AH258" s="2983">
        <f t="shared" si="17"/>
        <v>29.169899999999998</v>
      </c>
    </row>
    <row r="259" spans="1:34" ht="13.8">
      <c r="A259" s="2191" t="s">
        <v>155</v>
      </c>
      <c r="B259" s="2982">
        <f t="shared" si="16"/>
        <v>18.370999999999999</v>
      </c>
      <c r="C259" s="2364"/>
      <c r="D259" s="2364"/>
      <c r="E259" s="2364">
        <v>1.0329999999999999</v>
      </c>
      <c r="F259" s="2364"/>
      <c r="G259" s="2364">
        <v>2.8</v>
      </c>
      <c r="H259" s="2364">
        <v>4.58</v>
      </c>
      <c r="I259" s="2364"/>
      <c r="J259" s="2364"/>
      <c r="K259" s="2364">
        <v>2.0550000000000002</v>
      </c>
      <c r="L259" s="2364"/>
      <c r="M259" s="2364"/>
      <c r="N259" s="2364"/>
      <c r="O259" s="2364"/>
      <c r="P259" s="2364"/>
      <c r="Q259" s="2364"/>
      <c r="R259" s="2364"/>
      <c r="S259" s="2364">
        <v>0.91500000000000004</v>
      </c>
      <c r="T259" s="2364">
        <v>6.1870000000000003</v>
      </c>
      <c r="U259" s="2364"/>
      <c r="V259" s="2364"/>
      <c r="W259" s="2364"/>
      <c r="X259" s="2364">
        <v>0.80100000000000005</v>
      </c>
      <c r="Y259" s="2364"/>
      <c r="Z259" s="2364"/>
      <c r="AA259" s="2364"/>
      <c r="AB259" s="2364"/>
      <c r="AC259" s="2364"/>
      <c r="AD259" s="2364"/>
      <c r="AE259" s="2364"/>
      <c r="AF259" s="2364"/>
      <c r="AG259" s="2364"/>
      <c r="AH259" s="2983">
        <f t="shared" si="17"/>
        <v>18.370999999999999</v>
      </c>
    </row>
    <row r="260" spans="1:34" ht="13.8">
      <c r="A260" s="2187"/>
      <c r="B260" s="2982">
        <f t="shared" si="16"/>
        <v>0</v>
      </c>
      <c r="C260" s="2364"/>
      <c r="D260" s="2364"/>
      <c r="E260" s="2364"/>
      <c r="F260" s="2364"/>
      <c r="G260" s="2364"/>
      <c r="H260" s="2364"/>
      <c r="I260" s="2364"/>
      <c r="J260" s="2364"/>
      <c r="K260" s="2364"/>
      <c r="L260" s="2364"/>
      <c r="M260" s="2364"/>
      <c r="N260" s="2364"/>
      <c r="O260" s="2364"/>
      <c r="P260" s="2364"/>
      <c r="Q260" s="2364"/>
      <c r="R260" s="2364"/>
      <c r="S260" s="2364"/>
      <c r="T260" s="2364"/>
      <c r="U260" s="2364"/>
      <c r="V260" s="2364"/>
      <c r="W260" s="2364"/>
      <c r="X260" s="2364"/>
      <c r="Y260" s="2364"/>
      <c r="Z260" s="2364"/>
      <c r="AA260" s="2364"/>
      <c r="AB260" s="2364"/>
      <c r="AC260" s="2364"/>
      <c r="AD260" s="2364"/>
      <c r="AE260" s="2364"/>
      <c r="AF260" s="2364"/>
      <c r="AG260" s="2364"/>
      <c r="AH260" s="2983">
        <f>SUM(C260:AG260)</f>
        <v>0</v>
      </c>
    </row>
    <row r="261" spans="1:34" ht="13.8">
      <c r="A261" s="2192" t="s">
        <v>111</v>
      </c>
      <c r="B261" s="2985">
        <f>SUM(B249:B260)</f>
        <v>54.166899999999998</v>
      </c>
      <c r="C261" s="2911"/>
      <c r="D261" s="2911"/>
      <c r="E261" s="2911"/>
      <c r="F261" s="2911"/>
      <c r="G261" s="2911"/>
      <c r="H261" s="2911"/>
      <c r="I261" s="2911"/>
      <c r="J261" s="2911"/>
      <c r="K261" s="2911"/>
      <c r="L261" s="2911"/>
      <c r="M261" s="2911"/>
      <c r="N261" s="2911"/>
      <c r="O261" s="2911"/>
      <c r="P261" s="2911"/>
      <c r="Q261" s="2911"/>
      <c r="R261" s="2911"/>
      <c r="S261" s="2911"/>
      <c r="T261" s="2911"/>
      <c r="U261" s="2911"/>
      <c r="V261" s="2911"/>
      <c r="W261" s="2911"/>
      <c r="X261" s="2911"/>
      <c r="Y261" s="2911"/>
      <c r="Z261" s="2911"/>
      <c r="AA261" s="2911"/>
      <c r="AB261" s="2911"/>
      <c r="AC261" s="2911"/>
      <c r="AD261" s="2911"/>
      <c r="AE261" s="2911"/>
      <c r="AF261" s="2911"/>
      <c r="AG261" s="2911"/>
      <c r="AH261" s="2984">
        <f>SUM(AH249:AH260)</f>
        <v>54.166899999999998</v>
      </c>
    </row>
    <row r="262" spans="1:34">
      <c r="B262" s="246">
        <v>46.263849999999998</v>
      </c>
      <c r="AH262" s="730"/>
    </row>
    <row r="263" spans="1:34">
      <c r="AH263" s="730"/>
    </row>
    <row r="264" spans="1:34" ht="13.8">
      <c r="A264" s="4175" t="s">
        <v>990</v>
      </c>
      <c r="B264" s="4176"/>
      <c r="C264" s="4177"/>
      <c r="D264" s="2183"/>
      <c r="E264" s="2183"/>
      <c r="F264" s="2183"/>
      <c r="G264" s="2183"/>
      <c r="H264" s="2183"/>
      <c r="I264" s="2183"/>
      <c r="J264" s="2183"/>
      <c r="K264" s="2183"/>
      <c r="L264" s="2183"/>
      <c r="M264" s="2184"/>
      <c r="N264" s="2183"/>
      <c r="O264" s="2183"/>
      <c r="P264" s="2183"/>
      <c r="Q264" s="2183"/>
      <c r="R264" s="2183"/>
      <c r="S264" s="2183"/>
      <c r="T264" s="2183"/>
      <c r="U264" s="2183"/>
      <c r="V264" s="2183"/>
      <c r="W264" s="2183"/>
      <c r="X264" s="2183"/>
      <c r="Y264" s="2183"/>
      <c r="Z264" s="2183"/>
      <c r="AA264" s="2183"/>
      <c r="AB264" s="2183"/>
      <c r="AC264" s="2183"/>
      <c r="AD264" s="2183"/>
      <c r="AE264" s="2183"/>
      <c r="AF264" s="2183"/>
      <c r="AG264" s="2183"/>
      <c r="AH264" s="2264"/>
    </row>
    <row r="265" spans="1:34" ht="13.8">
      <c r="A265" s="2185" t="s">
        <v>142</v>
      </c>
      <c r="B265" s="2185" t="s">
        <v>143</v>
      </c>
      <c r="C265" s="2186">
        <v>1</v>
      </c>
      <c r="D265" s="2186">
        <v>2</v>
      </c>
      <c r="E265" s="2186">
        <v>3</v>
      </c>
      <c r="F265" s="2186">
        <v>4</v>
      </c>
      <c r="G265" s="2186">
        <v>5</v>
      </c>
      <c r="H265" s="2186">
        <v>6</v>
      </c>
      <c r="I265" s="2186">
        <v>7</v>
      </c>
      <c r="J265" s="2186">
        <v>8</v>
      </c>
      <c r="K265" s="2186">
        <v>9</v>
      </c>
      <c r="L265" s="2186">
        <v>10</v>
      </c>
      <c r="M265" s="2186">
        <v>11</v>
      </c>
      <c r="N265" s="2186">
        <v>12</v>
      </c>
      <c r="O265" s="2186">
        <v>13</v>
      </c>
      <c r="P265" s="2186">
        <v>14</v>
      </c>
      <c r="Q265" s="2186">
        <v>15</v>
      </c>
      <c r="R265" s="2186">
        <v>16</v>
      </c>
      <c r="S265" s="2186">
        <v>17</v>
      </c>
      <c r="T265" s="2186">
        <v>18</v>
      </c>
      <c r="U265" s="2186">
        <v>19</v>
      </c>
      <c r="V265" s="2186">
        <v>20</v>
      </c>
      <c r="W265" s="2187">
        <v>21</v>
      </c>
      <c r="X265" s="2186">
        <v>22</v>
      </c>
      <c r="Y265" s="2186">
        <v>23</v>
      </c>
      <c r="Z265" s="2186">
        <v>24</v>
      </c>
      <c r="AA265" s="2186">
        <v>25</v>
      </c>
      <c r="AB265" s="2186">
        <v>26</v>
      </c>
      <c r="AC265" s="2188">
        <v>27</v>
      </c>
      <c r="AD265" s="2186">
        <v>28</v>
      </c>
      <c r="AE265" s="2186">
        <v>29</v>
      </c>
      <c r="AF265" s="2186">
        <v>30</v>
      </c>
      <c r="AG265" s="2186">
        <v>31</v>
      </c>
      <c r="AH265" s="2265" t="s">
        <v>111</v>
      </c>
    </row>
    <row r="266" spans="1:34" ht="13.8">
      <c r="A266" s="2187" t="s">
        <v>145</v>
      </c>
      <c r="B266" s="2194">
        <f>+AH266</f>
        <v>0</v>
      </c>
      <c r="C266" s="2189"/>
      <c r="D266" s="2189"/>
      <c r="E266" s="2189"/>
      <c r="F266" s="2189"/>
      <c r="G266" s="2189"/>
      <c r="H266" s="2189"/>
      <c r="I266" s="2189"/>
      <c r="J266" s="2189"/>
      <c r="K266" s="2189"/>
      <c r="L266" s="2189"/>
      <c r="M266" s="2189"/>
      <c r="N266" s="2189"/>
      <c r="O266" s="2189"/>
      <c r="P266" s="2189"/>
      <c r="Q266" s="2189"/>
      <c r="R266" s="2189"/>
      <c r="S266" s="2189"/>
      <c r="T266" s="2189"/>
      <c r="U266" s="2189"/>
      <c r="V266" s="2189"/>
      <c r="W266" s="2189"/>
      <c r="X266" s="2189"/>
      <c r="Y266" s="2189"/>
      <c r="Z266" s="2189"/>
      <c r="AA266" s="2189"/>
      <c r="AB266" s="2189"/>
      <c r="AC266" s="2189"/>
      <c r="AD266" s="2189"/>
      <c r="AE266" s="2189"/>
      <c r="AF266" s="2189"/>
      <c r="AG266" s="2189"/>
      <c r="AH266" s="2266">
        <f>SUM(C266:AG266)</f>
        <v>0</v>
      </c>
    </row>
    <row r="267" spans="1:34" ht="13.8">
      <c r="A267" s="2187" t="s">
        <v>146</v>
      </c>
      <c r="B267" s="2194">
        <f t="shared" ref="B267:B277" si="18">+AH267</f>
        <v>0</v>
      </c>
      <c r="C267" s="2189"/>
      <c r="D267" s="2189"/>
      <c r="E267" s="2189"/>
      <c r="F267" s="2189"/>
      <c r="G267" s="2189"/>
      <c r="H267" s="2189"/>
      <c r="I267" s="2189"/>
      <c r="J267" s="2189"/>
      <c r="K267" s="2189"/>
      <c r="L267" s="2189"/>
      <c r="M267" s="2189"/>
      <c r="N267" s="2189"/>
      <c r="O267" s="2189"/>
      <c r="P267" s="2189"/>
      <c r="Q267" s="2189"/>
      <c r="R267" s="2189"/>
      <c r="S267" s="2189"/>
      <c r="T267" s="2189"/>
      <c r="U267" s="2189"/>
      <c r="V267" s="2189"/>
      <c r="W267" s="2189"/>
      <c r="X267" s="2189"/>
      <c r="Y267" s="2189"/>
      <c r="Z267" s="2189"/>
      <c r="AA267" s="2189"/>
      <c r="AB267" s="2189"/>
      <c r="AC267" s="2189"/>
      <c r="AD267" s="2189"/>
      <c r="AE267" s="2189"/>
      <c r="AF267" s="2189"/>
      <c r="AG267" s="2189"/>
      <c r="AH267" s="2266">
        <f t="shared" ref="AH267:AH276" si="19">SUM(C267:AG267)</f>
        <v>0</v>
      </c>
    </row>
    <row r="268" spans="1:34" ht="13.8">
      <c r="A268" s="2187" t="s">
        <v>147</v>
      </c>
      <c r="B268" s="2194">
        <f t="shared" si="18"/>
        <v>0</v>
      </c>
      <c r="C268" s="2189"/>
      <c r="D268" s="2189"/>
      <c r="E268" s="2189"/>
      <c r="F268" s="2189"/>
      <c r="G268" s="2189"/>
      <c r="H268" s="2189"/>
      <c r="I268" s="2189"/>
      <c r="J268" s="2189"/>
      <c r="K268" s="2189"/>
      <c r="L268" s="2189"/>
      <c r="M268" s="2189"/>
      <c r="N268" s="2189"/>
      <c r="O268" s="2189"/>
      <c r="P268" s="2189"/>
      <c r="Q268" s="2189"/>
      <c r="R268" s="2189"/>
      <c r="S268" s="2189"/>
      <c r="T268" s="2189"/>
      <c r="U268" s="2189"/>
      <c r="V268" s="2189"/>
      <c r="W268" s="2189"/>
      <c r="X268" s="2189"/>
      <c r="Y268" s="2189"/>
      <c r="Z268" s="2189"/>
      <c r="AA268" s="2189"/>
      <c r="AB268" s="2189"/>
      <c r="AC268" s="2189"/>
      <c r="AD268" s="2189"/>
      <c r="AE268" s="2189"/>
      <c r="AF268" s="2189"/>
      <c r="AG268" s="2189"/>
      <c r="AH268" s="2266">
        <f t="shared" si="19"/>
        <v>0</v>
      </c>
    </row>
    <row r="269" spans="1:34" ht="13.8">
      <c r="A269" s="2187" t="s">
        <v>148</v>
      </c>
      <c r="B269" s="2194">
        <f t="shared" si="18"/>
        <v>0</v>
      </c>
      <c r="C269" s="2189"/>
      <c r="D269" s="2189"/>
      <c r="E269" s="2189"/>
      <c r="F269" s="2189"/>
      <c r="G269" s="2189"/>
      <c r="H269" s="2189"/>
      <c r="I269" s="2189"/>
      <c r="J269" s="2189"/>
      <c r="K269" s="2189"/>
      <c r="L269" s="2189"/>
      <c r="M269" s="2189"/>
      <c r="N269" s="2189"/>
      <c r="O269" s="2189"/>
      <c r="P269" s="2189"/>
      <c r="Q269" s="2189"/>
      <c r="R269" s="2189"/>
      <c r="S269" s="2189"/>
      <c r="T269" s="2189"/>
      <c r="U269" s="2189"/>
      <c r="V269" s="2189"/>
      <c r="W269" s="2189"/>
      <c r="X269" s="2189"/>
      <c r="Y269" s="2189"/>
      <c r="Z269" s="2189"/>
      <c r="AA269" s="2189"/>
      <c r="AB269" s="2189"/>
      <c r="AC269" s="2189"/>
      <c r="AD269" s="2189"/>
      <c r="AE269" s="2189"/>
      <c r="AF269" s="2189"/>
      <c r="AG269" s="2189"/>
      <c r="AH269" s="2266">
        <f t="shared" si="19"/>
        <v>0</v>
      </c>
    </row>
    <row r="270" spans="1:34" ht="13.8">
      <c r="A270" s="2187" t="s">
        <v>149</v>
      </c>
      <c r="B270" s="2194">
        <f t="shared" si="18"/>
        <v>0</v>
      </c>
      <c r="C270" s="2189"/>
      <c r="D270" s="2189"/>
      <c r="E270" s="2189"/>
      <c r="F270" s="2189"/>
      <c r="G270" s="2189"/>
      <c r="H270" s="2189"/>
      <c r="I270" s="2189"/>
      <c r="J270" s="2189"/>
      <c r="K270" s="2189"/>
      <c r="L270" s="2189"/>
      <c r="M270" s="2189"/>
      <c r="N270" s="2189"/>
      <c r="O270" s="2189"/>
      <c r="P270" s="2189"/>
      <c r="Q270" s="2189"/>
      <c r="R270" s="2189"/>
      <c r="S270" s="2189"/>
      <c r="T270" s="2189"/>
      <c r="U270" s="2189"/>
      <c r="V270" s="2189"/>
      <c r="W270" s="2189"/>
      <c r="X270" s="2189"/>
      <c r="Y270" s="2189"/>
      <c r="Z270" s="2189"/>
      <c r="AA270" s="2189"/>
      <c r="AB270" s="2189"/>
      <c r="AC270" s="2189"/>
      <c r="AD270" s="2189"/>
      <c r="AE270" s="2189"/>
      <c r="AF270" s="2189"/>
      <c r="AG270" s="2189"/>
      <c r="AH270" s="2266">
        <f t="shared" si="19"/>
        <v>0</v>
      </c>
    </row>
    <row r="271" spans="1:34" ht="13.8">
      <c r="A271" s="2187" t="s">
        <v>150</v>
      </c>
      <c r="B271" s="2194">
        <f t="shared" si="18"/>
        <v>0</v>
      </c>
      <c r="C271" s="2189"/>
      <c r="D271" s="2189"/>
      <c r="E271" s="2189"/>
      <c r="F271" s="2189"/>
      <c r="G271" s="2189"/>
      <c r="H271" s="2189"/>
      <c r="I271" s="2189"/>
      <c r="J271" s="2189"/>
      <c r="K271" s="2189"/>
      <c r="L271" s="2189"/>
      <c r="M271" s="2189"/>
      <c r="N271" s="2189"/>
      <c r="O271" s="2189"/>
      <c r="P271" s="2189"/>
      <c r="Q271" s="2189"/>
      <c r="R271" s="2189"/>
      <c r="S271" s="2189"/>
      <c r="T271" s="2189"/>
      <c r="U271" s="2189"/>
      <c r="V271" s="2189"/>
      <c r="W271" s="2189"/>
      <c r="X271" s="2189"/>
      <c r="Y271" s="2189"/>
      <c r="Z271" s="2189"/>
      <c r="AA271" s="2189"/>
      <c r="AB271" s="2189"/>
      <c r="AC271" s="2189"/>
      <c r="AD271" s="2189"/>
      <c r="AE271" s="2189"/>
      <c r="AF271" s="2189"/>
      <c r="AG271" s="2189"/>
      <c r="AH271" s="2266">
        <f t="shared" si="19"/>
        <v>0</v>
      </c>
    </row>
    <row r="272" spans="1:34" ht="13.8">
      <c r="A272" s="2187" t="s">
        <v>151</v>
      </c>
      <c r="B272" s="2194">
        <f t="shared" si="18"/>
        <v>0</v>
      </c>
      <c r="C272" s="2189"/>
      <c r="D272" s="2189"/>
      <c r="E272" s="2189"/>
      <c r="F272" s="2189"/>
      <c r="G272" s="2189"/>
      <c r="H272" s="2189"/>
      <c r="I272" s="2189"/>
      <c r="J272" s="2189"/>
      <c r="K272" s="2189"/>
      <c r="L272" s="2189"/>
      <c r="M272" s="2189"/>
      <c r="N272" s="2189"/>
      <c r="O272" s="2189"/>
      <c r="P272" s="2189"/>
      <c r="Q272" s="2189"/>
      <c r="R272" s="2189"/>
      <c r="S272" s="2189"/>
      <c r="T272" s="2189"/>
      <c r="U272" s="2189"/>
      <c r="V272" s="2189"/>
      <c r="W272" s="2189"/>
      <c r="X272" s="2189"/>
      <c r="Y272" s="2189"/>
      <c r="Z272" s="2189"/>
      <c r="AA272" s="2189"/>
      <c r="AB272" s="2189"/>
      <c r="AC272" s="2189"/>
      <c r="AD272" s="2189"/>
      <c r="AE272" s="2189"/>
      <c r="AF272" s="2189"/>
      <c r="AG272" s="2189"/>
      <c r="AH272" s="2266">
        <f t="shared" si="19"/>
        <v>0</v>
      </c>
    </row>
    <row r="273" spans="1:34" ht="13.8">
      <c r="A273" s="2187" t="s">
        <v>152</v>
      </c>
      <c r="B273" s="2194">
        <f t="shared" si="18"/>
        <v>0</v>
      </c>
      <c r="C273" s="2364"/>
      <c r="D273" s="2364"/>
      <c r="E273" s="2364"/>
      <c r="F273" s="2364"/>
      <c r="G273" s="2364"/>
      <c r="H273" s="2364"/>
      <c r="I273" s="2364"/>
      <c r="J273" s="2364"/>
      <c r="K273" s="2364"/>
      <c r="L273" s="2364"/>
      <c r="M273" s="2364"/>
      <c r="N273" s="2364"/>
      <c r="O273" s="2364"/>
      <c r="P273" s="2364"/>
      <c r="Q273" s="2364"/>
      <c r="R273" s="2364"/>
      <c r="S273" s="2364"/>
      <c r="T273" s="2364"/>
      <c r="U273" s="2364"/>
      <c r="V273" s="2364"/>
      <c r="W273" s="2364"/>
      <c r="X273" s="2364"/>
      <c r="Y273" s="2364"/>
      <c r="Z273" s="2364"/>
      <c r="AA273" s="2364"/>
      <c r="AB273" s="2364"/>
      <c r="AC273" s="2364"/>
      <c r="AD273" s="2364"/>
      <c r="AE273" s="2364"/>
      <c r="AF273" s="2364"/>
      <c r="AG273" s="2364"/>
      <c r="AH273" s="2266">
        <f t="shared" si="19"/>
        <v>0</v>
      </c>
    </row>
    <row r="274" spans="1:34" ht="13.8">
      <c r="A274" s="2188" t="s">
        <v>153</v>
      </c>
      <c r="B274" s="2194">
        <f t="shared" si="18"/>
        <v>0.6</v>
      </c>
      <c r="C274" s="2364"/>
      <c r="D274" s="2364"/>
      <c r="E274" s="2364"/>
      <c r="F274" s="2364"/>
      <c r="G274" s="2364"/>
      <c r="H274" s="2364"/>
      <c r="I274" s="2364"/>
      <c r="J274" s="2364"/>
      <c r="K274" s="2364"/>
      <c r="L274" s="2364"/>
      <c r="M274" s="2364"/>
      <c r="N274" s="2364"/>
      <c r="O274" s="2364"/>
      <c r="P274" s="2364"/>
      <c r="Q274" s="2364"/>
      <c r="R274" s="2364"/>
      <c r="S274" s="2364"/>
      <c r="T274" s="2364"/>
      <c r="U274" s="2364"/>
      <c r="V274" s="2364"/>
      <c r="W274" s="2364"/>
      <c r="X274" s="2364"/>
      <c r="Y274" s="2364"/>
      <c r="Z274" s="2364"/>
      <c r="AA274" s="2364"/>
      <c r="AB274" s="2364"/>
      <c r="AC274" s="2364"/>
      <c r="AD274" s="2364"/>
      <c r="AE274" s="2364">
        <v>0.6</v>
      </c>
      <c r="AF274" s="2364"/>
      <c r="AG274" s="2364"/>
      <c r="AH274" s="2266">
        <f t="shared" si="19"/>
        <v>0.6</v>
      </c>
    </row>
    <row r="275" spans="1:34" ht="13.8">
      <c r="A275" s="2190" t="s">
        <v>154</v>
      </c>
      <c r="B275" s="2194">
        <f t="shared" si="18"/>
        <v>7.1539999999999999</v>
      </c>
      <c r="C275" s="2364"/>
      <c r="D275" s="2364"/>
      <c r="E275" s="2364"/>
      <c r="F275" s="2364"/>
      <c r="G275" s="2364"/>
      <c r="H275" s="2364"/>
      <c r="I275" s="2364"/>
      <c r="J275" s="2364"/>
      <c r="K275" s="2364"/>
      <c r="L275" s="2364">
        <v>3</v>
      </c>
      <c r="M275" s="2364"/>
      <c r="N275" s="2364"/>
      <c r="O275" s="2364"/>
      <c r="P275" s="2364"/>
      <c r="Q275" s="2364"/>
      <c r="R275" s="2364"/>
      <c r="S275" s="2364"/>
      <c r="T275" s="2364"/>
      <c r="U275" s="2364">
        <v>0.75700000000000001</v>
      </c>
      <c r="V275" s="2364">
        <v>0.71699999999999997</v>
      </c>
      <c r="W275" s="2364"/>
      <c r="X275" s="2364">
        <v>1.68</v>
      </c>
      <c r="Y275" s="2364"/>
      <c r="Z275" s="2364"/>
      <c r="AA275" s="2364"/>
      <c r="AB275" s="2364"/>
      <c r="AC275" s="2364"/>
      <c r="AD275" s="2364"/>
      <c r="AE275" s="2364">
        <v>1</v>
      </c>
      <c r="AF275" s="2364"/>
      <c r="AG275" s="2364"/>
      <c r="AH275" s="2266">
        <f t="shared" si="19"/>
        <v>7.1539999999999999</v>
      </c>
    </row>
    <row r="276" spans="1:34" ht="13.8">
      <c r="A276" s="2191" t="s">
        <v>155</v>
      </c>
      <c r="B276" s="2194">
        <f t="shared" si="18"/>
        <v>1.46</v>
      </c>
      <c r="C276" s="2364"/>
      <c r="D276" s="2364"/>
      <c r="E276" s="2364"/>
      <c r="F276" s="2364"/>
      <c r="G276" s="2364"/>
      <c r="H276" s="2364">
        <v>1.4</v>
      </c>
      <c r="I276" s="2364"/>
      <c r="J276" s="2364"/>
      <c r="K276" s="2364"/>
      <c r="L276" s="2364"/>
      <c r="M276" s="2364"/>
      <c r="N276" s="2364"/>
      <c r="O276" s="2364"/>
      <c r="P276" s="2364"/>
      <c r="Q276" s="2364"/>
      <c r="R276" s="2364"/>
      <c r="S276" s="2364"/>
      <c r="T276" s="2364">
        <v>0.06</v>
      </c>
      <c r="U276" s="2364"/>
      <c r="V276" s="2364"/>
      <c r="W276" s="2364"/>
      <c r="X276" s="2364"/>
      <c r="Y276" s="2364"/>
      <c r="Z276" s="2364"/>
      <c r="AA276" s="2364"/>
      <c r="AB276" s="2364"/>
      <c r="AC276" s="2364"/>
      <c r="AD276" s="2364"/>
      <c r="AE276" s="2364"/>
      <c r="AF276" s="2364"/>
      <c r="AG276" s="2364"/>
      <c r="AH276" s="2266">
        <f t="shared" si="19"/>
        <v>1.46</v>
      </c>
    </row>
    <row r="277" spans="1:34" ht="13.8">
      <c r="A277" s="2187"/>
      <c r="B277" s="2194">
        <f t="shared" si="18"/>
        <v>0</v>
      </c>
      <c r="C277" s="2364"/>
      <c r="D277" s="2364"/>
      <c r="E277" s="2364"/>
      <c r="F277" s="2364"/>
      <c r="G277" s="2364"/>
      <c r="H277" s="2364"/>
      <c r="I277" s="2364"/>
      <c r="J277" s="2364"/>
      <c r="K277" s="2364"/>
      <c r="L277" s="2364"/>
      <c r="M277" s="2364"/>
      <c r="N277" s="2364"/>
      <c r="O277" s="2364"/>
      <c r="P277" s="2364"/>
      <c r="Q277" s="2364"/>
      <c r="R277" s="2364"/>
      <c r="S277" s="2364"/>
      <c r="T277" s="2364"/>
      <c r="U277" s="2364"/>
      <c r="V277" s="2364"/>
      <c r="W277" s="2364"/>
      <c r="X277" s="2364"/>
      <c r="Y277" s="2364"/>
      <c r="Z277" s="2364"/>
      <c r="AA277" s="2364"/>
      <c r="AB277" s="2364"/>
      <c r="AC277" s="2364"/>
      <c r="AD277" s="2364"/>
      <c r="AE277" s="2364"/>
      <c r="AF277" s="2364"/>
      <c r="AG277" s="2364"/>
      <c r="AH277" s="2266">
        <f>SUM(C277:AG277)</f>
        <v>0</v>
      </c>
    </row>
    <row r="278" spans="1:34" ht="13.8">
      <c r="A278" s="2192" t="s">
        <v>111</v>
      </c>
      <c r="B278" s="2195">
        <f>SUM(B266:B277)</f>
        <v>9.2139999999999986</v>
      </c>
      <c r="C278" s="2193"/>
      <c r="D278" s="2193"/>
      <c r="E278" s="2193"/>
      <c r="F278" s="2193"/>
      <c r="G278" s="2193"/>
      <c r="H278" s="2193"/>
      <c r="I278" s="2193"/>
      <c r="J278" s="2193"/>
      <c r="K278" s="2193"/>
      <c r="L278" s="2193"/>
      <c r="M278" s="2193"/>
      <c r="N278" s="2193"/>
      <c r="O278" s="2193"/>
      <c r="P278" s="2193"/>
      <c r="Q278" s="2193"/>
      <c r="R278" s="2193"/>
      <c r="S278" s="2193"/>
      <c r="T278" s="2193"/>
      <c r="U278" s="2193"/>
      <c r="V278" s="2193"/>
      <c r="W278" s="2193"/>
      <c r="X278" s="2193"/>
      <c r="Y278" s="2193"/>
      <c r="Z278" s="2193"/>
      <c r="AA278" s="2193"/>
      <c r="AB278" s="2193"/>
      <c r="AC278" s="2193"/>
      <c r="AD278" s="2193"/>
      <c r="AE278" s="2193"/>
      <c r="AF278" s="2193"/>
      <c r="AG278" s="2193"/>
      <c r="AH278" s="2267">
        <f>SUM(AH266:AH277)</f>
        <v>9.2139999999999986</v>
      </c>
    </row>
  </sheetData>
  <mergeCells count="24">
    <mergeCell ref="A246:G246"/>
    <mergeCell ref="A247:C247"/>
    <mergeCell ref="A264:C264"/>
    <mergeCell ref="A141:G141"/>
    <mergeCell ref="A142:C142"/>
    <mergeCell ref="A159:C159"/>
    <mergeCell ref="A176:G176"/>
    <mergeCell ref="A177:C177"/>
    <mergeCell ref="A229:C229"/>
    <mergeCell ref="A194:C194"/>
    <mergeCell ref="A211:G211"/>
    <mergeCell ref="A1:G1"/>
    <mergeCell ref="A2:C2"/>
    <mergeCell ref="A19:C19"/>
    <mergeCell ref="A36:G36"/>
    <mergeCell ref="A37:C37"/>
    <mergeCell ref="A107:C107"/>
    <mergeCell ref="A124:C124"/>
    <mergeCell ref="A212:C212"/>
    <mergeCell ref="A54:C54"/>
    <mergeCell ref="A71:G71"/>
    <mergeCell ref="A72:C72"/>
    <mergeCell ref="A89:C89"/>
    <mergeCell ref="A106:G106"/>
  </mergeCell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dimension ref="A1:J21"/>
  <sheetViews>
    <sheetView zoomScale="82" zoomScaleNormal="82" workbookViewId="0">
      <selection activeCell="J7" sqref="J7"/>
    </sheetView>
  </sheetViews>
  <sheetFormatPr baseColWidth="10" defaultRowHeight="13.2"/>
  <cols>
    <col min="1" max="1" width="13" customWidth="1"/>
    <col min="2" max="2" width="14.5546875" customWidth="1"/>
    <col min="3" max="3" width="18.6640625" bestFit="1" customWidth="1"/>
    <col min="4" max="4" width="18.5546875" customWidth="1"/>
    <col min="5" max="5" width="16.44140625" customWidth="1"/>
    <col min="6" max="6" width="10.5546875" bestFit="1" customWidth="1"/>
    <col min="7" max="7" width="11.44140625" bestFit="1" customWidth="1"/>
    <col min="8" max="8" width="10.88671875" customWidth="1"/>
    <col min="9" max="9" width="16" customWidth="1"/>
  </cols>
  <sheetData>
    <row r="1" spans="1:9">
      <c r="A1" s="510"/>
      <c r="B1" s="510"/>
      <c r="C1" s="510"/>
      <c r="D1" s="510"/>
      <c r="E1" s="510"/>
      <c r="F1" s="510"/>
      <c r="G1" s="510"/>
      <c r="H1" s="510"/>
      <c r="I1" s="510"/>
    </row>
    <row r="2" spans="1:9" ht="13.8">
      <c r="A2" s="3899" t="s">
        <v>523</v>
      </c>
      <c r="B2" s="4193"/>
      <c r="C2" s="2025"/>
      <c r="D2" s="2025" t="s">
        <v>544</v>
      </c>
      <c r="E2" s="2026"/>
      <c r="F2" s="153"/>
      <c r="G2" s="142"/>
      <c r="H2" s="142"/>
      <c r="I2" s="571"/>
    </row>
    <row r="3" spans="1:9" ht="13.8">
      <c r="A3" s="142"/>
      <c r="B3" s="153"/>
      <c r="C3" s="139"/>
      <c r="D3" s="139"/>
      <c r="E3" s="607"/>
      <c r="F3" s="153"/>
      <c r="G3" s="142"/>
      <c r="H3" s="142"/>
      <c r="I3" s="571"/>
    </row>
    <row r="4" spans="1:9" ht="13.8">
      <c r="A4" s="1432" t="s">
        <v>161</v>
      </c>
      <c r="B4" s="1432" t="s">
        <v>107</v>
      </c>
      <c r="C4" s="792" t="s">
        <v>108</v>
      </c>
      <c r="D4" s="792" t="s">
        <v>109</v>
      </c>
      <c r="E4" s="1432" t="s">
        <v>47</v>
      </c>
      <c r="F4" s="1432" t="s">
        <v>48</v>
      </c>
      <c r="G4" s="1432" t="s">
        <v>982</v>
      </c>
      <c r="H4" s="615" t="s">
        <v>49</v>
      </c>
      <c r="I4" s="508" t="s">
        <v>50</v>
      </c>
    </row>
    <row r="5" spans="1:9" ht="18" customHeight="1">
      <c r="A5" s="2027" t="s">
        <v>520</v>
      </c>
      <c r="B5" s="509" t="s">
        <v>519</v>
      </c>
      <c r="C5" s="2101">
        <v>0</v>
      </c>
      <c r="D5" s="2101">
        <v>0</v>
      </c>
      <c r="E5" s="2103">
        <f>+'Jibia XV a XII regiones'!B18</f>
        <v>0.12</v>
      </c>
      <c r="F5" s="2101">
        <v>0</v>
      </c>
      <c r="G5" s="2028">
        <v>0</v>
      </c>
      <c r="H5" s="2028"/>
      <c r="I5" s="2029"/>
    </row>
    <row r="6" spans="1:9" ht="21.75" customHeight="1">
      <c r="A6" s="2027" t="s">
        <v>521</v>
      </c>
      <c r="B6" s="509" t="s">
        <v>519</v>
      </c>
      <c r="C6" s="2101">
        <v>0</v>
      </c>
      <c r="D6" s="2101">
        <v>0</v>
      </c>
      <c r="E6" s="2103">
        <f>+'Jibia XV a XII regiones'!B34</f>
        <v>0.37880000000000003</v>
      </c>
      <c r="F6" s="2101">
        <v>0</v>
      </c>
      <c r="G6" s="2028">
        <v>0</v>
      </c>
      <c r="H6" s="2028"/>
      <c r="I6" s="2029"/>
    </row>
    <row r="7" spans="1:9" ht="15" customHeight="1">
      <c r="A7" s="2027" t="s">
        <v>33</v>
      </c>
      <c r="B7" s="509" t="s">
        <v>519</v>
      </c>
      <c r="C7" s="2101">
        <v>0</v>
      </c>
      <c r="D7" s="2101">
        <v>0</v>
      </c>
      <c r="E7" s="2103">
        <f>+'Jibia XV a XII regiones'!B50</f>
        <v>11</v>
      </c>
      <c r="F7" s="2101">
        <v>0</v>
      </c>
      <c r="G7" s="2028">
        <v>0</v>
      </c>
      <c r="H7" s="2028"/>
      <c r="I7" s="2029"/>
    </row>
    <row r="8" spans="1:9" ht="21.75" customHeight="1">
      <c r="A8" s="2027" t="s">
        <v>6</v>
      </c>
      <c r="B8" s="509" t="s">
        <v>519</v>
      </c>
      <c r="C8" s="2101">
        <v>0</v>
      </c>
      <c r="D8" s="2101">
        <v>0</v>
      </c>
      <c r="E8" s="2103">
        <f>+'Jibia XV a XII regiones'!B66</f>
        <v>281.20099999999996</v>
      </c>
      <c r="F8" s="2101">
        <v>0</v>
      </c>
      <c r="G8" s="2028">
        <v>0</v>
      </c>
      <c r="H8" s="2028"/>
      <c r="I8" s="2029"/>
    </row>
    <row r="9" spans="1:9" ht="21.75" customHeight="1">
      <c r="A9" s="2027" t="s">
        <v>7</v>
      </c>
      <c r="B9" s="509" t="s">
        <v>519</v>
      </c>
      <c r="C9" s="2101">
        <v>0</v>
      </c>
      <c r="D9" s="2101">
        <v>0</v>
      </c>
      <c r="E9" s="2104">
        <f>+'Jibia XV a XII regiones'!B82</f>
        <v>32011.494999999995</v>
      </c>
      <c r="F9" s="2101">
        <v>0</v>
      </c>
      <c r="G9" s="2028">
        <v>0</v>
      </c>
      <c r="H9" s="2028"/>
      <c r="I9" s="2029"/>
    </row>
    <row r="10" spans="1:9" ht="21.75" customHeight="1">
      <c r="A10" s="2027" t="s">
        <v>27</v>
      </c>
      <c r="B10" s="509" t="s">
        <v>519</v>
      </c>
      <c r="C10" s="2101">
        <v>0</v>
      </c>
      <c r="D10" s="2101">
        <v>0</v>
      </c>
      <c r="E10" s="2103">
        <f>+'Jibia XV a XII regiones'!B98</f>
        <v>47728.145000000004</v>
      </c>
      <c r="F10" s="2101">
        <v>0</v>
      </c>
      <c r="G10" s="2028">
        <v>0</v>
      </c>
      <c r="H10" s="2028"/>
      <c r="I10" s="2029"/>
    </row>
    <row r="11" spans="1:9" ht="21.75" customHeight="1">
      <c r="A11" s="2027" t="s">
        <v>39</v>
      </c>
      <c r="B11" s="509" t="s">
        <v>519</v>
      </c>
      <c r="C11" s="2101">
        <v>0</v>
      </c>
      <c r="D11" s="2101">
        <v>0</v>
      </c>
      <c r="E11" s="2103">
        <f>+'Jibia XV a XII regiones'!B114</f>
        <v>0.97900000000000031</v>
      </c>
      <c r="F11" s="2101">
        <v>0</v>
      </c>
      <c r="G11" s="2028">
        <v>0</v>
      </c>
      <c r="H11" s="2028"/>
      <c r="I11" s="2029"/>
    </row>
    <row r="12" spans="1:9" ht="21.75" customHeight="1">
      <c r="A12" s="2027" t="s">
        <v>40</v>
      </c>
      <c r="B12" s="509" t="s">
        <v>519</v>
      </c>
      <c r="C12" s="2101">
        <v>0</v>
      </c>
      <c r="D12" s="2101">
        <v>0</v>
      </c>
      <c r="E12" s="2103">
        <f>+'Jibia XV a XII regiones'!B130</f>
        <v>21.233000000000004</v>
      </c>
      <c r="F12" s="2101">
        <v>0</v>
      </c>
      <c r="G12" s="2028">
        <v>0</v>
      </c>
      <c r="H12" s="2028"/>
      <c r="I12" s="2029"/>
    </row>
    <row r="13" spans="1:9" ht="21.75" customHeight="1">
      <c r="A13" s="2027" t="s">
        <v>9</v>
      </c>
      <c r="B13" s="509" t="s">
        <v>519</v>
      </c>
      <c r="C13" s="2101">
        <v>0</v>
      </c>
      <c r="D13" s="2101">
        <v>0</v>
      </c>
      <c r="E13" s="2104">
        <f>+'Jibia XV a XII regiones'!B146</f>
        <v>20217.03</v>
      </c>
      <c r="F13" s="2101">
        <v>0</v>
      </c>
      <c r="G13" s="2028">
        <v>0</v>
      </c>
      <c r="H13" s="2028"/>
      <c r="I13" s="2029"/>
    </row>
    <row r="14" spans="1:9" ht="21.75" customHeight="1">
      <c r="A14" s="2027" t="s">
        <v>34</v>
      </c>
      <c r="B14" s="509" t="s">
        <v>519</v>
      </c>
      <c r="C14" s="2101">
        <v>0</v>
      </c>
      <c r="D14" s="2101">
        <v>0</v>
      </c>
      <c r="E14" s="2103">
        <f>+'Jibia XV a XII regiones'!B162</f>
        <v>222.58499999999998</v>
      </c>
      <c r="F14" s="2101">
        <v>0</v>
      </c>
      <c r="G14" s="2028">
        <v>0</v>
      </c>
      <c r="H14" s="2028"/>
      <c r="I14" s="2029"/>
    </row>
    <row r="15" spans="1:9" ht="21.75" customHeight="1">
      <c r="A15" s="2027" t="s">
        <v>522</v>
      </c>
      <c r="B15" s="509" t="s">
        <v>519</v>
      </c>
      <c r="C15" s="2101">
        <v>0</v>
      </c>
      <c r="D15" s="2101">
        <v>0</v>
      </c>
      <c r="E15" s="2103">
        <f>+'Jibia XV a XII regiones'!B178</f>
        <v>96.594999999999999</v>
      </c>
      <c r="F15" s="2101">
        <v>0</v>
      </c>
      <c r="G15" s="2028">
        <v>0</v>
      </c>
      <c r="H15" s="2028"/>
      <c r="I15" s="2029"/>
    </row>
    <row r="16" spans="1:9" ht="21.75" customHeight="1">
      <c r="A16" s="2027" t="s">
        <v>23</v>
      </c>
      <c r="B16" s="509" t="s">
        <v>519</v>
      </c>
      <c r="C16" s="2101">
        <v>0</v>
      </c>
      <c r="D16" s="2101">
        <v>0</v>
      </c>
      <c r="E16" s="2103">
        <f>+'Jibia XV a XII regiones'!B194</f>
        <v>8.7769999999999992</v>
      </c>
      <c r="F16" s="2101">
        <v>0</v>
      </c>
      <c r="G16" s="2028">
        <v>0</v>
      </c>
      <c r="H16" s="2028"/>
      <c r="I16" s="2029"/>
    </row>
    <row r="17" spans="1:10" ht="21.75" customHeight="1">
      <c r="A17" s="2027" t="s">
        <v>35</v>
      </c>
      <c r="B17" s="509" t="s">
        <v>519</v>
      </c>
      <c r="C17" s="2101">
        <v>0</v>
      </c>
      <c r="D17" s="2101">
        <v>0</v>
      </c>
      <c r="E17" s="2102">
        <f>+'Jibia XV a XII regiones'!B210</f>
        <v>0</v>
      </c>
      <c r="F17" s="2101">
        <v>0</v>
      </c>
      <c r="G17" s="2028">
        <v>0</v>
      </c>
      <c r="H17" s="2028"/>
      <c r="I17" s="2029"/>
    </row>
    <row r="18" spans="1:10" ht="21.75" customHeight="1">
      <c r="A18" s="2027" t="s">
        <v>25</v>
      </c>
      <c r="B18" s="509" t="s">
        <v>519</v>
      </c>
      <c r="C18" s="2101">
        <v>0</v>
      </c>
      <c r="D18" s="2101">
        <v>0</v>
      </c>
      <c r="E18" s="2102">
        <f>+'Jibia XV a XII regiones'!B226</f>
        <v>0</v>
      </c>
      <c r="F18" s="2101">
        <v>0</v>
      </c>
      <c r="G18" s="2028">
        <v>0</v>
      </c>
      <c r="H18" s="2028"/>
      <c r="I18" s="2029"/>
    </row>
    <row r="19" spans="1:10" ht="21.75" customHeight="1">
      <c r="A19" s="2030" t="s">
        <v>111</v>
      </c>
      <c r="B19" s="2030" t="s">
        <v>519</v>
      </c>
      <c r="C19" s="2105">
        <v>138240</v>
      </c>
      <c r="D19" s="2105">
        <v>138240</v>
      </c>
      <c r="E19" s="2105">
        <f>SUM(E5:E18)</f>
        <v>100599.53880000001</v>
      </c>
      <c r="F19" s="2106">
        <f>+C19-E19</f>
        <v>37640.461199999991</v>
      </c>
      <c r="G19" s="2031">
        <f>+E19/C19</f>
        <v>0.72771657118055566</v>
      </c>
      <c r="H19" s="2034">
        <f>+F19/D19</f>
        <v>0.2722834288194444</v>
      </c>
      <c r="I19" s="2032"/>
    </row>
    <row r="20" spans="1:10">
      <c r="A20" s="359"/>
      <c r="B20" s="511"/>
      <c r="C20" s="512"/>
      <c r="D20" s="512"/>
      <c r="E20" s="512"/>
      <c r="F20" s="512"/>
      <c r="G20" s="512"/>
      <c r="H20" s="512"/>
      <c r="I20" s="512"/>
      <c r="J20" s="513"/>
    </row>
    <row r="21" spans="1:10">
      <c r="B21" s="513"/>
      <c r="C21" s="513"/>
      <c r="D21" s="513"/>
      <c r="E21" s="513"/>
      <c r="F21" s="513"/>
      <c r="G21" s="513"/>
      <c r="H21" s="513"/>
      <c r="I21" s="513"/>
      <c r="J21" s="513"/>
    </row>
  </sheetData>
  <mergeCells count="1">
    <mergeCell ref="A2:B2"/>
  </mergeCells>
  <pageMargins left="0.7" right="0.7" top="0.75" bottom="0.75" header="0.3" footer="0.3"/>
  <pageSetup paperSize="9" orientation="portrait" r:id="rId1"/>
  <legacyDrawing r:id="rId2"/>
</worksheet>
</file>

<file path=xl/worksheets/sheet32.xml><?xml version="1.0" encoding="utf-8"?>
<worksheet xmlns="http://schemas.openxmlformats.org/spreadsheetml/2006/main" xmlns:r="http://schemas.openxmlformats.org/officeDocument/2006/relationships">
  <dimension ref="A1:AH226"/>
  <sheetViews>
    <sheetView topLeftCell="A59" zoomScale="85" zoomScaleNormal="85" zoomScaleSheetLayoutView="80" workbookViewId="0">
      <selection activeCell="U71" sqref="U71"/>
    </sheetView>
  </sheetViews>
  <sheetFormatPr baseColWidth="10" defaultColWidth="11.44140625" defaultRowHeight="10.199999999999999"/>
  <cols>
    <col min="1" max="1" width="11.44140625" style="510"/>
    <col min="2" max="2" width="12.44140625" style="510" customWidth="1"/>
    <col min="3" max="3" width="7.88671875" style="510" customWidth="1"/>
    <col min="4" max="5" width="8.88671875" style="510" customWidth="1"/>
    <col min="6" max="7" width="7.88671875" style="510" customWidth="1"/>
    <col min="8" max="8" width="8.88671875" style="510" customWidth="1"/>
    <col min="9" max="21" width="7.88671875" style="510" customWidth="1"/>
    <col min="22" max="22" width="14.5546875" style="510" customWidth="1"/>
    <col min="23" max="30" width="7.88671875" style="510" customWidth="1"/>
    <col min="31" max="31" width="9.44140625" style="510" customWidth="1"/>
    <col min="32" max="32" width="8.44140625" style="510" customWidth="1"/>
    <col min="33" max="33" width="10.109375" style="510" customWidth="1"/>
    <col min="34" max="34" width="21.44140625" style="510" customWidth="1"/>
    <col min="35" max="16384" width="11.44140625" style="510"/>
  </cols>
  <sheetData>
    <row r="1" spans="1:34">
      <c r="A1" s="568" t="s">
        <v>549</v>
      </c>
      <c r="B1" s="569"/>
      <c r="C1" s="569"/>
      <c r="D1" s="569"/>
      <c r="E1" s="568" t="s">
        <v>503</v>
      </c>
      <c r="F1" s="568"/>
      <c r="G1" s="568"/>
      <c r="H1" s="568"/>
    </row>
    <row r="2" spans="1:34">
      <c r="A2" s="569"/>
      <c r="B2" s="569"/>
      <c r="C2" s="569"/>
      <c r="D2" s="569"/>
      <c r="E2" s="568" t="s">
        <v>504</v>
      </c>
      <c r="F2" s="568"/>
      <c r="G2" s="568"/>
      <c r="H2" s="568"/>
      <c r="I2" s="2969"/>
    </row>
    <row r="4" spans="1:34" ht="12">
      <c r="A4" s="3864" t="s">
        <v>505</v>
      </c>
      <c r="B4" s="3865"/>
      <c r="C4" s="3866"/>
      <c r="D4" s="2482"/>
      <c r="E4" s="1427"/>
      <c r="F4" s="1427"/>
      <c r="G4" s="1427"/>
      <c r="H4" s="1427"/>
      <c r="I4" s="1427"/>
      <c r="J4" s="1427"/>
      <c r="K4" s="1427"/>
      <c r="L4" s="1427"/>
      <c r="M4" s="2145"/>
      <c r="N4" s="1427"/>
      <c r="O4" s="1427"/>
      <c r="P4" s="1427"/>
      <c r="Q4" s="1427"/>
      <c r="R4" s="1427"/>
      <c r="S4" s="1427"/>
      <c r="T4" s="1427"/>
      <c r="U4" s="1427"/>
      <c r="V4" s="1427"/>
      <c r="W4" s="1427"/>
      <c r="X4" s="1427"/>
      <c r="Y4" s="1427"/>
      <c r="Z4" s="1427"/>
      <c r="AA4" s="1427"/>
      <c r="AB4" s="1427"/>
      <c r="AC4" s="1427"/>
      <c r="AD4" s="1427"/>
      <c r="AE4" s="1427"/>
      <c r="AF4" s="1427"/>
      <c r="AG4" s="1427"/>
    </row>
    <row r="5" spans="1:34" ht="12">
      <c r="A5" s="572" t="s">
        <v>142</v>
      </c>
      <c r="B5" s="1754" t="s">
        <v>143</v>
      </c>
      <c r="C5" s="2146">
        <v>1</v>
      </c>
      <c r="D5" s="2147">
        <v>2</v>
      </c>
      <c r="E5" s="2147">
        <v>3</v>
      </c>
      <c r="F5" s="2147">
        <v>4</v>
      </c>
      <c r="G5" s="2147">
        <v>5</v>
      </c>
      <c r="H5" s="2147">
        <v>6</v>
      </c>
      <c r="I5" s="2147">
        <v>7</v>
      </c>
      <c r="J5" s="2147">
        <v>8</v>
      </c>
      <c r="K5" s="2147">
        <v>9</v>
      </c>
      <c r="L5" s="2147">
        <v>10</v>
      </c>
      <c r="M5" s="2147">
        <v>11</v>
      </c>
      <c r="N5" s="2147">
        <v>12</v>
      </c>
      <c r="O5" s="2147">
        <v>13</v>
      </c>
      <c r="P5" s="2147">
        <v>14</v>
      </c>
      <c r="Q5" s="2147">
        <v>15</v>
      </c>
      <c r="R5" s="2147">
        <v>16</v>
      </c>
      <c r="S5" s="2147">
        <v>17</v>
      </c>
      <c r="T5" s="2147">
        <v>18</v>
      </c>
      <c r="U5" s="2147">
        <v>19</v>
      </c>
      <c r="V5" s="2147">
        <v>20</v>
      </c>
      <c r="W5" s="2146">
        <v>21</v>
      </c>
      <c r="X5" s="2147">
        <v>22</v>
      </c>
      <c r="Y5" s="2147">
        <v>23</v>
      </c>
      <c r="Z5" s="2147">
        <v>24</v>
      </c>
      <c r="AA5" s="2147">
        <v>25</v>
      </c>
      <c r="AB5" s="2147">
        <v>26</v>
      </c>
      <c r="AC5" s="2147">
        <v>27</v>
      </c>
      <c r="AD5" s="2147">
        <v>28</v>
      </c>
      <c r="AE5" s="2147">
        <v>29</v>
      </c>
      <c r="AF5" s="2147">
        <v>30</v>
      </c>
      <c r="AG5" s="2147">
        <v>31</v>
      </c>
      <c r="AH5" s="2148" t="s">
        <v>111</v>
      </c>
    </row>
    <row r="6" spans="1:34" ht="12">
      <c r="A6" s="573" t="s">
        <v>145</v>
      </c>
      <c r="B6" s="1359">
        <f t="shared" ref="B6:B17" si="0">+AH6</f>
        <v>0</v>
      </c>
      <c r="C6" s="2149">
        <v>0</v>
      </c>
      <c r="D6" s="2149">
        <v>0</v>
      </c>
      <c r="E6" s="2149">
        <v>0</v>
      </c>
      <c r="F6" s="2149">
        <v>0</v>
      </c>
      <c r="G6" s="2149">
        <v>0</v>
      </c>
      <c r="H6" s="2149">
        <v>0</v>
      </c>
      <c r="I6" s="2149">
        <v>0</v>
      </c>
      <c r="J6" s="2149">
        <v>0</v>
      </c>
      <c r="K6" s="2149">
        <v>0</v>
      </c>
      <c r="L6" s="2149">
        <v>0</v>
      </c>
      <c r="M6" s="2149">
        <v>0</v>
      </c>
      <c r="N6" s="2149">
        <v>0</v>
      </c>
      <c r="O6" s="2149">
        <v>0</v>
      </c>
      <c r="P6" s="2149">
        <v>0</v>
      </c>
      <c r="Q6" s="2149">
        <v>0</v>
      </c>
      <c r="R6" s="2149">
        <v>0</v>
      </c>
      <c r="S6" s="2149">
        <v>0</v>
      </c>
      <c r="T6" s="2149">
        <v>0</v>
      </c>
      <c r="U6" s="2149">
        <v>0</v>
      </c>
      <c r="V6" s="2149">
        <v>0</v>
      </c>
      <c r="W6" s="2149">
        <v>0</v>
      </c>
      <c r="X6" s="2149">
        <v>0</v>
      </c>
      <c r="Y6" s="2149">
        <v>0</v>
      </c>
      <c r="Z6" s="2149">
        <v>0</v>
      </c>
      <c r="AA6" s="2149">
        <v>0</v>
      </c>
      <c r="AB6" s="2149">
        <v>0</v>
      </c>
      <c r="AC6" s="2149">
        <v>0</v>
      </c>
      <c r="AD6" s="2149">
        <v>0</v>
      </c>
      <c r="AE6" s="2149">
        <v>0</v>
      </c>
      <c r="AF6" s="2149">
        <v>0</v>
      </c>
      <c r="AG6" s="2149">
        <v>0</v>
      </c>
      <c r="AH6" s="1013">
        <f>SUM(C6:AG6)</f>
        <v>0</v>
      </c>
    </row>
    <row r="7" spans="1:34" ht="12">
      <c r="A7" s="573" t="s">
        <v>146</v>
      </c>
      <c r="B7" s="1359">
        <f t="shared" si="0"/>
        <v>0</v>
      </c>
      <c r="C7" s="2149">
        <v>0</v>
      </c>
      <c r="D7" s="2149">
        <v>0</v>
      </c>
      <c r="E7" s="2149">
        <v>0</v>
      </c>
      <c r="F7" s="2149">
        <v>0</v>
      </c>
      <c r="G7" s="2149">
        <v>0</v>
      </c>
      <c r="H7" s="2149">
        <v>0</v>
      </c>
      <c r="I7" s="2149">
        <v>0</v>
      </c>
      <c r="J7" s="2149">
        <v>0</v>
      </c>
      <c r="K7" s="2149">
        <v>0</v>
      </c>
      <c r="L7" s="2149">
        <v>0</v>
      </c>
      <c r="M7" s="2149">
        <v>0</v>
      </c>
      <c r="N7" s="2149">
        <v>0</v>
      </c>
      <c r="O7" s="2149">
        <v>0</v>
      </c>
      <c r="P7" s="2149">
        <v>0</v>
      </c>
      <c r="Q7" s="2149">
        <v>0</v>
      </c>
      <c r="R7" s="2149">
        <v>0</v>
      </c>
      <c r="S7" s="2149">
        <v>0</v>
      </c>
      <c r="T7" s="2149">
        <v>0</v>
      </c>
      <c r="U7" s="2149">
        <v>0</v>
      </c>
      <c r="V7" s="2149">
        <v>0</v>
      </c>
      <c r="W7" s="2149">
        <v>0</v>
      </c>
      <c r="X7" s="2149">
        <v>0</v>
      </c>
      <c r="Y7" s="2149">
        <v>0</v>
      </c>
      <c r="Z7" s="2149">
        <v>0</v>
      </c>
      <c r="AA7" s="2149">
        <v>0</v>
      </c>
      <c r="AB7" s="2149">
        <v>0</v>
      </c>
      <c r="AC7" s="2149">
        <v>0</v>
      </c>
      <c r="AD7" s="2149">
        <v>0</v>
      </c>
      <c r="AE7" s="2149">
        <v>0</v>
      </c>
      <c r="AF7" s="2149">
        <v>0</v>
      </c>
      <c r="AG7" s="2149">
        <v>0</v>
      </c>
      <c r="AH7" s="1013">
        <f t="shared" ref="AH7:AH17" si="1">SUM(C7:AG7)</f>
        <v>0</v>
      </c>
    </row>
    <row r="8" spans="1:34" ht="12">
      <c r="A8" s="573" t="s">
        <v>147</v>
      </c>
      <c r="B8" s="1359">
        <f t="shared" si="0"/>
        <v>0</v>
      </c>
      <c r="C8" s="2149">
        <v>0</v>
      </c>
      <c r="D8" s="2149">
        <v>0</v>
      </c>
      <c r="E8" s="2149">
        <v>0</v>
      </c>
      <c r="F8" s="2149">
        <v>0</v>
      </c>
      <c r="G8" s="2149">
        <v>0</v>
      </c>
      <c r="H8" s="2149">
        <v>0</v>
      </c>
      <c r="I8" s="2149">
        <v>0</v>
      </c>
      <c r="J8" s="2149">
        <v>0</v>
      </c>
      <c r="K8" s="2149">
        <v>0</v>
      </c>
      <c r="L8" s="2149">
        <v>0</v>
      </c>
      <c r="M8" s="2149">
        <v>0</v>
      </c>
      <c r="N8" s="2149">
        <v>0</v>
      </c>
      <c r="O8" s="2149">
        <v>0</v>
      </c>
      <c r="P8" s="2149">
        <v>0</v>
      </c>
      <c r="Q8" s="2149">
        <v>0</v>
      </c>
      <c r="R8" s="2149">
        <v>0</v>
      </c>
      <c r="S8" s="2149">
        <v>0</v>
      </c>
      <c r="T8" s="2149">
        <v>0</v>
      </c>
      <c r="U8" s="2149">
        <v>0</v>
      </c>
      <c r="V8" s="2149">
        <v>0</v>
      </c>
      <c r="W8" s="2149">
        <v>0</v>
      </c>
      <c r="X8" s="2149">
        <v>0</v>
      </c>
      <c r="Y8" s="2149">
        <v>0</v>
      </c>
      <c r="Z8" s="2149">
        <v>0</v>
      </c>
      <c r="AA8" s="2149">
        <v>0</v>
      </c>
      <c r="AB8" s="2149">
        <v>0</v>
      </c>
      <c r="AC8" s="2149">
        <v>0</v>
      </c>
      <c r="AD8" s="2149">
        <v>0</v>
      </c>
      <c r="AE8" s="2149">
        <v>0</v>
      </c>
      <c r="AF8" s="2149">
        <v>0</v>
      </c>
      <c r="AG8" s="2149">
        <v>0</v>
      </c>
      <c r="AH8" s="1013">
        <f t="shared" si="1"/>
        <v>0</v>
      </c>
    </row>
    <row r="9" spans="1:34" ht="12">
      <c r="A9" s="573" t="s">
        <v>148</v>
      </c>
      <c r="B9" s="1359">
        <f t="shared" si="0"/>
        <v>0</v>
      </c>
      <c r="C9" s="1013">
        <v>0</v>
      </c>
      <c r="D9" s="1359">
        <v>0</v>
      </c>
      <c r="E9" s="1359">
        <v>0</v>
      </c>
      <c r="F9" s="1359">
        <v>0</v>
      </c>
      <c r="G9" s="1359">
        <v>0</v>
      </c>
      <c r="H9" s="1359">
        <v>0</v>
      </c>
      <c r="I9" s="1359">
        <v>0</v>
      </c>
      <c r="J9" s="1359">
        <v>0</v>
      </c>
      <c r="K9" s="1359">
        <v>0</v>
      </c>
      <c r="L9" s="1359">
        <v>0</v>
      </c>
      <c r="M9" s="1359">
        <v>0</v>
      </c>
      <c r="N9" s="1359">
        <v>0</v>
      </c>
      <c r="O9" s="1359">
        <v>0</v>
      </c>
      <c r="P9" s="1359">
        <v>0</v>
      </c>
      <c r="Q9" s="1359">
        <v>0</v>
      </c>
      <c r="R9" s="1359">
        <v>0</v>
      </c>
      <c r="S9" s="1359">
        <v>0</v>
      </c>
      <c r="T9" s="1359">
        <v>0</v>
      </c>
      <c r="U9" s="1359">
        <v>0</v>
      </c>
      <c r="V9" s="1359">
        <v>0</v>
      </c>
      <c r="W9" s="1359">
        <v>0</v>
      </c>
      <c r="X9" s="1359">
        <v>0</v>
      </c>
      <c r="Y9" s="1359">
        <v>0</v>
      </c>
      <c r="Z9" s="1359">
        <v>0</v>
      </c>
      <c r="AA9" s="1359">
        <v>0</v>
      </c>
      <c r="AB9" s="1359">
        <v>0</v>
      </c>
      <c r="AC9" s="1359">
        <v>0</v>
      </c>
      <c r="AD9" s="1359">
        <v>0</v>
      </c>
      <c r="AE9" s="1359">
        <v>0</v>
      </c>
      <c r="AF9" s="1359">
        <v>0</v>
      </c>
      <c r="AG9" s="1359">
        <v>0</v>
      </c>
      <c r="AH9" s="1013">
        <f t="shared" si="1"/>
        <v>0</v>
      </c>
    </row>
    <row r="10" spans="1:34" ht="12">
      <c r="A10" s="573" t="s">
        <v>149</v>
      </c>
      <c r="B10" s="1359">
        <f t="shared" si="0"/>
        <v>0</v>
      </c>
      <c r="C10" s="1013">
        <v>0</v>
      </c>
      <c r="D10" s="1359">
        <v>0</v>
      </c>
      <c r="E10" s="1359">
        <v>0</v>
      </c>
      <c r="F10" s="1359">
        <v>0</v>
      </c>
      <c r="G10" s="1359">
        <v>0</v>
      </c>
      <c r="H10" s="1359">
        <v>0</v>
      </c>
      <c r="I10" s="1359">
        <v>0</v>
      </c>
      <c r="J10" s="1359">
        <v>0</v>
      </c>
      <c r="K10" s="1359">
        <v>0</v>
      </c>
      <c r="L10" s="1359">
        <v>0</v>
      </c>
      <c r="M10" s="1359">
        <v>0</v>
      </c>
      <c r="N10" s="1359">
        <v>0</v>
      </c>
      <c r="O10" s="1359">
        <v>0</v>
      </c>
      <c r="P10" s="1359">
        <v>0</v>
      </c>
      <c r="Q10" s="1359">
        <v>0</v>
      </c>
      <c r="R10" s="1359">
        <v>0</v>
      </c>
      <c r="S10" s="1359">
        <v>0</v>
      </c>
      <c r="T10" s="1359">
        <v>0</v>
      </c>
      <c r="U10" s="1359">
        <v>0</v>
      </c>
      <c r="V10" s="1359">
        <v>0</v>
      </c>
      <c r="W10" s="1359">
        <v>0</v>
      </c>
      <c r="X10" s="1359">
        <v>0</v>
      </c>
      <c r="Y10" s="1359">
        <v>0</v>
      </c>
      <c r="Z10" s="1359">
        <v>0</v>
      </c>
      <c r="AA10" s="1359">
        <v>0</v>
      </c>
      <c r="AB10" s="1359">
        <v>0</v>
      </c>
      <c r="AC10" s="1359">
        <v>0</v>
      </c>
      <c r="AD10" s="1359">
        <v>0</v>
      </c>
      <c r="AE10" s="1359">
        <v>0</v>
      </c>
      <c r="AF10" s="1359">
        <v>0</v>
      </c>
      <c r="AG10" s="1359">
        <v>0</v>
      </c>
      <c r="AH10" s="1013">
        <f t="shared" si="1"/>
        <v>0</v>
      </c>
    </row>
    <row r="11" spans="1:34" ht="12">
      <c r="A11" s="573" t="s">
        <v>150</v>
      </c>
      <c r="B11" s="1359">
        <f>+AH11</f>
        <v>0</v>
      </c>
      <c r="C11" s="1013">
        <v>0</v>
      </c>
      <c r="D11" s="1359">
        <v>0</v>
      </c>
      <c r="E11" s="1359">
        <v>0</v>
      </c>
      <c r="F11" s="1359">
        <v>0</v>
      </c>
      <c r="G11" s="1359">
        <v>0</v>
      </c>
      <c r="H11" s="1359">
        <v>0</v>
      </c>
      <c r="I11" s="1359">
        <v>0</v>
      </c>
      <c r="J11" s="1359">
        <v>0</v>
      </c>
      <c r="K11" s="1359">
        <v>0</v>
      </c>
      <c r="L11" s="1359">
        <v>0</v>
      </c>
      <c r="M11" s="1359">
        <v>0</v>
      </c>
      <c r="N11" s="1359">
        <v>0</v>
      </c>
      <c r="O11" s="1359">
        <v>0</v>
      </c>
      <c r="P11" s="1359">
        <v>0</v>
      </c>
      <c r="Q11" s="1359">
        <v>0</v>
      </c>
      <c r="R11" s="1359">
        <v>0</v>
      </c>
      <c r="S11" s="1359">
        <v>0</v>
      </c>
      <c r="T11" s="1359">
        <v>0</v>
      </c>
      <c r="U11" s="1359">
        <v>0</v>
      </c>
      <c r="V11" s="1359">
        <v>0</v>
      </c>
      <c r="W11" s="1359">
        <v>0</v>
      </c>
      <c r="X11" s="1359">
        <v>0</v>
      </c>
      <c r="Y11" s="1359">
        <v>0</v>
      </c>
      <c r="Z11" s="1359">
        <v>0</v>
      </c>
      <c r="AA11" s="1359">
        <v>0</v>
      </c>
      <c r="AB11" s="1359">
        <v>0</v>
      </c>
      <c r="AC11" s="1359">
        <v>0</v>
      </c>
      <c r="AD11" s="1359">
        <v>0</v>
      </c>
      <c r="AE11" s="1359">
        <v>0</v>
      </c>
      <c r="AF11" s="1359">
        <v>0</v>
      </c>
      <c r="AG11" s="1359">
        <v>0</v>
      </c>
      <c r="AH11" s="1013">
        <f t="shared" si="1"/>
        <v>0</v>
      </c>
    </row>
    <row r="12" spans="1:34" ht="12">
      <c r="A12" s="573" t="s">
        <v>151</v>
      </c>
      <c r="B12" s="1359">
        <f t="shared" si="0"/>
        <v>0</v>
      </c>
      <c r="C12" s="1013">
        <v>0</v>
      </c>
      <c r="D12" s="1359">
        <v>0</v>
      </c>
      <c r="E12" s="1359">
        <v>0</v>
      </c>
      <c r="F12" s="1359">
        <v>0</v>
      </c>
      <c r="G12" s="1359">
        <v>0</v>
      </c>
      <c r="H12" s="1359">
        <v>0</v>
      </c>
      <c r="I12" s="1359">
        <v>0</v>
      </c>
      <c r="J12" s="1359">
        <v>0</v>
      </c>
      <c r="K12" s="1359">
        <v>0</v>
      </c>
      <c r="L12" s="1359">
        <v>0</v>
      </c>
      <c r="M12" s="1359">
        <v>0</v>
      </c>
      <c r="N12" s="1359">
        <v>0</v>
      </c>
      <c r="O12" s="1359">
        <v>0</v>
      </c>
      <c r="P12" s="1359">
        <v>0</v>
      </c>
      <c r="Q12" s="1359">
        <v>0</v>
      </c>
      <c r="R12" s="1359">
        <v>0</v>
      </c>
      <c r="S12" s="1359">
        <v>0</v>
      </c>
      <c r="T12" s="1359">
        <v>0</v>
      </c>
      <c r="U12" s="1359">
        <v>0</v>
      </c>
      <c r="V12" s="1359">
        <v>0</v>
      </c>
      <c r="W12" s="1359">
        <v>0</v>
      </c>
      <c r="X12" s="1359">
        <v>0</v>
      </c>
      <c r="Y12" s="1359">
        <v>0</v>
      </c>
      <c r="Z12" s="1359">
        <v>0</v>
      </c>
      <c r="AA12" s="1359">
        <v>0</v>
      </c>
      <c r="AB12" s="1359">
        <v>0</v>
      </c>
      <c r="AC12" s="1359">
        <v>0</v>
      </c>
      <c r="AD12" s="1359">
        <v>0</v>
      </c>
      <c r="AE12" s="1359">
        <v>0</v>
      </c>
      <c r="AF12" s="1359">
        <v>0</v>
      </c>
      <c r="AG12" s="1359">
        <v>0</v>
      </c>
      <c r="AH12" s="1013">
        <f t="shared" si="1"/>
        <v>0</v>
      </c>
    </row>
    <row r="13" spans="1:34" ht="12">
      <c r="A13" s="573" t="s">
        <v>152</v>
      </c>
      <c r="B13" s="1359">
        <f t="shared" si="0"/>
        <v>0.12</v>
      </c>
      <c r="C13" s="1013">
        <v>0</v>
      </c>
      <c r="D13" s="1359">
        <v>0</v>
      </c>
      <c r="E13" s="1359">
        <v>0</v>
      </c>
      <c r="F13" s="1359">
        <v>0</v>
      </c>
      <c r="G13" s="1359">
        <v>0</v>
      </c>
      <c r="H13" s="1359">
        <v>0</v>
      </c>
      <c r="I13" s="1359">
        <v>0</v>
      </c>
      <c r="J13" s="1359">
        <v>0</v>
      </c>
      <c r="K13" s="1359">
        <v>0</v>
      </c>
      <c r="L13" s="1359">
        <v>0</v>
      </c>
      <c r="M13" s="1359">
        <v>0</v>
      </c>
      <c r="N13" s="1359">
        <v>0</v>
      </c>
      <c r="O13" s="1359">
        <v>0</v>
      </c>
      <c r="P13" s="1359">
        <v>0</v>
      </c>
      <c r="Q13" s="1359">
        <v>0.12</v>
      </c>
      <c r="R13" s="1359">
        <v>0</v>
      </c>
      <c r="S13" s="1359">
        <v>0</v>
      </c>
      <c r="T13" s="1359">
        <v>0</v>
      </c>
      <c r="U13" s="1359">
        <v>0</v>
      </c>
      <c r="V13" s="1359">
        <v>0</v>
      </c>
      <c r="W13" s="1359">
        <v>0</v>
      </c>
      <c r="X13" s="1359">
        <v>0</v>
      </c>
      <c r="Y13" s="1359">
        <v>0</v>
      </c>
      <c r="Z13" s="1359">
        <v>0</v>
      </c>
      <c r="AA13" s="1359">
        <v>0</v>
      </c>
      <c r="AB13" s="1359">
        <v>0</v>
      </c>
      <c r="AC13" s="1359">
        <v>0</v>
      </c>
      <c r="AD13" s="1359">
        <v>0</v>
      </c>
      <c r="AE13" s="1359">
        <v>0</v>
      </c>
      <c r="AF13" s="1359">
        <v>0</v>
      </c>
      <c r="AG13" s="1359">
        <v>0</v>
      </c>
      <c r="AH13" s="1013">
        <f t="shared" si="1"/>
        <v>0.12</v>
      </c>
    </row>
    <row r="14" spans="1:34" ht="12">
      <c r="A14" s="573" t="s">
        <v>153</v>
      </c>
      <c r="B14" s="1359">
        <f t="shared" si="0"/>
        <v>0</v>
      </c>
      <c r="C14" s="1013">
        <v>0</v>
      </c>
      <c r="D14" s="1359">
        <v>0</v>
      </c>
      <c r="E14" s="1359">
        <v>0</v>
      </c>
      <c r="F14" s="1359">
        <v>0</v>
      </c>
      <c r="G14" s="1359">
        <v>0</v>
      </c>
      <c r="H14" s="1359">
        <v>0</v>
      </c>
      <c r="I14" s="1359">
        <v>0</v>
      </c>
      <c r="J14" s="1359">
        <v>0</v>
      </c>
      <c r="K14" s="1359">
        <v>0</v>
      </c>
      <c r="L14" s="1359">
        <v>0</v>
      </c>
      <c r="M14" s="1359">
        <v>0</v>
      </c>
      <c r="N14" s="1359">
        <v>0</v>
      </c>
      <c r="O14" s="1359">
        <v>0</v>
      </c>
      <c r="P14" s="1359">
        <v>0</v>
      </c>
      <c r="Q14" s="1359">
        <v>0</v>
      </c>
      <c r="R14" s="1359">
        <v>0</v>
      </c>
      <c r="S14" s="1359">
        <v>0</v>
      </c>
      <c r="T14" s="1359">
        <v>0</v>
      </c>
      <c r="U14" s="1359">
        <v>0</v>
      </c>
      <c r="V14" s="1359">
        <v>0</v>
      </c>
      <c r="W14" s="1359">
        <v>0</v>
      </c>
      <c r="X14" s="1359">
        <v>0</v>
      </c>
      <c r="Y14" s="1359">
        <v>0</v>
      </c>
      <c r="Z14" s="1359">
        <v>0</v>
      </c>
      <c r="AA14" s="1359">
        <v>0</v>
      </c>
      <c r="AB14" s="1359">
        <v>0</v>
      </c>
      <c r="AC14" s="1359">
        <v>0</v>
      </c>
      <c r="AD14" s="1359">
        <v>0</v>
      </c>
      <c r="AE14" s="1359">
        <v>0</v>
      </c>
      <c r="AF14" s="1359">
        <v>0</v>
      </c>
      <c r="AG14" s="1359">
        <v>0</v>
      </c>
      <c r="AH14" s="1013">
        <f t="shared" si="1"/>
        <v>0</v>
      </c>
    </row>
    <row r="15" spans="1:34" ht="12">
      <c r="A15" s="573" t="s">
        <v>154</v>
      </c>
      <c r="B15" s="1359">
        <f t="shared" si="0"/>
        <v>0</v>
      </c>
      <c r="C15" s="1013">
        <v>0</v>
      </c>
      <c r="D15" s="1359">
        <v>0</v>
      </c>
      <c r="E15" s="1359">
        <v>0</v>
      </c>
      <c r="F15" s="1359">
        <v>0</v>
      </c>
      <c r="G15" s="1359">
        <v>0</v>
      </c>
      <c r="H15" s="1359">
        <v>0</v>
      </c>
      <c r="I15" s="1359">
        <v>0</v>
      </c>
      <c r="J15" s="1359">
        <v>0</v>
      </c>
      <c r="K15" s="1359">
        <v>0</v>
      </c>
      <c r="L15" s="1359">
        <v>0</v>
      </c>
      <c r="M15" s="1359">
        <v>0</v>
      </c>
      <c r="N15" s="1359">
        <v>0</v>
      </c>
      <c r="O15" s="1359">
        <v>0</v>
      </c>
      <c r="P15" s="1359">
        <v>0</v>
      </c>
      <c r="Q15" s="1359">
        <v>0</v>
      </c>
      <c r="R15" s="1359">
        <v>0</v>
      </c>
      <c r="S15" s="1359">
        <v>0</v>
      </c>
      <c r="T15" s="1359">
        <v>0</v>
      </c>
      <c r="U15" s="1359">
        <v>0</v>
      </c>
      <c r="V15" s="1359">
        <v>0</v>
      </c>
      <c r="W15" s="1359">
        <v>0</v>
      </c>
      <c r="X15" s="1359">
        <v>0</v>
      </c>
      <c r="Y15" s="1359">
        <v>0</v>
      </c>
      <c r="Z15" s="1359">
        <v>0</v>
      </c>
      <c r="AA15" s="1359">
        <v>0</v>
      </c>
      <c r="AB15" s="1359">
        <v>0</v>
      </c>
      <c r="AC15" s="1359">
        <v>0</v>
      </c>
      <c r="AD15" s="1359">
        <v>0</v>
      </c>
      <c r="AE15" s="1359">
        <v>0</v>
      </c>
      <c r="AF15" s="1359">
        <v>0</v>
      </c>
      <c r="AG15" s="1359">
        <v>0</v>
      </c>
      <c r="AH15" s="1013">
        <f t="shared" si="1"/>
        <v>0</v>
      </c>
    </row>
    <row r="16" spans="1:34" ht="12">
      <c r="A16" s="573" t="s">
        <v>155</v>
      </c>
      <c r="B16" s="1359">
        <f t="shared" si="0"/>
        <v>0</v>
      </c>
      <c r="C16" s="1013">
        <v>0</v>
      </c>
      <c r="D16" s="1359">
        <v>0</v>
      </c>
      <c r="E16" s="1359">
        <v>0</v>
      </c>
      <c r="F16" s="1359">
        <v>0</v>
      </c>
      <c r="G16" s="1359">
        <v>0</v>
      </c>
      <c r="H16" s="1359">
        <v>0</v>
      </c>
      <c r="I16" s="1359">
        <v>0</v>
      </c>
      <c r="J16" s="1359">
        <v>0</v>
      </c>
      <c r="K16" s="1359">
        <v>0</v>
      </c>
      <c r="L16" s="1359">
        <v>0</v>
      </c>
      <c r="M16" s="1359">
        <v>0</v>
      </c>
      <c r="N16" s="1359">
        <v>0</v>
      </c>
      <c r="O16" s="1359">
        <v>0</v>
      </c>
      <c r="P16" s="1359">
        <v>0</v>
      </c>
      <c r="Q16" s="1359">
        <v>0</v>
      </c>
      <c r="R16" s="1359">
        <v>0</v>
      </c>
      <c r="S16" s="1359">
        <v>0</v>
      </c>
      <c r="T16" s="1359">
        <v>0</v>
      </c>
      <c r="U16" s="1359">
        <v>0</v>
      </c>
      <c r="V16" s="1359">
        <v>0</v>
      </c>
      <c r="W16" s="1359">
        <v>0</v>
      </c>
      <c r="X16" s="1359">
        <v>0</v>
      </c>
      <c r="Y16" s="1359">
        <v>0</v>
      </c>
      <c r="Z16" s="1359">
        <v>0</v>
      </c>
      <c r="AA16" s="1359">
        <v>0</v>
      </c>
      <c r="AB16" s="1359">
        <v>0</v>
      </c>
      <c r="AC16" s="1359">
        <v>0</v>
      </c>
      <c r="AD16" s="1359">
        <v>0</v>
      </c>
      <c r="AE16" s="1359">
        <v>0</v>
      </c>
      <c r="AF16" s="1359">
        <v>0</v>
      </c>
      <c r="AG16" s="1359">
        <v>0</v>
      </c>
      <c r="AH16" s="1013">
        <f t="shared" si="1"/>
        <v>0</v>
      </c>
    </row>
    <row r="17" spans="1:34" ht="12">
      <c r="A17" s="573" t="s">
        <v>156</v>
      </c>
      <c r="B17" s="1359">
        <f t="shared" si="0"/>
        <v>0</v>
      </c>
      <c r="C17" s="1013">
        <v>0</v>
      </c>
      <c r="D17" s="1359">
        <v>0</v>
      </c>
      <c r="E17" s="1359">
        <v>0</v>
      </c>
      <c r="F17" s="1359">
        <v>0</v>
      </c>
      <c r="G17" s="1359">
        <v>0</v>
      </c>
      <c r="H17" s="1359">
        <v>0</v>
      </c>
      <c r="I17" s="1359">
        <v>0</v>
      </c>
      <c r="J17" s="1359">
        <v>0</v>
      </c>
      <c r="K17" s="1359">
        <v>0</v>
      </c>
      <c r="L17" s="1359">
        <v>0</v>
      </c>
      <c r="M17" s="1359">
        <v>0</v>
      </c>
      <c r="N17" s="1359">
        <v>0</v>
      </c>
      <c r="O17" s="1359">
        <v>0</v>
      </c>
      <c r="P17" s="1359">
        <v>0</v>
      </c>
      <c r="Q17" s="1359">
        <v>0</v>
      </c>
      <c r="R17" s="1359">
        <v>0</v>
      </c>
      <c r="S17" s="1359">
        <v>0</v>
      </c>
      <c r="T17" s="1359">
        <v>0</v>
      </c>
      <c r="U17" s="1359">
        <v>0</v>
      </c>
      <c r="V17" s="1359">
        <v>0</v>
      </c>
      <c r="W17" s="1359">
        <v>0</v>
      </c>
      <c r="X17" s="1359">
        <v>0</v>
      </c>
      <c r="Y17" s="1359">
        <v>0</v>
      </c>
      <c r="Z17" s="1359">
        <v>0</v>
      </c>
      <c r="AA17" s="1359">
        <v>0</v>
      </c>
      <c r="AB17" s="1359">
        <v>0</v>
      </c>
      <c r="AC17" s="1359">
        <v>0</v>
      </c>
      <c r="AD17" s="1359">
        <v>0</v>
      </c>
      <c r="AE17" s="1359">
        <v>0</v>
      </c>
      <c r="AF17" s="1359">
        <v>0</v>
      </c>
      <c r="AG17" s="1359">
        <v>0</v>
      </c>
      <c r="AH17" s="1013">
        <f t="shared" si="1"/>
        <v>0</v>
      </c>
    </row>
    <row r="18" spans="1:34" ht="12">
      <c r="A18" s="580" t="s">
        <v>111</v>
      </c>
      <c r="B18" s="2165">
        <f>SUM(B6:B17)</f>
        <v>0.12</v>
      </c>
      <c r="C18" s="1088"/>
      <c r="D18" s="1088"/>
      <c r="E18" s="1088"/>
      <c r="F18" s="1088"/>
      <c r="G18" s="1088"/>
      <c r="H18" s="1088"/>
      <c r="I18" s="1088"/>
      <c r="J18" s="1088"/>
      <c r="K18" s="1088"/>
      <c r="L18" s="1088"/>
      <c r="M18" s="1088"/>
      <c r="N18" s="1088"/>
      <c r="O18" s="1088"/>
      <c r="P18" s="1088"/>
      <c r="Q18" s="1088"/>
      <c r="R18" s="1088"/>
      <c r="S18" s="1088"/>
      <c r="T18" s="1088"/>
      <c r="U18" s="1088"/>
      <c r="V18" s="1088"/>
      <c r="W18" s="1088"/>
      <c r="X18" s="1088"/>
      <c r="Y18" s="1088"/>
      <c r="Z18" s="1088"/>
      <c r="AA18" s="1088"/>
      <c r="AB18" s="1088"/>
      <c r="AC18" s="1088"/>
      <c r="AD18" s="1088"/>
      <c r="AE18" s="1088"/>
      <c r="AF18" s="1088"/>
      <c r="AG18" s="1088"/>
      <c r="AH18" s="2151">
        <f>SUM(AH6:AH17)</f>
        <v>0.12</v>
      </c>
    </row>
    <row r="20" spans="1:34" ht="12">
      <c r="A20" s="3864" t="s">
        <v>506</v>
      </c>
      <c r="B20" s="3865"/>
      <c r="C20" s="3866"/>
      <c r="D20" s="2482"/>
      <c r="E20" s="1427"/>
      <c r="F20" s="1427"/>
      <c r="G20" s="1427"/>
      <c r="H20" s="1427"/>
      <c r="I20" s="1427"/>
      <c r="J20" s="1427"/>
      <c r="K20" s="1427"/>
      <c r="L20" s="1427"/>
      <c r="M20" s="2145"/>
      <c r="N20" s="1427"/>
      <c r="O20" s="1427"/>
      <c r="P20" s="1427"/>
      <c r="Q20" s="1427"/>
      <c r="R20" s="1427"/>
      <c r="S20" s="1427"/>
      <c r="T20" s="1427"/>
      <c r="U20" s="1427"/>
      <c r="V20" s="1427"/>
      <c r="W20" s="1427"/>
      <c r="X20" s="1427"/>
      <c r="Y20" s="1427"/>
      <c r="Z20" s="1427"/>
      <c r="AA20" s="1427"/>
      <c r="AB20" s="1427"/>
      <c r="AC20" s="1427"/>
      <c r="AD20" s="1427"/>
      <c r="AE20" s="1427"/>
      <c r="AF20" s="1427"/>
      <c r="AG20" s="1427"/>
    </row>
    <row r="21" spans="1:34" ht="12">
      <c r="A21" s="572" t="s">
        <v>142</v>
      </c>
      <c r="B21" s="1754" t="s">
        <v>143</v>
      </c>
      <c r="C21" s="1083">
        <v>1</v>
      </c>
      <c r="D21" s="2147">
        <v>2</v>
      </c>
      <c r="E21" s="2147">
        <v>3</v>
      </c>
      <c r="F21" s="2147">
        <v>4</v>
      </c>
      <c r="G21" s="2147">
        <v>5</v>
      </c>
      <c r="H21" s="2147">
        <v>6</v>
      </c>
      <c r="I21" s="2147">
        <v>7</v>
      </c>
      <c r="J21" s="2147">
        <v>8</v>
      </c>
      <c r="K21" s="2147">
        <v>9</v>
      </c>
      <c r="L21" s="2147">
        <v>10</v>
      </c>
      <c r="M21" s="2147">
        <v>11</v>
      </c>
      <c r="N21" s="2147">
        <v>12</v>
      </c>
      <c r="O21" s="2147">
        <v>13</v>
      </c>
      <c r="P21" s="2147">
        <v>14</v>
      </c>
      <c r="Q21" s="2147">
        <v>15</v>
      </c>
      <c r="R21" s="2147">
        <v>16</v>
      </c>
      <c r="S21" s="2147">
        <v>17</v>
      </c>
      <c r="T21" s="2147">
        <v>18</v>
      </c>
      <c r="U21" s="2147">
        <v>19</v>
      </c>
      <c r="V21" s="2147">
        <v>20</v>
      </c>
      <c r="W21" s="2146">
        <v>21</v>
      </c>
      <c r="X21" s="2147">
        <v>22</v>
      </c>
      <c r="Y21" s="2147">
        <v>23</v>
      </c>
      <c r="Z21" s="2147">
        <v>24</v>
      </c>
      <c r="AA21" s="2147">
        <v>25</v>
      </c>
      <c r="AB21" s="2147">
        <v>26</v>
      </c>
      <c r="AC21" s="2147">
        <v>27</v>
      </c>
      <c r="AD21" s="2147">
        <v>28</v>
      </c>
      <c r="AE21" s="2147">
        <v>29</v>
      </c>
      <c r="AF21" s="2147">
        <v>30</v>
      </c>
      <c r="AG21" s="2147">
        <v>31</v>
      </c>
      <c r="AH21" s="2148" t="s">
        <v>111</v>
      </c>
    </row>
    <row r="22" spans="1:34" ht="12">
      <c r="A22" s="573" t="s">
        <v>145</v>
      </c>
      <c r="B22" s="1359">
        <f t="shared" ref="B22:B33" si="2">+AH22</f>
        <v>0</v>
      </c>
      <c r="C22" s="2149"/>
      <c r="D22" s="2149"/>
      <c r="E22" s="2149"/>
      <c r="F22" s="2149"/>
      <c r="G22" s="2149"/>
      <c r="H22" s="2149"/>
      <c r="I22" s="2149"/>
      <c r="J22" s="2149"/>
      <c r="K22" s="2149"/>
      <c r="L22" s="2149"/>
      <c r="M22" s="2149"/>
      <c r="N22" s="2149"/>
      <c r="O22" s="2149"/>
      <c r="P22" s="2149"/>
      <c r="Q22" s="2149"/>
      <c r="R22" s="2149"/>
      <c r="S22" s="2149"/>
      <c r="T22" s="2149"/>
      <c r="U22" s="2149"/>
      <c r="V22" s="2149"/>
      <c r="W22" s="2149"/>
      <c r="X22" s="2149"/>
      <c r="Y22" s="2149"/>
      <c r="Z22" s="2149"/>
      <c r="AA22" s="2149"/>
      <c r="AB22" s="2149"/>
      <c r="AC22" s="2149"/>
      <c r="AD22" s="2149"/>
      <c r="AE22" s="2149"/>
      <c r="AF22" s="2149"/>
      <c r="AG22" s="2149"/>
      <c r="AH22" s="1013">
        <f>SUM(C22:AG22)</f>
        <v>0</v>
      </c>
    </row>
    <row r="23" spans="1:34" ht="12">
      <c r="A23" s="573" t="s">
        <v>146</v>
      </c>
      <c r="B23" s="1359">
        <f t="shared" si="2"/>
        <v>0</v>
      </c>
      <c r="C23" s="2149"/>
      <c r="D23" s="2149"/>
      <c r="E23" s="2149"/>
      <c r="F23" s="2149"/>
      <c r="G23" s="2149"/>
      <c r="H23" s="2149"/>
      <c r="I23" s="2149"/>
      <c r="J23" s="2149"/>
      <c r="K23" s="2149"/>
      <c r="L23" s="2149"/>
      <c r="M23" s="2149"/>
      <c r="N23" s="2149"/>
      <c r="O23" s="2149"/>
      <c r="P23" s="2149"/>
      <c r="Q23" s="2149"/>
      <c r="R23" s="2149"/>
      <c r="S23" s="2149"/>
      <c r="T23" s="2149"/>
      <c r="U23" s="2149"/>
      <c r="V23" s="2149"/>
      <c r="W23" s="2149">
        <v>0</v>
      </c>
      <c r="X23" s="2149">
        <v>0</v>
      </c>
      <c r="Y23" s="2149">
        <v>0</v>
      </c>
      <c r="Z23" s="2149">
        <v>0</v>
      </c>
      <c r="AA23" s="2149">
        <v>0</v>
      </c>
      <c r="AB23" s="2149">
        <v>0</v>
      </c>
      <c r="AC23" s="2149">
        <v>0</v>
      </c>
      <c r="AD23" s="2149">
        <v>0</v>
      </c>
      <c r="AE23" s="2149">
        <v>0</v>
      </c>
      <c r="AF23" s="2149"/>
      <c r="AG23" s="2149"/>
      <c r="AH23" s="1013">
        <f t="shared" ref="AH23:AH33" si="3">SUM(C23:AG23)</f>
        <v>0</v>
      </c>
    </row>
    <row r="24" spans="1:34" ht="12">
      <c r="A24" s="573" t="s">
        <v>147</v>
      </c>
      <c r="B24" s="1359">
        <f t="shared" si="2"/>
        <v>0</v>
      </c>
      <c r="C24" s="2152">
        <v>0</v>
      </c>
      <c r="D24" s="2152">
        <v>0</v>
      </c>
      <c r="E24" s="2152">
        <v>0</v>
      </c>
      <c r="F24" s="2152">
        <v>0</v>
      </c>
      <c r="G24" s="2152">
        <v>0</v>
      </c>
      <c r="H24" s="2152">
        <v>0</v>
      </c>
      <c r="I24" s="2152">
        <v>0</v>
      </c>
      <c r="J24" s="2152">
        <v>0</v>
      </c>
      <c r="K24" s="2152">
        <v>0</v>
      </c>
      <c r="L24" s="2152">
        <v>0</v>
      </c>
      <c r="M24" s="2152">
        <v>0</v>
      </c>
      <c r="N24" s="2152">
        <v>0</v>
      </c>
      <c r="O24" s="2152">
        <v>0</v>
      </c>
      <c r="P24" s="2152">
        <v>0</v>
      </c>
      <c r="Q24" s="2152">
        <v>0</v>
      </c>
      <c r="R24" s="2152">
        <v>0</v>
      </c>
      <c r="S24" s="2152">
        <v>0</v>
      </c>
      <c r="T24" s="2152">
        <v>0</v>
      </c>
      <c r="U24" s="2152">
        <v>0</v>
      </c>
      <c r="V24" s="2152">
        <v>0</v>
      </c>
      <c r="W24" s="2152">
        <v>0</v>
      </c>
      <c r="X24" s="2152">
        <v>0</v>
      </c>
      <c r="Y24" s="2152">
        <v>0</v>
      </c>
      <c r="Z24" s="2152">
        <v>0</v>
      </c>
      <c r="AA24" s="2152">
        <v>0</v>
      </c>
      <c r="AB24" s="2152">
        <v>0</v>
      </c>
      <c r="AC24" s="2152">
        <v>0</v>
      </c>
      <c r="AD24" s="2152">
        <v>0</v>
      </c>
      <c r="AE24" s="2152">
        <v>0</v>
      </c>
      <c r="AF24" s="2152">
        <v>0</v>
      </c>
      <c r="AG24" s="2152">
        <v>0</v>
      </c>
      <c r="AH24" s="1013">
        <f t="shared" si="3"/>
        <v>0</v>
      </c>
    </row>
    <row r="25" spans="1:34" ht="12">
      <c r="A25" s="573" t="s">
        <v>148</v>
      </c>
      <c r="B25" s="1359">
        <f t="shared" si="2"/>
        <v>0</v>
      </c>
      <c r="C25" s="2153">
        <v>0</v>
      </c>
      <c r="D25" s="2153">
        <v>0</v>
      </c>
      <c r="E25" s="2153">
        <v>0</v>
      </c>
      <c r="F25" s="2153">
        <v>0</v>
      </c>
      <c r="G25" s="2153">
        <v>0</v>
      </c>
      <c r="H25" s="2153">
        <v>0</v>
      </c>
      <c r="I25" s="2153">
        <v>0</v>
      </c>
      <c r="J25" s="2153">
        <v>0</v>
      </c>
      <c r="K25" s="2153">
        <v>0</v>
      </c>
      <c r="L25" s="2152">
        <v>0</v>
      </c>
      <c r="M25" s="2152">
        <v>0</v>
      </c>
      <c r="N25" s="2152">
        <v>0</v>
      </c>
      <c r="O25" s="2152">
        <v>0</v>
      </c>
      <c r="P25" s="2152">
        <v>0</v>
      </c>
      <c r="Q25" s="2152">
        <v>0</v>
      </c>
      <c r="R25" s="2152">
        <v>0</v>
      </c>
      <c r="S25" s="2152">
        <v>0</v>
      </c>
      <c r="T25" s="2152">
        <v>0</v>
      </c>
      <c r="U25" s="2152">
        <v>0</v>
      </c>
      <c r="V25" s="2152">
        <v>0</v>
      </c>
      <c r="W25" s="2152">
        <v>0</v>
      </c>
      <c r="X25" s="2152">
        <v>0</v>
      </c>
      <c r="Y25" s="2152">
        <v>0</v>
      </c>
      <c r="Z25" s="2154">
        <v>0</v>
      </c>
      <c r="AA25" s="2152">
        <v>0</v>
      </c>
      <c r="AB25" s="2152">
        <v>0</v>
      </c>
      <c r="AC25" s="2152">
        <v>0</v>
      </c>
      <c r="AD25" s="2152">
        <v>0</v>
      </c>
      <c r="AE25" s="2152">
        <v>0</v>
      </c>
      <c r="AF25" s="2152">
        <v>0</v>
      </c>
      <c r="AG25" s="2152"/>
      <c r="AH25" s="1013">
        <f t="shared" si="3"/>
        <v>0</v>
      </c>
    </row>
    <row r="26" spans="1:34" ht="12">
      <c r="A26" s="573" t="s">
        <v>149</v>
      </c>
      <c r="B26" s="1359">
        <f t="shared" si="2"/>
        <v>0</v>
      </c>
      <c r="C26" s="2153">
        <v>0</v>
      </c>
      <c r="D26" s="2153">
        <v>0</v>
      </c>
      <c r="E26" s="2153">
        <v>0</v>
      </c>
      <c r="F26" s="2153">
        <v>0</v>
      </c>
      <c r="G26" s="2153">
        <v>0</v>
      </c>
      <c r="H26" s="2153">
        <v>0</v>
      </c>
      <c r="I26" s="2153">
        <v>0</v>
      </c>
      <c r="J26" s="2153">
        <v>0</v>
      </c>
      <c r="K26" s="2153">
        <v>0</v>
      </c>
      <c r="L26" s="2153">
        <v>0</v>
      </c>
      <c r="M26" s="2152">
        <v>0</v>
      </c>
      <c r="N26" s="2152">
        <v>0</v>
      </c>
      <c r="O26" s="2152">
        <v>0</v>
      </c>
      <c r="P26" s="2152">
        <v>0</v>
      </c>
      <c r="Q26" s="2152">
        <v>0</v>
      </c>
      <c r="R26" s="2152">
        <v>0</v>
      </c>
      <c r="S26" s="2152">
        <v>0</v>
      </c>
      <c r="T26" s="2152">
        <v>0</v>
      </c>
      <c r="U26" s="2152">
        <v>0</v>
      </c>
      <c r="V26" s="2152">
        <v>0</v>
      </c>
      <c r="W26" s="2152">
        <v>0</v>
      </c>
      <c r="X26" s="2152">
        <v>0</v>
      </c>
      <c r="Y26" s="2152">
        <v>0</v>
      </c>
      <c r="Z26" s="2152">
        <v>0</v>
      </c>
      <c r="AA26" s="2152">
        <v>0</v>
      </c>
      <c r="AB26" s="2152">
        <v>0</v>
      </c>
      <c r="AC26" s="2152">
        <v>0</v>
      </c>
      <c r="AD26" s="2152">
        <v>0</v>
      </c>
      <c r="AE26" s="2152">
        <v>0</v>
      </c>
      <c r="AF26" s="2152">
        <v>0</v>
      </c>
      <c r="AG26" s="2152">
        <v>0</v>
      </c>
      <c r="AH26" s="1013">
        <f t="shared" si="3"/>
        <v>0</v>
      </c>
    </row>
    <row r="27" spans="1:34" ht="12">
      <c r="A27" s="573" t="s">
        <v>150</v>
      </c>
      <c r="B27" s="1129">
        <f t="shared" si="2"/>
        <v>4.8000000000000001E-2</v>
      </c>
      <c r="C27" s="2153">
        <v>0</v>
      </c>
      <c r="D27" s="2152">
        <v>0</v>
      </c>
      <c r="E27" s="2152">
        <v>0</v>
      </c>
      <c r="F27" s="2152">
        <v>0</v>
      </c>
      <c r="G27" s="2152">
        <v>0</v>
      </c>
      <c r="H27" s="2152">
        <v>0</v>
      </c>
      <c r="I27" s="2152">
        <v>0</v>
      </c>
      <c r="J27" s="2152">
        <v>0</v>
      </c>
      <c r="K27" s="2152">
        <v>0</v>
      </c>
      <c r="L27" s="2152">
        <v>0</v>
      </c>
      <c r="M27" s="2152">
        <v>0</v>
      </c>
      <c r="N27" s="2152">
        <v>0</v>
      </c>
      <c r="O27" s="2152">
        <v>0</v>
      </c>
      <c r="P27" s="2152">
        <v>0</v>
      </c>
      <c r="Q27" s="2152">
        <v>0</v>
      </c>
      <c r="R27" s="2152">
        <v>0</v>
      </c>
      <c r="S27" s="2152">
        <v>0</v>
      </c>
      <c r="T27" s="2152">
        <v>0</v>
      </c>
      <c r="U27" s="2152">
        <v>4.8000000000000001E-2</v>
      </c>
      <c r="V27" s="2152">
        <v>0</v>
      </c>
      <c r="W27" s="2152">
        <v>0</v>
      </c>
      <c r="X27" s="2152">
        <v>0</v>
      </c>
      <c r="Y27" s="2152">
        <v>0</v>
      </c>
      <c r="Z27" s="2152">
        <v>0</v>
      </c>
      <c r="AA27" s="2152">
        <v>0</v>
      </c>
      <c r="AB27" s="2152">
        <v>0</v>
      </c>
      <c r="AC27" s="2152">
        <v>0</v>
      </c>
      <c r="AD27" s="2152">
        <v>0</v>
      </c>
      <c r="AE27" s="2152">
        <v>0</v>
      </c>
      <c r="AF27" s="2152">
        <v>0</v>
      </c>
      <c r="AG27" s="2152"/>
      <c r="AH27" s="1013">
        <f t="shared" si="3"/>
        <v>4.8000000000000001E-2</v>
      </c>
    </row>
    <row r="28" spans="1:34" ht="12">
      <c r="A28" s="573" t="s">
        <v>151</v>
      </c>
      <c r="B28" s="1359">
        <f t="shared" si="2"/>
        <v>0</v>
      </c>
      <c r="C28" s="2153">
        <v>0</v>
      </c>
      <c r="D28" s="2153">
        <v>0</v>
      </c>
      <c r="E28" s="2153">
        <v>0</v>
      </c>
      <c r="F28" s="2153">
        <v>0</v>
      </c>
      <c r="G28" s="2153">
        <v>0</v>
      </c>
      <c r="H28" s="2153">
        <v>0</v>
      </c>
      <c r="I28" s="2153">
        <v>0</v>
      </c>
      <c r="J28" s="2153">
        <v>0</v>
      </c>
      <c r="K28" s="2153">
        <v>0</v>
      </c>
      <c r="L28" s="2153">
        <v>0</v>
      </c>
      <c r="M28" s="2153">
        <v>0</v>
      </c>
      <c r="N28" s="2153">
        <v>0</v>
      </c>
      <c r="O28" s="2152">
        <v>0</v>
      </c>
      <c r="P28" s="2152">
        <v>0</v>
      </c>
      <c r="Q28" s="2152">
        <v>0</v>
      </c>
      <c r="R28" s="2152">
        <v>0</v>
      </c>
      <c r="S28" s="2152">
        <v>0</v>
      </c>
      <c r="T28" s="2152">
        <v>0</v>
      </c>
      <c r="U28" s="2152">
        <v>0</v>
      </c>
      <c r="V28" s="2152">
        <v>0</v>
      </c>
      <c r="W28" s="2152">
        <v>0</v>
      </c>
      <c r="X28" s="2152">
        <v>0</v>
      </c>
      <c r="Y28" s="2152">
        <v>0</v>
      </c>
      <c r="Z28" s="2152">
        <v>0</v>
      </c>
      <c r="AA28" s="2152">
        <v>0</v>
      </c>
      <c r="AB28" s="2152">
        <v>0</v>
      </c>
      <c r="AC28" s="2152">
        <v>0</v>
      </c>
      <c r="AD28" s="2152">
        <v>0</v>
      </c>
      <c r="AE28" s="2152">
        <v>0</v>
      </c>
      <c r="AF28" s="2152">
        <v>0</v>
      </c>
      <c r="AG28" s="2152">
        <v>0</v>
      </c>
      <c r="AH28" s="1013">
        <f t="shared" si="3"/>
        <v>0</v>
      </c>
    </row>
    <row r="29" spans="1:34" ht="12">
      <c r="A29" s="573" t="s">
        <v>152</v>
      </c>
      <c r="B29" s="1359">
        <f t="shared" si="2"/>
        <v>0</v>
      </c>
      <c r="C29" s="2152">
        <v>0</v>
      </c>
      <c r="D29" s="2152">
        <v>0</v>
      </c>
      <c r="E29" s="2152">
        <v>0</v>
      </c>
      <c r="F29" s="2152">
        <v>0</v>
      </c>
      <c r="G29" s="2152">
        <v>0</v>
      </c>
      <c r="H29" s="2152">
        <v>0</v>
      </c>
      <c r="I29" s="2152">
        <v>0</v>
      </c>
      <c r="J29" s="2152">
        <v>0</v>
      </c>
      <c r="K29" s="2152">
        <v>0</v>
      </c>
      <c r="L29" s="2152">
        <v>0</v>
      </c>
      <c r="M29" s="2152">
        <v>0</v>
      </c>
      <c r="N29" s="2152">
        <v>0</v>
      </c>
      <c r="O29" s="2152">
        <v>0</v>
      </c>
      <c r="P29" s="2152">
        <v>0</v>
      </c>
      <c r="Q29" s="2152">
        <v>0</v>
      </c>
      <c r="R29" s="2152">
        <v>0</v>
      </c>
      <c r="S29" s="2152">
        <v>0</v>
      </c>
      <c r="T29" s="2152">
        <v>0</v>
      </c>
      <c r="U29" s="2152">
        <v>0</v>
      </c>
      <c r="V29" s="2152">
        <v>0</v>
      </c>
      <c r="W29" s="2152">
        <v>0</v>
      </c>
      <c r="X29" s="2152">
        <v>0</v>
      </c>
      <c r="Y29" s="2152">
        <v>0</v>
      </c>
      <c r="Z29" s="2152">
        <v>0</v>
      </c>
      <c r="AA29" s="2152">
        <v>0</v>
      </c>
      <c r="AB29" s="2152">
        <v>0</v>
      </c>
      <c r="AC29" s="2152">
        <v>0</v>
      </c>
      <c r="AD29" s="2152">
        <v>0</v>
      </c>
      <c r="AE29" s="2152">
        <v>0</v>
      </c>
      <c r="AF29" s="2152">
        <v>0</v>
      </c>
      <c r="AG29" s="2152"/>
      <c r="AH29" s="1013">
        <f t="shared" si="3"/>
        <v>0</v>
      </c>
    </row>
    <row r="30" spans="1:34" ht="12">
      <c r="A30" s="573" t="s">
        <v>153</v>
      </c>
      <c r="B30" s="1359">
        <f t="shared" si="2"/>
        <v>0</v>
      </c>
      <c r="C30" s="2152">
        <v>0</v>
      </c>
      <c r="D30" s="2152">
        <v>0</v>
      </c>
      <c r="E30" s="2152">
        <v>0</v>
      </c>
      <c r="F30" s="2152">
        <v>0</v>
      </c>
      <c r="G30" s="2152">
        <v>0</v>
      </c>
      <c r="H30" s="2152">
        <v>0</v>
      </c>
      <c r="I30" s="2152">
        <v>0</v>
      </c>
      <c r="J30" s="2152">
        <v>0</v>
      </c>
      <c r="K30" s="2152">
        <v>0</v>
      </c>
      <c r="L30" s="2152">
        <v>0</v>
      </c>
      <c r="M30" s="2152">
        <v>0</v>
      </c>
      <c r="N30" s="2152">
        <v>0</v>
      </c>
      <c r="O30" s="2152">
        <v>0</v>
      </c>
      <c r="P30" s="2152">
        <v>0</v>
      </c>
      <c r="Q30" s="2152">
        <v>0</v>
      </c>
      <c r="R30" s="2152">
        <v>0</v>
      </c>
      <c r="S30" s="2152">
        <v>0</v>
      </c>
      <c r="T30" s="2152">
        <v>0</v>
      </c>
      <c r="U30" s="2152">
        <v>0</v>
      </c>
      <c r="V30" s="2152">
        <v>0</v>
      </c>
      <c r="W30" s="2152">
        <v>0</v>
      </c>
      <c r="X30" s="2152">
        <v>0</v>
      </c>
      <c r="Y30" s="2152">
        <v>0</v>
      </c>
      <c r="Z30" s="2152">
        <v>0</v>
      </c>
      <c r="AA30" s="2152">
        <v>0</v>
      </c>
      <c r="AB30" s="2152">
        <v>0</v>
      </c>
      <c r="AC30" s="2152">
        <v>0</v>
      </c>
      <c r="AD30" s="2152">
        <v>0</v>
      </c>
      <c r="AE30" s="2152">
        <v>0</v>
      </c>
      <c r="AF30" s="2152">
        <v>0</v>
      </c>
      <c r="AG30" s="2152"/>
      <c r="AH30" s="1013">
        <f t="shared" si="3"/>
        <v>0</v>
      </c>
    </row>
    <row r="31" spans="1:34" ht="12">
      <c r="A31" s="573" t="s">
        <v>154</v>
      </c>
      <c r="B31" s="1359">
        <f t="shared" si="2"/>
        <v>3.0800000000000001E-2</v>
      </c>
      <c r="C31" s="1086">
        <v>0</v>
      </c>
      <c r="D31" s="1087">
        <v>0</v>
      </c>
      <c r="E31" s="1087">
        <v>0</v>
      </c>
      <c r="F31" s="1087">
        <v>0</v>
      </c>
      <c r="G31" s="1087">
        <v>0</v>
      </c>
      <c r="H31" s="1087">
        <v>0</v>
      </c>
      <c r="I31" s="1087">
        <v>0</v>
      </c>
      <c r="J31" s="1087">
        <v>0</v>
      </c>
      <c r="K31" s="1087">
        <v>0</v>
      </c>
      <c r="L31" s="1087">
        <v>0</v>
      </c>
      <c r="M31" s="1087">
        <v>0</v>
      </c>
      <c r="N31" s="1087">
        <v>0</v>
      </c>
      <c r="O31" s="1087">
        <v>0</v>
      </c>
      <c r="P31" s="1087">
        <v>0</v>
      </c>
      <c r="Q31" s="1087">
        <v>0</v>
      </c>
      <c r="R31" s="1087">
        <v>0</v>
      </c>
      <c r="S31" s="1087">
        <v>0</v>
      </c>
      <c r="T31" s="1087">
        <v>0</v>
      </c>
      <c r="U31" s="1087">
        <v>0</v>
      </c>
      <c r="V31" s="1087">
        <v>0</v>
      </c>
      <c r="W31" s="1087">
        <v>0</v>
      </c>
      <c r="X31" s="1087">
        <v>0</v>
      </c>
      <c r="Y31" s="1087">
        <v>0</v>
      </c>
      <c r="Z31" s="1087">
        <v>0</v>
      </c>
      <c r="AA31" s="1087">
        <v>0</v>
      </c>
      <c r="AB31" s="1087">
        <v>0</v>
      </c>
      <c r="AC31" s="1087">
        <v>0</v>
      </c>
      <c r="AD31" s="1087">
        <v>0</v>
      </c>
      <c r="AE31" s="1087">
        <v>0</v>
      </c>
      <c r="AF31" s="1087">
        <v>0</v>
      </c>
      <c r="AG31" s="1087">
        <v>3.0800000000000001E-2</v>
      </c>
      <c r="AH31" s="1013">
        <f t="shared" si="3"/>
        <v>3.0800000000000001E-2</v>
      </c>
    </row>
    <row r="32" spans="1:34" ht="12">
      <c r="A32" s="573" t="s">
        <v>155</v>
      </c>
      <c r="B32" s="1359">
        <f t="shared" si="2"/>
        <v>0.3</v>
      </c>
      <c r="C32" s="1086">
        <v>0</v>
      </c>
      <c r="D32" s="1087">
        <v>0</v>
      </c>
      <c r="E32" s="1087">
        <v>0</v>
      </c>
      <c r="F32" s="1087">
        <v>0</v>
      </c>
      <c r="G32" s="1087">
        <v>0</v>
      </c>
      <c r="H32" s="1087">
        <v>0</v>
      </c>
      <c r="I32" s="1087">
        <v>0.3</v>
      </c>
      <c r="J32" s="1087">
        <v>0</v>
      </c>
      <c r="K32" s="1087">
        <v>0</v>
      </c>
      <c r="L32" s="1087">
        <v>0</v>
      </c>
      <c r="M32" s="1087">
        <v>0</v>
      </c>
      <c r="N32" s="1087">
        <v>0</v>
      </c>
      <c r="O32" s="1087">
        <v>0</v>
      </c>
      <c r="P32" s="1087">
        <v>0</v>
      </c>
      <c r="Q32" s="1087">
        <v>0</v>
      </c>
      <c r="R32" s="1087">
        <v>0</v>
      </c>
      <c r="S32" s="1087">
        <v>0</v>
      </c>
      <c r="T32" s="1087">
        <v>0</v>
      </c>
      <c r="U32" s="1087">
        <v>0</v>
      </c>
      <c r="V32" s="1087"/>
      <c r="W32" s="1087"/>
      <c r="X32" s="1087"/>
      <c r="Y32" s="1087"/>
      <c r="Z32" s="1087"/>
      <c r="AA32" s="1087"/>
      <c r="AB32" s="1087"/>
      <c r="AC32" s="1087"/>
      <c r="AD32" s="1087"/>
      <c r="AE32" s="1087"/>
      <c r="AF32" s="1087"/>
      <c r="AG32" s="1087"/>
      <c r="AH32" s="1013">
        <f t="shared" si="3"/>
        <v>0.3</v>
      </c>
    </row>
    <row r="33" spans="1:34" ht="12">
      <c r="A33" s="573" t="s">
        <v>156</v>
      </c>
      <c r="B33" s="1359">
        <f t="shared" si="2"/>
        <v>0</v>
      </c>
      <c r="C33" s="1086"/>
      <c r="D33" s="1087"/>
      <c r="E33" s="1087"/>
      <c r="F33" s="1087"/>
      <c r="G33" s="1087"/>
      <c r="H33" s="1087"/>
      <c r="I33" s="1087"/>
      <c r="J33" s="1087"/>
      <c r="K33" s="1087"/>
      <c r="L33" s="1087"/>
      <c r="M33" s="1087"/>
      <c r="N33" s="1087"/>
      <c r="O33" s="1087"/>
      <c r="P33" s="1087"/>
      <c r="Q33" s="1087"/>
      <c r="R33" s="1087"/>
      <c r="S33" s="1087"/>
      <c r="T33" s="1087"/>
      <c r="U33" s="1087"/>
      <c r="V33" s="1087"/>
      <c r="W33" s="1087"/>
      <c r="X33" s="1087"/>
      <c r="Y33" s="1087"/>
      <c r="Z33" s="1087"/>
      <c r="AA33" s="1087"/>
      <c r="AB33" s="1087"/>
      <c r="AC33" s="1087"/>
      <c r="AD33" s="1087"/>
      <c r="AE33" s="1087"/>
      <c r="AF33" s="1087"/>
      <c r="AG33" s="1087"/>
      <c r="AH33" s="1013">
        <f t="shared" si="3"/>
        <v>0</v>
      </c>
    </row>
    <row r="34" spans="1:34" ht="12">
      <c r="A34" s="580" t="s">
        <v>111</v>
      </c>
      <c r="B34" s="2165">
        <f>SUM(B22:B33)</f>
        <v>0.37880000000000003</v>
      </c>
      <c r="C34" s="1088"/>
      <c r="D34" s="1088"/>
      <c r="E34" s="1088"/>
      <c r="F34" s="1088"/>
      <c r="G34" s="1088"/>
      <c r="H34" s="1088"/>
      <c r="I34" s="1088"/>
      <c r="J34" s="1088"/>
      <c r="K34" s="1088"/>
      <c r="L34" s="1088"/>
      <c r="M34" s="1088"/>
      <c r="N34" s="1088"/>
      <c r="O34" s="1088"/>
      <c r="P34" s="1088"/>
      <c r="Q34" s="1088"/>
      <c r="R34" s="1088"/>
      <c r="S34" s="1088"/>
      <c r="T34" s="1088"/>
      <c r="U34" s="1088"/>
      <c r="V34" s="1088"/>
      <c r="W34" s="1088"/>
      <c r="X34" s="1088"/>
      <c r="Y34" s="1088"/>
      <c r="Z34" s="1088"/>
      <c r="AA34" s="1088"/>
      <c r="AB34" s="1088"/>
      <c r="AC34" s="1088"/>
      <c r="AD34" s="1088"/>
      <c r="AE34" s="1088"/>
      <c r="AF34" s="1088"/>
      <c r="AG34" s="1088"/>
      <c r="AH34" s="2151">
        <f>SUM(AH22:AH33)</f>
        <v>0.37880000000000003</v>
      </c>
    </row>
    <row r="36" spans="1:34" ht="12">
      <c r="A36" s="3864" t="s">
        <v>507</v>
      </c>
      <c r="B36" s="3865"/>
      <c r="C36" s="3866"/>
      <c r="D36" s="1427"/>
      <c r="E36" s="1427"/>
      <c r="F36" s="1427"/>
      <c r="G36" s="1427"/>
      <c r="H36" s="1427"/>
      <c r="I36" s="1427"/>
      <c r="J36" s="1427"/>
      <c r="K36" s="1427"/>
      <c r="L36" s="1427"/>
      <c r="M36" s="2145"/>
      <c r="N36" s="1427"/>
      <c r="O36" s="1427"/>
      <c r="P36" s="1427"/>
      <c r="Q36" s="1427"/>
      <c r="R36" s="1427"/>
      <c r="S36" s="1427"/>
      <c r="T36" s="1427"/>
      <c r="U36" s="1427"/>
      <c r="V36" s="1427"/>
      <c r="W36" s="1427"/>
      <c r="X36" s="1427"/>
      <c r="Y36" s="1427"/>
      <c r="Z36" s="1427"/>
      <c r="AA36" s="1427"/>
      <c r="AB36" s="1427"/>
      <c r="AC36" s="1427"/>
      <c r="AD36" s="1427"/>
      <c r="AE36" s="1427"/>
      <c r="AF36" s="1427"/>
      <c r="AG36" s="1427"/>
    </row>
    <row r="37" spans="1:34" ht="12">
      <c r="A37" s="572" t="s">
        <v>142</v>
      </c>
      <c r="B37" s="1754" t="s">
        <v>143</v>
      </c>
      <c r="C37" s="2146">
        <v>1</v>
      </c>
      <c r="D37" s="2147">
        <v>2</v>
      </c>
      <c r="E37" s="2147">
        <v>3</v>
      </c>
      <c r="F37" s="2147">
        <v>4</v>
      </c>
      <c r="G37" s="2147">
        <v>5</v>
      </c>
      <c r="H37" s="2147">
        <v>6</v>
      </c>
      <c r="I37" s="2147">
        <v>7</v>
      </c>
      <c r="J37" s="2147">
        <v>8</v>
      </c>
      <c r="K37" s="2147">
        <v>9</v>
      </c>
      <c r="L37" s="2147">
        <v>10</v>
      </c>
      <c r="M37" s="2147">
        <v>11</v>
      </c>
      <c r="N37" s="2147">
        <v>12</v>
      </c>
      <c r="O37" s="2147">
        <v>13</v>
      </c>
      <c r="P37" s="2147">
        <v>14</v>
      </c>
      <c r="Q37" s="2147">
        <v>15</v>
      </c>
      <c r="R37" s="2147">
        <v>16</v>
      </c>
      <c r="S37" s="2147">
        <v>17</v>
      </c>
      <c r="T37" s="2147">
        <v>18</v>
      </c>
      <c r="U37" s="2147">
        <v>19</v>
      </c>
      <c r="V37" s="2147">
        <v>20</v>
      </c>
      <c r="W37" s="2146">
        <v>21</v>
      </c>
      <c r="X37" s="2147">
        <v>22</v>
      </c>
      <c r="Y37" s="2147">
        <v>23</v>
      </c>
      <c r="Z37" s="2147">
        <v>24</v>
      </c>
      <c r="AA37" s="2147">
        <v>25</v>
      </c>
      <c r="AB37" s="2147">
        <v>26</v>
      </c>
      <c r="AC37" s="2147">
        <v>27</v>
      </c>
      <c r="AD37" s="2147">
        <v>28</v>
      </c>
      <c r="AE37" s="2147">
        <v>29</v>
      </c>
      <c r="AF37" s="2147">
        <v>30</v>
      </c>
      <c r="AG37" s="2147">
        <v>31</v>
      </c>
      <c r="AH37" s="2148" t="s">
        <v>111</v>
      </c>
    </row>
    <row r="38" spans="1:34" ht="12">
      <c r="A38" s="573" t="s">
        <v>145</v>
      </c>
      <c r="B38" s="1359">
        <f t="shared" ref="B38:B49" si="4">+AH38</f>
        <v>0</v>
      </c>
      <c r="C38" s="2149"/>
      <c r="E38" s="2149"/>
      <c r="F38" s="2149"/>
      <c r="G38" s="2149"/>
      <c r="H38" s="2149"/>
      <c r="I38" s="2149"/>
      <c r="J38" s="2149"/>
      <c r="K38" s="2149"/>
      <c r="L38" s="2149"/>
      <c r="M38" s="2149"/>
      <c r="N38" s="2149"/>
      <c r="O38" s="2149"/>
      <c r="P38" s="2149"/>
      <c r="Q38" s="2149"/>
      <c r="R38" s="2149"/>
      <c r="S38" s="2149"/>
      <c r="T38" s="2149"/>
      <c r="U38" s="2149"/>
      <c r="V38" s="2149"/>
      <c r="W38" s="2149"/>
      <c r="X38" s="2149"/>
      <c r="Y38" s="2149"/>
      <c r="Z38" s="2149"/>
      <c r="AA38" s="2149"/>
      <c r="AB38" s="2149"/>
      <c r="AC38" s="2149"/>
      <c r="AD38" s="2149"/>
      <c r="AE38" s="2149"/>
      <c r="AF38" s="2149"/>
      <c r="AG38" s="2149"/>
      <c r="AH38" s="1013">
        <f>SUM(C38:AG38)</f>
        <v>0</v>
      </c>
    </row>
    <row r="39" spans="1:34" ht="12">
      <c r="A39" s="573" t="s">
        <v>146</v>
      </c>
      <c r="B39" s="1359">
        <f t="shared" si="4"/>
        <v>0</v>
      </c>
      <c r="C39" s="2149"/>
      <c r="D39" s="2149"/>
      <c r="E39" s="2149"/>
      <c r="F39" s="2149"/>
      <c r="G39" s="2149"/>
      <c r="H39" s="2149"/>
      <c r="I39" s="2149"/>
      <c r="J39" s="2149"/>
      <c r="K39" s="2149"/>
      <c r="L39" s="2149"/>
      <c r="M39" s="2149"/>
      <c r="N39" s="2149"/>
      <c r="O39" s="2149"/>
      <c r="P39" s="2149"/>
      <c r="Q39" s="2149"/>
      <c r="R39" s="2149"/>
      <c r="S39" s="2149"/>
      <c r="T39" s="2149"/>
      <c r="U39" s="2149"/>
      <c r="V39" s="2149"/>
      <c r="W39" s="2149"/>
      <c r="X39" s="2149"/>
      <c r="Y39" s="2149"/>
      <c r="Z39" s="2149"/>
      <c r="AA39" s="2149"/>
      <c r="AB39" s="2149"/>
      <c r="AC39" s="2149"/>
      <c r="AD39" s="2149"/>
      <c r="AE39" s="2149"/>
      <c r="AF39" s="2149"/>
      <c r="AG39" s="2149"/>
      <c r="AH39" s="1013">
        <f t="shared" ref="AH39:AH49" si="5">SUM(C39:AG39)</f>
        <v>0</v>
      </c>
    </row>
    <row r="40" spans="1:34" ht="12">
      <c r="A40" s="573" t="s">
        <v>147</v>
      </c>
      <c r="B40" s="1359">
        <f t="shared" si="4"/>
        <v>0</v>
      </c>
      <c r="C40" s="2149"/>
      <c r="D40" s="2149"/>
      <c r="E40" s="2149"/>
      <c r="F40" s="2149"/>
      <c r="G40" s="2149"/>
      <c r="H40" s="2149"/>
      <c r="I40" s="2149"/>
      <c r="J40" s="2149"/>
      <c r="K40" s="2149"/>
      <c r="L40" s="2149"/>
      <c r="M40" s="2149"/>
      <c r="N40" s="2149"/>
      <c r="O40" s="2149"/>
      <c r="P40" s="2149"/>
      <c r="Q40" s="2149"/>
      <c r="R40" s="2149"/>
      <c r="S40" s="2149"/>
      <c r="T40" s="2149"/>
      <c r="U40" s="2149"/>
      <c r="V40" s="2149"/>
      <c r="W40" s="2149"/>
      <c r="X40" s="2149"/>
      <c r="Y40" s="2149"/>
      <c r="Z40" s="2149"/>
      <c r="AA40" s="2149"/>
      <c r="AB40" s="2149"/>
      <c r="AC40" s="2149"/>
      <c r="AD40" s="2149"/>
      <c r="AE40" s="2149"/>
      <c r="AF40" s="2149"/>
      <c r="AG40" s="2149"/>
      <c r="AH40" s="1013">
        <f t="shared" si="5"/>
        <v>0</v>
      </c>
    </row>
    <row r="41" spans="1:34" ht="12">
      <c r="A41" s="573" t="s">
        <v>148</v>
      </c>
      <c r="B41" s="1359">
        <f t="shared" si="4"/>
        <v>0.41</v>
      </c>
      <c r="C41" s="1086"/>
      <c r="D41" s="1087"/>
      <c r="E41" s="1087"/>
      <c r="F41" s="1087"/>
      <c r="G41" s="1087"/>
      <c r="H41" s="1087"/>
      <c r="I41" s="1087"/>
      <c r="J41" s="1087"/>
      <c r="K41" s="1087"/>
      <c r="L41" s="1087"/>
      <c r="M41" s="1087"/>
      <c r="N41" s="1087"/>
      <c r="O41" s="1087"/>
      <c r="P41" s="1087"/>
      <c r="Q41" s="1087"/>
      <c r="R41" s="1087"/>
      <c r="S41" s="1087"/>
      <c r="T41" s="1087"/>
      <c r="U41" s="1087"/>
      <c r="V41" s="1087"/>
      <c r="W41" s="1087"/>
      <c r="X41" s="1087"/>
      <c r="Y41" s="1087"/>
      <c r="Z41" s="1087"/>
      <c r="AA41" s="1087"/>
      <c r="AB41" s="1087"/>
      <c r="AC41" s="1087"/>
      <c r="AD41" s="1087"/>
      <c r="AE41" s="1087"/>
      <c r="AF41" s="1087">
        <v>0.41</v>
      </c>
      <c r="AG41" s="1087"/>
      <c r="AH41" s="1013">
        <f t="shared" si="5"/>
        <v>0.41</v>
      </c>
    </row>
    <row r="42" spans="1:34" ht="12">
      <c r="A42" s="573" t="s">
        <v>149</v>
      </c>
      <c r="B42" s="1359">
        <f t="shared" si="4"/>
        <v>0.2</v>
      </c>
      <c r="C42" s="1086"/>
      <c r="D42" s="1087"/>
      <c r="E42" s="1087"/>
      <c r="F42" s="1087"/>
      <c r="G42" s="2149"/>
      <c r="H42" s="1087"/>
      <c r="I42" s="1087"/>
      <c r="J42" s="1087"/>
      <c r="K42" s="1087"/>
      <c r="L42" s="1087"/>
      <c r="M42" s="1087"/>
      <c r="N42" s="1087"/>
      <c r="O42" s="1087"/>
      <c r="P42" s="1087"/>
      <c r="Q42" s="1087"/>
      <c r="R42" s="1087"/>
      <c r="S42" s="1087"/>
      <c r="T42" s="1087"/>
      <c r="U42" s="1087"/>
      <c r="V42" s="1087"/>
      <c r="W42" s="1087"/>
      <c r="X42" s="1087"/>
      <c r="Y42" s="1087"/>
      <c r="Z42" s="1087"/>
      <c r="AA42" s="1087"/>
      <c r="AB42" s="1087"/>
      <c r="AC42" s="1087"/>
      <c r="AD42" s="1087"/>
      <c r="AE42" s="1087"/>
      <c r="AF42" s="1087">
        <v>0.2</v>
      </c>
      <c r="AG42" s="1087"/>
      <c r="AH42" s="1013">
        <f t="shared" si="5"/>
        <v>0.2</v>
      </c>
    </row>
    <row r="43" spans="1:34" ht="12">
      <c r="A43" s="573" t="s">
        <v>150</v>
      </c>
      <c r="B43" s="1359">
        <f t="shared" si="4"/>
        <v>0.1</v>
      </c>
      <c r="C43" s="1086"/>
      <c r="D43" s="1087"/>
      <c r="E43" s="1087"/>
      <c r="F43" s="1087"/>
      <c r="G43" s="1087"/>
      <c r="H43" s="1087"/>
      <c r="I43" s="1087"/>
      <c r="J43" s="1087"/>
      <c r="K43" s="1087"/>
      <c r="L43" s="1087"/>
      <c r="M43" s="1087"/>
      <c r="N43" s="1087"/>
      <c r="O43" s="1087"/>
      <c r="P43" s="1087"/>
      <c r="Q43" s="1087"/>
      <c r="R43" s="1087"/>
      <c r="S43" s="1087"/>
      <c r="T43" s="1087"/>
      <c r="U43" s="1087"/>
      <c r="V43" s="1087"/>
      <c r="W43" s="1087"/>
      <c r="X43" s="1087"/>
      <c r="Y43" s="1087"/>
      <c r="Z43" s="1087"/>
      <c r="AA43" s="1087"/>
      <c r="AB43" s="1087"/>
      <c r="AC43" s="1087"/>
      <c r="AD43" s="1087"/>
      <c r="AE43" s="1087"/>
      <c r="AF43" s="1087">
        <v>0.1</v>
      </c>
      <c r="AG43" s="1087"/>
      <c r="AH43" s="1013">
        <f t="shared" si="5"/>
        <v>0.1</v>
      </c>
    </row>
    <row r="44" spans="1:34" ht="12">
      <c r="A44" s="573" t="s">
        <v>151</v>
      </c>
      <c r="B44" s="1359">
        <f t="shared" si="4"/>
        <v>0.1</v>
      </c>
      <c r="C44" s="1086"/>
      <c r="D44" s="1087"/>
      <c r="E44" s="1087"/>
      <c r="F44" s="1087"/>
      <c r="G44" s="1087"/>
      <c r="H44" s="1087"/>
      <c r="I44" s="1087"/>
      <c r="J44" s="1087"/>
      <c r="K44" s="1087"/>
      <c r="L44" s="1087"/>
      <c r="M44" s="1087"/>
      <c r="N44" s="1087"/>
      <c r="O44" s="1087"/>
      <c r="P44" s="1087"/>
      <c r="Q44" s="1087"/>
      <c r="R44" s="1087"/>
      <c r="S44" s="1087"/>
      <c r="T44" s="1087"/>
      <c r="U44" s="1087"/>
      <c r="V44" s="1087"/>
      <c r="W44" s="1087"/>
      <c r="X44" s="1087"/>
      <c r="Y44" s="1087"/>
      <c r="Z44" s="1087"/>
      <c r="AA44" s="1087"/>
      <c r="AB44" s="1087"/>
      <c r="AC44" s="1087"/>
      <c r="AD44" s="1087"/>
      <c r="AE44" s="1087"/>
      <c r="AF44" s="1087">
        <v>0.1</v>
      </c>
      <c r="AG44" s="1087"/>
      <c r="AH44" s="1013">
        <f t="shared" si="5"/>
        <v>0.1</v>
      </c>
    </row>
    <row r="45" spans="1:34" ht="12">
      <c r="A45" s="573" t="s">
        <v>152</v>
      </c>
      <c r="B45" s="1359">
        <f t="shared" si="4"/>
        <v>0</v>
      </c>
      <c r="C45" s="1086"/>
      <c r="D45" s="1087"/>
      <c r="E45" s="1087"/>
      <c r="F45" s="1087"/>
      <c r="G45" s="1087"/>
      <c r="H45" s="1087"/>
      <c r="I45" s="1087"/>
      <c r="J45" s="1087"/>
      <c r="K45" s="1087"/>
      <c r="L45" s="1087"/>
      <c r="M45" s="1087"/>
      <c r="N45" s="1087"/>
      <c r="O45" s="1087"/>
      <c r="P45" s="1087"/>
      <c r="Q45" s="1087"/>
      <c r="R45" s="1087"/>
      <c r="S45" s="1087"/>
      <c r="T45" s="1087"/>
      <c r="U45" s="1087"/>
      <c r="V45" s="1087"/>
      <c r="W45" s="1087"/>
      <c r="X45" s="1087"/>
      <c r="Y45" s="1087"/>
      <c r="Z45" s="1087"/>
      <c r="AA45" s="1087"/>
      <c r="AB45" s="1087"/>
      <c r="AC45" s="1087"/>
      <c r="AD45" s="1087"/>
      <c r="AE45" s="1087"/>
      <c r="AF45" s="1087"/>
      <c r="AG45" s="1087"/>
      <c r="AH45" s="1013">
        <f t="shared" si="5"/>
        <v>0</v>
      </c>
    </row>
    <row r="46" spans="1:34" ht="12">
      <c r="A46" s="573" t="s">
        <v>153</v>
      </c>
      <c r="B46" s="1359">
        <f t="shared" si="4"/>
        <v>0</v>
      </c>
      <c r="C46" s="1086"/>
      <c r="D46" s="1087"/>
      <c r="E46" s="1087"/>
      <c r="F46" s="1087"/>
      <c r="G46" s="1087"/>
      <c r="H46" s="1087"/>
      <c r="I46" s="1087"/>
      <c r="J46" s="1087"/>
      <c r="K46" s="1087"/>
      <c r="L46" s="1087"/>
      <c r="M46" s="1087"/>
      <c r="N46" s="1087"/>
      <c r="O46" s="1087"/>
      <c r="P46" s="1087"/>
      <c r="Q46" s="1087"/>
      <c r="R46" s="1087"/>
      <c r="S46" s="1087"/>
      <c r="T46" s="1087"/>
      <c r="U46" s="1087"/>
      <c r="V46" s="1087"/>
      <c r="W46" s="1087"/>
      <c r="X46" s="1087"/>
      <c r="Y46" s="1087"/>
      <c r="Z46" s="1087"/>
      <c r="AA46" s="1087"/>
      <c r="AB46" s="1087"/>
      <c r="AC46" s="1087"/>
      <c r="AD46" s="1087"/>
      <c r="AE46" s="1087"/>
      <c r="AF46" s="1087"/>
      <c r="AG46" s="1087"/>
      <c r="AH46" s="1013">
        <f t="shared" si="5"/>
        <v>0</v>
      </c>
    </row>
    <row r="47" spans="1:34" ht="12">
      <c r="A47" s="573" t="s">
        <v>154</v>
      </c>
      <c r="B47" s="1359">
        <f t="shared" si="4"/>
        <v>0</v>
      </c>
      <c r="C47" s="1086"/>
      <c r="D47" s="1087"/>
      <c r="E47" s="1087"/>
      <c r="F47" s="1087"/>
      <c r="G47" s="1087"/>
      <c r="H47" s="1087"/>
      <c r="I47" s="1087"/>
      <c r="J47" s="1087"/>
      <c r="K47" s="1087"/>
      <c r="L47" s="1087"/>
      <c r="M47" s="1087"/>
      <c r="N47" s="1087"/>
      <c r="O47" s="1087"/>
      <c r="P47" s="1087"/>
      <c r="Q47" s="1087"/>
      <c r="R47" s="1087"/>
      <c r="S47" s="1087"/>
      <c r="T47" s="1087"/>
      <c r="U47" s="1087"/>
      <c r="V47" s="1087"/>
      <c r="W47" s="1087"/>
      <c r="X47" s="1087"/>
      <c r="Y47" s="1087"/>
      <c r="Z47" s="1087"/>
      <c r="AA47" s="1087"/>
      <c r="AB47" s="1087"/>
      <c r="AC47" s="1087"/>
      <c r="AD47" s="1087"/>
      <c r="AE47" s="1087"/>
      <c r="AF47" s="1087"/>
      <c r="AG47" s="1087"/>
      <c r="AH47" s="1013">
        <f t="shared" si="5"/>
        <v>0</v>
      </c>
    </row>
    <row r="48" spans="1:34" ht="12">
      <c r="A48" s="573" t="s">
        <v>155</v>
      </c>
      <c r="B48" s="1359">
        <f t="shared" si="4"/>
        <v>10.19</v>
      </c>
      <c r="C48" s="3137">
        <v>10.19</v>
      </c>
      <c r="D48" s="1087"/>
      <c r="E48" s="1087"/>
      <c r="F48" s="1087"/>
      <c r="G48" s="1087"/>
      <c r="H48" s="1087"/>
      <c r="I48" s="1087"/>
      <c r="J48" s="1087"/>
      <c r="K48" s="1087"/>
      <c r="L48" s="1087"/>
      <c r="M48" s="1087"/>
      <c r="N48" s="1087"/>
      <c r="O48" s="1087"/>
      <c r="P48" s="1087"/>
      <c r="Q48" s="1087"/>
      <c r="R48" s="1087"/>
      <c r="S48" s="1087"/>
      <c r="T48" s="1087"/>
      <c r="U48" s="1087"/>
      <c r="V48" s="1087"/>
      <c r="W48" s="1087"/>
      <c r="X48" s="1087"/>
      <c r="Y48" s="1087"/>
      <c r="Z48" s="1087"/>
      <c r="AA48" s="1087"/>
      <c r="AB48" s="1087"/>
      <c r="AC48" s="1087"/>
      <c r="AD48" s="1087"/>
      <c r="AE48" s="1087"/>
      <c r="AF48" s="1087"/>
      <c r="AG48" s="1087"/>
      <c r="AH48" s="1013">
        <f t="shared" si="5"/>
        <v>10.19</v>
      </c>
    </row>
    <row r="49" spans="1:34" ht="12">
      <c r="A49" s="573" t="s">
        <v>156</v>
      </c>
      <c r="B49" s="1359">
        <f t="shared" si="4"/>
        <v>0</v>
      </c>
      <c r="C49" s="1086"/>
      <c r="D49" s="1087"/>
      <c r="E49" s="1087"/>
      <c r="F49" s="1087"/>
      <c r="G49" s="1087"/>
      <c r="H49" s="1087"/>
      <c r="I49" s="1087"/>
      <c r="J49" s="1087"/>
      <c r="K49" s="1087"/>
      <c r="L49" s="1087"/>
      <c r="M49" s="1087"/>
      <c r="N49" s="1087"/>
      <c r="O49" s="1087"/>
      <c r="P49" s="1087"/>
      <c r="Q49" s="1087"/>
      <c r="R49" s="1087"/>
      <c r="S49" s="1087"/>
      <c r="T49" s="1087"/>
      <c r="U49" s="1087"/>
      <c r="V49" s="1087"/>
      <c r="W49" s="1087"/>
      <c r="X49" s="1087"/>
      <c r="Y49" s="1087"/>
      <c r="Z49" s="1087"/>
      <c r="AA49" s="1087"/>
      <c r="AB49" s="1087"/>
      <c r="AC49" s="1087"/>
      <c r="AD49" s="1087"/>
      <c r="AE49" s="1087"/>
      <c r="AF49" s="1087"/>
      <c r="AG49" s="1087"/>
      <c r="AH49" s="1013">
        <f t="shared" si="5"/>
        <v>0</v>
      </c>
    </row>
    <row r="50" spans="1:34" ht="12">
      <c r="A50" s="580" t="s">
        <v>111</v>
      </c>
      <c r="B50" s="2150">
        <f>SUM(B38:B49)</f>
        <v>11</v>
      </c>
      <c r="C50" s="1088"/>
      <c r="D50" s="1088"/>
      <c r="E50" s="1088"/>
      <c r="F50" s="1088"/>
      <c r="G50" s="1088"/>
      <c r="H50" s="1088"/>
      <c r="I50" s="1088"/>
      <c r="J50" s="1088"/>
      <c r="K50" s="1088"/>
      <c r="L50" s="1088"/>
      <c r="M50" s="1088"/>
      <c r="N50" s="1088"/>
      <c r="O50" s="1088"/>
      <c r="P50" s="1088"/>
      <c r="Q50" s="1088"/>
      <c r="R50" s="1088"/>
      <c r="S50" s="1088"/>
      <c r="T50" s="1088"/>
      <c r="U50" s="1088"/>
      <c r="V50" s="1088"/>
      <c r="W50" s="1088"/>
      <c r="X50" s="1088"/>
      <c r="Y50" s="1088"/>
      <c r="Z50" s="1088"/>
      <c r="AA50" s="1088"/>
      <c r="AB50" s="1088"/>
      <c r="AC50" s="1088"/>
      <c r="AD50" s="1088"/>
      <c r="AE50" s="1088"/>
      <c r="AF50" s="1088"/>
      <c r="AG50" s="1088"/>
      <c r="AH50" s="2151">
        <f>SUM(AH38:AH49)</f>
        <v>11</v>
      </c>
    </row>
    <row r="52" spans="1:34" ht="12">
      <c r="A52" s="3864" t="s">
        <v>508</v>
      </c>
      <c r="B52" s="3865"/>
      <c r="C52" s="3866"/>
      <c r="D52" s="1427"/>
      <c r="E52" s="1427"/>
      <c r="F52" s="1427"/>
      <c r="G52" s="1427"/>
      <c r="H52" s="1427"/>
      <c r="I52" s="1427"/>
      <c r="J52" s="1427"/>
      <c r="K52" s="1427"/>
      <c r="L52" s="1427"/>
      <c r="M52" s="2145"/>
      <c r="N52" s="1427"/>
      <c r="O52" s="1427"/>
      <c r="P52" s="1427"/>
      <c r="Q52" s="1427"/>
      <c r="R52" s="1427"/>
      <c r="S52" s="1427"/>
      <c r="T52" s="1427"/>
      <c r="U52" s="1427"/>
      <c r="V52" s="1427"/>
      <c r="W52" s="1427"/>
      <c r="X52" s="1427"/>
      <c r="Y52" s="1427"/>
      <c r="Z52" s="1427"/>
      <c r="AA52" s="1427"/>
      <c r="AB52" s="1427"/>
      <c r="AC52" s="1427"/>
      <c r="AD52" s="1427"/>
      <c r="AE52" s="1427"/>
      <c r="AF52" s="1427"/>
      <c r="AG52" s="1427"/>
    </row>
    <row r="53" spans="1:34" ht="12">
      <c r="A53" s="572" t="s">
        <v>142</v>
      </c>
      <c r="B53" s="1754" t="s">
        <v>143</v>
      </c>
      <c r="C53" s="2147">
        <v>1</v>
      </c>
      <c r="D53" s="2147">
        <v>2</v>
      </c>
      <c r="E53" s="2147">
        <v>3</v>
      </c>
      <c r="F53" s="2147">
        <v>4</v>
      </c>
      <c r="G53" s="2147">
        <v>5</v>
      </c>
      <c r="H53" s="2147">
        <v>6</v>
      </c>
      <c r="I53" s="2147">
        <v>7</v>
      </c>
      <c r="J53" s="2147">
        <v>8</v>
      </c>
      <c r="K53" s="2147">
        <v>9</v>
      </c>
      <c r="L53" s="2147">
        <v>10</v>
      </c>
      <c r="M53" s="2147">
        <v>11</v>
      </c>
      <c r="N53" s="2147">
        <v>12</v>
      </c>
      <c r="O53" s="2147">
        <v>13</v>
      </c>
      <c r="P53" s="2147">
        <v>14</v>
      </c>
      <c r="Q53" s="2147">
        <v>15</v>
      </c>
      <c r="R53" s="2147">
        <v>16</v>
      </c>
      <c r="S53" s="2147">
        <v>17</v>
      </c>
      <c r="T53" s="2147">
        <v>18</v>
      </c>
      <c r="U53" s="2147">
        <v>19</v>
      </c>
      <c r="V53" s="2147">
        <v>20</v>
      </c>
      <c r="W53" s="2146">
        <v>21</v>
      </c>
      <c r="X53" s="2147">
        <v>22</v>
      </c>
      <c r="Y53" s="2147">
        <v>23</v>
      </c>
      <c r="Z53" s="2147">
        <v>24</v>
      </c>
      <c r="AA53" s="2147">
        <v>25</v>
      </c>
      <c r="AB53" s="2147">
        <v>26</v>
      </c>
      <c r="AC53" s="2147">
        <v>27</v>
      </c>
      <c r="AD53" s="2147">
        <v>28</v>
      </c>
      <c r="AE53" s="2147">
        <v>29</v>
      </c>
      <c r="AF53" s="2147">
        <v>30</v>
      </c>
      <c r="AG53" s="2147">
        <v>31</v>
      </c>
      <c r="AH53" s="2148" t="s">
        <v>111</v>
      </c>
    </row>
    <row r="54" spans="1:34" ht="12">
      <c r="A54" s="573" t="s">
        <v>145</v>
      </c>
      <c r="B54" s="2155">
        <f>SUM(C54:AG54)</f>
        <v>0</v>
      </c>
      <c r="C54" s="2156"/>
      <c r="D54" s="2156"/>
      <c r="E54" s="2156"/>
      <c r="F54" s="2156"/>
      <c r="G54" s="2156"/>
      <c r="H54" s="2156"/>
      <c r="I54" s="2156"/>
      <c r="J54" s="2156"/>
      <c r="K54" s="2156"/>
      <c r="L54" s="2156"/>
      <c r="M54" s="2156"/>
      <c r="N54" s="2156"/>
      <c r="O54" s="2156"/>
      <c r="P54" s="2156"/>
      <c r="Q54" s="2156"/>
      <c r="R54" s="2156"/>
      <c r="S54" s="2156"/>
      <c r="T54" s="2156"/>
      <c r="U54" s="2156"/>
      <c r="V54" s="2156"/>
      <c r="W54" s="2156"/>
      <c r="X54" s="2156"/>
      <c r="Y54" s="2156"/>
      <c r="Z54" s="2156"/>
      <c r="AA54" s="2156"/>
      <c r="AB54" s="2156"/>
      <c r="AC54" s="2156"/>
      <c r="AD54" s="2156"/>
      <c r="AE54" s="2156"/>
      <c r="AF54" s="2156"/>
      <c r="AG54" s="2156"/>
      <c r="AH54" s="1013">
        <f>SUM(C54:AG54)</f>
        <v>0</v>
      </c>
    </row>
    <row r="55" spans="1:34" ht="12">
      <c r="A55" s="573" t="s">
        <v>146</v>
      </c>
      <c r="B55" s="2155">
        <f t="shared" ref="B55:B65" si="6">SUM(C55:AG55)</f>
        <v>0</v>
      </c>
      <c r="C55" s="2156"/>
      <c r="D55" s="2156"/>
      <c r="E55" s="2156"/>
      <c r="F55" s="2156"/>
      <c r="G55" s="2156"/>
      <c r="H55" s="2156"/>
      <c r="I55" s="2156"/>
      <c r="J55" s="2156"/>
      <c r="K55" s="2156"/>
      <c r="L55" s="2156"/>
      <c r="M55" s="2156"/>
      <c r="N55" s="2156"/>
      <c r="O55" s="2156"/>
      <c r="P55" s="2156"/>
      <c r="Q55" s="2156"/>
      <c r="R55" s="2156"/>
      <c r="S55" s="2156"/>
      <c r="T55" s="2156"/>
      <c r="U55" s="2156"/>
      <c r="V55" s="2156"/>
      <c r="W55" s="2156"/>
      <c r="X55" s="2156"/>
      <c r="Y55" s="2156"/>
      <c r="Z55" s="2156"/>
      <c r="AA55" s="2156"/>
      <c r="AB55" s="2156"/>
      <c r="AC55" s="2156"/>
      <c r="AD55" s="2156"/>
      <c r="AE55" s="2156"/>
      <c r="AF55" s="2156"/>
      <c r="AG55" s="2156"/>
      <c r="AH55" s="1013">
        <f>SUM(C55:AG55)</f>
        <v>0</v>
      </c>
    </row>
    <row r="56" spans="1:34" ht="12">
      <c r="A56" s="573" t="s">
        <v>147</v>
      </c>
      <c r="B56" s="2155">
        <f t="shared" si="6"/>
        <v>0</v>
      </c>
      <c r="C56" s="2156"/>
      <c r="D56" s="2156"/>
      <c r="E56" s="2156"/>
      <c r="F56" s="2156"/>
      <c r="G56" s="2156"/>
      <c r="H56" s="2156"/>
      <c r="I56" s="2156"/>
      <c r="J56" s="2156"/>
      <c r="K56" s="2156"/>
      <c r="L56" s="2156"/>
      <c r="M56" s="2156"/>
      <c r="N56" s="2156"/>
      <c r="O56" s="2156"/>
      <c r="P56" s="2156"/>
      <c r="Q56" s="2156"/>
      <c r="R56" s="2156"/>
      <c r="S56" s="2156"/>
      <c r="T56" s="2156"/>
      <c r="U56" s="2156"/>
      <c r="V56" s="2156"/>
      <c r="W56" s="2156"/>
      <c r="X56" s="2156"/>
      <c r="Y56" s="2156"/>
      <c r="Z56" s="2156"/>
      <c r="AA56" s="2156"/>
      <c r="AB56" s="2156"/>
      <c r="AC56" s="2156"/>
      <c r="AD56" s="2156"/>
      <c r="AE56" s="2156"/>
      <c r="AF56" s="2156"/>
      <c r="AG56" s="2156"/>
      <c r="AH56" s="1013">
        <f>SUM(C56:AG56)</f>
        <v>0</v>
      </c>
    </row>
    <row r="57" spans="1:34" ht="12">
      <c r="A57" s="573" t="s">
        <v>148</v>
      </c>
      <c r="B57" s="1359">
        <f t="shared" si="6"/>
        <v>0</v>
      </c>
      <c r="C57" s="2157"/>
      <c r="D57" s="2158"/>
      <c r="E57" s="2158"/>
      <c r="F57" s="2158"/>
      <c r="G57" s="2158"/>
      <c r="H57" s="2158"/>
      <c r="I57" s="2158"/>
      <c r="J57" s="2158"/>
      <c r="K57" s="2158"/>
      <c r="L57" s="2158"/>
      <c r="M57" s="2158"/>
      <c r="N57" s="2158"/>
      <c r="O57" s="2158"/>
      <c r="P57" s="2158"/>
      <c r="Q57" s="2158"/>
      <c r="R57" s="2158"/>
      <c r="S57" s="2158"/>
      <c r="T57" s="2158"/>
      <c r="U57" s="2158"/>
      <c r="V57" s="2158"/>
      <c r="W57" s="2158"/>
      <c r="X57" s="2158"/>
      <c r="Y57" s="2158"/>
      <c r="Z57" s="2158"/>
      <c r="AA57" s="2158"/>
      <c r="AB57" s="2158"/>
      <c r="AC57" s="2158"/>
      <c r="AD57" s="2158"/>
      <c r="AE57" s="2158"/>
      <c r="AF57" s="2158"/>
      <c r="AG57" s="2158"/>
      <c r="AH57" s="1013">
        <f>SUM(C55:AG55)</f>
        <v>0</v>
      </c>
    </row>
    <row r="58" spans="1:34" ht="12">
      <c r="A58" s="573" t="s">
        <v>149</v>
      </c>
      <c r="B58" s="1359">
        <f t="shared" si="6"/>
        <v>16.372</v>
      </c>
      <c r="C58" s="2157"/>
      <c r="D58" s="2158"/>
      <c r="E58" s="2158"/>
      <c r="F58" s="2158"/>
      <c r="G58" s="2158"/>
      <c r="H58" s="2158"/>
      <c r="I58" s="2158"/>
      <c r="J58" s="2158"/>
      <c r="K58" s="2158"/>
      <c r="L58" s="2158"/>
      <c r="M58" s="2158">
        <v>1.49</v>
      </c>
      <c r="N58" s="2158"/>
      <c r="O58" s="2158"/>
      <c r="P58" s="2158"/>
      <c r="Q58" s="2158"/>
      <c r="R58" s="2158">
        <v>5.16</v>
      </c>
      <c r="S58" s="2158">
        <v>0.875</v>
      </c>
      <c r="T58" s="2158">
        <v>4.7850000000000001</v>
      </c>
      <c r="U58" s="2158"/>
      <c r="V58" s="2158"/>
      <c r="W58" s="2158"/>
      <c r="X58" s="2158"/>
      <c r="Y58" s="2158"/>
      <c r="Z58" s="2158"/>
      <c r="AA58" s="2158"/>
      <c r="AB58" s="2158">
        <v>0.19600000000000001</v>
      </c>
      <c r="AC58" s="2158"/>
      <c r="AD58" s="2158"/>
      <c r="AE58" s="2158"/>
      <c r="AF58" s="2158"/>
      <c r="AG58" s="2158">
        <v>3.8660000000000001</v>
      </c>
      <c r="AH58" s="1013">
        <f t="shared" ref="AH58:AH66" si="7">SUM(C56:AG56)</f>
        <v>0</v>
      </c>
    </row>
    <row r="59" spans="1:34" ht="12">
      <c r="A59" s="573" t="s">
        <v>150</v>
      </c>
      <c r="B59" s="1359">
        <f t="shared" si="6"/>
        <v>22.571000000000002</v>
      </c>
      <c r="C59" s="2157">
        <v>2.1549999999999998</v>
      </c>
      <c r="D59" s="2158">
        <v>0.193</v>
      </c>
      <c r="E59" s="2158">
        <v>0.20499999999999999</v>
      </c>
      <c r="F59" s="2158"/>
      <c r="G59" s="2158"/>
      <c r="H59" s="2158"/>
      <c r="I59" s="2158"/>
      <c r="J59" s="2158"/>
      <c r="K59" s="2158"/>
      <c r="L59" s="2158"/>
      <c r="M59" s="2158">
        <v>1.133</v>
      </c>
      <c r="N59" s="2158">
        <v>0.97</v>
      </c>
      <c r="O59" s="2158">
        <v>0.77500000000000002</v>
      </c>
      <c r="P59" s="2158">
        <v>0.30499999999999999</v>
      </c>
      <c r="Q59" s="2158"/>
      <c r="R59" s="2158"/>
      <c r="S59" s="2158"/>
      <c r="T59" s="2158"/>
      <c r="U59" s="2158"/>
      <c r="V59" s="2158"/>
      <c r="W59" s="2158"/>
      <c r="X59" s="2158"/>
      <c r="Y59" s="2158"/>
      <c r="Z59" s="2158"/>
      <c r="AA59" s="2158"/>
      <c r="AB59" s="2158">
        <v>2.298</v>
      </c>
      <c r="AC59" s="2158">
        <v>4.0570000000000004</v>
      </c>
      <c r="AD59" s="2158">
        <v>4.3280000000000003</v>
      </c>
      <c r="AE59" s="2158">
        <v>6.1520000000000001</v>
      </c>
      <c r="AF59" s="2158"/>
      <c r="AG59" s="2158"/>
      <c r="AH59" s="1013">
        <f t="shared" si="7"/>
        <v>0</v>
      </c>
    </row>
    <row r="60" spans="1:34" ht="12">
      <c r="A60" s="573" t="s">
        <v>151</v>
      </c>
      <c r="B60" s="1359">
        <f t="shared" si="6"/>
        <v>119.798</v>
      </c>
      <c r="C60" s="2157"/>
      <c r="D60" s="2158"/>
      <c r="E60" s="2158"/>
      <c r="F60" s="2158"/>
      <c r="G60" s="2158"/>
      <c r="H60" s="2158">
        <v>0.32</v>
      </c>
      <c r="I60" s="2158"/>
      <c r="J60" s="2158"/>
      <c r="K60" s="2158">
        <v>3.1789999999999998</v>
      </c>
      <c r="L60" s="2158">
        <v>2.23</v>
      </c>
      <c r="M60" s="2158"/>
      <c r="N60" s="2158">
        <v>11.667999999999999</v>
      </c>
      <c r="O60" s="2158">
        <v>12.776999999999999</v>
      </c>
      <c r="P60" s="2158"/>
      <c r="Q60" s="2158"/>
      <c r="R60" s="2158"/>
      <c r="S60" s="2158">
        <v>12.946</v>
      </c>
      <c r="T60" s="2158">
        <v>6.4610000000000003</v>
      </c>
      <c r="U60" s="2158">
        <v>15.901</v>
      </c>
      <c r="V60" s="2158">
        <v>26.611999999999998</v>
      </c>
      <c r="W60" s="2158"/>
      <c r="X60" s="2158"/>
      <c r="Y60" s="2158"/>
      <c r="Z60" s="2158"/>
      <c r="AA60" s="2158"/>
      <c r="AB60" s="2158"/>
      <c r="AC60" s="2158"/>
      <c r="AD60" s="2158"/>
      <c r="AE60" s="2158"/>
      <c r="AF60" s="2158">
        <v>12.141</v>
      </c>
      <c r="AG60" s="2158">
        <v>15.563000000000001</v>
      </c>
      <c r="AH60" s="1013">
        <f t="shared" si="7"/>
        <v>16.372</v>
      </c>
    </row>
    <row r="61" spans="1:34" ht="12">
      <c r="A61" s="573" t="s">
        <v>152</v>
      </c>
      <c r="B61" s="1359">
        <f t="shared" si="6"/>
        <v>82.62299999999999</v>
      </c>
      <c r="C61" s="2157">
        <v>29.274999999999999</v>
      </c>
      <c r="D61" s="2158"/>
      <c r="E61" s="2158"/>
      <c r="F61" s="2158"/>
      <c r="G61" s="2158"/>
      <c r="H61" s="2158"/>
      <c r="I61" s="2158"/>
      <c r="J61" s="2158">
        <v>0.1</v>
      </c>
      <c r="K61" s="2158"/>
      <c r="L61" s="2158"/>
      <c r="M61" s="2158"/>
      <c r="N61" s="2158"/>
      <c r="O61" s="2158">
        <v>9.2720000000000002</v>
      </c>
      <c r="P61" s="2158"/>
      <c r="Q61" s="2158"/>
      <c r="R61" s="2158"/>
      <c r="S61" s="2158"/>
      <c r="T61" s="2158"/>
      <c r="U61" s="2158"/>
      <c r="V61" s="2158"/>
      <c r="W61" s="2158"/>
      <c r="X61" s="2158">
        <v>10.337</v>
      </c>
      <c r="Y61" s="2158">
        <v>10.170999999999999</v>
      </c>
      <c r="Z61" s="2158"/>
      <c r="AA61" s="2158"/>
      <c r="AB61" s="2158"/>
      <c r="AC61" s="2158"/>
      <c r="AD61" s="2158">
        <v>17.939</v>
      </c>
      <c r="AE61" s="2158">
        <v>2.9609999999999999</v>
      </c>
      <c r="AF61" s="2158">
        <v>2.5680000000000001</v>
      </c>
      <c r="AG61" s="2158"/>
      <c r="AH61" s="1013">
        <f t="shared" si="7"/>
        <v>22.571000000000002</v>
      </c>
    </row>
    <row r="62" spans="1:34" ht="12">
      <c r="A62" s="573" t="s">
        <v>153</v>
      </c>
      <c r="B62" s="1359">
        <f t="shared" si="6"/>
        <v>39.786999999999992</v>
      </c>
      <c r="C62" s="2157"/>
      <c r="D62" s="2158"/>
      <c r="E62" s="2158">
        <v>14.13</v>
      </c>
      <c r="F62" s="2158">
        <v>18.611999999999998</v>
      </c>
      <c r="G62" s="2158"/>
      <c r="H62" s="2158"/>
      <c r="I62" s="2158"/>
      <c r="J62" s="2158">
        <v>2.0619999999999998</v>
      </c>
      <c r="K62" s="2158"/>
      <c r="L62" s="2158"/>
      <c r="M62" s="2158">
        <v>4.1529999999999996</v>
      </c>
      <c r="N62" s="2158">
        <v>0.44</v>
      </c>
      <c r="O62" s="2158"/>
      <c r="P62" s="2158"/>
      <c r="Q62" s="2158"/>
      <c r="R62" s="2158"/>
      <c r="S62" s="2158"/>
      <c r="T62" s="2158"/>
      <c r="U62" s="2158"/>
      <c r="V62" s="2158"/>
      <c r="W62" s="2158"/>
      <c r="X62" s="2158"/>
      <c r="Y62" s="2158"/>
      <c r="Z62" s="2158"/>
      <c r="AA62" s="2158">
        <v>0.39</v>
      </c>
      <c r="AB62" s="2158"/>
      <c r="AC62" s="2158"/>
      <c r="AD62" s="2158"/>
      <c r="AE62" s="2158"/>
      <c r="AF62" s="2158"/>
      <c r="AG62" s="2158"/>
      <c r="AH62" s="1013">
        <f t="shared" si="7"/>
        <v>119.798</v>
      </c>
    </row>
    <row r="63" spans="1:34" ht="12">
      <c r="A63" s="573" t="s">
        <v>154</v>
      </c>
      <c r="B63" s="1359">
        <f t="shared" si="6"/>
        <v>0.05</v>
      </c>
      <c r="C63" s="2157"/>
      <c r="D63" s="2158"/>
      <c r="E63" s="2158"/>
      <c r="F63" s="2158"/>
      <c r="G63" s="2158"/>
      <c r="H63" s="2158"/>
      <c r="I63" s="2158"/>
      <c r="J63" s="2158"/>
      <c r="K63" s="2158"/>
      <c r="L63" s="2158"/>
      <c r="M63" s="2158"/>
      <c r="N63" s="2158"/>
      <c r="O63" s="2158"/>
      <c r="P63" s="2158"/>
      <c r="Q63" s="2158"/>
      <c r="R63" s="2158"/>
      <c r="S63" s="2158"/>
      <c r="T63" s="2158"/>
      <c r="U63" s="2158">
        <v>0.03</v>
      </c>
      <c r="V63" s="2158"/>
      <c r="W63" s="2158">
        <v>0.02</v>
      </c>
      <c r="X63" s="2158"/>
      <c r="Y63" s="2158"/>
      <c r="Z63" s="2158"/>
      <c r="AA63" s="2158"/>
      <c r="AB63" s="2158"/>
      <c r="AC63" s="2158"/>
      <c r="AD63" s="2158"/>
      <c r="AE63" s="2158"/>
      <c r="AF63" s="2158"/>
      <c r="AG63" s="2158"/>
      <c r="AH63" s="1013">
        <f t="shared" si="7"/>
        <v>82.62299999999999</v>
      </c>
    </row>
    <row r="64" spans="1:34" ht="12">
      <c r="A64" s="573" t="s">
        <v>155</v>
      </c>
      <c r="B64" s="1359">
        <f t="shared" si="6"/>
        <v>0</v>
      </c>
      <c r="C64" s="3186"/>
      <c r="D64" s="2158"/>
      <c r="E64" s="2158"/>
      <c r="F64" s="2158"/>
      <c r="G64" s="2158"/>
      <c r="H64" s="2158"/>
      <c r="I64" s="2158"/>
      <c r="J64" s="2158"/>
      <c r="K64" s="2158"/>
      <c r="L64" s="2158"/>
      <c r="M64" s="2158"/>
      <c r="N64" s="2158"/>
      <c r="O64" s="2158"/>
      <c r="P64" s="2158"/>
      <c r="Q64" s="2158"/>
      <c r="R64" s="2158"/>
      <c r="S64" s="2158"/>
      <c r="T64" s="2158"/>
      <c r="U64" s="2158"/>
      <c r="V64" s="2158"/>
      <c r="W64" s="2158"/>
      <c r="X64" s="2158"/>
      <c r="Y64" s="2158"/>
      <c r="Z64" s="2158"/>
      <c r="AA64" s="2158"/>
      <c r="AB64" s="2158"/>
      <c r="AC64" s="2158"/>
      <c r="AD64" s="2158"/>
      <c r="AE64" s="2158"/>
      <c r="AF64" s="2158"/>
      <c r="AG64" s="2158"/>
      <c r="AH64" s="1013">
        <f t="shared" si="7"/>
        <v>39.786999999999992</v>
      </c>
    </row>
    <row r="65" spans="1:34" ht="12.6" thickBot="1">
      <c r="A65" s="573" t="s">
        <v>156</v>
      </c>
      <c r="B65" s="1359">
        <f t="shared" si="6"/>
        <v>0</v>
      </c>
      <c r="C65" s="2157"/>
      <c r="D65" s="2158"/>
      <c r="E65" s="2158"/>
      <c r="F65" s="2158"/>
      <c r="G65" s="2158"/>
      <c r="H65" s="2158"/>
      <c r="I65" s="2158"/>
      <c r="J65" s="2158"/>
      <c r="K65" s="2158"/>
      <c r="L65" s="3238"/>
      <c r="M65" s="2158"/>
      <c r="N65" s="2158"/>
      <c r="O65" s="2158"/>
      <c r="P65" s="2158"/>
      <c r="Q65" s="2158"/>
      <c r="R65" s="2158"/>
      <c r="S65" s="2158"/>
      <c r="T65" s="2158"/>
      <c r="U65" s="2158"/>
      <c r="V65" s="2158"/>
      <c r="W65" s="2158"/>
      <c r="X65" s="2158"/>
      <c r="Y65" s="2158"/>
      <c r="Z65" s="2158"/>
      <c r="AA65" s="2158"/>
      <c r="AB65" s="2158"/>
      <c r="AC65" s="2158"/>
      <c r="AD65" s="2158"/>
      <c r="AE65" s="2158"/>
      <c r="AF65" s="2158"/>
      <c r="AG65" s="2158"/>
      <c r="AH65" s="2159">
        <f t="shared" si="7"/>
        <v>0.05</v>
      </c>
    </row>
    <row r="66" spans="1:34" ht="12.6" thickBot="1">
      <c r="A66" s="580" t="s">
        <v>111</v>
      </c>
      <c r="B66" s="2160">
        <f>SUM(B54:B65)</f>
        <v>281.20099999999996</v>
      </c>
      <c r="C66" s="1088"/>
      <c r="D66" s="1088"/>
      <c r="E66" s="1088"/>
      <c r="F66" s="1088"/>
      <c r="G66" s="1088"/>
      <c r="H66" s="1088"/>
      <c r="I66" s="1088"/>
      <c r="J66" s="1088"/>
      <c r="K66" s="1088"/>
      <c r="L66" s="2161"/>
      <c r="M66" s="1088"/>
      <c r="N66" s="1088"/>
      <c r="O66" s="1088"/>
      <c r="P66" s="1088"/>
      <c r="Q66" s="1088"/>
      <c r="R66" s="1088"/>
      <c r="S66" s="1088"/>
      <c r="T66" s="1088"/>
      <c r="U66" s="1088"/>
      <c r="V66" s="1088"/>
      <c r="W66" s="1088"/>
      <c r="X66" s="1088"/>
      <c r="Y66" s="1088"/>
      <c r="Z66" s="1088"/>
      <c r="AA66" s="1088"/>
      <c r="AB66" s="1088"/>
      <c r="AC66" s="1088"/>
      <c r="AD66" s="1088"/>
      <c r="AE66" s="1088"/>
      <c r="AF66" s="1088"/>
      <c r="AG66" s="1088"/>
      <c r="AH66" s="985">
        <f t="shared" si="7"/>
        <v>0</v>
      </c>
    </row>
    <row r="67" spans="1:34">
      <c r="F67" s="359"/>
    </row>
    <row r="68" spans="1:34" ht="12">
      <c r="A68" s="3864" t="s">
        <v>509</v>
      </c>
      <c r="B68" s="3865"/>
      <c r="C68" s="3866"/>
      <c r="D68" s="1427"/>
      <c r="E68" s="359"/>
      <c r="F68" s="359"/>
      <c r="G68" s="1427"/>
      <c r="H68" s="1427"/>
      <c r="I68" s="1427"/>
      <c r="J68" s="1427"/>
      <c r="K68" s="1427"/>
      <c r="L68" s="1427"/>
      <c r="M68" s="2145"/>
      <c r="N68" s="1427"/>
      <c r="O68" s="1427"/>
      <c r="P68" s="1427"/>
      <c r="Q68" s="1427"/>
      <c r="R68" s="1427"/>
      <c r="S68" s="1427"/>
      <c r="T68" s="1427"/>
      <c r="U68" s="1427"/>
      <c r="V68" s="1427"/>
      <c r="W68" s="1427"/>
      <c r="X68" s="1427"/>
      <c r="Y68" s="1427"/>
      <c r="Z68" s="1427"/>
      <c r="AA68" s="1427"/>
      <c r="AB68" s="1427"/>
      <c r="AC68" s="1427"/>
      <c r="AD68" s="1427"/>
      <c r="AE68" s="1427"/>
      <c r="AF68" s="1427"/>
      <c r="AG68" s="1427"/>
    </row>
    <row r="69" spans="1:34" ht="12">
      <c r="A69" s="572" t="s">
        <v>142</v>
      </c>
      <c r="B69" s="1754" t="s">
        <v>143</v>
      </c>
      <c r="C69" s="1083">
        <v>1</v>
      </c>
      <c r="D69" s="2147">
        <v>2</v>
      </c>
      <c r="E69" s="2147">
        <v>3</v>
      </c>
      <c r="F69" s="2147">
        <v>4</v>
      </c>
      <c r="G69" s="2147">
        <v>5</v>
      </c>
      <c r="H69" s="2147">
        <v>6</v>
      </c>
      <c r="I69" s="2147">
        <v>7</v>
      </c>
      <c r="J69" s="2147">
        <v>8</v>
      </c>
      <c r="K69" s="2147">
        <v>9</v>
      </c>
      <c r="L69" s="2147">
        <v>10</v>
      </c>
      <c r="M69" s="2147">
        <v>11</v>
      </c>
      <c r="N69" s="2147">
        <v>12</v>
      </c>
      <c r="O69" s="2147">
        <v>13</v>
      </c>
      <c r="P69" s="2147">
        <v>14</v>
      </c>
      <c r="Q69" s="2147">
        <v>15</v>
      </c>
      <c r="R69" s="2147">
        <v>16</v>
      </c>
      <c r="S69" s="2147">
        <v>17</v>
      </c>
      <c r="T69" s="2147">
        <v>18</v>
      </c>
      <c r="U69" s="2147">
        <v>19</v>
      </c>
      <c r="V69" s="2147">
        <v>20</v>
      </c>
      <c r="W69" s="2146">
        <v>21</v>
      </c>
      <c r="X69" s="2147">
        <v>22</v>
      </c>
      <c r="Y69" s="2147">
        <v>23</v>
      </c>
      <c r="Z69" s="2147">
        <v>24</v>
      </c>
      <c r="AA69" s="2147">
        <v>25</v>
      </c>
      <c r="AB69" s="2147">
        <v>26</v>
      </c>
      <c r="AC69" s="2147">
        <v>27</v>
      </c>
      <c r="AD69" s="2147">
        <v>28</v>
      </c>
      <c r="AE69" s="2147">
        <v>29</v>
      </c>
      <c r="AF69" s="2147">
        <v>30</v>
      </c>
      <c r="AG69" s="2147">
        <v>31</v>
      </c>
      <c r="AH69" s="2148" t="s">
        <v>111</v>
      </c>
    </row>
    <row r="70" spans="1:34" ht="12">
      <c r="A70" s="573" t="s">
        <v>145</v>
      </c>
      <c r="B70" s="1359">
        <f t="shared" ref="B70:B81" si="8">+AH70</f>
        <v>0</v>
      </c>
      <c r="C70" s="2149"/>
      <c r="D70" s="2149"/>
      <c r="E70" s="2149"/>
      <c r="F70" s="2149"/>
      <c r="G70" s="2149"/>
      <c r="H70" s="2149"/>
      <c r="I70" s="2149"/>
      <c r="J70" s="2149"/>
      <c r="K70" s="2149"/>
      <c r="L70" s="2149"/>
      <c r="M70" s="2149"/>
      <c r="N70" s="2149"/>
      <c r="O70" s="2149"/>
      <c r="P70" s="2149"/>
      <c r="Q70" s="2149"/>
      <c r="R70" s="2149"/>
      <c r="S70" s="2149"/>
      <c r="T70" s="2149"/>
      <c r="U70" s="2149"/>
      <c r="V70" s="2149"/>
      <c r="W70" s="2149"/>
      <c r="X70" s="2149"/>
      <c r="Y70" s="2149"/>
      <c r="Z70" s="2149"/>
      <c r="AA70" s="2149"/>
      <c r="AB70" s="2149"/>
      <c r="AC70" s="2149"/>
      <c r="AD70" s="2149"/>
      <c r="AE70" s="2149"/>
      <c r="AF70" s="2149"/>
      <c r="AG70" s="2149"/>
      <c r="AH70" s="1013">
        <f>SUM(C70:AG70)</f>
        <v>0</v>
      </c>
    </row>
    <row r="71" spans="1:34" ht="12">
      <c r="A71" s="573" t="s">
        <v>146</v>
      </c>
      <c r="B71" s="1359">
        <f t="shared" si="8"/>
        <v>72.592999999999975</v>
      </c>
      <c r="C71" s="2149"/>
      <c r="D71" s="2149"/>
      <c r="E71" s="2149"/>
      <c r="F71" s="2149"/>
      <c r="G71" s="2149"/>
      <c r="H71" s="2149"/>
      <c r="I71" s="2149"/>
      <c r="J71" s="2149"/>
      <c r="K71" s="2149"/>
      <c r="L71" s="2149"/>
      <c r="M71" s="2149"/>
      <c r="N71" s="2149"/>
      <c r="O71" s="2149"/>
      <c r="P71" s="2149"/>
      <c r="Q71" s="2149"/>
      <c r="R71" s="2149"/>
      <c r="S71" s="2149"/>
      <c r="T71" s="2149"/>
      <c r="U71" s="2149"/>
      <c r="V71" s="2149"/>
      <c r="W71" s="2156">
        <v>20.845999999999997</v>
      </c>
      <c r="X71" s="2156">
        <v>7.770999999999999</v>
      </c>
      <c r="Y71" s="2156">
        <v>12.336</v>
      </c>
      <c r="Z71" s="2156">
        <v>19.498000000000001</v>
      </c>
      <c r="AA71" s="2156">
        <v>7.5339999999999989</v>
      </c>
      <c r="AB71" s="2156">
        <v>0.40699999999999997</v>
      </c>
      <c r="AC71" s="2156">
        <v>2.6350000000000002</v>
      </c>
      <c r="AD71" s="2156">
        <v>0.46599999999999997</v>
      </c>
      <c r="AE71" s="2156">
        <v>1.1000000000000001</v>
      </c>
      <c r="AF71" s="2156"/>
      <c r="AG71" s="2156"/>
      <c r="AH71" s="1013">
        <f t="shared" ref="AH71:AH81" si="9">SUM(C71:AG71)</f>
        <v>72.592999999999975</v>
      </c>
    </row>
    <row r="72" spans="1:34" ht="12">
      <c r="A72" s="573" t="s">
        <v>147</v>
      </c>
      <c r="B72" s="1359">
        <f t="shared" si="8"/>
        <v>2410.3749999999991</v>
      </c>
      <c r="C72" s="2156"/>
      <c r="D72" s="2156"/>
      <c r="E72" s="2156">
        <v>3.3379999999999996</v>
      </c>
      <c r="F72" s="2156"/>
      <c r="G72" s="2156">
        <v>0.85000000000000009</v>
      </c>
      <c r="H72" s="2156"/>
      <c r="I72" s="2156">
        <v>2.2999999999999998</v>
      </c>
      <c r="J72" s="2156">
        <v>10.872000000000002</v>
      </c>
      <c r="K72" s="2156">
        <v>36.896000000000001</v>
      </c>
      <c r="L72" s="2156">
        <v>11.299999999999997</v>
      </c>
      <c r="M72" s="2156">
        <v>3.5</v>
      </c>
      <c r="N72" s="2156">
        <v>60.642999999999986</v>
      </c>
      <c r="O72" s="2156">
        <v>164.73700000000011</v>
      </c>
      <c r="P72" s="2156">
        <v>269.09699999999987</v>
      </c>
      <c r="Q72" s="2156">
        <v>156.31599999999997</v>
      </c>
      <c r="R72" s="2156">
        <v>197.73399999999995</v>
      </c>
      <c r="S72" s="2156">
        <v>170.36099999999999</v>
      </c>
      <c r="T72" s="2156">
        <v>5.5809999999999995</v>
      </c>
      <c r="U72" s="2156">
        <v>147.98299999999998</v>
      </c>
      <c r="V72" s="2156">
        <v>107.47699999999999</v>
      </c>
      <c r="W72" s="2156">
        <v>43.187999999999988</v>
      </c>
      <c r="X72" s="2156">
        <v>60.144999999999989</v>
      </c>
      <c r="Y72" s="2156">
        <v>177.91899999999998</v>
      </c>
      <c r="Z72" s="2156">
        <v>133.18499999999995</v>
      </c>
      <c r="AA72" s="2156">
        <v>7.5749999999999993</v>
      </c>
      <c r="AB72" s="2156">
        <v>81.904999999999959</v>
      </c>
      <c r="AC72" s="2156">
        <v>186.715</v>
      </c>
      <c r="AD72" s="2156">
        <v>172.58299999999997</v>
      </c>
      <c r="AE72" s="2156">
        <v>117.48799999999994</v>
      </c>
      <c r="AF72" s="2156">
        <v>70.044000000000011</v>
      </c>
      <c r="AG72" s="2156">
        <v>10.642999999999999</v>
      </c>
      <c r="AH72" s="1013">
        <f t="shared" si="9"/>
        <v>2410.3749999999991</v>
      </c>
    </row>
    <row r="73" spans="1:34" ht="12">
      <c r="A73" s="573" t="s">
        <v>148</v>
      </c>
      <c r="B73" s="1359">
        <f t="shared" si="8"/>
        <v>5995.170000000001</v>
      </c>
      <c r="C73" s="2157">
        <v>0</v>
      </c>
      <c r="D73" s="2158">
        <v>237.41199999999995</v>
      </c>
      <c r="E73" s="2158">
        <v>514.32699999999977</v>
      </c>
      <c r="F73" s="2158">
        <v>216.35800000000009</v>
      </c>
      <c r="G73" s="2158">
        <v>2.9</v>
      </c>
      <c r="H73" s="2158">
        <v>3.5</v>
      </c>
      <c r="I73" s="2158">
        <v>4.6069999999999993</v>
      </c>
      <c r="J73" s="2158">
        <v>4.2469999999999999</v>
      </c>
      <c r="K73" s="2158">
        <v>249.43800000000005</v>
      </c>
      <c r="L73" s="2158">
        <v>136.15100000000001</v>
      </c>
      <c r="M73" s="2158">
        <v>253.75600000000011</v>
      </c>
      <c r="N73" s="2158">
        <v>472.76599999999991</v>
      </c>
      <c r="O73" s="2158">
        <v>557.5269999999997</v>
      </c>
      <c r="P73" s="2158">
        <v>6.9279999999999999</v>
      </c>
      <c r="Q73" s="2158"/>
      <c r="R73" s="2158">
        <v>558.93900000000008</v>
      </c>
      <c r="S73" s="2158">
        <v>543.37799999999993</v>
      </c>
      <c r="T73" s="2158">
        <v>422.98799999999994</v>
      </c>
      <c r="U73" s="2158">
        <v>24.777000000000001</v>
      </c>
      <c r="V73" s="2158">
        <v>155.13499999999996</v>
      </c>
      <c r="W73" s="2158">
        <v>126.411</v>
      </c>
      <c r="X73" s="2158">
        <v>6.1400000000000006</v>
      </c>
      <c r="Y73" s="2158">
        <v>79.018000000000001</v>
      </c>
      <c r="Z73" s="2158">
        <v>16.087</v>
      </c>
      <c r="AA73" s="2158">
        <v>321.93499999999989</v>
      </c>
      <c r="AB73" s="2158">
        <v>460.68600000000021</v>
      </c>
      <c r="AC73" s="2158">
        <v>269.09999999999985</v>
      </c>
      <c r="AD73" s="2158">
        <v>146.167</v>
      </c>
      <c r="AE73" s="2158">
        <v>9.5459999999999994</v>
      </c>
      <c r="AF73" s="2158">
        <v>194.94600000000003</v>
      </c>
      <c r="AG73" s="2158"/>
      <c r="AH73" s="1013">
        <f t="shared" si="9"/>
        <v>5995.170000000001</v>
      </c>
    </row>
    <row r="74" spans="1:34" ht="12">
      <c r="A74" s="573" t="s">
        <v>149</v>
      </c>
      <c r="B74" s="1359">
        <f t="shared" si="8"/>
        <v>5005.7089999999998</v>
      </c>
      <c r="C74" s="2157"/>
      <c r="D74" s="2158">
        <v>341.13200000000001</v>
      </c>
      <c r="E74" s="2158">
        <v>184.99300000000002</v>
      </c>
      <c r="F74" s="2158">
        <v>263.20299999999997</v>
      </c>
      <c r="G74" s="2158">
        <v>287.84000000000003</v>
      </c>
      <c r="H74" s="2158">
        <v>17.190000000000001</v>
      </c>
      <c r="I74" s="2158">
        <v>272.46600000000001</v>
      </c>
      <c r="J74" s="2158">
        <v>288.51200000000006</v>
      </c>
      <c r="K74" s="2158">
        <v>386.97800000000001</v>
      </c>
      <c r="L74" s="2158">
        <v>140.82000000000002</v>
      </c>
      <c r="M74" s="2158">
        <v>127.83199999999999</v>
      </c>
      <c r="N74" s="2158">
        <v>7.2740000000000009</v>
      </c>
      <c r="O74" s="2158">
        <v>0.25</v>
      </c>
      <c r="P74" s="2158">
        <v>166.02099999999996</v>
      </c>
      <c r="Q74" s="2158">
        <v>331.93100000000015</v>
      </c>
      <c r="R74" s="2158">
        <v>365.64199999999977</v>
      </c>
      <c r="S74" s="2158">
        <v>209.79599999999994</v>
      </c>
      <c r="T74" s="2158">
        <v>25.120999999999999</v>
      </c>
      <c r="U74" s="2158">
        <v>106.71799999999998</v>
      </c>
      <c r="V74" s="2158">
        <v>10.183999999999999</v>
      </c>
      <c r="W74" s="2158">
        <v>0.25</v>
      </c>
      <c r="X74" s="2158">
        <v>178.35499999999993</v>
      </c>
      <c r="Y74" s="2158">
        <v>508.10900000000004</v>
      </c>
      <c r="Z74" s="2158">
        <v>355.77499999999998</v>
      </c>
      <c r="AA74" s="2158">
        <v>305.86299999999994</v>
      </c>
      <c r="AB74" s="2158">
        <v>45.100999999999992</v>
      </c>
      <c r="AC74" s="2158"/>
      <c r="AD74" s="2158">
        <v>2.4550000000000001</v>
      </c>
      <c r="AE74" s="2158"/>
      <c r="AF74" s="2158">
        <v>2.1079999999999997</v>
      </c>
      <c r="AG74" s="2158">
        <v>73.789999999999978</v>
      </c>
      <c r="AH74" s="1013">
        <f t="shared" si="9"/>
        <v>5005.7089999999998</v>
      </c>
    </row>
    <row r="75" spans="1:34" ht="12">
      <c r="A75" s="573" t="s">
        <v>150</v>
      </c>
      <c r="B75" s="1359">
        <f t="shared" si="8"/>
        <v>5877.1470000000008</v>
      </c>
      <c r="C75" s="2157">
        <v>54.713000000000001</v>
      </c>
      <c r="D75" s="2158">
        <v>1.2549999999999999</v>
      </c>
      <c r="E75" s="2158">
        <v>0.6</v>
      </c>
      <c r="F75" s="2158">
        <v>7.109</v>
      </c>
      <c r="G75" s="2158"/>
      <c r="H75" s="2158">
        <v>50.347999999999999</v>
      </c>
      <c r="I75" s="2158">
        <v>192.94000000000003</v>
      </c>
      <c r="J75" s="2158">
        <v>290.73699999999991</v>
      </c>
      <c r="K75" s="2158">
        <v>286.52799999999991</v>
      </c>
      <c r="L75" s="2158">
        <v>2.5860000000000003</v>
      </c>
      <c r="M75" s="2158">
        <v>182.54600000000002</v>
      </c>
      <c r="N75" s="2158">
        <v>180.57500000000005</v>
      </c>
      <c r="O75" s="2158">
        <v>132.88200000000003</v>
      </c>
      <c r="P75" s="2158">
        <v>215.73699999999988</v>
      </c>
      <c r="Q75" s="2158">
        <v>22.056000000000001</v>
      </c>
      <c r="R75" s="2158">
        <v>270.39</v>
      </c>
      <c r="S75" s="2158">
        <v>8.0759999999999987</v>
      </c>
      <c r="T75" s="2158">
        <v>27.146999999999995</v>
      </c>
      <c r="U75" s="2158">
        <v>142.34599999999998</v>
      </c>
      <c r="V75" s="2158">
        <v>530.2230000000003</v>
      </c>
      <c r="W75" s="2158">
        <v>30.521999999999998</v>
      </c>
      <c r="X75" s="2158">
        <v>570.74599999999998</v>
      </c>
      <c r="Y75" s="2158">
        <v>160.58799999999999</v>
      </c>
      <c r="Z75" s="2158">
        <v>6.1470000000000002</v>
      </c>
      <c r="AA75" s="2158">
        <v>541.11100000000022</v>
      </c>
      <c r="AB75" s="2158">
        <v>558.04599999999994</v>
      </c>
      <c r="AC75" s="2158">
        <v>348.40500000000003</v>
      </c>
      <c r="AD75" s="2158">
        <v>745.24800000000016</v>
      </c>
      <c r="AE75" s="2158">
        <v>235.5859999999999</v>
      </c>
      <c r="AF75" s="2158">
        <v>81.953999999999979</v>
      </c>
      <c r="AG75" s="2158"/>
      <c r="AH75" s="1013">
        <f t="shared" si="9"/>
        <v>5877.1470000000008</v>
      </c>
    </row>
    <row r="76" spans="1:34" ht="12">
      <c r="A76" s="573" t="s">
        <v>151</v>
      </c>
      <c r="B76" s="1359">
        <f t="shared" si="8"/>
        <v>4259.5879999999988</v>
      </c>
      <c r="C76" s="2157"/>
      <c r="D76" s="2158"/>
      <c r="E76" s="2158">
        <v>3.2439999999999998</v>
      </c>
      <c r="F76" s="2158">
        <v>2.2759999999999998</v>
      </c>
      <c r="G76" s="2158">
        <v>3.0009999999999999</v>
      </c>
      <c r="H76" s="2158">
        <v>23.462000000000003</v>
      </c>
      <c r="I76" s="2158">
        <v>117.97099999999999</v>
      </c>
      <c r="J76" s="2158">
        <v>1.4930000000000001</v>
      </c>
      <c r="K76" s="2158">
        <v>441.80300000000005</v>
      </c>
      <c r="L76" s="2158">
        <v>358.47700000000003</v>
      </c>
      <c r="M76" s="2158">
        <v>179.36799999999997</v>
      </c>
      <c r="N76" s="2158">
        <v>58.250000000000007</v>
      </c>
      <c r="O76" s="2158">
        <v>135.1</v>
      </c>
      <c r="P76" s="2158">
        <v>4.2779999999999996</v>
      </c>
      <c r="Q76" s="2158">
        <v>2.4300000000000002</v>
      </c>
      <c r="R76" s="2158"/>
      <c r="S76" s="2158">
        <v>243.12499999999997</v>
      </c>
      <c r="T76" s="2158">
        <v>568.60499999999968</v>
      </c>
      <c r="U76" s="2158">
        <v>296.4439999999999</v>
      </c>
      <c r="V76" s="2158">
        <v>483.6169999999999</v>
      </c>
      <c r="W76" s="2158">
        <v>323.15100000000001</v>
      </c>
      <c r="X76" s="2158">
        <v>6.2</v>
      </c>
      <c r="Y76" s="2158">
        <v>47.818999999999996</v>
      </c>
      <c r="Z76" s="2158">
        <v>361.78600000000012</v>
      </c>
      <c r="AA76" s="2158">
        <v>43.314</v>
      </c>
      <c r="AB76" s="2158">
        <v>25.285000000000004</v>
      </c>
      <c r="AC76" s="2158">
        <v>166.01599999999996</v>
      </c>
      <c r="AD76" s="2158">
        <v>173.40899999999999</v>
      </c>
      <c r="AE76" s="2158">
        <v>5.2130000000000001</v>
      </c>
      <c r="AF76" s="2158">
        <v>71.61699999999999</v>
      </c>
      <c r="AG76" s="2158">
        <v>112.83400000000002</v>
      </c>
      <c r="AH76" s="1013">
        <f t="shared" si="9"/>
        <v>4259.5879999999988</v>
      </c>
    </row>
    <row r="77" spans="1:34" ht="12">
      <c r="A77" s="573" t="s">
        <v>152</v>
      </c>
      <c r="B77" s="1359">
        <f t="shared" si="8"/>
        <v>2983.9969999999998</v>
      </c>
      <c r="C77" s="2157">
        <v>222.16500000000011</v>
      </c>
      <c r="D77" s="2158">
        <v>297.9899999999999</v>
      </c>
      <c r="E77" s="2158">
        <v>116.58599999999991</v>
      </c>
      <c r="F77" s="2158">
        <v>9.6789999999999985</v>
      </c>
      <c r="G77" s="2158">
        <v>0.03</v>
      </c>
      <c r="H77" s="2158">
        <v>52.371000000000002</v>
      </c>
      <c r="I77" s="2158">
        <v>117.857</v>
      </c>
      <c r="J77" s="2158">
        <v>45.225999999999999</v>
      </c>
      <c r="K77" s="2158">
        <v>199.167</v>
      </c>
      <c r="L77" s="2158">
        <v>402.82200000000006</v>
      </c>
      <c r="M77" s="2158">
        <v>227.67700000000008</v>
      </c>
      <c r="N77" s="2158">
        <v>2.9060000000000001</v>
      </c>
      <c r="O77" s="2158">
        <v>1.502</v>
      </c>
      <c r="P77" s="2158">
        <v>9.673</v>
      </c>
      <c r="Q77" s="2158">
        <v>104.60299999999998</v>
      </c>
      <c r="R77" s="2158">
        <v>124.09099999999999</v>
      </c>
      <c r="S77" s="2158">
        <v>6.7110000000000003</v>
      </c>
      <c r="T77" s="2158">
        <v>0.3</v>
      </c>
      <c r="U77" s="2158"/>
      <c r="V77" s="2158">
        <v>395.38199999999989</v>
      </c>
      <c r="W77" s="2158">
        <v>189.77799999999999</v>
      </c>
      <c r="X77" s="2158">
        <v>435.81100000000009</v>
      </c>
      <c r="Y77" s="2158">
        <v>3.4460000000000002</v>
      </c>
      <c r="Z77" s="2158">
        <v>1.65</v>
      </c>
      <c r="AA77" s="2158"/>
      <c r="AB77" s="2158"/>
      <c r="AC77" s="2158">
        <v>10.382999999999999</v>
      </c>
      <c r="AD77" s="2158">
        <v>4.5410000000000004</v>
      </c>
      <c r="AE77" s="2158"/>
      <c r="AF77" s="2158"/>
      <c r="AG77" s="2158">
        <v>1.65</v>
      </c>
      <c r="AH77" s="1013">
        <f t="shared" si="9"/>
        <v>2983.9969999999998</v>
      </c>
    </row>
    <row r="78" spans="1:34" ht="12">
      <c r="A78" s="573" t="s">
        <v>153</v>
      </c>
      <c r="B78" s="1359">
        <f t="shared" si="8"/>
        <v>4072.2909999999993</v>
      </c>
      <c r="C78" s="2157">
        <v>0.17199999999999999</v>
      </c>
      <c r="D78" s="2158"/>
      <c r="E78" s="2158">
        <v>254.857</v>
      </c>
      <c r="F78" s="2158">
        <v>640.57799999999975</v>
      </c>
      <c r="G78" s="2158">
        <v>35.577000000000005</v>
      </c>
      <c r="H78" s="2158">
        <v>516.15</v>
      </c>
      <c r="I78" s="2158">
        <v>349.084</v>
      </c>
      <c r="J78" s="2158">
        <v>106.47899999999997</v>
      </c>
      <c r="K78" s="2158">
        <v>5.3119999999999994</v>
      </c>
      <c r="L78" s="2158">
        <v>11.316000000000001</v>
      </c>
      <c r="M78" s="2158">
        <v>20.260999999999999</v>
      </c>
      <c r="N78" s="2158">
        <v>126.01900000000002</v>
      </c>
      <c r="O78" s="2158">
        <v>392.45300000000009</v>
      </c>
      <c r="P78" s="2158">
        <v>692.67899999999997</v>
      </c>
      <c r="Q78" s="2158">
        <v>17.069000000000003</v>
      </c>
      <c r="R78" s="2158"/>
      <c r="S78" s="2158">
        <v>0.15</v>
      </c>
      <c r="T78" s="2158"/>
      <c r="U78" s="2158"/>
      <c r="V78" s="2158"/>
      <c r="W78" s="2158">
        <v>2.6850000000000001</v>
      </c>
      <c r="X78" s="2158">
        <v>0.28399999999999997</v>
      </c>
      <c r="Y78" s="2158"/>
      <c r="Z78" s="2158">
        <v>78.040999999999983</v>
      </c>
      <c r="AA78" s="2158">
        <v>53.583999999999996</v>
      </c>
      <c r="AB78" s="2158">
        <v>97.450000000000031</v>
      </c>
      <c r="AC78" s="2158">
        <v>332.50799999999987</v>
      </c>
      <c r="AD78" s="2158">
        <v>335.64999999999981</v>
      </c>
      <c r="AE78" s="2158">
        <v>3.9329999999999998</v>
      </c>
      <c r="AF78" s="2158"/>
      <c r="AG78" s="2158"/>
      <c r="AH78" s="1013">
        <f t="shared" si="9"/>
        <v>4072.2909999999993</v>
      </c>
    </row>
    <row r="79" spans="1:34" ht="12">
      <c r="A79" s="573" t="s">
        <v>154</v>
      </c>
      <c r="B79" s="1359">
        <f t="shared" si="8"/>
        <v>1181.7090000000005</v>
      </c>
      <c r="C79" s="1086"/>
      <c r="D79" s="1087"/>
      <c r="E79" s="1087"/>
      <c r="F79" s="1087">
        <v>0.71399999999999997</v>
      </c>
      <c r="G79" s="1087">
        <v>24.568999999999999</v>
      </c>
      <c r="H79" s="1087">
        <v>209.56600000000006</v>
      </c>
      <c r="I79" s="1087"/>
      <c r="J79" s="1087">
        <v>22.795000000000002</v>
      </c>
      <c r="K79" s="1087">
        <v>0.193</v>
      </c>
      <c r="L79" s="1087"/>
      <c r="M79" s="1087">
        <v>96.997</v>
      </c>
      <c r="N79" s="1087">
        <v>139.50800000000004</v>
      </c>
      <c r="O79" s="1087">
        <v>85.887000000000015</v>
      </c>
      <c r="P79" s="1087"/>
      <c r="Q79" s="1087"/>
      <c r="R79" s="1087"/>
      <c r="S79" s="1087">
        <v>25.22</v>
      </c>
      <c r="T79" s="1087">
        <v>82.302000000000021</v>
      </c>
      <c r="U79" s="1087">
        <v>133.99100000000001</v>
      </c>
      <c r="V79" s="1087">
        <v>71.20999999999998</v>
      </c>
      <c r="W79" s="1087"/>
      <c r="X79" s="1087">
        <v>76.056999999999988</v>
      </c>
      <c r="Y79" s="1087">
        <v>30.738</v>
      </c>
      <c r="Z79" s="1087">
        <v>57.088000000000022</v>
      </c>
      <c r="AA79" s="1087">
        <v>11.690999999999999</v>
      </c>
      <c r="AB79" s="1087">
        <v>43.628</v>
      </c>
      <c r="AC79" s="1087">
        <v>27.279</v>
      </c>
      <c r="AD79" s="1087"/>
      <c r="AE79" s="1087">
        <v>39.947999999999993</v>
      </c>
      <c r="AF79" s="1087">
        <v>1.6779999999999999</v>
      </c>
      <c r="AG79" s="1087">
        <v>0.65</v>
      </c>
      <c r="AH79" s="1013">
        <f t="shared" si="9"/>
        <v>1181.7090000000005</v>
      </c>
    </row>
    <row r="80" spans="1:34" ht="12">
      <c r="A80" s="573" t="s">
        <v>155</v>
      </c>
      <c r="B80" s="1359">
        <f t="shared" si="8"/>
        <v>147.16700000000003</v>
      </c>
      <c r="C80" s="1086"/>
      <c r="D80" s="1087"/>
      <c r="E80" s="1087">
        <v>0.01</v>
      </c>
      <c r="F80" s="1087"/>
      <c r="G80" s="1087">
        <v>5.2809999999999997</v>
      </c>
      <c r="H80" s="1087">
        <v>26.805</v>
      </c>
      <c r="I80" s="1087">
        <v>52.83700000000001</v>
      </c>
      <c r="J80" s="1087">
        <v>35.937000000000005</v>
      </c>
      <c r="K80" s="1087">
        <v>3.3570000000000002</v>
      </c>
      <c r="L80" s="1087">
        <v>0.31</v>
      </c>
      <c r="M80" s="1087"/>
      <c r="N80" s="1087">
        <v>0.88300000000000001</v>
      </c>
      <c r="O80" s="1087">
        <v>0.76</v>
      </c>
      <c r="P80" s="1087">
        <v>0.9</v>
      </c>
      <c r="Q80" s="1087"/>
      <c r="R80" s="1087">
        <v>12.623999999999999</v>
      </c>
      <c r="S80" s="1087"/>
      <c r="T80" s="1087"/>
      <c r="U80" s="1087">
        <v>2.3140000000000001</v>
      </c>
      <c r="V80" s="1087">
        <v>1.661</v>
      </c>
      <c r="W80" s="1087"/>
      <c r="X80" s="1087"/>
      <c r="Y80" s="1087">
        <v>0.18</v>
      </c>
      <c r="Z80" s="1087"/>
      <c r="AA80" s="1087"/>
      <c r="AB80" s="1087">
        <v>2.08</v>
      </c>
      <c r="AC80" s="1087">
        <v>8.0000000000000002E-3</v>
      </c>
      <c r="AD80" s="1087">
        <v>0.1</v>
      </c>
      <c r="AE80" s="1087"/>
      <c r="AF80" s="1087">
        <v>1.1200000000000001</v>
      </c>
      <c r="AG80" s="1087"/>
      <c r="AH80" s="1013">
        <f t="shared" si="9"/>
        <v>147.16700000000003</v>
      </c>
    </row>
    <row r="81" spans="1:34" ht="12">
      <c r="A81" s="573" t="s">
        <v>156</v>
      </c>
      <c r="B81" s="1359">
        <f t="shared" si="8"/>
        <v>5.7489999999999997</v>
      </c>
      <c r="C81" s="3139"/>
      <c r="D81" s="1087"/>
      <c r="E81" s="1087"/>
      <c r="F81" s="1087">
        <v>0.9</v>
      </c>
      <c r="G81" s="1087"/>
      <c r="H81" s="1087"/>
      <c r="I81" s="1087">
        <v>0.6</v>
      </c>
      <c r="J81" s="1087"/>
      <c r="K81" s="1087"/>
      <c r="L81" s="3166"/>
      <c r="M81" s="1087">
        <v>0.71399999999999997</v>
      </c>
      <c r="N81" s="1087">
        <v>1</v>
      </c>
      <c r="O81" s="1087"/>
      <c r="P81" s="1087"/>
      <c r="Q81" s="1087">
        <v>1.6</v>
      </c>
      <c r="R81" s="1087"/>
      <c r="S81" s="1087"/>
      <c r="T81" s="1087"/>
      <c r="U81" s="1087">
        <v>0.2</v>
      </c>
      <c r="V81" s="1087">
        <v>1.4999999999999999E-2</v>
      </c>
      <c r="W81" s="1087"/>
      <c r="X81" s="1087">
        <v>0.37</v>
      </c>
      <c r="Y81" s="1087"/>
      <c r="Z81" s="1087"/>
      <c r="AA81" s="1087"/>
      <c r="AB81" s="1087"/>
      <c r="AC81" s="1087"/>
      <c r="AD81" s="1087"/>
      <c r="AE81" s="1087">
        <v>0.35</v>
      </c>
      <c r="AF81" s="1087"/>
      <c r="AG81" s="1087"/>
      <c r="AH81" s="1013">
        <f t="shared" si="9"/>
        <v>5.7489999999999997</v>
      </c>
    </row>
    <row r="82" spans="1:34" ht="12">
      <c r="A82" s="580" t="s">
        <v>111</v>
      </c>
      <c r="B82" s="2150">
        <f>SUM(B70:B81)</f>
        <v>32011.494999999995</v>
      </c>
      <c r="C82" s="1088"/>
      <c r="D82" s="1088"/>
      <c r="E82" s="1088"/>
      <c r="F82" s="1088"/>
      <c r="G82" s="1088"/>
      <c r="H82" s="1088"/>
      <c r="I82" s="1088"/>
      <c r="J82" s="1088"/>
      <c r="K82" s="1088"/>
      <c r="L82" s="1088"/>
      <c r="M82" s="1088"/>
      <c r="N82" s="1088"/>
      <c r="O82" s="1088"/>
      <c r="P82" s="1088"/>
      <c r="Q82" s="1088"/>
      <c r="R82" s="1088"/>
      <c r="S82" s="1088"/>
      <c r="T82" s="1088"/>
      <c r="U82" s="1088"/>
      <c r="V82" s="1088"/>
      <c r="W82" s="1088"/>
      <c r="X82" s="1088"/>
      <c r="Y82" s="1088"/>
      <c r="Z82" s="1088"/>
      <c r="AA82" s="1088"/>
      <c r="AB82" s="1088"/>
      <c r="AC82" s="1088"/>
      <c r="AD82" s="1088"/>
      <c r="AE82" s="1088"/>
      <c r="AF82" s="1088"/>
      <c r="AG82" s="1088"/>
      <c r="AH82" s="2151">
        <f>SUM(AH70:AH81)</f>
        <v>32011.494999999995</v>
      </c>
    </row>
    <row r="84" spans="1:34" ht="12">
      <c r="A84" s="3864" t="s">
        <v>510</v>
      </c>
      <c r="B84" s="3865"/>
      <c r="C84" s="3866"/>
      <c r="D84" s="1427"/>
      <c r="E84" s="1427"/>
      <c r="F84" s="1427"/>
      <c r="G84" s="1427"/>
      <c r="H84" s="1427"/>
      <c r="I84" s="1427"/>
      <c r="J84" s="1427"/>
      <c r="K84" s="1427"/>
      <c r="L84" s="1427"/>
      <c r="M84" s="2145"/>
      <c r="N84" s="1427"/>
      <c r="O84" s="1427"/>
      <c r="P84" s="1427"/>
      <c r="Q84" s="1427"/>
      <c r="R84" s="1427"/>
      <c r="S84" s="1427"/>
      <c r="T84" s="1427"/>
      <c r="U84" s="1427"/>
      <c r="V84" s="1427"/>
      <c r="W84" s="1427"/>
      <c r="X84" s="1427"/>
      <c r="Y84" s="1427"/>
      <c r="Z84" s="1427"/>
      <c r="AA84" s="1427"/>
      <c r="AB84" s="1427"/>
      <c r="AC84" s="1427"/>
      <c r="AD84" s="1427"/>
      <c r="AE84" s="1427"/>
      <c r="AF84" s="1427"/>
      <c r="AG84" s="1427"/>
    </row>
    <row r="85" spans="1:34" ht="12">
      <c r="A85" s="572" t="s">
        <v>142</v>
      </c>
      <c r="B85" s="1754" t="s">
        <v>143</v>
      </c>
      <c r="C85" s="1083">
        <v>1</v>
      </c>
      <c r="D85" s="2147">
        <v>2</v>
      </c>
      <c r="E85" s="2147">
        <v>3</v>
      </c>
      <c r="F85" s="2147">
        <v>4</v>
      </c>
      <c r="G85" s="2147">
        <v>5</v>
      </c>
      <c r="H85" s="2147">
        <v>6</v>
      </c>
      <c r="I85" s="2147">
        <v>7</v>
      </c>
      <c r="J85" s="2147">
        <v>8</v>
      </c>
      <c r="K85" s="2147">
        <v>9</v>
      </c>
      <c r="L85" s="2147">
        <v>10</v>
      </c>
      <c r="M85" s="2147">
        <v>11</v>
      </c>
      <c r="N85" s="2147">
        <v>12</v>
      </c>
      <c r="O85" s="2147">
        <v>13</v>
      </c>
      <c r="P85" s="2147">
        <v>14</v>
      </c>
      <c r="Q85" s="2147">
        <v>15</v>
      </c>
      <c r="R85" s="2147">
        <v>16</v>
      </c>
      <c r="S85" s="2147">
        <v>17</v>
      </c>
      <c r="T85" s="2147">
        <v>18</v>
      </c>
      <c r="U85" s="2147">
        <v>19</v>
      </c>
      <c r="V85" s="2147">
        <v>20</v>
      </c>
      <c r="W85" s="2146">
        <v>21</v>
      </c>
      <c r="X85" s="2147">
        <v>22</v>
      </c>
      <c r="Y85" s="2147">
        <v>23</v>
      </c>
      <c r="Z85" s="2147">
        <v>24</v>
      </c>
      <c r="AA85" s="2147">
        <v>25</v>
      </c>
      <c r="AB85" s="2147">
        <v>26</v>
      </c>
      <c r="AC85" s="2147">
        <v>27</v>
      </c>
      <c r="AD85" s="2147">
        <v>28</v>
      </c>
      <c r="AE85" s="2147">
        <v>29</v>
      </c>
      <c r="AF85" s="2147">
        <v>30</v>
      </c>
      <c r="AG85" s="2147">
        <v>31</v>
      </c>
      <c r="AH85" s="2148" t="s">
        <v>111</v>
      </c>
    </row>
    <row r="86" spans="1:34" ht="12">
      <c r="A86" s="573" t="s">
        <v>145</v>
      </c>
      <c r="B86" s="1359">
        <f t="shared" ref="B86:B97" si="10">+AH86</f>
        <v>0</v>
      </c>
      <c r="C86" s="2149">
        <v>0</v>
      </c>
      <c r="D86" s="2149">
        <v>0</v>
      </c>
      <c r="E86" s="2149">
        <v>0</v>
      </c>
      <c r="F86" s="2149">
        <v>0</v>
      </c>
      <c r="G86" s="2149">
        <v>0</v>
      </c>
      <c r="H86" s="2149">
        <v>0</v>
      </c>
      <c r="I86" s="2149">
        <v>0</v>
      </c>
      <c r="J86" s="2149">
        <v>0</v>
      </c>
      <c r="K86" s="2149">
        <v>0</v>
      </c>
      <c r="L86" s="2149">
        <v>0</v>
      </c>
      <c r="M86" s="2149">
        <v>0</v>
      </c>
      <c r="N86" s="2149">
        <v>0</v>
      </c>
      <c r="O86" s="2149">
        <v>0</v>
      </c>
      <c r="P86" s="2149">
        <v>0</v>
      </c>
      <c r="Q86" s="2149">
        <v>0</v>
      </c>
      <c r="R86" s="2149">
        <v>0</v>
      </c>
      <c r="S86" s="2149">
        <v>0</v>
      </c>
      <c r="T86" s="2149">
        <v>0</v>
      </c>
      <c r="U86" s="2149">
        <v>0</v>
      </c>
      <c r="V86" s="2149">
        <v>0</v>
      </c>
      <c r="W86" s="2149">
        <v>0</v>
      </c>
      <c r="X86" s="2149">
        <v>0</v>
      </c>
      <c r="Y86" s="2149">
        <v>0</v>
      </c>
      <c r="Z86" s="2149">
        <v>0</v>
      </c>
      <c r="AA86" s="2149">
        <v>0</v>
      </c>
      <c r="AB86" s="2149">
        <v>0</v>
      </c>
      <c r="AC86" s="2149">
        <v>0</v>
      </c>
      <c r="AD86" s="2149">
        <v>0</v>
      </c>
      <c r="AE86" s="2149">
        <v>0</v>
      </c>
      <c r="AF86" s="2149">
        <v>0</v>
      </c>
      <c r="AG86" s="2149">
        <v>0</v>
      </c>
      <c r="AH86" s="1013">
        <f>SUM(C86:AG86)</f>
        <v>0</v>
      </c>
    </row>
    <row r="87" spans="1:34" ht="12">
      <c r="A87" s="573" t="s">
        <v>146</v>
      </c>
      <c r="B87" s="1359">
        <f t="shared" si="10"/>
        <v>2136.9459999999999</v>
      </c>
      <c r="C87" s="2149">
        <v>0</v>
      </c>
      <c r="D87" s="2149">
        <v>0</v>
      </c>
      <c r="E87" s="2149">
        <v>0</v>
      </c>
      <c r="F87" s="2149">
        <v>0</v>
      </c>
      <c r="G87" s="2149">
        <v>0</v>
      </c>
      <c r="H87" s="2149">
        <v>0</v>
      </c>
      <c r="I87" s="2149">
        <v>0</v>
      </c>
      <c r="J87" s="2149">
        <v>0</v>
      </c>
      <c r="K87" s="2149">
        <v>0</v>
      </c>
      <c r="L87" s="2149">
        <v>0</v>
      </c>
      <c r="M87" s="2149">
        <v>0</v>
      </c>
      <c r="N87" s="2149">
        <v>0</v>
      </c>
      <c r="O87" s="2149">
        <v>0</v>
      </c>
      <c r="P87" s="2149">
        <v>0</v>
      </c>
      <c r="Q87" s="2149">
        <v>0</v>
      </c>
      <c r="R87" s="2149">
        <v>0</v>
      </c>
      <c r="S87" s="2149">
        <v>0</v>
      </c>
      <c r="T87" s="2149">
        <v>0</v>
      </c>
      <c r="U87" s="2149">
        <v>0</v>
      </c>
      <c r="V87" s="2149">
        <v>0</v>
      </c>
      <c r="W87" s="2156">
        <v>278.68</v>
      </c>
      <c r="X87" s="2156">
        <v>153.67599999999999</v>
      </c>
      <c r="Y87" s="2156">
        <v>373.37200000000001</v>
      </c>
      <c r="Z87" s="2156">
        <v>458.39600000000002</v>
      </c>
      <c r="AA87" s="2156">
        <v>110.021</v>
      </c>
      <c r="AB87" s="2156">
        <v>88.936999999999998</v>
      </c>
      <c r="AC87" s="2156">
        <v>125.98</v>
      </c>
      <c r="AD87" s="2156">
        <v>146.297</v>
      </c>
      <c r="AE87" s="2156">
        <v>401.58699999999999</v>
      </c>
      <c r="AF87" s="2156">
        <v>0</v>
      </c>
      <c r="AG87" s="2156">
        <v>0</v>
      </c>
      <c r="AH87" s="1013">
        <f>SUM(C87:AG87)</f>
        <v>2136.9459999999999</v>
      </c>
    </row>
    <row r="88" spans="1:34" ht="12">
      <c r="A88" s="573" t="s">
        <v>147</v>
      </c>
      <c r="B88" s="1359">
        <f t="shared" si="10"/>
        <v>7994.6859999999988</v>
      </c>
      <c r="C88" s="2141">
        <v>2.4889999999999999</v>
      </c>
      <c r="D88" s="2141">
        <v>246.01400000000001</v>
      </c>
      <c r="E88" s="2141">
        <v>66.162000000000006</v>
      </c>
      <c r="F88" s="2141">
        <v>119.099</v>
      </c>
      <c r="G88" s="2141">
        <v>454.80399999999997</v>
      </c>
      <c r="H88" s="2141">
        <v>420.70299999999997</v>
      </c>
      <c r="I88" s="2141">
        <v>270.84500000000003</v>
      </c>
      <c r="J88" s="2141">
        <v>377.08800000000002</v>
      </c>
      <c r="K88" s="2141">
        <v>382.88799999999998</v>
      </c>
      <c r="L88" s="2141">
        <v>64.915000000000006</v>
      </c>
      <c r="M88" s="2141">
        <v>90.05</v>
      </c>
      <c r="N88" s="2141">
        <v>255.27199999999999</v>
      </c>
      <c r="O88" s="2141">
        <v>160.34299999999999</v>
      </c>
      <c r="P88" s="2141">
        <v>248.72</v>
      </c>
      <c r="Q88" s="2141">
        <v>328.58</v>
      </c>
      <c r="R88" s="2141">
        <v>201.85599999999999</v>
      </c>
      <c r="S88" s="2141">
        <v>37.128</v>
      </c>
      <c r="T88" s="2141">
        <v>129.572</v>
      </c>
      <c r="U88" s="2141">
        <v>364.96499999999997</v>
      </c>
      <c r="V88" s="2141">
        <v>432.87299999999999</v>
      </c>
      <c r="W88" s="2141">
        <v>319.92200000000003</v>
      </c>
      <c r="X88" s="2141">
        <v>267.98200000000003</v>
      </c>
      <c r="Y88" s="2141">
        <v>41.244999999999997</v>
      </c>
      <c r="Z88" s="2141">
        <v>257.49</v>
      </c>
      <c r="AA88" s="2141">
        <v>251.24700000000001</v>
      </c>
      <c r="AB88" s="2141">
        <v>65.929000000000002</v>
      </c>
      <c r="AC88" s="2141">
        <v>661.05100000000004</v>
      </c>
      <c r="AD88" s="2141">
        <v>511.87900000000002</v>
      </c>
      <c r="AE88" s="2141">
        <v>527.38699999999994</v>
      </c>
      <c r="AF88" s="2141">
        <v>417.93700000000001</v>
      </c>
      <c r="AG88" s="2141">
        <v>18.251000000000001</v>
      </c>
      <c r="AH88" s="1013">
        <f t="shared" ref="AH88:AH97" si="11">SUM(C88:AG88)</f>
        <v>7994.6859999999988</v>
      </c>
    </row>
    <row r="89" spans="1:34" ht="12">
      <c r="A89" s="573" t="s">
        <v>148</v>
      </c>
      <c r="B89" s="1359">
        <f t="shared" si="10"/>
        <v>5674.722999999999</v>
      </c>
      <c r="C89" s="1381">
        <v>110.724</v>
      </c>
      <c r="D89" s="1381">
        <v>399.291</v>
      </c>
      <c r="E89" s="1381">
        <v>496.37400000000002</v>
      </c>
      <c r="F89" s="1381">
        <v>160.857</v>
      </c>
      <c r="G89" s="1381">
        <v>7.6520000000000001</v>
      </c>
      <c r="H89" s="1382">
        <v>0</v>
      </c>
      <c r="I89" s="1381">
        <v>0.21299999999999999</v>
      </c>
      <c r="J89" s="1381">
        <v>0.28100000000000003</v>
      </c>
      <c r="K89" s="1381">
        <v>50.887</v>
      </c>
      <c r="L89" s="1381">
        <v>315.81</v>
      </c>
      <c r="M89" s="1381">
        <v>308.53800000000001</v>
      </c>
      <c r="N89" s="1381">
        <v>293.983</v>
      </c>
      <c r="O89" s="1381">
        <v>446.26</v>
      </c>
      <c r="P89" s="1381">
        <v>73.677000000000007</v>
      </c>
      <c r="Q89" s="1381">
        <v>20.3</v>
      </c>
      <c r="R89" s="1381">
        <v>154.654</v>
      </c>
      <c r="S89" s="1381">
        <v>150.21</v>
      </c>
      <c r="T89" s="1381">
        <v>184.48599999999999</v>
      </c>
      <c r="U89" s="1381">
        <v>382.51499999999999</v>
      </c>
      <c r="V89" s="1381">
        <v>352.70400000000001</v>
      </c>
      <c r="W89" s="1381">
        <v>123.16200000000001</v>
      </c>
      <c r="X89" s="1381">
        <v>24.556999999999999</v>
      </c>
      <c r="Y89" s="1381">
        <v>394.05500000000001</v>
      </c>
      <c r="Z89" s="1381">
        <v>303.28300000000002</v>
      </c>
      <c r="AA89" s="1381">
        <v>278.92399999999998</v>
      </c>
      <c r="AB89" s="1381">
        <v>303.81099999999998</v>
      </c>
      <c r="AC89" s="1381">
        <v>196.851</v>
      </c>
      <c r="AD89" s="1381">
        <v>25.838000000000001</v>
      </c>
      <c r="AE89" s="1381">
        <v>20.425000000000001</v>
      </c>
      <c r="AF89" s="1381">
        <v>94.400999999999996</v>
      </c>
      <c r="AG89" s="1382">
        <v>0</v>
      </c>
      <c r="AH89" s="1013">
        <f t="shared" si="11"/>
        <v>5674.722999999999</v>
      </c>
    </row>
    <row r="90" spans="1:34" ht="12">
      <c r="A90" s="573" t="s">
        <v>149</v>
      </c>
      <c r="B90" s="1359">
        <f t="shared" si="10"/>
        <v>4500.058</v>
      </c>
      <c r="C90" s="1381">
        <v>3.6139999999999999</v>
      </c>
      <c r="D90" s="1381">
        <v>109.88200000000001</v>
      </c>
      <c r="E90" s="1381">
        <v>247.88800000000001</v>
      </c>
      <c r="F90" s="1381">
        <v>249.67599999999999</v>
      </c>
      <c r="G90" s="1381">
        <v>129.66499999999999</v>
      </c>
      <c r="H90" s="1381">
        <v>35.725999999999999</v>
      </c>
      <c r="I90" s="1381">
        <v>46.75</v>
      </c>
      <c r="J90" s="1381">
        <v>64.951999999999998</v>
      </c>
      <c r="K90" s="1381">
        <v>225.12</v>
      </c>
      <c r="L90" s="1381">
        <v>247.916</v>
      </c>
      <c r="M90" s="1381">
        <v>122.035</v>
      </c>
      <c r="N90" s="1381">
        <v>147.72200000000001</v>
      </c>
      <c r="O90" s="1381">
        <v>71.474999999999994</v>
      </c>
      <c r="P90" s="1381">
        <v>263.53500000000003</v>
      </c>
      <c r="Q90" s="1381">
        <v>326.46499999999997</v>
      </c>
      <c r="R90" s="1381">
        <v>362.423</v>
      </c>
      <c r="S90" s="1381">
        <v>40.04</v>
      </c>
      <c r="T90" s="1381">
        <v>181.244</v>
      </c>
      <c r="U90" s="1381">
        <v>191.74799999999999</v>
      </c>
      <c r="V90" s="1382">
        <v>0</v>
      </c>
      <c r="W90" s="1381">
        <v>15.547000000000001</v>
      </c>
      <c r="X90" s="1381">
        <v>345.64699999999999</v>
      </c>
      <c r="Y90" s="1381">
        <v>393.74599999999998</v>
      </c>
      <c r="Z90" s="1381">
        <v>376.56</v>
      </c>
      <c r="AA90" s="1382">
        <v>0</v>
      </c>
      <c r="AB90" s="1382">
        <v>0</v>
      </c>
      <c r="AC90" s="1382">
        <v>0</v>
      </c>
      <c r="AD90" s="1381">
        <v>1.806</v>
      </c>
      <c r="AE90" s="1381">
        <v>290.42599999999999</v>
      </c>
      <c r="AF90" s="1381">
        <v>0.03</v>
      </c>
      <c r="AG90" s="1381">
        <v>8.42</v>
      </c>
      <c r="AH90" s="1013">
        <f t="shared" si="11"/>
        <v>4500.058</v>
      </c>
    </row>
    <row r="91" spans="1:34" ht="12">
      <c r="A91" s="573" t="s">
        <v>150</v>
      </c>
      <c r="B91" s="1359">
        <f t="shared" si="10"/>
        <v>5694.054000000001</v>
      </c>
      <c r="C91" s="1381">
        <v>96.894000000000005</v>
      </c>
      <c r="D91" s="1381">
        <v>19.248999999999999</v>
      </c>
      <c r="E91" s="1382">
        <v>0.9</v>
      </c>
      <c r="F91" s="1382">
        <v>1.6</v>
      </c>
      <c r="G91" s="1382">
        <v>0</v>
      </c>
      <c r="H91" s="1381">
        <v>3.1779999999999999</v>
      </c>
      <c r="I91" s="1381">
        <v>97.027000000000001</v>
      </c>
      <c r="J91" s="1381">
        <v>542.68700000000001</v>
      </c>
      <c r="K91" s="1381">
        <v>285.06299999999999</v>
      </c>
      <c r="L91" s="1381">
        <v>163.386</v>
      </c>
      <c r="M91" s="1381">
        <v>379.55799999999999</v>
      </c>
      <c r="N91" s="1382">
        <v>12.644</v>
      </c>
      <c r="O91" s="1382">
        <v>6.391</v>
      </c>
      <c r="P91" s="1382">
        <v>43.564</v>
      </c>
      <c r="Q91" s="1381">
        <v>842.14300000000003</v>
      </c>
      <c r="R91" s="1382">
        <v>0</v>
      </c>
      <c r="S91" s="1382">
        <v>0</v>
      </c>
      <c r="T91" s="1382">
        <v>3.89</v>
      </c>
      <c r="U91" s="1382">
        <v>639.83699999999999</v>
      </c>
      <c r="V91" s="1382">
        <v>552.29700000000003</v>
      </c>
      <c r="W91" s="1382">
        <v>332.51799999999997</v>
      </c>
      <c r="X91" s="1382">
        <v>16.457999999999998</v>
      </c>
      <c r="Y91" s="1382">
        <v>18.757000000000001</v>
      </c>
      <c r="Z91" s="1382">
        <v>0</v>
      </c>
      <c r="AA91" s="1382">
        <v>12.999000000000001</v>
      </c>
      <c r="AB91" s="1382">
        <v>502.846</v>
      </c>
      <c r="AC91" s="1382">
        <v>177.10400000000001</v>
      </c>
      <c r="AD91" s="1382">
        <v>718.87900000000002</v>
      </c>
      <c r="AE91" s="1382">
        <v>110.098</v>
      </c>
      <c r="AF91" s="1382">
        <v>114.087</v>
      </c>
      <c r="AG91" s="1382">
        <v>0</v>
      </c>
      <c r="AH91" s="1013">
        <f t="shared" si="11"/>
        <v>5694.054000000001</v>
      </c>
    </row>
    <row r="92" spans="1:34" ht="12">
      <c r="A92" s="573" t="s">
        <v>151</v>
      </c>
      <c r="B92" s="1359">
        <f t="shared" si="10"/>
        <v>2615.3820000000001</v>
      </c>
      <c r="C92" s="2162">
        <v>0</v>
      </c>
      <c r="D92" s="2162">
        <v>3.0640000000000001</v>
      </c>
      <c r="E92" s="2162">
        <v>0</v>
      </c>
      <c r="F92" s="2162">
        <v>10.51</v>
      </c>
      <c r="G92" s="2162">
        <v>151.71899999999999</v>
      </c>
      <c r="H92" s="2162">
        <v>41.625999999999998</v>
      </c>
      <c r="I92" s="2162">
        <v>81.007000000000005</v>
      </c>
      <c r="J92" s="2162">
        <v>15.420999999999999</v>
      </c>
      <c r="K92" s="2162">
        <v>284.88200000000001</v>
      </c>
      <c r="L92" s="2162">
        <v>50.085999999999999</v>
      </c>
      <c r="M92" s="2162">
        <v>13.766</v>
      </c>
      <c r="N92" s="2162">
        <v>3.5649999999999999</v>
      </c>
      <c r="O92" s="2162">
        <v>18.891999999999999</v>
      </c>
      <c r="P92" s="2162">
        <v>158.982</v>
      </c>
      <c r="Q92" s="2162">
        <v>14.355</v>
      </c>
      <c r="R92" s="2162">
        <v>67.153999999999996</v>
      </c>
      <c r="S92" s="2162">
        <v>18.905999999999999</v>
      </c>
      <c r="T92" s="2162">
        <v>391.00099999999998</v>
      </c>
      <c r="U92" s="2162">
        <v>85.305000000000007</v>
      </c>
      <c r="V92" s="2162">
        <v>285.93599999999998</v>
      </c>
      <c r="W92" s="2162">
        <v>180.804</v>
      </c>
      <c r="X92" s="2162">
        <v>165.40299999999999</v>
      </c>
      <c r="Y92" s="2162">
        <v>123.574</v>
      </c>
      <c r="Z92" s="2163">
        <v>131.30199999999999</v>
      </c>
      <c r="AA92" s="2163">
        <v>3.38</v>
      </c>
      <c r="AB92" s="2163">
        <v>16.771999999999998</v>
      </c>
      <c r="AC92" s="2163">
        <v>85.323999999999998</v>
      </c>
      <c r="AD92" s="2163">
        <v>1.85</v>
      </c>
      <c r="AE92" s="2163">
        <v>3.1110000000000002</v>
      </c>
      <c r="AF92" s="2163">
        <v>16.344999999999999</v>
      </c>
      <c r="AG92" s="2163">
        <v>191.34</v>
      </c>
      <c r="AH92" s="1013">
        <f t="shared" si="11"/>
        <v>2615.3820000000001</v>
      </c>
    </row>
    <row r="93" spans="1:34" ht="12">
      <c r="A93" s="573" t="s">
        <v>152</v>
      </c>
      <c r="B93" s="1359">
        <f t="shared" si="10"/>
        <v>4782.5019999999995</v>
      </c>
      <c r="C93" s="2162">
        <v>200.17699999999999</v>
      </c>
      <c r="D93" s="2163">
        <v>0.58699999999999997</v>
      </c>
      <c r="E93" s="2163">
        <v>3.42</v>
      </c>
      <c r="F93" s="2163">
        <v>32.783999999999999</v>
      </c>
      <c r="G93" s="2163">
        <v>85.42</v>
      </c>
      <c r="H93" s="2163">
        <v>101.874</v>
      </c>
      <c r="I93" s="2163">
        <v>206.53399999999999</v>
      </c>
      <c r="J93" s="2163">
        <v>6.1189999999999998</v>
      </c>
      <c r="K93" s="2163">
        <v>122.995</v>
      </c>
      <c r="L93" s="2163">
        <v>287.74900000000002</v>
      </c>
      <c r="M93" s="2163">
        <v>31.155000000000001</v>
      </c>
      <c r="N93" s="2163">
        <v>47.906999999999996</v>
      </c>
      <c r="O93" s="2163">
        <v>6.601</v>
      </c>
      <c r="P93" s="2163">
        <v>477.96100000000001</v>
      </c>
      <c r="Q93" s="2163">
        <v>341.79500000000002</v>
      </c>
      <c r="R93" s="2163">
        <v>0</v>
      </c>
      <c r="S93" s="2163">
        <v>0</v>
      </c>
      <c r="T93" s="2163">
        <v>401.20499999999998</v>
      </c>
      <c r="U93" s="2163">
        <v>39.319000000000003</v>
      </c>
      <c r="V93" s="2163">
        <v>575.67999999999995</v>
      </c>
      <c r="W93" s="2163">
        <v>362.62900000000002</v>
      </c>
      <c r="X93" s="2163">
        <v>474.60300000000001</v>
      </c>
      <c r="Y93" s="2163">
        <v>35.58</v>
      </c>
      <c r="Z93" s="2163">
        <v>4.0069999999999997</v>
      </c>
      <c r="AA93" s="2163">
        <v>0.18</v>
      </c>
      <c r="AB93" s="2163">
        <v>0.26400000000000001</v>
      </c>
      <c r="AC93" s="2163">
        <v>391.10700000000003</v>
      </c>
      <c r="AD93" s="2163">
        <v>445.21199999999999</v>
      </c>
      <c r="AE93" s="2163">
        <v>32.881999999999998</v>
      </c>
      <c r="AF93" s="2163">
        <v>7.72</v>
      </c>
      <c r="AG93" s="2163">
        <v>59.036000000000001</v>
      </c>
      <c r="AH93" s="1013">
        <f t="shared" si="11"/>
        <v>4782.5019999999995</v>
      </c>
    </row>
    <row r="94" spans="1:34" ht="12">
      <c r="A94" s="573" t="s">
        <v>153</v>
      </c>
      <c r="B94" s="1359">
        <f t="shared" si="10"/>
        <v>5963.5479999999998</v>
      </c>
      <c r="C94" s="2162">
        <v>0</v>
      </c>
      <c r="D94" s="2163">
        <v>4.2389999999999999</v>
      </c>
      <c r="E94" s="2163">
        <v>580.10400000000004</v>
      </c>
      <c r="F94" s="2163">
        <v>688.65899999999999</v>
      </c>
      <c r="G94" s="2163">
        <v>12.246</v>
      </c>
      <c r="H94" s="2163">
        <v>786.14200000000005</v>
      </c>
      <c r="I94" s="2163">
        <v>287.39</v>
      </c>
      <c r="J94" s="2163">
        <v>18.004999999999999</v>
      </c>
      <c r="K94" s="2163">
        <v>42.685000000000002</v>
      </c>
      <c r="L94" s="2163">
        <v>559.46299999999997</v>
      </c>
      <c r="M94" s="2163">
        <v>463.72699999999998</v>
      </c>
      <c r="N94" s="2163">
        <v>154.185</v>
      </c>
      <c r="O94" s="2163">
        <v>299.54899999999998</v>
      </c>
      <c r="P94" s="2163">
        <v>446.03399999999999</v>
      </c>
      <c r="Q94" s="2163">
        <v>0</v>
      </c>
      <c r="R94" s="2163">
        <v>0</v>
      </c>
      <c r="S94" s="2163">
        <v>0</v>
      </c>
      <c r="T94" s="2163">
        <v>0</v>
      </c>
      <c r="U94" s="2163">
        <v>0</v>
      </c>
      <c r="V94" s="2163">
        <v>0</v>
      </c>
      <c r="W94" s="2163">
        <v>2.34</v>
      </c>
      <c r="X94" s="2163">
        <v>1.1299999999999999</v>
      </c>
      <c r="Y94" s="2163">
        <v>0.02</v>
      </c>
      <c r="Z94" s="2163">
        <v>330.69099999999997</v>
      </c>
      <c r="AA94" s="2163">
        <v>353.33</v>
      </c>
      <c r="AB94" s="2163">
        <v>224.39599999999999</v>
      </c>
      <c r="AC94" s="2163">
        <v>510.548</v>
      </c>
      <c r="AD94" s="2163">
        <v>184.95500000000001</v>
      </c>
      <c r="AE94" s="2163">
        <v>6.56</v>
      </c>
      <c r="AF94" s="2163">
        <v>7.15</v>
      </c>
      <c r="AG94" s="2163">
        <v>0</v>
      </c>
      <c r="AH94" s="1013">
        <f t="shared" si="11"/>
        <v>5963.5479999999998</v>
      </c>
    </row>
    <row r="95" spans="1:34" ht="13.2">
      <c r="A95" s="573" t="s">
        <v>154</v>
      </c>
      <c r="B95" s="1359">
        <f t="shared" si="10"/>
        <v>4695.369999999999</v>
      </c>
      <c r="C95" s="2552">
        <v>5.94</v>
      </c>
      <c r="D95" s="2553">
        <v>1.802</v>
      </c>
      <c r="E95" s="2553">
        <v>0.14499999999999999</v>
      </c>
      <c r="F95" s="2553">
        <v>9.5730000000000004</v>
      </c>
      <c r="G95" s="2553">
        <v>335.45</v>
      </c>
      <c r="H95" s="2553">
        <v>337.08499999999998</v>
      </c>
      <c r="I95" s="2553">
        <v>16.224</v>
      </c>
      <c r="J95" s="2553">
        <v>353.255</v>
      </c>
      <c r="K95" s="2553">
        <v>56.84</v>
      </c>
      <c r="L95" s="2553">
        <v>5.2809999999999997</v>
      </c>
      <c r="M95" s="2553">
        <v>319.89299999999997</v>
      </c>
      <c r="N95" s="2553">
        <v>589.66800000000001</v>
      </c>
      <c r="O95" s="2553">
        <v>316.44099999999997</v>
      </c>
      <c r="P95" s="2553">
        <v>3.6349999999999998</v>
      </c>
      <c r="Q95" s="2553">
        <v>50.162999999999997</v>
      </c>
      <c r="R95" s="2553">
        <v>0.16900000000000001</v>
      </c>
      <c r="S95" s="2553">
        <v>48.008000000000003</v>
      </c>
      <c r="T95" s="2553">
        <v>584.19000000000005</v>
      </c>
      <c r="U95" s="2553">
        <v>580.12199999999996</v>
      </c>
      <c r="V95" s="2553">
        <v>173.58</v>
      </c>
      <c r="W95" s="2553">
        <v>76.378</v>
      </c>
      <c r="X95" s="2553">
        <v>99.287000000000006</v>
      </c>
      <c r="Y95" s="2553">
        <v>147.316</v>
      </c>
      <c r="Z95" s="2553">
        <v>0.41699999999999998</v>
      </c>
      <c r="AA95" s="2553">
        <v>10.275</v>
      </c>
      <c r="AB95" s="2553">
        <v>17.704999999999998</v>
      </c>
      <c r="AC95" s="2553">
        <v>13.853</v>
      </c>
      <c r="AD95" s="2553">
        <v>0</v>
      </c>
      <c r="AE95" s="2553">
        <v>273.60500000000002</v>
      </c>
      <c r="AF95" s="2553">
        <v>42.753999999999998</v>
      </c>
      <c r="AG95" s="2553">
        <v>226.316</v>
      </c>
      <c r="AH95" s="1013">
        <f t="shared" si="11"/>
        <v>4695.369999999999</v>
      </c>
    </row>
    <row r="96" spans="1:34" ht="12">
      <c r="A96" s="573" t="s">
        <v>155</v>
      </c>
      <c r="B96" s="1359">
        <f t="shared" si="10"/>
        <v>2762.3890000000006</v>
      </c>
      <c r="C96" s="1086">
        <v>55.63</v>
      </c>
      <c r="D96" s="1087">
        <v>54.097000000000001</v>
      </c>
      <c r="E96" s="1087">
        <v>19.481999999999999</v>
      </c>
      <c r="F96" s="1087">
        <v>2.44</v>
      </c>
      <c r="G96" s="1087">
        <v>121.08199999999999</v>
      </c>
      <c r="H96" s="1087">
        <v>281.66300000000001</v>
      </c>
      <c r="I96" s="1087">
        <v>447.291</v>
      </c>
      <c r="J96" s="1087">
        <v>489.99099999999999</v>
      </c>
      <c r="K96" s="1087">
        <v>0</v>
      </c>
      <c r="L96" s="1087">
        <v>40.853000000000002</v>
      </c>
      <c r="M96" s="1087">
        <v>4.4999999999999998E-2</v>
      </c>
      <c r="N96" s="1087">
        <v>22.202000000000002</v>
      </c>
      <c r="O96" s="1087">
        <v>241.06700000000001</v>
      </c>
      <c r="P96" s="1087">
        <v>288.00799999999998</v>
      </c>
      <c r="Q96" s="1087">
        <v>172.36500000000001</v>
      </c>
      <c r="R96" s="1087">
        <v>62.924999999999997</v>
      </c>
      <c r="S96" s="1087">
        <v>119.12</v>
      </c>
      <c r="T96" s="1087">
        <v>0</v>
      </c>
      <c r="U96" s="1087">
        <v>10.618</v>
      </c>
      <c r="V96" s="1087">
        <v>189.749</v>
      </c>
      <c r="W96" s="1087">
        <v>43.008000000000003</v>
      </c>
      <c r="X96" s="1087">
        <v>0</v>
      </c>
      <c r="Y96" s="1087">
        <v>0</v>
      </c>
      <c r="Z96" s="1087">
        <v>0</v>
      </c>
      <c r="AA96" s="1087">
        <v>0.03</v>
      </c>
      <c r="AB96" s="1087">
        <v>0.68600000000000005</v>
      </c>
      <c r="AC96" s="1087">
        <v>12.186</v>
      </c>
      <c r="AD96" s="1087">
        <v>6.4859999999999998</v>
      </c>
      <c r="AE96" s="1087">
        <v>1.5429999999999999</v>
      </c>
      <c r="AF96" s="1087">
        <v>79.822000000000003</v>
      </c>
      <c r="AG96" s="1087">
        <v>0</v>
      </c>
      <c r="AH96" s="1013">
        <f t="shared" si="11"/>
        <v>2762.3890000000006</v>
      </c>
    </row>
    <row r="97" spans="1:34" ht="12">
      <c r="A97" s="573" t="s">
        <v>156</v>
      </c>
      <c r="B97" s="1359">
        <f t="shared" si="10"/>
        <v>908.48699999999997</v>
      </c>
      <c r="C97" s="3166">
        <v>47.073999999999998</v>
      </c>
      <c r="D97" s="1087">
        <v>0.01</v>
      </c>
      <c r="E97" s="1087">
        <v>0.9</v>
      </c>
      <c r="F97" s="1087">
        <v>1.92</v>
      </c>
      <c r="G97" s="1087">
        <v>104.54300000000001</v>
      </c>
      <c r="H97" s="1087">
        <v>95.164000000000001</v>
      </c>
      <c r="I97" s="1087">
        <v>0</v>
      </c>
      <c r="J97" s="1087">
        <v>0.01</v>
      </c>
      <c r="K97" s="1087">
        <v>4.2039999999999997</v>
      </c>
      <c r="L97" s="3166">
        <v>99.174999999999997</v>
      </c>
      <c r="M97" s="3166">
        <v>3.0630000000000002</v>
      </c>
      <c r="N97" s="3166">
        <v>41.87</v>
      </c>
      <c r="O97" s="3166">
        <v>40.905999999999999</v>
      </c>
      <c r="P97" s="1087">
        <v>31.393000000000001</v>
      </c>
      <c r="Q97" s="1087">
        <v>8.1150000000000002</v>
      </c>
      <c r="R97" s="1087">
        <v>0.06</v>
      </c>
      <c r="S97" s="1087">
        <v>0</v>
      </c>
      <c r="T97" s="1087">
        <v>79.290000000000006</v>
      </c>
      <c r="U97" s="1087">
        <v>91.85</v>
      </c>
      <c r="V97" s="1087">
        <v>43.68</v>
      </c>
      <c r="W97" s="1087">
        <v>4.7619999999999996</v>
      </c>
      <c r="X97" s="1087">
        <v>0</v>
      </c>
      <c r="Y97" s="1087">
        <v>78.465000000000003</v>
      </c>
      <c r="Z97" s="1087">
        <v>47.472000000000001</v>
      </c>
      <c r="AA97" s="1087">
        <v>0</v>
      </c>
      <c r="AB97" s="1087">
        <v>0</v>
      </c>
      <c r="AC97" s="1087">
        <v>0</v>
      </c>
      <c r="AD97" s="1087">
        <v>4.6639999999999997</v>
      </c>
      <c r="AE97" s="1087">
        <v>4.9740000000000002</v>
      </c>
      <c r="AF97" s="1087">
        <v>66.399000000000001</v>
      </c>
      <c r="AG97" s="1087">
        <v>8.5239999999999991</v>
      </c>
      <c r="AH97" s="1013">
        <f t="shared" si="11"/>
        <v>908.48699999999997</v>
      </c>
    </row>
    <row r="98" spans="1:34" ht="12">
      <c r="A98" s="580" t="s">
        <v>111</v>
      </c>
      <c r="B98" s="2150">
        <f>SUM(B86:B97)</f>
        <v>47728.145000000004</v>
      </c>
      <c r="C98" s="1088"/>
      <c r="D98" s="1088"/>
      <c r="E98" s="1088"/>
      <c r="F98" s="1088"/>
      <c r="G98" s="1088"/>
      <c r="H98" s="1088"/>
      <c r="I98" s="1088"/>
      <c r="J98" s="1088"/>
      <c r="K98" s="1088"/>
      <c r="L98" s="1088"/>
      <c r="M98" s="1088"/>
      <c r="N98" s="1088"/>
      <c r="O98" s="1088"/>
      <c r="P98" s="1088"/>
      <c r="Q98" s="1088"/>
      <c r="R98" s="1088"/>
      <c r="S98" s="1088"/>
      <c r="T98" s="1088"/>
      <c r="U98" s="1088"/>
      <c r="V98" s="1088"/>
      <c r="W98" s="1088"/>
      <c r="X98" s="1088"/>
      <c r="Y98" s="1088"/>
      <c r="Z98" s="1088"/>
      <c r="AA98" s="1088"/>
      <c r="AB98" s="1088"/>
      <c r="AC98" s="1088"/>
      <c r="AD98" s="1088"/>
      <c r="AE98" s="1088"/>
      <c r="AF98" s="1088"/>
      <c r="AG98" s="1088"/>
      <c r="AH98" s="2151"/>
    </row>
    <row r="100" spans="1:34" ht="12">
      <c r="A100" s="3864" t="s">
        <v>511</v>
      </c>
      <c r="B100" s="3865"/>
      <c r="C100" s="3866"/>
      <c r="D100" s="1427"/>
      <c r="E100" s="1427"/>
      <c r="F100" s="1427"/>
      <c r="G100" s="1427"/>
      <c r="H100" s="1427"/>
      <c r="I100" s="1427"/>
      <c r="J100" s="1427"/>
      <c r="K100" s="1427"/>
      <c r="L100" s="1427"/>
      <c r="M100" s="2145"/>
      <c r="N100" s="1427"/>
      <c r="O100" s="1427"/>
      <c r="P100" s="1427"/>
      <c r="Q100" s="1427"/>
      <c r="R100" s="1427"/>
      <c r="S100" s="1427"/>
      <c r="T100" s="1427"/>
      <c r="U100" s="1427"/>
      <c r="V100" s="1427"/>
      <c r="W100" s="1427"/>
      <c r="X100" s="1427"/>
      <c r="Y100" s="1427"/>
      <c r="Z100" s="1427"/>
      <c r="AA100" s="1427"/>
      <c r="AB100" s="1427"/>
      <c r="AC100" s="1427"/>
      <c r="AD100" s="1427"/>
      <c r="AE100" s="1427"/>
      <c r="AF100" s="1427"/>
      <c r="AG100" s="1427"/>
    </row>
    <row r="101" spans="1:34" ht="12">
      <c r="A101" s="572" t="s">
        <v>142</v>
      </c>
      <c r="B101" s="1754" t="s">
        <v>143</v>
      </c>
      <c r="C101" s="1083">
        <v>1</v>
      </c>
      <c r="D101" s="2147">
        <v>2</v>
      </c>
      <c r="E101" s="2147">
        <v>3</v>
      </c>
      <c r="F101" s="2147">
        <v>4</v>
      </c>
      <c r="G101" s="2147">
        <v>5</v>
      </c>
      <c r="H101" s="2147">
        <v>6</v>
      </c>
      <c r="I101" s="2147">
        <v>7</v>
      </c>
      <c r="J101" s="2147">
        <v>8</v>
      </c>
      <c r="K101" s="2147">
        <v>9</v>
      </c>
      <c r="L101" s="2147">
        <v>10</v>
      </c>
      <c r="M101" s="2147">
        <v>11</v>
      </c>
      <c r="N101" s="2147">
        <v>12</v>
      </c>
      <c r="O101" s="2147">
        <v>13</v>
      </c>
      <c r="P101" s="2147">
        <v>14</v>
      </c>
      <c r="Q101" s="2147">
        <v>15</v>
      </c>
      <c r="R101" s="2147">
        <v>16</v>
      </c>
      <c r="S101" s="2147">
        <v>17</v>
      </c>
      <c r="T101" s="2147">
        <v>18</v>
      </c>
      <c r="U101" s="2147">
        <v>19</v>
      </c>
      <c r="V101" s="2147">
        <v>20</v>
      </c>
      <c r="W101" s="2146">
        <v>21</v>
      </c>
      <c r="X101" s="2147">
        <v>22</v>
      </c>
      <c r="Y101" s="2147">
        <v>23</v>
      </c>
      <c r="Z101" s="2147">
        <v>24</v>
      </c>
      <c r="AA101" s="2147">
        <v>25</v>
      </c>
      <c r="AB101" s="2147">
        <v>26</v>
      </c>
      <c r="AC101" s="2147">
        <v>27</v>
      </c>
      <c r="AD101" s="2147">
        <v>28</v>
      </c>
      <c r="AE101" s="2147">
        <v>29</v>
      </c>
      <c r="AF101" s="2147">
        <v>30</v>
      </c>
      <c r="AG101" s="2147">
        <v>31</v>
      </c>
      <c r="AH101" s="2148" t="s">
        <v>111</v>
      </c>
    </row>
    <row r="102" spans="1:34" ht="12">
      <c r="A102" s="573" t="s">
        <v>145</v>
      </c>
      <c r="B102" s="1359">
        <f t="shared" ref="B102:B113" si="12">+AH102</f>
        <v>0</v>
      </c>
      <c r="C102" s="2149"/>
      <c r="D102" s="2149"/>
      <c r="E102" s="2149"/>
      <c r="F102" s="2149"/>
      <c r="G102" s="2149"/>
      <c r="H102" s="2149"/>
      <c r="I102" s="2149"/>
      <c r="J102" s="2149"/>
      <c r="K102" s="2149"/>
      <c r="L102" s="2149"/>
      <c r="M102" s="2149"/>
      <c r="N102" s="2149"/>
      <c r="O102" s="2149"/>
      <c r="P102" s="2149"/>
      <c r="Q102" s="2149"/>
      <c r="R102" s="2149"/>
      <c r="S102" s="2149"/>
      <c r="T102" s="2149"/>
      <c r="U102" s="2149"/>
      <c r="V102" s="2149"/>
      <c r="W102" s="2149"/>
      <c r="X102" s="2149"/>
      <c r="Y102" s="2149"/>
      <c r="Z102" s="2149"/>
      <c r="AA102" s="2149"/>
      <c r="AB102" s="2149"/>
      <c r="AC102" s="2149"/>
      <c r="AD102" s="2149"/>
      <c r="AE102" s="2149"/>
      <c r="AF102" s="2149"/>
      <c r="AG102" s="2149"/>
      <c r="AH102" s="1013">
        <f>SUM(C102:AG102)</f>
        <v>0</v>
      </c>
    </row>
    <row r="103" spans="1:34" ht="12">
      <c r="A103" s="573" t="s">
        <v>146</v>
      </c>
      <c r="B103" s="1359">
        <f t="shared" si="12"/>
        <v>0.15</v>
      </c>
      <c r="C103" s="2149"/>
      <c r="D103" s="2149"/>
      <c r="E103" s="2149"/>
      <c r="F103" s="2149"/>
      <c r="G103" s="2149"/>
      <c r="H103" s="2149"/>
      <c r="I103" s="2149"/>
      <c r="J103" s="2149"/>
      <c r="K103" s="2149"/>
      <c r="L103" s="2149"/>
      <c r="M103" s="2149"/>
      <c r="N103" s="2149"/>
      <c r="O103" s="2149"/>
      <c r="P103" s="2149"/>
      <c r="Q103" s="2149"/>
      <c r="R103" s="2149"/>
      <c r="S103" s="2149"/>
      <c r="T103" s="2149"/>
      <c r="U103" s="2149"/>
      <c r="V103" s="2149"/>
      <c r="W103" s="2149">
        <v>0.08</v>
      </c>
      <c r="X103" s="2149"/>
      <c r="Y103" s="2149">
        <v>0.05</v>
      </c>
      <c r="Z103" s="2149"/>
      <c r="AA103" s="2149">
        <v>0.02</v>
      </c>
      <c r="AB103" s="2149"/>
      <c r="AC103" s="2149"/>
      <c r="AD103" s="2149"/>
      <c r="AE103" s="2149"/>
      <c r="AF103" s="2149"/>
      <c r="AG103" s="2149"/>
      <c r="AH103" s="1013">
        <f t="shared" ref="AH103:AH113" si="13">SUM(C103:AG103)</f>
        <v>0.15</v>
      </c>
    </row>
    <row r="104" spans="1:34" ht="12">
      <c r="A104" s="573" t="s">
        <v>147</v>
      </c>
      <c r="B104" s="1359">
        <f t="shared" si="12"/>
        <v>0.69800000000000018</v>
      </c>
      <c r="C104" s="2164"/>
      <c r="D104" s="2164"/>
      <c r="E104" s="2164">
        <v>0.1</v>
      </c>
      <c r="F104" s="2164">
        <v>0.12</v>
      </c>
      <c r="G104" s="2164"/>
      <c r="H104" s="2164"/>
      <c r="I104" s="2164"/>
      <c r="J104" s="2164"/>
      <c r="K104" s="2164"/>
      <c r="L104" s="2164">
        <v>0.05</v>
      </c>
      <c r="M104" s="2164"/>
      <c r="N104" s="2164"/>
      <c r="O104" s="2164"/>
      <c r="P104" s="2164"/>
      <c r="Q104" s="2164"/>
      <c r="R104" s="2164"/>
      <c r="S104" s="2164"/>
      <c r="T104" s="2164"/>
      <c r="U104" s="2164"/>
      <c r="V104" s="2164"/>
      <c r="W104" s="2164"/>
      <c r="X104" s="2164">
        <v>0.32</v>
      </c>
      <c r="Y104" s="2164"/>
      <c r="Z104" s="2164"/>
      <c r="AA104" s="2164">
        <v>0.04</v>
      </c>
      <c r="AB104" s="2164"/>
      <c r="AC104" s="2164">
        <v>0.06</v>
      </c>
      <c r="AD104" s="2164"/>
      <c r="AE104" s="2164"/>
      <c r="AF104" s="2164"/>
      <c r="AG104" s="2164">
        <v>8.0000000000000002E-3</v>
      </c>
      <c r="AH104" s="1013">
        <f t="shared" si="13"/>
        <v>0.69800000000000018</v>
      </c>
    </row>
    <row r="105" spans="1:34" ht="12">
      <c r="A105" s="573" t="s">
        <v>148</v>
      </c>
      <c r="B105" s="1359">
        <f t="shared" si="12"/>
        <v>5.8000000000000003E-2</v>
      </c>
      <c r="C105" s="2164"/>
      <c r="D105" s="2164"/>
      <c r="E105" s="2164">
        <v>8.0000000000000002E-3</v>
      </c>
      <c r="F105" s="2164"/>
      <c r="G105" s="2164"/>
      <c r="H105" s="2164"/>
      <c r="I105" s="2164"/>
      <c r="J105" s="2164"/>
      <c r="K105" s="2164"/>
      <c r="L105" s="2164"/>
      <c r="M105" s="2164"/>
      <c r="N105" s="2164"/>
      <c r="O105" s="2164"/>
      <c r="P105" s="2164"/>
      <c r="Q105" s="2164"/>
      <c r="R105" s="2164"/>
      <c r="S105" s="2164"/>
      <c r="T105" s="2164"/>
      <c r="U105" s="2164"/>
      <c r="V105" s="2164">
        <v>0.01</v>
      </c>
      <c r="W105" s="2164"/>
      <c r="X105" s="2164"/>
      <c r="Y105" s="2164"/>
      <c r="Z105" s="2164"/>
      <c r="AA105" s="2164">
        <v>0.03</v>
      </c>
      <c r="AB105" s="2164">
        <v>0.01</v>
      </c>
      <c r="AC105" s="2164"/>
      <c r="AD105" s="2164"/>
      <c r="AE105" s="2164"/>
      <c r="AF105" s="2164"/>
      <c r="AG105" s="2164"/>
      <c r="AH105" s="1013">
        <f t="shared" si="13"/>
        <v>5.8000000000000003E-2</v>
      </c>
    </row>
    <row r="106" spans="1:34" ht="12">
      <c r="A106" s="573" t="s">
        <v>149</v>
      </c>
      <c r="B106" s="1359">
        <f t="shared" si="12"/>
        <v>1.4999999999999999E-2</v>
      </c>
      <c r="C106" s="1086"/>
      <c r="D106" s="1087"/>
      <c r="E106" s="1087"/>
      <c r="F106" s="1087"/>
      <c r="G106" s="1087"/>
      <c r="H106" s="1087"/>
      <c r="I106" s="1087"/>
      <c r="J106" s="1087"/>
      <c r="K106" s="1087"/>
      <c r="L106" s="1087"/>
      <c r="M106" s="1087"/>
      <c r="N106" s="1087"/>
      <c r="O106" s="1087"/>
      <c r="P106" s="1087"/>
      <c r="Q106" s="1087"/>
      <c r="R106" s="1087"/>
      <c r="S106" s="1087"/>
      <c r="T106" s="1087">
        <v>1.4999999999999999E-2</v>
      </c>
      <c r="U106" s="1087"/>
      <c r="V106" s="1087"/>
      <c r="W106" s="1087"/>
      <c r="X106" s="1087"/>
      <c r="Y106" s="1087"/>
      <c r="Z106" s="1087"/>
      <c r="AA106" s="1087"/>
      <c r="AB106" s="1087"/>
      <c r="AC106" s="1087"/>
      <c r="AD106" s="1087"/>
      <c r="AE106" s="1087"/>
      <c r="AF106" s="1087"/>
      <c r="AG106" s="1087"/>
      <c r="AH106" s="1013">
        <f t="shared" si="13"/>
        <v>1.4999999999999999E-2</v>
      </c>
    </row>
    <row r="107" spans="1:34" ht="12">
      <c r="A107" s="573" t="s">
        <v>150</v>
      </c>
      <c r="B107" s="1359">
        <f t="shared" si="12"/>
        <v>4.8000000000000001E-2</v>
      </c>
      <c r="C107" s="1086"/>
      <c r="D107" s="1087"/>
      <c r="E107" s="1087"/>
      <c r="F107" s="1087"/>
      <c r="G107" s="1087"/>
      <c r="H107" s="1087"/>
      <c r="I107" s="1087"/>
      <c r="J107" s="1087"/>
      <c r="K107" s="1087"/>
      <c r="L107" s="1087"/>
      <c r="M107" s="1087"/>
      <c r="N107" s="1087"/>
      <c r="O107" s="1087"/>
      <c r="P107" s="1087"/>
      <c r="Q107" s="1087"/>
      <c r="R107" s="1087"/>
      <c r="S107" s="1087"/>
      <c r="T107" s="1087"/>
      <c r="U107" s="1087"/>
      <c r="V107" s="1087"/>
      <c r="W107" s="1087"/>
      <c r="X107" s="1087"/>
      <c r="Y107" s="1087"/>
      <c r="Z107" s="1087"/>
      <c r="AA107" s="1087"/>
      <c r="AB107" s="1087">
        <v>1.6E-2</v>
      </c>
      <c r="AC107" s="1087">
        <v>1.2E-2</v>
      </c>
      <c r="AD107" s="1087"/>
      <c r="AE107" s="1087">
        <v>0.02</v>
      </c>
      <c r="AF107" s="1087"/>
      <c r="AG107" s="1087"/>
      <c r="AH107" s="1013">
        <f t="shared" si="13"/>
        <v>4.8000000000000001E-2</v>
      </c>
    </row>
    <row r="108" spans="1:34" ht="12">
      <c r="A108" s="573" t="s">
        <v>151</v>
      </c>
      <c r="B108" s="1359">
        <f t="shared" si="12"/>
        <v>0.01</v>
      </c>
      <c r="C108" s="1086"/>
      <c r="D108" s="1087"/>
      <c r="E108" s="1087"/>
      <c r="F108" s="1087"/>
      <c r="G108" s="1087"/>
      <c r="H108" s="1087"/>
      <c r="I108" s="1087"/>
      <c r="J108" s="1087"/>
      <c r="K108" s="1087"/>
      <c r="L108" s="1087"/>
      <c r="M108" s="1087"/>
      <c r="N108" s="1087"/>
      <c r="O108" s="1087"/>
      <c r="P108" s="1087"/>
      <c r="Q108" s="1087"/>
      <c r="R108" s="1087"/>
      <c r="S108" s="1087"/>
      <c r="T108" s="1087">
        <v>0.01</v>
      </c>
      <c r="U108" s="1087"/>
      <c r="V108" s="1087"/>
      <c r="W108" s="1087"/>
      <c r="X108" s="1087"/>
      <c r="Y108" s="1087"/>
      <c r="Z108" s="1087"/>
      <c r="AA108" s="1087"/>
      <c r="AB108" s="1087"/>
      <c r="AC108" s="1087"/>
      <c r="AD108" s="1087"/>
      <c r="AE108" s="1087"/>
      <c r="AF108" s="1087"/>
      <c r="AG108" s="1087"/>
      <c r="AH108" s="1013">
        <f t="shared" si="13"/>
        <v>0.01</v>
      </c>
    </row>
    <row r="109" spans="1:34" ht="12">
      <c r="A109" s="573" t="s">
        <v>152</v>
      </c>
      <c r="B109" s="1359">
        <f t="shared" si="12"/>
        <v>0</v>
      </c>
      <c r="C109" s="1086"/>
      <c r="D109" s="1087"/>
      <c r="E109" s="1087"/>
      <c r="F109" s="1087"/>
      <c r="G109" s="1087"/>
      <c r="H109" s="1087"/>
      <c r="I109" s="1087"/>
      <c r="J109" s="1087"/>
      <c r="K109" s="1087"/>
      <c r="L109" s="1087"/>
      <c r="M109" s="1087"/>
      <c r="N109" s="1087"/>
      <c r="O109" s="1087"/>
      <c r="P109" s="1087"/>
      <c r="Q109" s="1087"/>
      <c r="R109" s="1087"/>
      <c r="S109" s="1087"/>
      <c r="T109" s="1087"/>
      <c r="U109" s="1087"/>
      <c r="V109" s="1087"/>
      <c r="W109" s="1087"/>
      <c r="X109" s="1087"/>
      <c r="Y109" s="1087"/>
      <c r="Z109" s="1087"/>
      <c r="AA109" s="1087"/>
      <c r="AB109" s="1087"/>
      <c r="AC109" s="1087"/>
      <c r="AD109" s="1087"/>
      <c r="AE109" s="1087"/>
      <c r="AF109" s="1087"/>
      <c r="AG109" s="1087"/>
      <c r="AH109" s="1013">
        <f t="shared" si="13"/>
        <v>0</v>
      </c>
    </row>
    <row r="110" spans="1:34" ht="12">
      <c r="A110" s="573" t="s">
        <v>153</v>
      </c>
      <c r="B110" s="1359">
        <f t="shared" si="12"/>
        <v>0</v>
      </c>
      <c r="C110" s="1086"/>
      <c r="D110" s="1087"/>
      <c r="E110" s="1087"/>
      <c r="F110" s="1087"/>
      <c r="G110" s="1087"/>
      <c r="H110" s="1087"/>
      <c r="I110" s="1087"/>
      <c r="J110" s="1087"/>
      <c r="K110" s="1087"/>
      <c r="L110" s="1087"/>
      <c r="M110" s="1087"/>
      <c r="N110" s="1087"/>
      <c r="O110" s="1087"/>
      <c r="P110" s="1087"/>
      <c r="Q110" s="1087"/>
      <c r="R110" s="1087"/>
      <c r="S110" s="1087"/>
      <c r="T110" s="1087"/>
      <c r="U110" s="1087"/>
      <c r="V110" s="1087"/>
      <c r="W110" s="1087"/>
      <c r="X110" s="1087"/>
      <c r="Y110" s="1087"/>
      <c r="Z110" s="1087"/>
      <c r="AA110" s="1087"/>
      <c r="AB110" s="1087"/>
      <c r="AC110" s="1087"/>
      <c r="AD110" s="1087"/>
      <c r="AE110" s="1087"/>
      <c r="AF110" s="1087"/>
      <c r="AG110" s="1087"/>
      <c r="AH110" s="1013">
        <f t="shared" si="13"/>
        <v>0</v>
      </c>
    </row>
    <row r="111" spans="1:34" ht="12">
      <c r="A111" s="573" t="s">
        <v>154</v>
      </c>
      <c r="B111" s="1359">
        <f t="shared" si="12"/>
        <v>0</v>
      </c>
      <c r="C111" s="1086"/>
      <c r="D111" s="1087"/>
      <c r="E111" s="1087"/>
      <c r="F111" s="1087"/>
      <c r="G111" s="1087"/>
      <c r="H111" s="1087"/>
      <c r="I111" s="1087"/>
      <c r="J111" s="1087"/>
      <c r="K111" s="1087"/>
      <c r="L111" s="1087"/>
      <c r="M111" s="1087"/>
      <c r="N111" s="1087"/>
      <c r="O111" s="1087"/>
      <c r="P111" s="1087"/>
      <c r="Q111" s="1087"/>
      <c r="R111" s="1087"/>
      <c r="S111" s="1087"/>
      <c r="T111" s="1087"/>
      <c r="U111" s="1087"/>
      <c r="V111" s="1087"/>
      <c r="W111" s="1087"/>
      <c r="X111" s="1087"/>
      <c r="Y111" s="1087"/>
      <c r="Z111" s="1087"/>
      <c r="AA111" s="1087"/>
      <c r="AB111" s="1087"/>
      <c r="AC111" s="1087"/>
      <c r="AD111" s="1087"/>
      <c r="AE111" s="1087"/>
      <c r="AF111" s="1087"/>
      <c r="AG111" s="1087"/>
      <c r="AH111" s="1013">
        <f t="shared" si="13"/>
        <v>0</v>
      </c>
    </row>
    <row r="112" spans="1:34" ht="12">
      <c r="A112" s="573" t="s">
        <v>155</v>
      </c>
      <c r="B112" s="1359">
        <f t="shared" si="12"/>
        <v>0</v>
      </c>
      <c r="C112" s="1086"/>
      <c r="D112" s="1087"/>
      <c r="E112" s="1087"/>
      <c r="F112" s="1087"/>
      <c r="G112" s="1087"/>
      <c r="H112" s="1087"/>
      <c r="I112" s="1087"/>
      <c r="J112" s="1087"/>
      <c r="K112" s="1087"/>
      <c r="L112" s="1087"/>
      <c r="M112" s="1087"/>
      <c r="N112" s="1087"/>
      <c r="O112" s="1087"/>
      <c r="P112" s="1087"/>
      <c r="Q112" s="1087"/>
      <c r="R112" s="1087"/>
      <c r="S112" s="1087"/>
      <c r="T112" s="1087"/>
      <c r="U112" s="1087"/>
      <c r="V112" s="1087"/>
      <c r="W112" s="1087"/>
      <c r="X112" s="1087"/>
      <c r="Y112" s="1087"/>
      <c r="Z112" s="1087"/>
      <c r="AA112" s="1087"/>
      <c r="AB112" s="1087"/>
      <c r="AC112" s="1087"/>
      <c r="AD112" s="1087"/>
      <c r="AE112" s="1087"/>
      <c r="AF112" s="1087"/>
      <c r="AG112" s="1087"/>
      <c r="AH112" s="1013">
        <f t="shared" si="13"/>
        <v>0</v>
      </c>
    </row>
    <row r="113" spans="1:34" ht="12">
      <c r="A113" s="573" t="s">
        <v>156</v>
      </c>
      <c r="B113" s="1359">
        <f t="shared" si="12"/>
        <v>0</v>
      </c>
      <c r="C113" s="1086"/>
      <c r="D113" s="1087"/>
      <c r="E113" s="1087"/>
      <c r="F113" s="1087"/>
      <c r="G113" s="1087"/>
      <c r="H113" s="1087"/>
      <c r="I113" s="1087"/>
      <c r="J113" s="1087"/>
      <c r="K113" s="1087"/>
      <c r="L113" s="1087"/>
      <c r="M113" s="1087"/>
      <c r="N113" s="1087"/>
      <c r="O113" s="1087"/>
      <c r="P113" s="1087"/>
      <c r="Q113" s="1087"/>
      <c r="R113" s="1087"/>
      <c r="S113" s="1087"/>
      <c r="T113" s="1087"/>
      <c r="U113" s="1087"/>
      <c r="V113" s="1087"/>
      <c r="W113" s="1087"/>
      <c r="X113" s="1087"/>
      <c r="Y113" s="1087"/>
      <c r="Z113" s="1087"/>
      <c r="AA113" s="1087"/>
      <c r="AB113" s="1087"/>
      <c r="AC113" s="1087"/>
      <c r="AD113" s="1087"/>
      <c r="AE113" s="1087"/>
      <c r="AF113" s="1087"/>
      <c r="AG113" s="1087"/>
      <c r="AH113" s="1013">
        <f t="shared" si="13"/>
        <v>0</v>
      </c>
    </row>
    <row r="114" spans="1:34" ht="12">
      <c r="A114" s="580" t="s">
        <v>111</v>
      </c>
      <c r="B114" s="2165">
        <f>SUM(B102:B113)</f>
        <v>0.97900000000000031</v>
      </c>
      <c r="C114" s="1088"/>
      <c r="D114" s="1088"/>
      <c r="E114" s="1088"/>
      <c r="F114" s="1088"/>
      <c r="G114" s="1088"/>
      <c r="H114" s="1088"/>
      <c r="I114" s="1088"/>
      <c r="J114" s="1088"/>
      <c r="K114" s="1088"/>
      <c r="L114" s="1088"/>
      <c r="M114" s="1088"/>
      <c r="N114" s="1088"/>
      <c r="O114" s="1088"/>
      <c r="P114" s="1088"/>
      <c r="Q114" s="1088"/>
      <c r="R114" s="1088"/>
      <c r="S114" s="1088"/>
      <c r="T114" s="1088"/>
      <c r="U114" s="1088"/>
      <c r="V114" s="1088"/>
      <c r="W114" s="1088"/>
      <c r="X114" s="1088"/>
      <c r="Y114" s="1088"/>
      <c r="Z114" s="1088"/>
      <c r="AA114" s="1088"/>
      <c r="AB114" s="1088"/>
      <c r="AC114" s="1088"/>
      <c r="AD114" s="1088"/>
      <c r="AE114" s="1088"/>
      <c r="AF114" s="1088"/>
      <c r="AG114" s="1088"/>
      <c r="AH114" s="2151">
        <f>SUM(AH102:AH113)</f>
        <v>0.97900000000000031</v>
      </c>
    </row>
    <row r="116" spans="1:34" ht="12">
      <c r="A116" s="3864" t="s">
        <v>512</v>
      </c>
      <c r="B116" s="3865"/>
      <c r="C116" s="3866"/>
      <c r="D116" s="1427"/>
      <c r="E116" s="1427"/>
      <c r="F116" s="1427"/>
      <c r="G116" s="1427"/>
      <c r="H116" s="1427"/>
      <c r="I116" s="1427"/>
      <c r="J116" s="1427"/>
      <c r="K116" s="1427"/>
      <c r="L116" s="1427"/>
      <c r="M116" s="2145"/>
      <c r="N116" s="1427"/>
      <c r="O116" s="1427"/>
      <c r="P116" s="1427"/>
      <c r="Q116" s="1427"/>
      <c r="R116" s="1427"/>
      <c r="S116" s="1427"/>
      <c r="T116" s="1427"/>
      <c r="U116" s="1427"/>
      <c r="V116" s="1427"/>
      <c r="W116" s="1427"/>
      <c r="X116" s="1427"/>
      <c r="Y116" s="1427"/>
      <c r="Z116" s="1427"/>
      <c r="AA116" s="1427"/>
      <c r="AB116" s="1427"/>
      <c r="AC116" s="1427"/>
      <c r="AD116" s="1427"/>
      <c r="AE116" s="1427"/>
      <c r="AF116" s="1427"/>
      <c r="AG116" s="1427"/>
    </row>
    <row r="117" spans="1:34" ht="12">
      <c r="A117" s="572" t="s">
        <v>142</v>
      </c>
      <c r="B117" s="1754" t="s">
        <v>143</v>
      </c>
      <c r="C117" s="1083">
        <v>1</v>
      </c>
      <c r="D117" s="2147">
        <v>2</v>
      </c>
      <c r="E117" s="2147">
        <v>3</v>
      </c>
      <c r="F117" s="2147">
        <v>4</v>
      </c>
      <c r="G117" s="2147">
        <v>5</v>
      </c>
      <c r="H117" s="2147">
        <v>6</v>
      </c>
      <c r="I117" s="2147">
        <v>7</v>
      </c>
      <c r="J117" s="2147">
        <v>8</v>
      </c>
      <c r="K117" s="2147">
        <v>9</v>
      </c>
      <c r="L117" s="2147">
        <v>10</v>
      </c>
      <c r="M117" s="2147">
        <v>11</v>
      </c>
      <c r="N117" s="2147">
        <v>12</v>
      </c>
      <c r="O117" s="2147">
        <v>13</v>
      </c>
      <c r="P117" s="2147">
        <v>14</v>
      </c>
      <c r="Q117" s="2147">
        <v>15</v>
      </c>
      <c r="R117" s="2147">
        <v>16</v>
      </c>
      <c r="S117" s="2147">
        <v>17</v>
      </c>
      <c r="T117" s="2147">
        <v>18</v>
      </c>
      <c r="U117" s="2147">
        <v>19</v>
      </c>
      <c r="V117" s="2147">
        <v>20</v>
      </c>
      <c r="W117" s="2146">
        <v>21</v>
      </c>
      <c r="X117" s="2147">
        <v>22</v>
      </c>
      <c r="Y117" s="2147">
        <v>23</v>
      </c>
      <c r="Z117" s="2147">
        <v>24</v>
      </c>
      <c r="AA117" s="2147">
        <v>25</v>
      </c>
      <c r="AB117" s="2147">
        <v>26</v>
      </c>
      <c r="AC117" s="2147">
        <v>27</v>
      </c>
      <c r="AD117" s="2147">
        <v>28</v>
      </c>
      <c r="AE117" s="2147">
        <v>29</v>
      </c>
      <c r="AF117" s="2147">
        <v>30</v>
      </c>
      <c r="AG117" s="2147">
        <v>31</v>
      </c>
      <c r="AH117" s="2148" t="s">
        <v>111</v>
      </c>
    </row>
    <row r="118" spans="1:34" s="1437" customFormat="1" ht="12">
      <c r="A118" s="2504" t="s">
        <v>145</v>
      </c>
      <c r="B118" s="1129">
        <f t="shared" ref="B118:B129" si="14">+AH118</f>
        <v>0</v>
      </c>
      <c r="C118" s="2505"/>
      <c r="D118" s="2505"/>
      <c r="E118" s="2505"/>
      <c r="F118" s="2505"/>
      <c r="G118" s="2505"/>
      <c r="H118" s="2505"/>
      <c r="I118" s="2505"/>
      <c r="J118" s="2505"/>
      <c r="K118" s="2505"/>
      <c r="L118" s="2505"/>
      <c r="M118" s="2505"/>
      <c r="N118" s="2505"/>
      <c r="O118" s="2505"/>
      <c r="P118" s="2505"/>
      <c r="Q118" s="2505"/>
      <c r="R118" s="2505"/>
      <c r="S118" s="2505"/>
      <c r="T118" s="2505"/>
      <c r="U118" s="2505"/>
      <c r="V118" s="2505"/>
      <c r="W118" s="2506"/>
      <c r="X118" s="2505"/>
      <c r="Y118" s="2505"/>
      <c r="Z118" s="2505"/>
      <c r="AA118" s="2505"/>
      <c r="AB118" s="2505"/>
      <c r="AC118" s="2505"/>
      <c r="AD118" s="2505"/>
      <c r="AE118" s="2505"/>
      <c r="AF118" s="2505"/>
      <c r="AG118" s="2505"/>
      <c r="AH118" s="1135">
        <f>SUM(C118:AG118)</f>
        <v>0</v>
      </c>
    </row>
    <row r="119" spans="1:34" s="1437" customFormat="1" ht="12">
      <c r="A119" s="2504" t="s">
        <v>146</v>
      </c>
      <c r="B119" s="2367">
        <f t="shared" si="14"/>
        <v>1.25</v>
      </c>
      <c r="C119" s="2505"/>
      <c r="D119" s="2505"/>
      <c r="E119" s="2505"/>
      <c r="F119" s="2505"/>
      <c r="G119" s="2505"/>
      <c r="H119" s="2505"/>
      <c r="I119" s="2505"/>
      <c r="J119" s="2505"/>
      <c r="K119" s="2505"/>
      <c r="L119" s="2505"/>
      <c r="M119" s="2505"/>
      <c r="N119" s="2505"/>
      <c r="O119" s="2505"/>
      <c r="P119" s="2505"/>
      <c r="Q119" s="2505"/>
      <c r="R119" s="2505"/>
      <c r="S119" s="2505"/>
      <c r="T119" s="2505"/>
      <c r="U119" s="2505"/>
      <c r="V119" s="2505"/>
      <c r="W119" s="2506"/>
      <c r="X119" s="2507">
        <v>0.1</v>
      </c>
      <c r="Y119" s="2505"/>
      <c r="Z119" s="2505">
        <v>0.7</v>
      </c>
      <c r="AA119" s="2507">
        <v>0.05</v>
      </c>
      <c r="AB119" s="2505"/>
      <c r="AC119" s="2507">
        <v>0.4</v>
      </c>
      <c r="AD119" s="2505"/>
      <c r="AE119" s="2505"/>
      <c r="AF119" s="2505"/>
      <c r="AG119" s="2505"/>
      <c r="AH119" s="1135">
        <f>SUM(C119:AG119)</f>
        <v>1.25</v>
      </c>
    </row>
    <row r="120" spans="1:34" s="1437" customFormat="1" ht="12">
      <c r="A120" s="2504" t="s">
        <v>147</v>
      </c>
      <c r="B120" s="2367">
        <f t="shared" si="14"/>
        <v>1.8830000000000005</v>
      </c>
      <c r="C120" s="2505"/>
      <c r="D120" s="2505"/>
      <c r="E120" s="1135">
        <v>0.3</v>
      </c>
      <c r="F120" s="1135">
        <v>0.18</v>
      </c>
      <c r="G120" s="1135">
        <v>0.55800000000000005</v>
      </c>
      <c r="H120" s="1135">
        <v>0.08</v>
      </c>
      <c r="I120" s="2505"/>
      <c r="J120" s="2505"/>
      <c r="K120" s="2507">
        <v>0.255</v>
      </c>
      <c r="L120" s="2505"/>
      <c r="M120" s="2507">
        <v>0.05</v>
      </c>
      <c r="N120" s="2505"/>
      <c r="O120" s="2505"/>
      <c r="P120" s="2505"/>
      <c r="Q120" s="2505"/>
      <c r="R120" s="2507">
        <v>0.06</v>
      </c>
      <c r="S120" s="2505"/>
      <c r="T120" s="2505"/>
      <c r="U120" s="2505"/>
      <c r="V120" s="2505"/>
      <c r="W120" s="2505"/>
      <c r="X120" s="2505"/>
      <c r="Y120" s="2505"/>
      <c r="Z120" s="2505"/>
      <c r="AA120" s="2505"/>
      <c r="AB120" s="2505"/>
      <c r="AC120" s="2505"/>
      <c r="AD120" s="2505"/>
      <c r="AE120" s="1135">
        <v>0.3</v>
      </c>
      <c r="AF120" s="1135">
        <v>0.1</v>
      </c>
      <c r="AG120" s="2505"/>
      <c r="AH120" s="1135">
        <f>SUM(C120:AG120)</f>
        <v>1.8830000000000005</v>
      </c>
    </row>
    <row r="121" spans="1:34" s="1437" customFormat="1" ht="12">
      <c r="A121" s="2504" t="s">
        <v>148</v>
      </c>
      <c r="B121" s="2367">
        <f t="shared" si="14"/>
        <v>15.724000000000002</v>
      </c>
      <c r="C121" s="2508"/>
      <c r="D121" s="2509"/>
      <c r="E121" s="2509">
        <v>0.05</v>
      </c>
      <c r="F121" s="2509"/>
      <c r="G121" s="2509"/>
      <c r="H121" s="2509"/>
      <c r="I121" s="2509"/>
      <c r="J121" s="2509"/>
      <c r="K121" s="2509"/>
      <c r="L121" s="2509"/>
      <c r="M121" s="2509">
        <v>13.667</v>
      </c>
      <c r="N121" s="2509">
        <v>1.5569999999999999</v>
      </c>
      <c r="O121" s="2509">
        <v>0.1</v>
      </c>
      <c r="P121" s="2509"/>
      <c r="Q121" s="2509"/>
      <c r="R121" s="2509"/>
      <c r="S121" s="2509"/>
      <c r="T121" s="2509">
        <v>0.3</v>
      </c>
      <c r="U121" s="2509"/>
      <c r="V121" s="2509"/>
      <c r="W121" s="2509"/>
      <c r="X121" s="2509"/>
      <c r="Y121" s="2509"/>
      <c r="Z121" s="2509"/>
      <c r="AA121" s="2509"/>
      <c r="AB121" s="2509"/>
      <c r="AC121" s="2509"/>
      <c r="AD121" s="2509"/>
      <c r="AE121" s="2509"/>
      <c r="AF121" s="2509">
        <v>0.05</v>
      </c>
      <c r="AG121" s="2509"/>
      <c r="AH121" s="1135">
        <f t="shared" ref="AH121:AH129" si="15">SUM(C121:AG121)</f>
        <v>15.724000000000002</v>
      </c>
    </row>
    <row r="122" spans="1:34" s="1437" customFormat="1" ht="12">
      <c r="A122" s="2504" t="s">
        <v>149</v>
      </c>
      <c r="B122" s="1129">
        <f t="shared" si="14"/>
        <v>0.23099999999999998</v>
      </c>
      <c r="C122" s="2508"/>
      <c r="D122" s="2509"/>
      <c r="E122" s="2509"/>
      <c r="F122" s="2509"/>
      <c r="G122" s="2509"/>
      <c r="H122" s="2509"/>
      <c r="I122" s="2509"/>
      <c r="J122" s="2509">
        <v>0.02</v>
      </c>
      <c r="K122" s="2509">
        <v>0.15</v>
      </c>
      <c r="L122" s="1129"/>
      <c r="M122" s="1129"/>
      <c r="N122" s="1129"/>
      <c r="O122" s="1129"/>
      <c r="P122" s="1129"/>
      <c r="Q122" s="1129"/>
      <c r="R122" s="1129"/>
      <c r="S122" s="1129"/>
      <c r="T122" s="1129"/>
      <c r="U122" s="1129"/>
      <c r="V122" s="1129"/>
      <c r="W122" s="1129">
        <v>5.0000000000000001E-3</v>
      </c>
      <c r="X122" s="1129">
        <v>6.0000000000000001E-3</v>
      </c>
      <c r="Y122" s="1129"/>
      <c r="Z122" s="1129"/>
      <c r="AA122" s="1129"/>
      <c r="AB122" s="1129"/>
      <c r="AC122" s="1129"/>
      <c r="AD122" s="1129"/>
      <c r="AE122" s="1129"/>
      <c r="AF122" s="1129">
        <v>0.02</v>
      </c>
      <c r="AG122" s="1129">
        <v>0.03</v>
      </c>
      <c r="AH122" s="1135">
        <f t="shared" si="15"/>
        <v>0.23099999999999998</v>
      </c>
    </row>
    <row r="123" spans="1:34" s="1437" customFormat="1" ht="12">
      <c r="A123" s="2504" t="s">
        <v>150</v>
      </c>
      <c r="B123" s="1129">
        <f t="shared" si="14"/>
        <v>0.193</v>
      </c>
      <c r="C123" s="1135"/>
      <c r="D123" s="1129"/>
      <c r="E123" s="1129"/>
      <c r="F123" s="1129"/>
      <c r="G123" s="1129">
        <v>5.0000000000000001E-3</v>
      </c>
      <c r="H123" s="1129"/>
      <c r="I123" s="1129">
        <v>0.01</v>
      </c>
      <c r="J123" s="1129"/>
      <c r="K123" s="1129"/>
      <c r="L123" s="1129"/>
      <c r="M123" s="1129">
        <v>3.5000000000000003E-2</v>
      </c>
      <c r="N123" s="1129"/>
      <c r="O123" s="1129"/>
      <c r="P123" s="1129"/>
      <c r="Q123" s="1129">
        <v>1.4999999999999999E-2</v>
      </c>
      <c r="R123" s="1129"/>
      <c r="S123" s="1129"/>
      <c r="T123" s="1129"/>
      <c r="U123" s="1129">
        <v>8.0000000000000002E-3</v>
      </c>
      <c r="V123" s="1129"/>
      <c r="W123" s="1129">
        <v>0.01</v>
      </c>
      <c r="X123" s="1129"/>
      <c r="Y123" s="1129"/>
      <c r="Z123" s="1129"/>
      <c r="AA123" s="1129">
        <v>2.8000000000000001E-2</v>
      </c>
      <c r="AB123" s="1129"/>
      <c r="AC123" s="1129"/>
      <c r="AD123" s="1129">
        <v>8.2000000000000003E-2</v>
      </c>
      <c r="AE123" s="1129"/>
      <c r="AF123" s="1129"/>
      <c r="AG123" s="1129"/>
      <c r="AH123" s="1135">
        <f t="shared" si="15"/>
        <v>0.193</v>
      </c>
    </row>
    <row r="124" spans="1:34" s="1437" customFormat="1" ht="12">
      <c r="A124" s="2504" t="s">
        <v>151</v>
      </c>
      <c r="B124" s="2367">
        <f t="shared" si="14"/>
        <v>0.316</v>
      </c>
      <c r="C124" s="1135"/>
      <c r="D124" s="1129"/>
      <c r="E124" s="1129">
        <v>5.0000000000000001E-3</v>
      </c>
      <c r="F124" s="1129"/>
      <c r="G124" s="1129"/>
      <c r="H124" s="1129">
        <v>2.5000000000000001E-2</v>
      </c>
      <c r="I124" s="1129"/>
      <c r="J124" s="1129"/>
      <c r="K124" s="1129">
        <v>1.9E-2</v>
      </c>
      <c r="L124" s="1129"/>
      <c r="M124" s="1129"/>
      <c r="N124" s="1129"/>
      <c r="O124" s="1129"/>
      <c r="P124" s="1129"/>
      <c r="Q124" s="1129"/>
      <c r="R124" s="1129"/>
      <c r="S124" s="1129"/>
      <c r="T124" s="1129">
        <v>0.04</v>
      </c>
      <c r="U124" s="1129"/>
      <c r="V124" s="1129">
        <v>3.7999999999999999E-2</v>
      </c>
      <c r="W124" s="1129"/>
      <c r="X124" s="1129"/>
      <c r="Y124" s="1129">
        <v>4.3999999999999997E-2</v>
      </c>
      <c r="Z124" s="1129"/>
      <c r="AA124" s="1129">
        <v>2.5000000000000001E-2</v>
      </c>
      <c r="AB124" s="1129">
        <v>0.05</v>
      </c>
      <c r="AC124" s="1129">
        <v>7.0000000000000007E-2</v>
      </c>
      <c r="AD124" s="1129"/>
      <c r="AE124" s="1129"/>
      <c r="AF124" s="1129"/>
      <c r="AG124" s="1129"/>
      <c r="AH124" s="1135">
        <f t="shared" si="15"/>
        <v>0.316</v>
      </c>
    </row>
    <row r="125" spans="1:34" s="1437" customFormat="1" ht="12">
      <c r="A125" s="2504" t="s">
        <v>152</v>
      </c>
      <c r="B125" s="2367">
        <f t="shared" si="14"/>
        <v>0.41299999999999998</v>
      </c>
      <c r="C125" s="1135"/>
      <c r="D125" s="1129"/>
      <c r="E125" s="1129">
        <v>9.4E-2</v>
      </c>
      <c r="F125" s="1129"/>
      <c r="G125" s="1129"/>
      <c r="H125" s="1129">
        <v>3.5000000000000003E-2</v>
      </c>
      <c r="I125" s="1129"/>
      <c r="J125" s="1129">
        <v>0.02</v>
      </c>
      <c r="K125" s="1129">
        <v>0.02</v>
      </c>
      <c r="L125" s="1129"/>
      <c r="M125" s="1129"/>
      <c r="N125" s="1129"/>
      <c r="O125" s="1129"/>
      <c r="P125" s="1129">
        <v>0.05</v>
      </c>
      <c r="Q125" s="1129"/>
      <c r="R125" s="1129">
        <v>0.02</v>
      </c>
      <c r="S125" s="1129">
        <v>2.8000000000000001E-2</v>
      </c>
      <c r="T125" s="1129"/>
      <c r="U125" s="1129"/>
      <c r="V125" s="1129"/>
      <c r="W125" s="1129"/>
      <c r="X125" s="1129"/>
      <c r="Y125" s="1129"/>
      <c r="Z125" s="1129">
        <v>0.02</v>
      </c>
      <c r="AA125" s="1129"/>
      <c r="AB125" s="1129"/>
      <c r="AC125" s="1129"/>
      <c r="AD125" s="1129">
        <v>3.2000000000000001E-2</v>
      </c>
      <c r="AE125" s="1129"/>
      <c r="AF125" s="1129">
        <v>1.4999999999999999E-2</v>
      </c>
      <c r="AG125" s="1129">
        <v>7.9000000000000001E-2</v>
      </c>
      <c r="AH125" s="1135">
        <f t="shared" si="15"/>
        <v>0.41299999999999998</v>
      </c>
    </row>
    <row r="126" spans="1:34" s="1437" customFormat="1" ht="12">
      <c r="A126" s="2504" t="s">
        <v>153</v>
      </c>
      <c r="B126" s="2367">
        <f t="shared" si="14"/>
        <v>1.4999999999999999E-2</v>
      </c>
      <c r="C126" s="1135"/>
      <c r="D126" s="1129"/>
      <c r="E126" s="1129"/>
      <c r="F126" s="1129"/>
      <c r="G126" s="1129"/>
      <c r="H126" s="1129"/>
      <c r="I126" s="1129"/>
      <c r="J126" s="1129">
        <v>3.0000000000000001E-3</v>
      </c>
      <c r="K126" s="1129"/>
      <c r="L126" s="1129"/>
      <c r="M126" s="1129"/>
      <c r="N126" s="1129"/>
      <c r="O126" s="1129"/>
      <c r="P126" s="1129"/>
      <c r="Q126" s="1129"/>
      <c r="R126" s="1129"/>
      <c r="S126" s="1129">
        <v>3.0000000000000001E-3</v>
      </c>
      <c r="T126" s="1129"/>
      <c r="U126" s="1129"/>
      <c r="V126" s="1129">
        <v>4.0000000000000001E-3</v>
      </c>
      <c r="W126" s="1129"/>
      <c r="X126" s="1129"/>
      <c r="Y126" s="1129"/>
      <c r="Z126" s="1129"/>
      <c r="AA126" s="1129"/>
      <c r="AB126" s="1129"/>
      <c r="AC126" s="1129">
        <v>5.0000000000000001E-3</v>
      </c>
      <c r="AD126" s="1129"/>
      <c r="AE126" s="1129"/>
      <c r="AF126" s="1129"/>
      <c r="AG126" s="1129"/>
      <c r="AH126" s="1135">
        <f t="shared" si="15"/>
        <v>1.4999999999999999E-2</v>
      </c>
    </row>
    <row r="127" spans="1:34" s="1437" customFormat="1" ht="12">
      <c r="A127" s="2504" t="s">
        <v>154</v>
      </c>
      <c r="B127" s="2367">
        <f t="shared" si="14"/>
        <v>1.028</v>
      </c>
      <c r="C127" s="1135"/>
      <c r="D127" s="1129">
        <v>0.20399999999999999</v>
      </c>
      <c r="E127" s="1129">
        <v>0.13800000000000001</v>
      </c>
      <c r="F127" s="1129"/>
      <c r="G127" s="1129"/>
      <c r="H127" s="1129">
        <v>1.2999999999999999E-2</v>
      </c>
      <c r="I127" s="1129"/>
      <c r="J127" s="1129">
        <v>0.104</v>
      </c>
      <c r="K127" s="1129">
        <v>6.4000000000000001E-2</v>
      </c>
      <c r="L127" s="1129">
        <v>7.0000000000000007E-2</v>
      </c>
      <c r="M127" s="1129">
        <v>7.0000000000000001E-3</v>
      </c>
      <c r="N127" s="1129">
        <v>1.2E-2</v>
      </c>
      <c r="O127" s="1129"/>
      <c r="P127" s="1129"/>
      <c r="Q127" s="1129"/>
      <c r="R127" s="1129">
        <v>2.5000000000000001E-2</v>
      </c>
      <c r="S127" s="1129">
        <v>0.03</v>
      </c>
      <c r="T127" s="1129"/>
      <c r="U127" s="1129">
        <v>5.1999999999999998E-2</v>
      </c>
      <c r="V127" s="1129"/>
      <c r="W127" s="1129">
        <v>5.0000000000000001E-3</v>
      </c>
      <c r="X127" s="1129">
        <v>0.05</v>
      </c>
      <c r="Y127" s="1129">
        <v>1.4999999999999999E-2</v>
      </c>
      <c r="Z127" s="1129">
        <v>7.0000000000000007E-2</v>
      </c>
      <c r="AA127" s="1129"/>
      <c r="AB127" s="1129"/>
      <c r="AC127" s="1129"/>
      <c r="AD127" s="1129"/>
      <c r="AE127" s="1129">
        <v>0.112</v>
      </c>
      <c r="AF127" s="1129">
        <v>0.05</v>
      </c>
      <c r="AG127" s="1129">
        <v>7.0000000000000001E-3</v>
      </c>
      <c r="AH127" s="1135">
        <f t="shared" si="15"/>
        <v>1.028</v>
      </c>
    </row>
    <row r="128" spans="1:34" s="1437" customFormat="1" ht="12">
      <c r="A128" s="2504" t="s">
        <v>155</v>
      </c>
      <c r="B128" s="1129">
        <f t="shared" si="14"/>
        <v>0.18000000000000002</v>
      </c>
      <c r="C128" s="1135"/>
      <c r="D128" s="1129">
        <v>3.5000000000000003E-2</v>
      </c>
      <c r="E128" s="1129"/>
      <c r="F128" s="1129"/>
      <c r="G128" s="1129"/>
      <c r="H128" s="1129"/>
      <c r="I128" s="1129">
        <v>0.02</v>
      </c>
      <c r="J128" s="1129"/>
      <c r="K128" s="1129"/>
      <c r="L128" s="1129">
        <v>3.5000000000000003E-2</v>
      </c>
      <c r="M128" s="1129"/>
      <c r="N128" s="1129">
        <v>0.05</v>
      </c>
      <c r="O128" s="1129">
        <v>0.04</v>
      </c>
      <c r="P128" s="1129"/>
      <c r="Q128" s="1129"/>
      <c r="R128" s="1129"/>
      <c r="S128" s="1129"/>
      <c r="T128" s="1129"/>
      <c r="U128" s="1129"/>
      <c r="V128" s="1129"/>
      <c r="W128" s="1129"/>
      <c r="X128" s="1129"/>
      <c r="Y128" s="1129"/>
      <c r="Z128" s="1129"/>
      <c r="AA128" s="1129"/>
      <c r="AB128" s="1129"/>
      <c r="AC128" s="1129"/>
      <c r="AD128" s="1129"/>
      <c r="AE128" s="1129"/>
      <c r="AF128" s="1129"/>
      <c r="AG128" s="1129"/>
      <c r="AH128" s="1135">
        <f t="shared" si="15"/>
        <v>0.18000000000000002</v>
      </c>
    </row>
    <row r="129" spans="1:34" s="1437" customFormat="1" ht="12">
      <c r="A129" s="2504" t="s">
        <v>156</v>
      </c>
      <c r="B129" s="1129">
        <f t="shared" si="14"/>
        <v>0</v>
      </c>
      <c r="C129" s="1135"/>
      <c r="D129" s="1129"/>
      <c r="E129" s="1129"/>
      <c r="F129" s="1129"/>
      <c r="G129" s="1129"/>
      <c r="H129" s="1129"/>
      <c r="I129" s="1129"/>
      <c r="J129" s="1129"/>
      <c r="K129" s="1129"/>
      <c r="L129" s="1129"/>
      <c r="M129" s="1129"/>
      <c r="N129" s="1129"/>
      <c r="O129" s="1129"/>
      <c r="P129" s="1129"/>
      <c r="Q129" s="1129"/>
      <c r="R129" s="1129"/>
      <c r="S129" s="1129"/>
      <c r="T129" s="1129"/>
      <c r="U129" s="1129"/>
      <c r="V129" s="1129"/>
      <c r="W129" s="1129"/>
      <c r="X129" s="1129"/>
      <c r="Y129" s="1129"/>
      <c r="Z129" s="1129"/>
      <c r="AA129" s="1129"/>
      <c r="AB129" s="1129"/>
      <c r="AC129" s="1129"/>
      <c r="AD129" s="1129"/>
      <c r="AE129" s="1129"/>
      <c r="AF129" s="1129"/>
      <c r="AG129" s="1129"/>
      <c r="AH129" s="1135">
        <f t="shared" si="15"/>
        <v>0</v>
      </c>
    </row>
    <row r="130" spans="1:34" ht="12">
      <c r="A130" s="580" t="s">
        <v>111</v>
      </c>
      <c r="B130" s="2165">
        <f>SUM(B118:B129)</f>
        <v>21.233000000000004</v>
      </c>
      <c r="C130" s="1088"/>
      <c r="D130" s="1088"/>
      <c r="E130" s="1088"/>
      <c r="F130" s="1088"/>
      <c r="G130" s="1088"/>
      <c r="H130" s="1088"/>
      <c r="I130" s="1088"/>
      <c r="J130" s="1088"/>
      <c r="K130" s="1088"/>
      <c r="L130" s="1088"/>
      <c r="M130" s="1088"/>
      <c r="N130" s="1088"/>
      <c r="O130" s="1088"/>
      <c r="P130" s="1088"/>
      <c r="Q130" s="1088"/>
      <c r="R130" s="1088"/>
      <c r="S130" s="1088"/>
      <c r="T130" s="1088"/>
      <c r="U130" s="1088"/>
      <c r="V130" s="1088"/>
      <c r="W130" s="1088"/>
      <c r="X130" s="1088"/>
      <c r="Y130" s="1088"/>
      <c r="Z130" s="1088"/>
      <c r="AA130" s="1088"/>
      <c r="AB130" s="1088"/>
      <c r="AC130" s="1088"/>
      <c r="AD130" s="1088"/>
      <c r="AE130" s="1088"/>
      <c r="AF130" s="1088"/>
      <c r="AG130" s="1088"/>
      <c r="AH130" s="2151"/>
    </row>
    <row r="132" spans="1:34" ht="12">
      <c r="A132" s="3864" t="s">
        <v>513</v>
      </c>
      <c r="B132" s="3865"/>
      <c r="C132" s="3866"/>
      <c r="D132" s="1427"/>
      <c r="E132" s="1427"/>
      <c r="F132" s="2145"/>
      <c r="G132" s="2166"/>
      <c r="H132" s="2145"/>
      <c r="I132" s="1444"/>
      <c r="J132" s="1427"/>
      <c r="K132" s="1427"/>
      <c r="L132" s="1427"/>
      <c r="M132" s="2145"/>
      <c r="N132" s="1427"/>
      <c r="O132" s="1427"/>
      <c r="P132" s="1427"/>
      <c r="Q132" s="1427"/>
      <c r="R132" s="1427"/>
      <c r="S132" s="1427"/>
      <c r="T132" s="1427"/>
      <c r="U132" s="1427"/>
      <c r="V132" s="1427"/>
      <c r="W132" s="1427"/>
      <c r="X132" s="1427"/>
      <c r="Y132" s="1427"/>
      <c r="Z132" s="1427"/>
      <c r="AA132" s="1427"/>
      <c r="AB132" s="1427"/>
      <c r="AC132" s="1427"/>
      <c r="AD132" s="1427"/>
      <c r="AE132" s="1427"/>
      <c r="AF132" s="1427"/>
      <c r="AG132" s="1427"/>
    </row>
    <row r="133" spans="1:34" ht="12">
      <c r="A133" s="572" t="s">
        <v>142</v>
      </c>
      <c r="B133" s="1754" t="s">
        <v>143</v>
      </c>
      <c r="C133" s="1083">
        <v>1</v>
      </c>
      <c r="D133" s="2147">
        <v>2</v>
      </c>
      <c r="E133" s="2147">
        <v>3</v>
      </c>
      <c r="F133" s="2147">
        <v>4</v>
      </c>
      <c r="G133" s="2147">
        <v>5</v>
      </c>
      <c r="H133" s="2147">
        <v>6</v>
      </c>
      <c r="I133" s="2147">
        <v>7</v>
      </c>
      <c r="J133" s="2147">
        <v>8</v>
      </c>
      <c r="K133" s="2147">
        <v>9</v>
      </c>
      <c r="L133" s="2147">
        <v>10</v>
      </c>
      <c r="M133" s="2147">
        <v>11</v>
      </c>
      <c r="N133" s="2147">
        <v>12</v>
      </c>
      <c r="O133" s="2147">
        <v>13</v>
      </c>
      <c r="P133" s="2147">
        <v>14</v>
      </c>
      <c r="Q133" s="2147">
        <v>15</v>
      </c>
      <c r="R133" s="2147">
        <v>16</v>
      </c>
      <c r="S133" s="2147">
        <v>17</v>
      </c>
      <c r="T133" s="2147">
        <v>18</v>
      </c>
      <c r="U133" s="2147">
        <v>19</v>
      </c>
      <c r="V133" s="2147">
        <v>20</v>
      </c>
      <c r="W133" s="2146">
        <v>21</v>
      </c>
      <c r="X133" s="2147">
        <v>22</v>
      </c>
      <c r="Y133" s="2147">
        <v>23</v>
      </c>
      <c r="Z133" s="2147">
        <v>24</v>
      </c>
      <c r="AA133" s="2147">
        <v>25</v>
      </c>
      <c r="AB133" s="2147">
        <v>26</v>
      </c>
      <c r="AC133" s="2147">
        <v>27</v>
      </c>
      <c r="AD133" s="2147">
        <v>28</v>
      </c>
      <c r="AE133" s="2147">
        <v>29</v>
      </c>
      <c r="AF133" s="2147">
        <v>30</v>
      </c>
      <c r="AG133" s="2147">
        <v>31</v>
      </c>
      <c r="AH133" s="2148" t="s">
        <v>111</v>
      </c>
    </row>
    <row r="134" spans="1:34" ht="12">
      <c r="A134" s="573" t="s">
        <v>145</v>
      </c>
      <c r="B134" s="1359">
        <f>+AH134</f>
        <v>0</v>
      </c>
      <c r="C134" s="2149"/>
      <c r="D134" s="2149"/>
      <c r="E134" s="2149"/>
      <c r="F134" s="2149"/>
      <c r="G134" s="2149"/>
      <c r="H134" s="2149"/>
      <c r="I134" s="2149"/>
      <c r="J134" s="2149"/>
      <c r="K134" s="2149"/>
      <c r="L134" s="2149"/>
      <c r="M134" s="2149"/>
      <c r="N134" s="2149"/>
      <c r="O134" s="2149"/>
      <c r="P134" s="2149"/>
      <c r="Q134" s="2149"/>
      <c r="R134" s="2149"/>
      <c r="S134" s="2149"/>
      <c r="T134" s="2149"/>
      <c r="U134" s="2149"/>
      <c r="V134" s="2149"/>
      <c r="W134" s="2149"/>
      <c r="X134" s="2149"/>
      <c r="Y134" s="2149"/>
      <c r="Z134" s="2149"/>
      <c r="AA134" s="2149"/>
      <c r="AB134" s="2149"/>
      <c r="AC134" s="2149"/>
      <c r="AD134" s="2149"/>
      <c r="AE134" s="2149"/>
      <c r="AF134" s="2149"/>
      <c r="AG134" s="2149"/>
      <c r="AH134" s="1013">
        <f>SUM(C134:AG134)</f>
        <v>0</v>
      </c>
    </row>
    <row r="135" spans="1:34" ht="12">
      <c r="A135" s="573" t="s">
        <v>146</v>
      </c>
      <c r="B135" s="1359">
        <v>0</v>
      </c>
      <c r="C135" s="2149"/>
      <c r="D135" s="2149"/>
      <c r="E135" s="2149"/>
      <c r="F135" s="2149"/>
      <c r="G135" s="2149"/>
      <c r="H135" s="2149"/>
      <c r="I135" s="2149"/>
      <c r="J135" s="2149"/>
      <c r="K135" s="2149"/>
      <c r="L135" s="2149"/>
      <c r="M135" s="2149"/>
      <c r="N135" s="2149"/>
      <c r="O135" s="2149"/>
      <c r="P135" s="2149"/>
      <c r="Q135" s="2149"/>
      <c r="R135" s="2149"/>
      <c r="S135" s="2149"/>
      <c r="T135" s="2149"/>
      <c r="U135" s="2149"/>
      <c r="V135" s="2149"/>
      <c r="W135" s="2149"/>
      <c r="X135" s="2149"/>
      <c r="Y135" s="2149"/>
      <c r="Z135" s="2149"/>
      <c r="AA135" s="2149"/>
      <c r="AB135" s="2149"/>
      <c r="AC135" s="2149"/>
      <c r="AD135" s="2149"/>
      <c r="AE135" s="2149"/>
      <c r="AF135" s="2149"/>
      <c r="AG135" s="2149"/>
      <c r="AH135" s="1013">
        <f>SUM(C135:AG135)</f>
        <v>0</v>
      </c>
    </row>
    <row r="136" spans="1:34" ht="12">
      <c r="A136" s="573" t="s">
        <v>147</v>
      </c>
      <c r="B136" s="1359">
        <f>793.5+1.08+0.45+247.45+91.74+13.47+0.18+5+3.52+0.6+295.35+283.59</f>
        <v>1735.93</v>
      </c>
      <c r="C136" s="2149"/>
      <c r="D136" s="2149"/>
      <c r="E136" s="2149"/>
      <c r="F136" s="2149"/>
      <c r="G136" s="2149"/>
      <c r="H136" s="2149"/>
      <c r="I136" s="2149"/>
      <c r="J136" s="2149"/>
      <c r="K136" s="2149"/>
      <c r="L136" s="2149"/>
      <c r="M136" s="2149"/>
      <c r="N136" s="2149"/>
      <c r="O136" s="2149"/>
      <c r="P136" s="2149"/>
      <c r="Q136" s="2149"/>
      <c r="R136" s="2149"/>
      <c r="S136" s="2149"/>
      <c r="T136" s="2149"/>
      <c r="U136" s="2149"/>
      <c r="V136" s="2149"/>
      <c r="W136" s="2149"/>
      <c r="X136" s="2149"/>
      <c r="Y136" s="2149"/>
      <c r="Z136" s="2149"/>
      <c r="AA136" s="2149"/>
      <c r="AB136" s="2149"/>
      <c r="AC136" s="2149"/>
      <c r="AD136" s="2149"/>
      <c r="AE136" s="2149"/>
      <c r="AF136" s="2149"/>
      <c r="AG136" s="2149"/>
      <c r="AH136" s="1013">
        <f>SUM(C136:AG136)</f>
        <v>0</v>
      </c>
    </row>
    <row r="137" spans="1:34" ht="12">
      <c r="A137" s="573" t="s">
        <v>148</v>
      </c>
      <c r="B137" s="1359">
        <f>303.94+42.46+93.26+618.66+43.82+183.75+395.52+659.67+446.66+259.73+375.99</f>
        <v>3423.46</v>
      </c>
      <c r="C137" s="1086"/>
      <c r="D137" s="1087"/>
      <c r="E137" s="1087"/>
      <c r="F137" s="1087"/>
      <c r="G137" s="1087"/>
      <c r="H137" s="1087"/>
      <c r="I137" s="1087"/>
      <c r="J137" s="1087"/>
      <c r="K137" s="1087"/>
      <c r="L137" s="1087"/>
      <c r="M137" s="1087"/>
      <c r="N137" s="1087"/>
      <c r="O137" s="1087"/>
      <c r="P137" s="1087"/>
      <c r="Q137" s="1087"/>
      <c r="R137" s="1087"/>
      <c r="S137" s="1087"/>
      <c r="T137" s="1087"/>
      <c r="U137" s="1087"/>
      <c r="V137" s="1087"/>
      <c r="W137" s="1087"/>
      <c r="X137" s="1087"/>
      <c r="Y137" s="1087"/>
      <c r="Z137" s="1087"/>
      <c r="AA137" s="1087"/>
      <c r="AB137" s="1087"/>
      <c r="AC137" s="1087"/>
      <c r="AD137" s="1087"/>
      <c r="AE137" s="1087"/>
      <c r="AF137" s="1087"/>
      <c r="AG137" s="1087"/>
      <c r="AH137" s="1013"/>
    </row>
    <row r="138" spans="1:34" ht="12">
      <c r="A138" s="573" t="s">
        <v>149</v>
      </c>
      <c r="B138" s="2167">
        <f>3156.85+27.6+789.39+57.91+113.47+1.4</f>
        <v>4146.619999999999</v>
      </c>
      <c r="C138" s="1086"/>
      <c r="D138" s="1087"/>
      <c r="E138" s="1087"/>
      <c r="F138" s="1087"/>
      <c r="G138" s="1087"/>
      <c r="H138" s="1087"/>
      <c r="I138" s="1087"/>
      <c r="J138" s="1087"/>
      <c r="K138" s="1087"/>
      <c r="L138" s="1087"/>
      <c r="M138" s="1087"/>
      <c r="N138" s="1087"/>
      <c r="O138" s="1087"/>
      <c r="P138" s="1087"/>
      <c r="Q138" s="1087"/>
      <c r="R138" s="1087"/>
      <c r="S138" s="1087"/>
      <c r="T138" s="1087"/>
      <c r="U138" s="1087"/>
      <c r="V138" s="1087"/>
      <c r="W138" s="1087"/>
      <c r="X138" s="1087"/>
      <c r="Y138" s="1087"/>
      <c r="Z138" s="1087"/>
      <c r="AA138" s="1087"/>
      <c r="AB138" s="1087"/>
      <c r="AC138" s="1087"/>
      <c r="AD138" s="1087"/>
      <c r="AE138" s="1087"/>
      <c r="AF138" s="1087"/>
      <c r="AG138" s="1087"/>
      <c r="AH138" s="1013"/>
    </row>
    <row r="139" spans="1:34" ht="12">
      <c r="A139" s="573" t="s">
        <v>150</v>
      </c>
      <c r="B139" s="1359">
        <f>279.9+17.18+458.42+144.89+15.82+23.43+18.7+18.2+263.35+197.02+62.04+76.49</f>
        <v>1575.44</v>
      </c>
      <c r="C139" s="1086"/>
      <c r="D139" s="1087"/>
      <c r="E139" s="1087"/>
      <c r="F139" s="1087"/>
      <c r="G139" s="1087"/>
      <c r="H139" s="1087"/>
      <c r="I139" s="1087"/>
      <c r="J139" s="1087"/>
      <c r="K139" s="1087"/>
      <c r="L139" s="1087"/>
      <c r="M139" s="1087"/>
      <c r="N139" s="1087"/>
      <c r="O139" s="1087"/>
      <c r="P139" s="1087"/>
      <c r="Q139" s="1087"/>
      <c r="R139" s="1087"/>
      <c r="S139" s="1087"/>
      <c r="T139" s="1087"/>
      <c r="U139" s="1087"/>
      <c r="V139" s="1087"/>
      <c r="W139" s="1087"/>
      <c r="X139" s="1087"/>
      <c r="Y139" s="1087"/>
      <c r="Z139" s="1087"/>
      <c r="AA139" s="1087"/>
      <c r="AB139" s="1087"/>
      <c r="AC139" s="1087"/>
      <c r="AD139" s="1087"/>
      <c r="AE139" s="1087"/>
      <c r="AF139" s="1087"/>
      <c r="AG139" s="1087"/>
      <c r="AH139" s="1013"/>
    </row>
    <row r="140" spans="1:34" ht="12">
      <c r="A140" s="573" t="s">
        <v>151</v>
      </c>
      <c r="B140" s="1359">
        <f>168.99+348.42+74.03+916+15.726+3.95+153.064+19.1+351.13+577.07+251.42+13.13+255.66+377.52+200.86</f>
        <v>3726.0700000000006</v>
      </c>
      <c r="C140" s="1086"/>
      <c r="D140" s="1087"/>
      <c r="E140" s="1087"/>
      <c r="F140" s="1087"/>
      <c r="G140" s="1087"/>
      <c r="H140" s="1087"/>
      <c r="I140" s="1087"/>
      <c r="J140" s="1087"/>
      <c r="K140" s="1087"/>
      <c r="L140" s="1087"/>
      <c r="M140" s="1087"/>
      <c r="N140" s="1087"/>
      <c r="O140" s="1087"/>
      <c r="P140" s="1087"/>
      <c r="Q140" s="1087"/>
      <c r="R140" s="1087"/>
      <c r="S140" s="1087"/>
      <c r="T140" s="1087"/>
      <c r="U140" s="1087"/>
      <c r="V140" s="1087"/>
      <c r="W140" s="1087"/>
      <c r="X140" s="1087"/>
      <c r="Y140" s="1087"/>
      <c r="Z140" s="1087"/>
      <c r="AA140" s="1087"/>
      <c r="AB140" s="1087"/>
      <c r="AC140" s="1087"/>
      <c r="AD140" s="1087"/>
      <c r="AE140" s="1087"/>
      <c r="AF140" s="1087"/>
      <c r="AG140" s="1087"/>
      <c r="AH140" s="1013"/>
    </row>
    <row r="141" spans="1:34" ht="12">
      <c r="A141" s="573" t="s">
        <v>152</v>
      </c>
      <c r="B141" s="1359">
        <f>14.71+359.71+727.37+242.48+686.12+33.451+173.529+57.63+160.3+188.39</f>
        <v>2643.69</v>
      </c>
      <c r="C141" s="1086"/>
      <c r="D141" s="1087"/>
      <c r="E141" s="1087"/>
      <c r="F141" s="1087"/>
      <c r="G141" s="1087"/>
      <c r="H141" s="1087"/>
      <c r="I141" s="1087"/>
      <c r="J141" s="1087"/>
      <c r="K141" s="1087"/>
      <c r="L141" s="1087"/>
      <c r="M141" s="1087"/>
      <c r="N141" s="1087"/>
      <c r="O141" s="1087"/>
      <c r="P141" s="1087"/>
      <c r="Q141" s="1087"/>
      <c r="R141" s="1087"/>
      <c r="S141" s="1087"/>
      <c r="T141" s="1087"/>
      <c r="U141" s="1087"/>
      <c r="V141" s="1087"/>
      <c r="W141" s="1087"/>
      <c r="X141" s="1087"/>
      <c r="Y141" s="1087"/>
      <c r="Z141" s="1087"/>
      <c r="AA141" s="1087"/>
      <c r="AB141" s="1087"/>
      <c r="AC141" s="1087"/>
      <c r="AD141" s="1087"/>
      <c r="AE141" s="1087"/>
      <c r="AF141" s="1087"/>
      <c r="AG141" s="1087"/>
      <c r="AH141" s="1013"/>
    </row>
    <row r="142" spans="1:34" ht="12">
      <c r="A142" s="573" t="s">
        <v>153</v>
      </c>
      <c r="B142" s="1359">
        <f>1444.65+80.14</f>
        <v>1524.7900000000002</v>
      </c>
      <c r="C142" s="1086"/>
      <c r="D142" s="1087"/>
      <c r="E142" s="1087"/>
      <c r="F142" s="1087"/>
      <c r="G142" s="1087"/>
      <c r="H142" s="1087"/>
      <c r="I142" s="1087"/>
      <c r="J142" s="1087"/>
      <c r="K142" s="1087"/>
      <c r="L142" s="1087"/>
      <c r="M142" s="1087"/>
      <c r="N142" s="1087"/>
      <c r="O142" s="1087"/>
      <c r="P142" s="1087"/>
      <c r="Q142" s="1087"/>
      <c r="R142" s="1087"/>
      <c r="S142" s="1087"/>
      <c r="T142" s="1087"/>
      <c r="U142" s="1087"/>
      <c r="V142" s="1087"/>
      <c r="W142" s="1087"/>
      <c r="X142" s="1087"/>
      <c r="Y142" s="1087"/>
      <c r="Z142" s="1087"/>
      <c r="AA142" s="1087"/>
      <c r="AB142" s="1087"/>
      <c r="AC142" s="1087"/>
      <c r="AD142" s="1087"/>
      <c r="AE142" s="1087"/>
      <c r="AF142" s="1087"/>
      <c r="AG142" s="1087"/>
      <c r="AH142" s="1013"/>
    </row>
    <row r="143" spans="1:34" ht="12">
      <c r="A143" s="573" t="s">
        <v>154</v>
      </c>
      <c r="B143" s="1359">
        <f>954.74+45.2+16.1+21.35+61.08+5.68+71.82+0.35+80.58+1.15+2.07+7.25</f>
        <v>1267.3699999999999</v>
      </c>
      <c r="C143" s="1086"/>
      <c r="D143" s="1087"/>
      <c r="E143" s="1087"/>
      <c r="F143" s="1087"/>
      <c r="G143" s="1087"/>
      <c r="H143" s="1087"/>
      <c r="I143" s="1087"/>
      <c r="J143" s="1087"/>
      <c r="K143" s="1087"/>
      <c r="L143" s="1087"/>
      <c r="M143" s="1087"/>
      <c r="N143" s="1087"/>
      <c r="O143" s="1087"/>
      <c r="P143" s="1087"/>
      <c r="Q143" s="1087"/>
      <c r="R143" s="1087"/>
      <c r="S143" s="1087"/>
      <c r="T143" s="1087"/>
      <c r="U143" s="1087"/>
      <c r="V143" s="1087"/>
      <c r="W143" s="1087"/>
      <c r="X143" s="1087"/>
      <c r="Y143" s="1087"/>
      <c r="Z143" s="1087"/>
      <c r="AA143" s="1087"/>
      <c r="AB143" s="1087"/>
      <c r="AC143" s="1087"/>
      <c r="AD143" s="1087"/>
      <c r="AE143" s="1087"/>
      <c r="AF143" s="1087"/>
      <c r="AG143" s="1087"/>
      <c r="AH143" s="1013"/>
    </row>
    <row r="144" spans="1:34" ht="12">
      <c r="A144" s="573" t="s">
        <v>155</v>
      </c>
      <c r="B144" s="1359">
        <f>9.76+31.13+9.39+5.22+4.86+4.9+2.37+1.64</f>
        <v>69.27000000000001</v>
      </c>
      <c r="C144" s="1086"/>
      <c r="D144" s="1087"/>
      <c r="E144" s="1087"/>
      <c r="F144" s="1087"/>
      <c r="G144" s="1087"/>
      <c r="H144" s="1087"/>
      <c r="I144" s="1087"/>
      <c r="J144" s="1087"/>
      <c r="K144" s="1087"/>
      <c r="L144" s="1087"/>
      <c r="M144" s="1087"/>
      <c r="N144" s="1087"/>
      <c r="O144" s="1087"/>
      <c r="P144" s="1087"/>
      <c r="Q144" s="1087"/>
      <c r="R144" s="1087"/>
      <c r="S144" s="1087"/>
      <c r="T144" s="1087"/>
      <c r="U144" s="1087"/>
      <c r="V144" s="1087"/>
      <c r="W144" s="1087"/>
      <c r="X144" s="1087"/>
      <c r="Y144" s="1087"/>
      <c r="Z144" s="1087"/>
      <c r="AA144" s="1087"/>
      <c r="AB144" s="1087"/>
      <c r="AC144" s="1087"/>
      <c r="AD144" s="1087"/>
      <c r="AE144" s="1087"/>
      <c r="AF144" s="1087"/>
      <c r="AG144" s="1087"/>
      <c r="AH144" s="1013"/>
    </row>
    <row r="145" spans="1:34" ht="12">
      <c r="A145" s="573" t="s">
        <v>156</v>
      </c>
      <c r="B145" s="1359">
        <f>+AH145+5.57+71.57</f>
        <v>104.38999999999999</v>
      </c>
      <c r="C145" s="1086"/>
      <c r="E145" s="1087"/>
      <c r="F145" s="1087"/>
      <c r="G145" s="1087">
        <v>17</v>
      </c>
      <c r="H145" s="1087"/>
      <c r="I145" s="1087"/>
      <c r="J145" s="1087"/>
      <c r="K145" s="1087"/>
      <c r="L145" s="1087">
        <v>6.15</v>
      </c>
      <c r="M145" s="1087"/>
      <c r="N145" s="1087">
        <v>2.36</v>
      </c>
      <c r="O145" s="1087">
        <v>1.74</v>
      </c>
      <c r="P145" s="1087"/>
      <c r="Q145" s="1087"/>
      <c r="R145" s="1087"/>
      <c r="S145" s="1087"/>
      <c r="T145" s="1087"/>
      <c r="U145" s="1087"/>
      <c r="V145" s="1087"/>
      <c r="W145" s="1087"/>
      <c r="X145" s="1087"/>
      <c r="Y145" s="1087"/>
      <c r="Z145" s="1087"/>
      <c r="AA145" s="1087"/>
      <c r="AB145" s="1087"/>
      <c r="AC145" s="1087"/>
      <c r="AD145" s="1087"/>
      <c r="AE145" s="1087"/>
      <c r="AF145" s="1087"/>
      <c r="AG145" s="1087"/>
      <c r="AH145" s="1013">
        <f>SUM(C145:AG145)</f>
        <v>27.249999999999996</v>
      </c>
    </row>
    <row r="146" spans="1:34" ht="12">
      <c r="A146" s="580" t="s">
        <v>111</v>
      </c>
      <c r="B146" s="2165">
        <f>SUM(B134:B145)</f>
        <v>20217.03</v>
      </c>
      <c r="C146" s="1088"/>
      <c r="D146" s="1088"/>
      <c r="E146" s="1088"/>
      <c r="F146" s="1088"/>
      <c r="G146" s="1088"/>
      <c r="H146" s="1088"/>
      <c r="I146" s="1088"/>
      <c r="J146" s="1088"/>
      <c r="K146" s="1088"/>
      <c r="L146" s="1088"/>
      <c r="M146" s="1088"/>
      <c r="N146" s="1088"/>
      <c r="O146" s="1088"/>
      <c r="P146" s="1088"/>
      <c r="Q146" s="1088"/>
      <c r="R146" s="1088"/>
      <c r="S146" s="1088"/>
      <c r="T146" s="1088"/>
      <c r="U146" s="1088"/>
      <c r="V146" s="1088"/>
      <c r="W146" s="1088"/>
      <c r="X146" s="1088"/>
      <c r="Y146" s="1088"/>
      <c r="Z146" s="1088"/>
      <c r="AA146" s="1088"/>
      <c r="AB146" s="1088"/>
      <c r="AC146" s="1088"/>
      <c r="AD146" s="1088"/>
      <c r="AE146" s="1088"/>
      <c r="AF146" s="1088"/>
      <c r="AG146" s="1088"/>
      <c r="AH146" s="2151"/>
    </row>
    <row r="147" spans="1:34">
      <c r="D147" s="2168">
        <v>20135.79</v>
      </c>
      <c r="E147" s="2169">
        <f>(D147-B146)</f>
        <v>-81.239999999997963</v>
      </c>
      <c r="F147" s="2170"/>
    </row>
    <row r="148" spans="1:34" ht="12">
      <c r="A148" s="3864" t="s">
        <v>514</v>
      </c>
      <c r="B148" s="3865"/>
      <c r="C148" s="3866"/>
      <c r="D148" s="1427"/>
      <c r="E148" s="1427"/>
      <c r="F148" s="1427"/>
      <c r="G148" s="1427"/>
      <c r="H148" s="1427"/>
      <c r="I148" s="1427"/>
      <c r="J148" s="1427"/>
      <c r="K148" s="1427"/>
      <c r="L148" s="1427"/>
      <c r="M148" s="2145"/>
      <c r="N148" s="1427"/>
      <c r="O148" s="1427"/>
      <c r="P148" s="1427"/>
      <c r="Q148" s="1427"/>
      <c r="R148" s="1427"/>
      <c r="S148" s="1427"/>
      <c r="T148" s="1427"/>
      <c r="U148" s="1427"/>
      <c r="V148" s="1427"/>
      <c r="W148" s="1427"/>
      <c r="X148" s="1427"/>
      <c r="Y148" s="1427"/>
      <c r="Z148" s="1427"/>
      <c r="AA148" s="1427"/>
      <c r="AB148" s="1427"/>
      <c r="AC148" s="1427"/>
      <c r="AD148" s="1427"/>
      <c r="AE148" s="1427"/>
      <c r="AF148" s="1427"/>
      <c r="AG148" s="1427"/>
    </row>
    <row r="149" spans="1:34" ht="12">
      <c r="A149" s="572" t="s">
        <v>142</v>
      </c>
      <c r="B149" s="1754" t="s">
        <v>143</v>
      </c>
      <c r="C149" s="1083">
        <v>1</v>
      </c>
      <c r="D149" s="2147">
        <v>2</v>
      </c>
      <c r="E149" s="2147">
        <v>3</v>
      </c>
      <c r="F149" s="2147">
        <v>4</v>
      </c>
      <c r="G149" s="2147">
        <v>5</v>
      </c>
      <c r="H149" s="2147">
        <v>6</v>
      </c>
      <c r="I149" s="2147">
        <v>7</v>
      </c>
      <c r="J149" s="2147">
        <v>8</v>
      </c>
      <c r="K149" s="2147">
        <v>9</v>
      </c>
      <c r="L149" s="2147">
        <v>10</v>
      </c>
      <c r="M149" s="2147">
        <v>11</v>
      </c>
      <c r="N149" s="2147">
        <v>12</v>
      </c>
      <c r="O149" s="2147">
        <v>13</v>
      </c>
      <c r="P149" s="2147">
        <v>14</v>
      </c>
      <c r="Q149" s="2147">
        <v>15</v>
      </c>
      <c r="R149" s="2147">
        <v>16</v>
      </c>
      <c r="S149" s="2147">
        <v>17</v>
      </c>
      <c r="T149" s="2147">
        <v>18</v>
      </c>
      <c r="U149" s="2147">
        <v>19</v>
      </c>
      <c r="V149" s="2147">
        <v>20</v>
      </c>
      <c r="W149" s="2146">
        <v>21</v>
      </c>
      <c r="X149" s="2147">
        <v>22</v>
      </c>
      <c r="Y149" s="2147">
        <v>23</v>
      </c>
      <c r="Z149" s="2147">
        <v>24</v>
      </c>
      <c r="AA149" s="2147">
        <v>25</v>
      </c>
      <c r="AB149" s="2147">
        <v>26</v>
      </c>
      <c r="AC149" s="2147">
        <v>27</v>
      </c>
      <c r="AD149" s="2147">
        <v>28</v>
      </c>
      <c r="AE149" s="2147">
        <v>29</v>
      </c>
      <c r="AF149" s="2147">
        <v>30</v>
      </c>
      <c r="AG149" s="2147">
        <v>31</v>
      </c>
      <c r="AH149" s="2148" t="s">
        <v>111</v>
      </c>
    </row>
    <row r="150" spans="1:34" ht="12">
      <c r="A150" s="573" t="s">
        <v>145</v>
      </c>
      <c r="B150" s="1359">
        <f>+AH150</f>
        <v>0</v>
      </c>
      <c r="C150" s="2149"/>
      <c r="D150" s="2149"/>
      <c r="E150" s="2149"/>
      <c r="F150" s="2149"/>
      <c r="G150" s="2149"/>
      <c r="H150" s="2149"/>
      <c r="I150" s="2149"/>
      <c r="J150" s="2149"/>
      <c r="K150" s="2149"/>
      <c r="L150" s="2149"/>
      <c r="M150" s="2149"/>
      <c r="N150" s="2149"/>
      <c r="O150" s="2149"/>
      <c r="P150" s="2149"/>
      <c r="Q150" s="2149"/>
      <c r="R150" s="2149"/>
      <c r="S150" s="2149"/>
      <c r="T150" s="2149"/>
      <c r="U150" s="2149"/>
      <c r="V150" s="2149"/>
      <c r="W150" s="2149"/>
      <c r="X150" s="2149"/>
      <c r="Y150" s="2149"/>
      <c r="Z150" s="2149"/>
      <c r="AA150" s="2149"/>
      <c r="AB150" s="2149"/>
      <c r="AC150" s="2149"/>
      <c r="AD150" s="2149"/>
      <c r="AE150" s="2149"/>
      <c r="AF150" s="2149"/>
      <c r="AG150" s="2149"/>
      <c r="AH150" s="1135">
        <f>SUM(C150:AG150)</f>
        <v>0</v>
      </c>
    </row>
    <row r="151" spans="1:34" ht="12">
      <c r="A151" s="573" t="s">
        <v>146</v>
      </c>
      <c r="B151" s="1359">
        <f t="shared" ref="B151:B161" si="16">+AH151</f>
        <v>0</v>
      </c>
      <c r="C151" s="1937"/>
      <c r="D151" s="1937"/>
      <c r="E151" s="1937"/>
      <c r="F151" s="1937"/>
      <c r="G151" s="1937"/>
      <c r="H151" s="1937"/>
      <c r="I151" s="1937"/>
      <c r="J151" s="1937"/>
      <c r="K151" s="1937"/>
      <c r="L151" s="1937"/>
      <c r="M151" s="1937"/>
      <c r="N151" s="1937"/>
      <c r="O151" s="1937"/>
      <c r="P151" s="1937"/>
      <c r="Q151" s="1937"/>
      <c r="R151" s="1937"/>
      <c r="S151" s="1937"/>
      <c r="T151" s="1937"/>
      <c r="U151" s="1937"/>
      <c r="V151" s="1937"/>
      <c r="W151" s="1937"/>
      <c r="X151" s="1937"/>
      <c r="Y151" s="1937"/>
      <c r="Z151" s="1937"/>
      <c r="AA151" s="1937"/>
      <c r="AB151" s="1937"/>
      <c r="AC151" s="1937"/>
      <c r="AD151" s="1937"/>
      <c r="AE151" s="1937"/>
      <c r="AF151" s="1937"/>
      <c r="AG151" s="1937"/>
      <c r="AH151" s="1135">
        <f t="shared" ref="AH151:AH161" si="17">SUM(C151:AG151)</f>
        <v>0</v>
      </c>
    </row>
    <row r="152" spans="1:34" ht="12">
      <c r="A152" s="573" t="s">
        <v>147</v>
      </c>
      <c r="B152" s="1359">
        <f t="shared" si="16"/>
        <v>0</v>
      </c>
      <c r="C152" s="1937"/>
      <c r="D152" s="1937"/>
      <c r="E152" s="1937"/>
      <c r="F152" s="1937"/>
      <c r="G152" s="1937"/>
      <c r="H152" s="1937"/>
      <c r="I152" s="1937"/>
      <c r="J152" s="1937"/>
      <c r="K152" s="1937"/>
      <c r="L152" s="1937"/>
      <c r="M152" s="1937"/>
      <c r="N152" s="1937"/>
      <c r="O152" s="1937"/>
      <c r="P152" s="1937"/>
      <c r="Q152" s="1937"/>
      <c r="R152" s="1937"/>
      <c r="S152" s="1937"/>
      <c r="T152" s="1937"/>
      <c r="U152" s="1937"/>
      <c r="V152" s="1937"/>
      <c r="W152" s="1937"/>
      <c r="X152" s="1937"/>
      <c r="Y152" s="1937"/>
      <c r="Z152" s="1937"/>
      <c r="AA152" s="1937"/>
      <c r="AB152" s="1937"/>
      <c r="AC152" s="1937"/>
      <c r="AD152" s="1937"/>
      <c r="AE152" s="1937"/>
      <c r="AF152" s="1937"/>
      <c r="AG152" s="1937"/>
      <c r="AH152" s="1135">
        <f t="shared" si="17"/>
        <v>0</v>
      </c>
    </row>
    <row r="153" spans="1:34" ht="12">
      <c r="A153" s="573" t="s">
        <v>148</v>
      </c>
      <c r="B153" s="1359">
        <f t="shared" si="16"/>
        <v>0</v>
      </c>
      <c r="C153" s="1938"/>
      <c r="D153" s="1939"/>
      <c r="E153" s="1939"/>
      <c r="F153" s="1939"/>
      <c r="G153" s="1939"/>
      <c r="H153" s="1939"/>
      <c r="I153" s="1939"/>
      <c r="J153" s="1939"/>
      <c r="K153" s="1939"/>
      <c r="L153" s="1939"/>
      <c r="M153" s="1939"/>
      <c r="N153" s="1939"/>
      <c r="O153" s="1939"/>
      <c r="P153" s="1939"/>
      <c r="Q153" s="1939"/>
      <c r="R153" s="1939"/>
      <c r="S153" s="1939"/>
      <c r="T153" s="1939"/>
      <c r="U153" s="1939"/>
      <c r="V153" s="1939"/>
      <c r="W153" s="1939"/>
      <c r="X153" s="1939"/>
      <c r="Y153" s="1939"/>
      <c r="Z153" s="1939"/>
      <c r="AA153" s="1939"/>
      <c r="AB153" s="1939"/>
      <c r="AC153" s="1939"/>
      <c r="AD153" s="1939"/>
      <c r="AE153" s="1939"/>
      <c r="AF153" s="1939"/>
      <c r="AG153" s="1939"/>
      <c r="AH153" s="1135">
        <f t="shared" si="17"/>
        <v>0</v>
      </c>
    </row>
    <row r="154" spans="1:34" ht="12">
      <c r="A154" s="573" t="s">
        <v>149</v>
      </c>
      <c r="B154" s="1359">
        <f t="shared" si="16"/>
        <v>0</v>
      </c>
      <c r="C154" s="1938"/>
      <c r="D154" s="1939"/>
      <c r="E154" s="1939"/>
      <c r="F154" s="1939"/>
      <c r="G154" s="1939"/>
      <c r="H154" s="1939"/>
      <c r="I154" s="1939"/>
      <c r="J154" s="1939"/>
      <c r="K154" s="1939"/>
      <c r="L154" s="1939"/>
      <c r="M154" s="1939"/>
      <c r="N154" s="1939"/>
      <c r="O154" s="1939"/>
      <c r="P154" s="1939"/>
      <c r="Q154" s="1939"/>
      <c r="R154" s="1939"/>
      <c r="S154" s="1939"/>
      <c r="T154" s="1939"/>
      <c r="U154" s="1939"/>
      <c r="V154" s="1939"/>
      <c r="W154" s="1939"/>
      <c r="X154" s="1939"/>
      <c r="Y154" s="1939"/>
      <c r="Z154" s="1939"/>
      <c r="AA154" s="1939"/>
      <c r="AB154" s="1939"/>
      <c r="AC154" s="1939"/>
      <c r="AD154" s="1939"/>
      <c r="AE154" s="1939"/>
      <c r="AF154" s="1939"/>
      <c r="AG154" s="1939"/>
      <c r="AH154" s="1135">
        <f t="shared" si="17"/>
        <v>0</v>
      </c>
    </row>
    <row r="155" spans="1:34" ht="12">
      <c r="A155" s="573" t="s">
        <v>150</v>
      </c>
      <c r="B155" s="1359">
        <f t="shared" si="16"/>
        <v>4.4489999999999998</v>
      </c>
      <c r="C155" s="1938"/>
      <c r="D155" s="1939"/>
      <c r="E155" s="1939"/>
      <c r="F155" s="1939"/>
      <c r="G155" s="1939">
        <v>4.4489999999999998</v>
      </c>
      <c r="H155" s="1939"/>
      <c r="I155" s="1939"/>
      <c r="J155" s="1939"/>
      <c r="K155" s="1939"/>
      <c r="L155" s="1939"/>
      <c r="M155" s="1939"/>
      <c r="N155" s="1939"/>
      <c r="O155" s="1939"/>
      <c r="P155" s="1939"/>
      <c r="Q155" s="1939"/>
      <c r="R155" s="1939"/>
      <c r="S155" s="1939"/>
      <c r="T155" s="1939"/>
      <c r="U155" s="1939"/>
      <c r="V155" s="1939"/>
      <c r="W155" s="1939"/>
      <c r="X155" s="1939"/>
      <c r="Y155" s="1939"/>
      <c r="Z155" s="1939"/>
      <c r="AA155" s="1939"/>
      <c r="AB155" s="1939"/>
      <c r="AC155" s="1939"/>
      <c r="AD155" s="1939"/>
      <c r="AE155" s="1939"/>
      <c r="AF155" s="1939"/>
      <c r="AG155" s="1939"/>
      <c r="AH155" s="1135">
        <f t="shared" si="17"/>
        <v>4.4489999999999998</v>
      </c>
    </row>
    <row r="156" spans="1:34" ht="12">
      <c r="A156" s="573" t="s">
        <v>151</v>
      </c>
      <c r="B156" s="1359">
        <f t="shared" si="16"/>
        <v>62.294000000000004</v>
      </c>
      <c r="C156" s="1938"/>
      <c r="D156" s="1939"/>
      <c r="E156" s="1939"/>
      <c r="F156" s="1939"/>
      <c r="G156" s="1939"/>
      <c r="H156" s="1939"/>
      <c r="I156" s="1939"/>
      <c r="J156" s="1939"/>
      <c r="K156" s="1939"/>
      <c r="L156" s="1939"/>
      <c r="M156" s="1939"/>
      <c r="N156" s="1939"/>
      <c r="O156" s="1939"/>
      <c r="P156" s="1939"/>
      <c r="Q156" s="1939"/>
      <c r="R156" s="1939"/>
      <c r="S156" s="1939"/>
      <c r="T156" s="1939"/>
      <c r="U156" s="1939">
        <v>6.3019999999999996</v>
      </c>
      <c r="V156" s="1939">
        <v>7.3440000000000003</v>
      </c>
      <c r="W156" s="1939"/>
      <c r="X156" s="1939"/>
      <c r="Y156" s="1939"/>
      <c r="Z156" s="1939"/>
      <c r="AA156" s="1939"/>
      <c r="AB156" s="1939"/>
      <c r="AC156" s="1939">
        <v>13.112</v>
      </c>
      <c r="AD156" s="1939"/>
      <c r="AE156" s="1939"/>
      <c r="AF156" s="1939"/>
      <c r="AG156" s="1939">
        <v>35.536000000000001</v>
      </c>
      <c r="AH156" s="1135">
        <f t="shared" si="17"/>
        <v>62.294000000000004</v>
      </c>
    </row>
    <row r="157" spans="1:34" ht="12">
      <c r="A157" s="573" t="s">
        <v>152</v>
      </c>
      <c r="B157" s="1359">
        <f t="shared" si="16"/>
        <v>155.84199999999998</v>
      </c>
      <c r="C157" s="1938"/>
      <c r="D157" s="1939"/>
      <c r="E157" s="1939"/>
      <c r="F157" s="1939"/>
      <c r="G157" s="1939"/>
      <c r="H157" s="1939">
        <v>127.57599999999999</v>
      </c>
      <c r="I157" s="1939"/>
      <c r="J157" s="1939"/>
      <c r="K157" s="1939">
        <v>28.265999999999998</v>
      </c>
      <c r="L157" s="1939"/>
      <c r="M157" s="1939"/>
      <c r="N157" s="1939"/>
      <c r="O157" s="1939"/>
      <c r="P157" s="1939"/>
      <c r="Q157" s="1939"/>
      <c r="R157" s="1939"/>
      <c r="S157" s="1939"/>
      <c r="T157" s="1939"/>
      <c r="U157" s="1939"/>
      <c r="V157" s="1939"/>
      <c r="W157" s="1939"/>
      <c r="X157" s="1939"/>
      <c r="Y157" s="1939"/>
      <c r="Z157" s="1939"/>
      <c r="AA157" s="1939"/>
      <c r="AB157" s="1939"/>
      <c r="AC157" s="1939"/>
      <c r="AD157" s="1939"/>
      <c r="AE157" s="1939"/>
      <c r="AF157" s="1939"/>
      <c r="AG157" s="1939"/>
      <c r="AH157" s="1135">
        <f t="shared" si="17"/>
        <v>155.84199999999998</v>
      </c>
    </row>
    <row r="158" spans="1:34" ht="12">
      <c r="A158" s="573" t="s">
        <v>153</v>
      </c>
      <c r="B158" s="1359">
        <f t="shared" si="16"/>
        <v>0</v>
      </c>
      <c r="C158" s="1938"/>
      <c r="D158" s="1939"/>
      <c r="E158" s="1939"/>
      <c r="F158" s="1939"/>
      <c r="G158" s="1939"/>
      <c r="H158" s="1939"/>
      <c r="I158" s="1939"/>
      <c r="J158" s="1939"/>
      <c r="K158" s="1939"/>
      <c r="L158" s="1939"/>
      <c r="M158" s="1939"/>
      <c r="N158" s="1939"/>
      <c r="O158" s="1939"/>
      <c r="P158" s="1939"/>
      <c r="Q158" s="1939"/>
      <c r="R158" s="1939"/>
      <c r="S158" s="1939"/>
      <c r="T158" s="1939"/>
      <c r="U158" s="1939"/>
      <c r="V158" s="1939"/>
      <c r="W158" s="1939"/>
      <c r="X158" s="1939"/>
      <c r="Y158" s="1939"/>
      <c r="Z158" s="1939"/>
      <c r="AA158" s="1939"/>
      <c r="AB158" s="1939"/>
      <c r="AC158" s="1939"/>
      <c r="AD158" s="1939"/>
      <c r="AE158" s="1939"/>
      <c r="AF158" s="1939"/>
      <c r="AG158" s="1939"/>
      <c r="AH158" s="1135">
        <f t="shared" si="17"/>
        <v>0</v>
      </c>
    </row>
    <row r="159" spans="1:34" ht="12">
      <c r="A159" s="573" t="s">
        <v>154</v>
      </c>
      <c r="B159" s="1359">
        <f t="shared" si="16"/>
        <v>0</v>
      </c>
      <c r="C159" s="1938"/>
      <c r="D159" s="1939"/>
      <c r="E159" s="1939"/>
      <c r="F159" s="1939"/>
      <c r="G159" s="1939"/>
      <c r="H159" s="1939"/>
      <c r="I159" s="1939"/>
      <c r="J159" s="1939"/>
      <c r="K159" s="1939"/>
      <c r="L159" s="1939"/>
      <c r="M159" s="1939"/>
      <c r="N159" s="1939"/>
      <c r="O159" s="1939"/>
      <c r="P159" s="1939"/>
      <c r="Q159" s="1939"/>
      <c r="R159" s="1939"/>
      <c r="S159" s="1939"/>
      <c r="T159" s="1939"/>
      <c r="U159" s="1939"/>
      <c r="V159" s="1939"/>
      <c r="W159" s="1939"/>
      <c r="X159" s="1939"/>
      <c r="Y159" s="1939"/>
      <c r="Z159" s="1939"/>
      <c r="AA159" s="1939"/>
      <c r="AB159" s="1939"/>
      <c r="AC159" s="1939"/>
      <c r="AD159" s="1939"/>
      <c r="AE159" s="1939"/>
      <c r="AF159" s="1939"/>
      <c r="AG159" s="1939"/>
      <c r="AH159" s="1135">
        <f t="shared" si="17"/>
        <v>0</v>
      </c>
    </row>
    <row r="160" spans="1:34" ht="12">
      <c r="A160" s="573" t="s">
        <v>155</v>
      </c>
      <c r="B160" s="1359">
        <f t="shared" si="16"/>
        <v>0</v>
      </c>
      <c r="C160" s="1938"/>
      <c r="D160" s="1939"/>
      <c r="E160" s="1939"/>
      <c r="F160" s="1939"/>
      <c r="G160" s="1939"/>
      <c r="H160" s="1939"/>
      <c r="I160" s="1939"/>
      <c r="J160" s="1939"/>
      <c r="K160" s="1939"/>
      <c r="L160" s="1939"/>
      <c r="M160" s="1939"/>
      <c r="N160" s="1939"/>
      <c r="O160" s="1939"/>
      <c r="P160" s="1939"/>
      <c r="Q160" s="1939"/>
      <c r="R160" s="1939"/>
      <c r="S160" s="1939"/>
      <c r="T160" s="1939"/>
      <c r="U160" s="1939"/>
      <c r="V160" s="1939"/>
      <c r="W160" s="1939"/>
      <c r="X160" s="1939"/>
      <c r="Y160" s="1939"/>
      <c r="Z160" s="1939"/>
      <c r="AA160" s="1939"/>
      <c r="AB160" s="1939"/>
      <c r="AC160" s="1939"/>
      <c r="AD160" s="1939"/>
      <c r="AE160" s="1939"/>
      <c r="AF160" s="1939"/>
      <c r="AG160" s="1939"/>
      <c r="AH160" s="1135">
        <f t="shared" si="17"/>
        <v>0</v>
      </c>
    </row>
    <row r="161" spans="1:34" ht="12">
      <c r="A161" s="573" t="s">
        <v>156</v>
      </c>
      <c r="B161" s="1359">
        <f t="shared" si="16"/>
        <v>0</v>
      </c>
      <c r="C161" s="1938"/>
      <c r="D161" s="1939"/>
      <c r="E161" s="1939"/>
      <c r="F161" s="1939"/>
      <c r="G161" s="1939"/>
      <c r="H161" s="1939"/>
      <c r="I161" s="1939"/>
      <c r="J161" s="1939"/>
      <c r="K161" s="1939"/>
      <c r="L161" s="1939"/>
      <c r="M161" s="1939"/>
      <c r="N161" s="1939"/>
      <c r="O161" s="1939"/>
      <c r="P161" s="1939"/>
      <c r="Q161" s="1939"/>
      <c r="R161" s="1939"/>
      <c r="S161" s="1939"/>
      <c r="T161" s="1939"/>
      <c r="U161" s="1939"/>
      <c r="V161" s="1939"/>
      <c r="W161" s="1939"/>
      <c r="X161" s="1939"/>
      <c r="Y161" s="1939"/>
      <c r="Z161" s="1939"/>
      <c r="AA161" s="1939"/>
      <c r="AB161" s="1939"/>
      <c r="AC161" s="1939"/>
      <c r="AD161" s="1939"/>
      <c r="AE161" s="1939"/>
      <c r="AF161" s="1939"/>
      <c r="AG161" s="1939"/>
      <c r="AH161" s="1135">
        <f t="shared" si="17"/>
        <v>0</v>
      </c>
    </row>
    <row r="162" spans="1:34" ht="12">
      <c r="A162" s="580" t="s">
        <v>111</v>
      </c>
      <c r="B162" s="2150">
        <f>SUM(B150:B161)</f>
        <v>222.58499999999998</v>
      </c>
      <c r="C162" s="1088"/>
      <c r="D162" s="1088"/>
      <c r="E162" s="1088"/>
      <c r="F162" s="1088"/>
      <c r="G162" s="1088">
        <f>SUM(G151:G161)</f>
        <v>4.4489999999999998</v>
      </c>
      <c r="H162" s="1088">
        <f t="shared" ref="H162:AG162" si="18">SUM(H151:H161)</f>
        <v>127.57599999999999</v>
      </c>
      <c r="I162" s="1088">
        <f t="shared" si="18"/>
        <v>0</v>
      </c>
      <c r="J162" s="1088">
        <f t="shared" si="18"/>
        <v>0</v>
      </c>
      <c r="K162" s="1088">
        <f t="shared" si="18"/>
        <v>28.265999999999998</v>
      </c>
      <c r="L162" s="1088">
        <f t="shared" si="18"/>
        <v>0</v>
      </c>
      <c r="M162" s="1088">
        <f t="shared" si="18"/>
        <v>0</v>
      </c>
      <c r="N162" s="1088">
        <f t="shared" si="18"/>
        <v>0</v>
      </c>
      <c r="O162" s="1088">
        <f t="shared" si="18"/>
        <v>0</v>
      </c>
      <c r="P162" s="1088">
        <f t="shared" si="18"/>
        <v>0</v>
      </c>
      <c r="Q162" s="1088">
        <f t="shared" si="18"/>
        <v>0</v>
      </c>
      <c r="R162" s="1088">
        <f t="shared" si="18"/>
        <v>0</v>
      </c>
      <c r="S162" s="1088">
        <f t="shared" si="18"/>
        <v>0</v>
      </c>
      <c r="T162" s="1088">
        <f t="shared" si="18"/>
        <v>0</v>
      </c>
      <c r="U162" s="1088">
        <f t="shared" si="18"/>
        <v>6.3019999999999996</v>
      </c>
      <c r="V162" s="1088">
        <f t="shared" si="18"/>
        <v>7.3440000000000003</v>
      </c>
      <c r="W162" s="1088">
        <f t="shared" si="18"/>
        <v>0</v>
      </c>
      <c r="X162" s="1088">
        <f t="shared" si="18"/>
        <v>0</v>
      </c>
      <c r="Y162" s="1088">
        <f t="shared" si="18"/>
        <v>0</v>
      </c>
      <c r="Z162" s="1088">
        <f t="shared" si="18"/>
        <v>0</v>
      </c>
      <c r="AA162" s="1088">
        <f t="shared" si="18"/>
        <v>0</v>
      </c>
      <c r="AB162" s="1088">
        <f t="shared" si="18"/>
        <v>0</v>
      </c>
      <c r="AC162" s="1088">
        <f t="shared" si="18"/>
        <v>13.112</v>
      </c>
      <c r="AD162" s="1088">
        <f t="shared" si="18"/>
        <v>0</v>
      </c>
      <c r="AE162" s="1088">
        <f t="shared" si="18"/>
        <v>0</v>
      </c>
      <c r="AF162" s="1088">
        <f t="shared" si="18"/>
        <v>0</v>
      </c>
      <c r="AG162" s="1088">
        <f t="shared" si="18"/>
        <v>35.536000000000001</v>
      </c>
      <c r="AH162" s="2151">
        <f>SUM(AH150:AH161)</f>
        <v>222.58499999999998</v>
      </c>
    </row>
    <row r="164" spans="1:34" ht="12">
      <c r="A164" s="3864" t="s">
        <v>515</v>
      </c>
      <c r="B164" s="3865"/>
      <c r="C164" s="3866"/>
      <c r="D164" s="1427"/>
      <c r="E164" s="1427"/>
      <c r="F164" s="1427"/>
      <c r="G164" s="1427"/>
      <c r="H164" s="1427"/>
      <c r="I164" s="1427"/>
      <c r="J164" s="1427"/>
      <c r="K164" s="1427"/>
      <c r="L164" s="1427"/>
      <c r="M164" s="2145"/>
      <c r="N164" s="1427"/>
      <c r="O164" s="1427"/>
      <c r="P164" s="1427"/>
      <c r="Q164" s="1427"/>
      <c r="R164" s="1427"/>
      <c r="S164" s="1427"/>
      <c r="T164" s="1427"/>
      <c r="U164" s="1427"/>
      <c r="V164" s="1427"/>
      <c r="W164" s="1427"/>
      <c r="X164" s="1427"/>
      <c r="Y164" s="1427"/>
      <c r="Z164" s="1427"/>
      <c r="AA164" s="1427"/>
      <c r="AB164" s="1427"/>
      <c r="AC164" s="1427"/>
      <c r="AD164" s="1427"/>
      <c r="AE164" s="1427"/>
      <c r="AF164" s="1427"/>
      <c r="AG164" s="1427"/>
    </row>
    <row r="165" spans="1:34" ht="12">
      <c r="A165" s="572" t="s">
        <v>142</v>
      </c>
      <c r="B165" s="1754" t="s">
        <v>143</v>
      </c>
      <c r="C165" s="1083">
        <v>1</v>
      </c>
      <c r="D165" s="2147">
        <v>2</v>
      </c>
      <c r="E165" s="2147">
        <v>3</v>
      </c>
      <c r="F165" s="2147">
        <v>4</v>
      </c>
      <c r="G165" s="2147">
        <v>5</v>
      </c>
      <c r="H165" s="2147">
        <v>6</v>
      </c>
      <c r="I165" s="2147">
        <v>7</v>
      </c>
      <c r="J165" s="2147">
        <v>8</v>
      </c>
      <c r="K165" s="2147">
        <v>9</v>
      </c>
      <c r="L165" s="2147">
        <v>10</v>
      </c>
      <c r="M165" s="2147">
        <v>11</v>
      </c>
      <c r="N165" s="2147">
        <v>12</v>
      </c>
      <c r="O165" s="2147">
        <v>13</v>
      </c>
      <c r="P165" s="2147">
        <v>14</v>
      </c>
      <c r="Q165" s="2147">
        <v>15</v>
      </c>
      <c r="R165" s="2147">
        <v>16</v>
      </c>
      <c r="S165" s="2147">
        <v>17</v>
      </c>
      <c r="T165" s="2147">
        <v>18</v>
      </c>
      <c r="U165" s="2147">
        <v>19</v>
      </c>
      <c r="V165" s="2147">
        <v>20</v>
      </c>
      <c r="W165" s="2146">
        <v>21</v>
      </c>
      <c r="X165" s="2147">
        <v>22</v>
      </c>
      <c r="Y165" s="2147">
        <v>23</v>
      </c>
      <c r="Z165" s="2147">
        <v>24</v>
      </c>
      <c r="AA165" s="2147">
        <v>25</v>
      </c>
      <c r="AB165" s="2147">
        <v>26</v>
      </c>
      <c r="AC165" s="2147">
        <v>27</v>
      </c>
      <c r="AD165" s="2147">
        <v>28</v>
      </c>
      <c r="AE165" s="2147">
        <v>29</v>
      </c>
      <c r="AF165" s="2147">
        <v>30</v>
      </c>
      <c r="AG165" s="2147">
        <v>31</v>
      </c>
      <c r="AH165" s="2148" t="s">
        <v>111</v>
      </c>
    </row>
    <row r="166" spans="1:34" ht="12">
      <c r="A166" s="573" t="s">
        <v>145</v>
      </c>
      <c r="B166" s="1359">
        <f t="shared" ref="B166:B177" si="19">+AH166</f>
        <v>0</v>
      </c>
      <c r="C166" s="2149"/>
      <c r="D166" s="2149"/>
      <c r="E166" s="2149"/>
      <c r="F166" s="2149"/>
      <c r="G166" s="2149"/>
      <c r="H166" s="2149"/>
      <c r="I166" s="2149"/>
      <c r="J166" s="2149"/>
      <c r="K166" s="2149"/>
      <c r="L166" s="2149"/>
      <c r="M166" s="2149"/>
      <c r="N166" s="2149"/>
      <c r="O166" s="2149"/>
      <c r="P166" s="2149"/>
      <c r="Q166" s="2149"/>
      <c r="R166" s="2149"/>
      <c r="S166" s="2149"/>
      <c r="T166" s="2149"/>
      <c r="U166" s="2149"/>
      <c r="V166" s="2149"/>
      <c r="W166" s="2149"/>
      <c r="X166" s="2149"/>
      <c r="Y166" s="2149"/>
      <c r="Z166" s="2149"/>
      <c r="AA166" s="2149"/>
      <c r="AB166" s="2149"/>
      <c r="AC166" s="2149"/>
      <c r="AD166" s="2149"/>
      <c r="AE166" s="2149"/>
      <c r="AF166" s="2149"/>
      <c r="AG166" s="2149"/>
      <c r="AH166" s="1013">
        <f>SUM(C166:AG166)</f>
        <v>0</v>
      </c>
    </row>
    <row r="167" spans="1:34" ht="12">
      <c r="A167" s="573" t="s">
        <v>146</v>
      </c>
      <c r="B167" s="1359">
        <f t="shared" si="19"/>
        <v>9.73</v>
      </c>
      <c r="C167" s="2156"/>
      <c r="D167" s="2156"/>
      <c r="E167" s="2156"/>
      <c r="F167" s="2156"/>
      <c r="G167" s="2156"/>
      <c r="H167" s="2156"/>
      <c r="I167" s="2156"/>
      <c r="J167" s="2156"/>
      <c r="K167" s="2156"/>
      <c r="L167" s="2156"/>
      <c r="M167" s="2156"/>
      <c r="N167" s="2156"/>
      <c r="O167" s="2156"/>
      <c r="P167" s="2156"/>
      <c r="Q167" s="2156"/>
      <c r="R167" s="2156"/>
      <c r="S167" s="2156"/>
      <c r="T167" s="2156"/>
      <c r="U167" s="2156"/>
      <c r="V167" s="2156"/>
      <c r="W167" s="2156"/>
      <c r="X167" s="2156"/>
      <c r="Y167" s="2156"/>
      <c r="Z167" s="2156"/>
      <c r="AA167" s="2156"/>
      <c r="AB167" s="2156"/>
      <c r="AC167" s="2156">
        <v>4.28</v>
      </c>
      <c r="AD167" s="2156">
        <v>0.57999999999999996</v>
      </c>
      <c r="AE167" s="2156">
        <v>4.87</v>
      </c>
      <c r="AF167" s="2156"/>
      <c r="AG167" s="2171"/>
      <c r="AH167" s="1013">
        <f>SUM(C167:AG167)</f>
        <v>9.73</v>
      </c>
    </row>
    <row r="168" spans="1:34" ht="12">
      <c r="A168" s="573" t="s">
        <v>147</v>
      </c>
      <c r="B168" s="1359">
        <f t="shared" si="19"/>
        <v>29.913999999999998</v>
      </c>
      <c r="C168" s="2156"/>
      <c r="D168" s="2156"/>
      <c r="E168" s="2156"/>
      <c r="F168" s="2156"/>
      <c r="G168" s="2156">
        <v>2.621</v>
      </c>
      <c r="H168" s="2156"/>
      <c r="I168" s="2156">
        <v>4.5430000000000001</v>
      </c>
      <c r="J168" s="2156">
        <v>0.06</v>
      </c>
      <c r="K168" s="2156"/>
      <c r="L168" s="2156"/>
      <c r="M168" s="2156"/>
      <c r="N168" s="2156"/>
      <c r="O168" s="2156">
        <v>4.8499999999999996</v>
      </c>
      <c r="P168" s="2156"/>
      <c r="Q168" s="2156">
        <v>5</v>
      </c>
      <c r="R168" s="2156"/>
      <c r="S168" s="2156"/>
      <c r="T168" s="2156">
        <v>0.2</v>
      </c>
      <c r="U168" s="2156"/>
      <c r="V168" s="2156"/>
      <c r="W168" s="2156"/>
      <c r="X168" s="2156"/>
      <c r="Y168" s="2156"/>
      <c r="Z168" s="2156"/>
      <c r="AA168" s="2156"/>
      <c r="AB168" s="2156"/>
      <c r="AC168" s="2156">
        <v>8.14</v>
      </c>
      <c r="AD168" s="2156"/>
      <c r="AE168" s="2156"/>
      <c r="AF168" s="2156"/>
      <c r="AG168" s="2171">
        <v>4.5</v>
      </c>
      <c r="AH168" s="1013">
        <f>SUM(C168:AG168)</f>
        <v>29.913999999999998</v>
      </c>
    </row>
    <row r="169" spans="1:34" ht="12">
      <c r="A169" s="573" t="s">
        <v>148</v>
      </c>
      <c r="B169" s="1359">
        <f t="shared" si="19"/>
        <v>21.451000000000001</v>
      </c>
      <c r="C169" s="2172"/>
      <c r="D169" s="2173"/>
      <c r="E169" s="2173"/>
      <c r="F169" s="2173"/>
      <c r="G169" s="2173"/>
      <c r="H169" s="2173"/>
      <c r="I169" s="2173"/>
      <c r="J169" s="2173"/>
      <c r="K169" s="2173"/>
      <c r="L169" s="2173"/>
      <c r="M169" s="2173"/>
      <c r="N169" s="2173">
        <v>1</v>
      </c>
      <c r="O169" s="2173"/>
      <c r="P169" s="2173"/>
      <c r="Q169" s="2173">
        <v>5</v>
      </c>
      <c r="R169" s="2173"/>
      <c r="S169" s="2173"/>
      <c r="T169" s="2173">
        <v>0.7</v>
      </c>
      <c r="U169" s="2173"/>
      <c r="V169" s="2173"/>
      <c r="W169" s="2173"/>
      <c r="X169" s="2173"/>
      <c r="Y169" s="2173"/>
      <c r="Z169" s="2173"/>
      <c r="AA169" s="2173"/>
      <c r="AB169" s="2173"/>
      <c r="AC169" s="2173">
        <v>0.05</v>
      </c>
      <c r="AD169" s="2173">
        <v>0.30099999999999999</v>
      </c>
      <c r="AE169" s="2173">
        <v>1.1000000000000001</v>
      </c>
      <c r="AF169" s="2173">
        <v>13.3</v>
      </c>
      <c r="AG169" s="2174"/>
      <c r="AH169" s="1013">
        <f t="shared" ref="AH169:AH177" si="20">SUM(C169:AG169)</f>
        <v>21.451000000000001</v>
      </c>
    </row>
    <row r="170" spans="1:34" ht="12">
      <c r="A170" s="573" t="s">
        <v>149</v>
      </c>
      <c r="B170" s="1359">
        <f t="shared" si="19"/>
        <v>9.6999999999999993</v>
      </c>
      <c r="C170" s="1086"/>
      <c r="D170" s="1087"/>
      <c r="E170" s="1087"/>
      <c r="F170" s="1087"/>
      <c r="G170" s="1087"/>
      <c r="H170" s="1087"/>
      <c r="I170" s="1087"/>
      <c r="J170" s="1087"/>
      <c r="K170" s="1087"/>
      <c r="L170" s="1087"/>
      <c r="M170" s="1087"/>
      <c r="N170" s="1087"/>
      <c r="O170" s="1087"/>
      <c r="P170" s="1087"/>
      <c r="Q170" s="1087">
        <v>4</v>
      </c>
      <c r="R170" s="1087"/>
      <c r="S170" s="1087"/>
      <c r="T170" s="1087"/>
      <c r="U170" s="1087"/>
      <c r="V170" s="1087"/>
      <c r="W170" s="1087"/>
      <c r="X170" s="1087"/>
      <c r="Y170" s="1087"/>
      <c r="Z170" s="1087"/>
      <c r="AA170" s="1087">
        <v>0.7</v>
      </c>
      <c r="AB170" s="1087"/>
      <c r="AC170" s="1087"/>
      <c r="AD170" s="1087"/>
      <c r="AE170" s="1087"/>
      <c r="AF170" s="1087"/>
      <c r="AG170" s="1087">
        <v>5</v>
      </c>
      <c r="AH170" s="1013">
        <f t="shared" si="20"/>
        <v>9.6999999999999993</v>
      </c>
    </row>
    <row r="171" spans="1:34" ht="12">
      <c r="A171" s="573" t="s">
        <v>150</v>
      </c>
      <c r="B171" s="1359">
        <f t="shared" si="19"/>
        <v>5.8</v>
      </c>
      <c r="C171" s="1086"/>
      <c r="D171" s="1087"/>
      <c r="E171" s="1087"/>
      <c r="F171" s="1087"/>
      <c r="G171" s="1087"/>
      <c r="H171" s="1087"/>
      <c r="I171" s="1087"/>
      <c r="J171" s="1087"/>
      <c r="K171" s="1087"/>
      <c r="L171" s="1087"/>
      <c r="M171" s="1087"/>
      <c r="N171" s="1087"/>
      <c r="O171" s="1087"/>
      <c r="P171" s="1087"/>
      <c r="Q171" s="1087">
        <v>3</v>
      </c>
      <c r="R171" s="1087"/>
      <c r="S171" s="1087"/>
      <c r="T171" s="1087"/>
      <c r="U171" s="1087"/>
      <c r="V171" s="1087"/>
      <c r="W171" s="1087"/>
      <c r="X171" s="1087"/>
      <c r="Y171" s="1087"/>
      <c r="Z171" s="1087"/>
      <c r="AA171" s="1087"/>
      <c r="AB171" s="1087"/>
      <c r="AC171" s="1087"/>
      <c r="AD171" s="1087"/>
      <c r="AE171" s="1087"/>
      <c r="AF171" s="1087">
        <v>2.8</v>
      </c>
      <c r="AG171" s="1087"/>
      <c r="AH171" s="1013">
        <f t="shared" si="20"/>
        <v>5.8</v>
      </c>
    </row>
    <row r="172" spans="1:34" ht="12">
      <c r="A172" s="573" t="s">
        <v>151</v>
      </c>
      <c r="B172" s="1359">
        <f t="shared" si="19"/>
        <v>9</v>
      </c>
      <c r="C172" s="1086"/>
      <c r="D172" s="1087"/>
      <c r="E172" s="1087"/>
      <c r="F172" s="1087"/>
      <c r="G172" s="1087"/>
      <c r="H172" s="1087"/>
      <c r="I172" s="1087"/>
      <c r="J172" s="1087"/>
      <c r="K172" s="1087"/>
      <c r="L172" s="1087"/>
      <c r="M172" s="1087"/>
      <c r="N172" s="1087"/>
      <c r="O172" s="1087"/>
      <c r="P172" s="1087"/>
      <c r="Q172" s="1087">
        <v>4</v>
      </c>
      <c r="R172" s="1087"/>
      <c r="S172" s="1087"/>
      <c r="T172" s="1087"/>
      <c r="U172" s="1087"/>
      <c r="V172" s="1087"/>
      <c r="W172" s="1087"/>
      <c r="X172" s="1087"/>
      <c r="Y172" s="1087"/>
      <c r="Z172" s="1087"/>
      <c r="AA172" s="1087"/>
      <c r="AB172" s="1087"/>
      <c r="AC172" s="1087"/>
      <c r="AD172" s="1087"/>
      <c r="AE172" s="1087"/>
      <c r="AF172" s="1087"/>
      <c r="AG172" s="1087">
        <v>5</v>
      </c>
      <c r="AH172" s="1013">
        <f t="shared" si="20"/>
        <v>9</v>
      </c>
    </row>
    <row r="173" spans="1:34" ht="12">
      <c r="A173" s="573" t="s">
        <v>152</v>
      </c>
      <c r="B173" s="1359">
        <f t="shared" si="19"/>
        <v>0</v>
      </c>
      <c r="C173" s="1086"/>
      <c r="D173" s="1087"/>
      <c r="E173" s="1087"/>
      <c r="F173" s="1087"/>
      <c r="G173" s="1087"/>
      <c r="H173" s="1087"/>
      <c r="I173" s="1087"/>
      <c r="J173" s="1087"/>
      <c r="K173" s="1087"/>
      <c r="L173" s="1087"/>
      <c r="M173" s="1087"/>
      <c r="N173" s="1087"/>
      <c r="O173" s="1087"/>
      <c r="P173" s="1087"/>
      <c r="Q173" s="1087"/>
      <c r="R173" s="1087"/>
      <c r="S173" s="1087"/>
      <c r="T173" s="1087"/>
      <c r="U173" s="1087"/>
      <c r="V173" s="1087"/>
      <c r="W173" s="1087"/>
      <c r="X173" s="1087"/>
      <c r="Y173" s="1087"/>
      <c r="Z173" s="1087"/>
      <c r="AA173" s="1087"/>
      <c r="AB173" s="1087"/>
      <c r="AC173" s="1087"/>
      <c r="AD173" s="1087"/>
      <c r="AE173" s="1087"/>
      <c r="AF173" s="1087"/>
      <c r="AG173" s="1087"/>
      <c r="AH173" s="1013">
        <f t="shared" si="20"/>
        <v>0</v>
      </c>
    </row>
    <row r="174" spans="1:34" ht="12">
      <c r="A174" s="573" t="s">
        <v>153</v>
      </c>
      <c r="B174" s="1359">
        <f t="shared" si="19"/>
        <v>6.3</v>
      </c>
      <c r="C174" s="1086"/>
      <c r="D174" s="1087"/>
      <c r="E174" s="1087"/>
      <c r="F174" s="1087"/>
      <c r="G174" s="1087"/>
      <c r="H174" s="1087"/>
      <c r="I174" s="1087"/>
      <c r="J174" s="1087"/>
      <c r="K174" s="1087"/>
      <c r="L174" s="1087"/>
      <c r="M174" s="1087"/>
      <c r="N174" s="1087"/>
      <c r="O174" s="1087"/>
      <c r="P174" s="1087"/>
      <c r="Q174" s="1087">
        <v>3.5</v>
      </c>
      <c r="R174" s="1087"/>
      <c r="S174" s="1087"/>
      <c r="T174" s="1087"/>
      <c r="U174" s="1087"/>
      <c r="V174" s="1087"/>
      <c r="W174" s="1087"/>
      <c r="X174" s="1087"/>
      <c r="Y174" s="1087"/>
      <c r="Z174" s="1087"/>
      <c r="AA174" s="1087"/>
      <c r="AB174" s="1087"/>
      <c r="AC174" s="1087"/>
      <c r="AD174" s="1087"/>
      <c r="AE174" s="1087"/>
      <c r="AF174" s="1087">
        <v>2.8</v>
      </c>
      <c r="AG174" s="1087"/>
      <c r="AH174" s="1013">
        <f t="shared" si="20"/>
        <v>6.3</v>
      </c>
    </row>
    <row r="175" spans="1:34" ht="12">
      <c r="A175" s="573" t="s">
        <v>154</v>
      </c>
      <c r="B175" s="1359">
        <f t="shared" si="19"/>
        <v>3</v>
      </c>
      <c r="C175" s="1086"/>
      <c r="D175" s="1087"/>
      <c r="E175" s="1087"/>
      <c r="F175" s="1087"/>
      <c r="G175" s="1087"/>
      <c r="H175" s="1087"/>
      <c r="I175" s="1087"/>
      <c r="J175" s="1087"/>
      <c r="K175" s="1087"/>
      <c r="L175" s="1087"/>
      <c r="M175" s="1087"/>
      <c r="N175" s="1087"/>
      <c r="O175" s="1087"/>
      <c r="P175" s="1087"/>
      <c r="Q175" s="1087">
        <v>3</v>
      </c>
      <c r="R175" s="1087"/>
      <c r="S175" s="1087"/>
      <c r="T175" s="1087"/>
      <c r="U175" s="1087"/>
      <c r="V175" s="1087"/>
      <c r="W175" s="1087"/>
      <c r="X175" s="1087"/>
      <c r="Y175" s="1087"/>
      <c r="Z175" s="1087"/>
      <c r="AA175" s="1087"/>
      <c r="AB175" s="1087"/>
      <c r="AC175" s="1087"/>
      <c r="AD175" s="1087"/>
      <c r="AE175" s="1087"/>
      <c r="AF175" s="1087"/>
      <c r="AG175" s="1087"/>
      <c r="AH175" s="1013">
        <f t="shared" si="20"/>
        <v>3</v>
      </c>
    </row>
    <row r="176" spans="1:34" ht="12">
      <c r="A176" s="573" t="s">
        <v>155</v>
      </c>
      <c r="B176" s="1359">
        <f t="shared" si="19"/>
        <v>1.7</v>
      </c>
      <c r="C176" s="3139"/>
      <c r="D176" s="1087"/>
      <c r="E176" s="1087"/>
      <c r="F176" s="1087"/>
      <c r="G176" s="1087"/>
      <c r="H176" s="1087"/>
      <c r="I176" s="1087"/>
      <c r="J176" s="1087"/>
      <c r="K176" s="1087"/>
      <c r="L176" s="1087"/>
      <c r="M176" s="1087"/>
      <c r="N176" s="1087"/>
      <c r="O176" s="1087"/>
      <c r="P176" s="1087"/>
      <c r="Q176" s="1087">
        <v>0.2</v>
      </c>
      <c r="R176" s="1087"/>
      <c r="S176" s="1087"/>
      <c r="T176" s="1087"/>
      <c r="U176" s="1087"/>
      <c r="V176" s="1087"/>
      <c r="W176" s="1087"/>
      <c r="X176" s="1087"/>
      <c r="Y176" s="1087"/>
      <c r="Z176" s="1087"/>
      <c r="AA176" s="1087"/>
      <c r="AB176" s="1087"/>
      <c r="AC176" s="1087"/>
      <c r="AD176" s="1087"/>
      <c r="AE176" s="1087"/>
      <c r="AF176" s="1087">
        <v>1.5</v>
      </c>
      <c r="AG176" s="1087"/>
      <c r="AH176" s="1013">
        <f t="shared" si="20"/>
        <v>1.7</v>
      </c>
    </row>
    <row r="177" spans="1:34" ht="12">
      <c r="A177" s="573" t="s">
        <v>156</v>
      </c>
      <c r="B177" s="1359">
        <f t="shared" si="19"/>
        <v>0</v>
      </c>
      <c r="C177" s="1086"/>
      <c r="D177" s="1087"/>
      <c r="E177" s="1087"/>
      <c r="F177" s="1087"/>
      <c r="G177" s="1087"/>
      <c r="H177" s="1087"/>
      <c r="I177" s="1087"/>
      <c r="J177" s="1087"/>
      <c r="K177" s="1087"/>
      <c r="L177" s="3166"/>
      <c r="M177" s="1087"/>
      <c r="N177" s="1087"/>
      <c r="O177" s="1087"/>
      <c r="P177" s="1087"/>
      <c r="Q177" s="1087"/>
      <c r="R177" s="1087"/>
      <c r="S177" s="1087"/>
      <c r="T177" s="1087"/>
      <c r="U177" s="1087"/>
      <c r="V177" s="1087"/>
      <c r="W177" s="1087"/>
      <c r="X177" s="1087"/>
      <c r="Y177" s="1087"/>
      <c r="Z177" s="1087"/>
      <c r="AA177" s="1087"/>
      <c r="AB177" s="1087"/>
      <c r="AC177" s="1087"/>
      <c r="AD177" s="1087"/>
      <c r="AE177" s="1087"/>
      <c r="AF177" s="1087"/>
      <c r="AG177" s="1087"/>
      <c r="AH177" s="1013">
        <f t="shared" si="20"/>
        <v>0</v>
      </c>
    </row>
    <row r="178" spans="1:34" ht="12">
      <c r="A178" s="580" t="s">
        <v>111</v>
      </c>
      <c r="B178" s="2150">
        <f>SUM(B166:B177)</f>
        <v>96.594999999999999</v>
      </c>
      <c r="C178" s="1088"/>
      <c r="D178" s="1088"/>
      <c r="E178" s="1088"/>
      <c r="F178" s="1088"/>
      <c r="G178" s="1088"/>
      <c r="H178" s="1088"/>
      <c r="I178" s="1088"/>
      <c r="J178" s="1088"/>
      <c r="K178" s="1088"/>
      <c r="L178" s="1088"/>
      <c r="M178" s="1088"/>
      <c r="N178" s="1088"/>
      <c r="O178" s="1088"/>
      <c r="P178" s="1088"/>
      <c r="Q178" s="1088"/>
      <c r="R178" s="1088"/>
      <c r="S178" s="1088"/>
      <c r="T178" s="1088"/>
      <c r="U178" s="1088"/>
      <c r="V178" s="1088"/>
      <c r="W178" s="1088"/>
      <c r="X178" s="1088"/>
      <c r="Y178" s="1088"/>
      <c r="Z178" s="1088"/>
      <c r="AA178" s="1088"/>
      <c r="AB178" s="1088"/>
      <c r="AC178" s="1088"/>
      <c r="AD178" s="1088"/>
      <c r="AE178" s="1088"/>
      <c r="AF178" s="1088"/>
      <c r="AG178" s="1088"/>
      <c r="AH178" s="2151"/>
    </row>
    <row r="180" spans="1:34" ht="12">
      <c r="A180" s="3864" t="s">
        <v>516</v>
      </c>
      <c r="B180" s="3865"/>
      <c r="C180" s="3866"/>
      <c r="D180" s="1427"/>
      <c r="E180" s="1427"/>
      <c r="F180" s="1427"/>
      <c r="G180" s="1427"/>
      <c r="H180" s="1427"/>
      <c r="I180" s="1427"/>
      <c r="J180" s="1427"/>
      <c r="K180" s="1427"/>
      <c r="L180" s="1427"/>
      <c r="M180" s="2145"/>
      <c r="N180" s="1427"/>
      <c r="O180" s="1427"/>
      <c r="P180" s="1427"/>
      <c r="Q180" s="1427"/>
      <c r="R180" s="1427"/>
      <c r="S180" s="1427"/>
      <c r="T180" s="1427"/>
      <c r="U180" s="1427"/>
      <c r="V180" s="1427"/>
      <c r="W180" s="1427"/>
      <c r="X180" s="1427"/>
      <c r="Y180" s="1427"/>
      <c r="Z180" s="1427"/>
      <c r="AA180" s="1427"/>
      <c r="AB180" s="1427"/>
      <c r="AC180" s="1427"/>
      <c r="AD180" s="1427"/>
      <c r="AE180" s="1427"/>
      <c r="AF180" s="1427"/>
      <c r="AG180" s="1427"/>
    </row>
    <row r="181" spans="1:34" ht="12">
      <c r="A181" s="572" t="s">
        <v>142</v>
      </c>
      <c r="B181" s="1754" t="s">
        <v>143</v>
      </c>
      <c r="C181" s="1083">
        <v>1</v>
      </c>
      <c r="D181" s="2147">
        <v>2</v>
      </c>
      <c r="E181" s="2147">
        <v>3</v>
      </c>
      <c r="F181" s="2147">
        <v>4</v>
      </c>
      <c r="G181" s="2147">
        <v>5</v>
      </c>
      <c r="H181" s="2147">
        <v>6</v>
      </c>
      <c r="I181" s="2147">
        <v>7</v>
      </c>
      <c r="J181" s="2147">
        <v>8</v>
      </c>
      <c r="K181" s="2147">
        <v>9</v>
      </c>
      <c r="L181" s="2147">
        <v>10</v>
      </c>
      <c r="M181" s="2147">
        <v>11</v>
      </c>
      <c r="N181" s="2147">
        <v>12</v>
      </c>
      <c r="O181" s="2147">
        <v>13</v>
      </c>
      <c r="P181" s="2147">
        <v>14</v>
      </c>
      <c r="Q181" s="2147">
        <v>15</v>
      </c>
      <c r="R181" s="2147">
        <v>16</v>
      </c>
      <c r="S181" s="2147">
        <v>17</v>
      </c>
      <c r="T181" s="2147">
        <v>18</v>
      </c>
      <c r="U181" s="2147">
        <v>19</v>
      </c>
      <c r="V181" s="2147">
        <v>20</v>
      </c>
      <c r="W181" s="2146">
        <v>21</v>
      </c>
      <c r="X181" s="2147">
        <v>22</v>
      </c>
      <c r="Y181" s="2147">
        <v>23</v>
      </c>
      <c r="Z181" s="2147">
        <v>24</v>
      </c>
      <c r="AA181" s="2147">
        <v>25</v>
      </c>
      <c r="AB181" s="2147">
        <v>26</v>
      </c>
      <c r="AC181" s="2147">
        <v>27</v>
      </c>
      <c r="AD181" s="2147">
        <v>28</v>
      </c>
      <c r="AE181" s="2147">
        <v>29</v>
      </c>
      <c r="AF181" s="2147">
        <v>30</v>
      </c>
      <c r="AG181" s="2147">
        <v>31</v>
      </c>
      <c r="AH181" s="2148" t="s">
        <v>111</v>
      </c>
    </row>
    <row r="182" spans="1:34" ht="12">
      <c r="A182" s="573" t="s">
        <v>145</v>
      </c>
      <c r="B182" s="1359">
        <f t="shared" ref="B182:B193" si="21">+AH182</f>
        <v>0</v>
      </c>
      <c r="C182" s="2149"/>
      <c r="D182" s="2149"/>
      <c r="E182" s="2149"/>
      <c r="F182" s="2149"/>
      <c r="G182" s="2149"/>
      <c r="H182" s="2149"/>
      <c r="I182" s="2149"/>
      <c r="J182" s="2149"/>
      <c r="K182" s="2149"/>
      <c r="L182" s="2149"/>
      <c r="M182" s="2149"/>
      <c r="N182" s="2149"/>
      <c r="O182" s="2149"/>
      <c r="P182" s="2149"/>
      <c r="Q182" s="2149"/>
      <c r="R182" s="2149"/>
      <c r="S182" s="2149"/>
      <c r="T182" s="2149"/>
      <c r="U182" s="2149"/>
      <c r="V182" s="2149"/>
      <c r="W182" s="2149"/>
      <c r="X182" s="2149"/>
      <c r="Y182" s="2149"/>
      <c r="Z182" s="2149"/>
      <c r="AA182" s="2149"/>
      <c r="AB182" s="2149"/>
      <c r="AC182" s="2149"/>
      <c r="AD182" s="2149"/>
      <c r="AE182" s="2149"/>
      <c r="AF182" s="2149"/>
      <c r="AG182" s="2149"/>
      <c r="AH182" s="1013">
        <f>SUM(C182:AG182)</f>
        <v>0</v>
      </c>
    </row>
    <row r="183" spans="1:34" ht="12">
      <c r="A183" s="573" t="s">
        <v>146</v>
      </c>
      <c r="B183" s="1359">
        <f t="shared" si="21"/>
        <v>0</v>
      </c>
      <c r="C183" s="2149"/>
      <c r="D183" s="2149"/>
      <c r="E183" s="2149"/>
      <c r="F183" s="2149"/>
      <c r="G183" s="2149"/>
      <c r="H183" s="2149"/>
      <c r="I183" s="2149"/>
      <c r="J183" s="2149"/>
      <c r="K183" s="2149"/>
      <c r="L183" s="2149"/>
      <c r="M183" s="2149"/>
      <c r="N183" s="2149"/>
      <c r="O183" s="2149"/>
      <c r="P183" s="2149"/>
      <c r="Q183" s="2149"/>
      <c r="R183" s="2149"/>
      <c r="S183" s="2149"/>
      <c r="T183" s="2149"/>
      <c r="U183" s="2149"/>
      <c r="V183" s="2149"/>
      <c r="W183" s="2149"/>
      <c r="X183" s="2149"/>
      <c r="Y183" s="2149"/>
      <c r="Z183" s="2149"/>
      <c r="AA183" s="2149"/>
      <c r="AB183" s="2149"/>
      <c r="AC183" s="2149"/>
      <c r="AD183" s="2149"/>
      <c r="AE183" s="2149"/>
      <c r="AF183" s="2149"/>
      <c r="AG183" s="2149"/>
      <c r="AH183" s="1013">
        <f>SUM(C183:AG183)</f>
        <v>0</v>
      </c>
    </row>
    <row r="184" spans="1:34" ht="12">
      <c r="A184" s="573" t="s">
        <v>147</v>
      </c>
      <c r="B184" s="1359">
        <f t="shared" si="21"/>
        <v>0.3</v>
      </c>
      <c r="C184" s="2149"/>
      <c r="D184" s="2149"/>
      <c r="E184" s="2149"/>
      <c r="F184" s="2149"/>
      <c r="G184" s="2149"/>
      <c r="H184" s="2149"/>
      <c r="I184" s="2149"/>
      <c r="J184" s="2149"/>
      <c r="K184" s="2149"/>
      <c r="L184" s="2156"/>
      <c r="M184" s="2156"/>
      <c r="N184" s="2156"/>
      <c r="O184" s="2156"/>
      <c r="P184" s="2156"/>
      <c r="Q184" s="2156"/>
      <c r="R184" s="2156"/>
      <c r="S184" s="2156"/>
      <c r="T184" s="2156"/>
      <c r="U184" s="2149"/>
      <c r="V184" s="2149"/>
      <c r="W184" s="2149">
        <v>0.3</v>
      </c>
      <c r="X184" s="2149"/>
      <c r="Y184" s="2149"/>
      <c r="Z184" s="2149"/>
      <c r="AA184" s="2149"/>
      <c r="AB184" s="2149"/>
      <c r="AC184" s="2149"/>
      <c r="AD184" s="2149"/>
      <c r="AE184" s="2149"/>
      <c r="AF184" s="2149"/>
      <c r="AG184" s="2149"/>
      <c r="AH184" s="1013">
        <f>SUM(C184:AG184)</f>
        <v>0.3</v>
      </c>
    </row>
    <row r="185" spans="1:34" ht="12">
      <c r="A185" s="573" t="s">
        <v>148</v>
      </c>
      <c r="B185" s="1359">
        <f t="shared" si="21"/>
        <v>0</v>
      </c>
      <c r="C185" s="1086"/>
      <c r="D185" s="1087"/>
      <c r="E185" s="1087"/>
      <c r="F185" s="1087"/>
      <c r="G185" s="1087"/>
      <c r="H185" s="1087"/>
      <c r="I185" s="1087"/>
      <c r="J185" s="1087"/>
      <c r="K185" s="1087"/>
      <c r="L185" s="1087"/>
      <c r="M185" s="1087"/>
      <c r="N185" s="1087"/>
      <c r="O185" s="1087"/>
      <c r="P185" s="1087"/>
      <c r="Q185" s="1087"/>
      <c r="R185" s="1087"/>
      <c r="S185" s="1087"/>
      <c r="T185" s="1087"/>
      <c r="U185" s="1087"/>
      <c r="V185" s="1087"/>
      <c r="W185" s="1087"/>
      <c r="X185" s="1087"/>
      <c r="Y185" s="1087"/>
      <c r="Z185" s="1087"/>
      <c r="AA185" s="1087"/>
      <c r="AB185" s="1087"/>
      <c r="AC185" s="1087"/>
      <c r="AD185" s="1087"/>
      <c r="AE185" s="1087"/>
      <c r="AF185" s="1087"/>
      <c r="AG185" s="1087"/>
      <c r="AH185" s="1013">
        <f t="shared" ref="AH185:AH193" si="22">SUM(C185:AG185)</f>
        <v>0</v>
      </c>
    </row>
    <row r="186" spans="1:34" ht="12">
      <c r="A186" s="573" t="s">
        <v>149</v>
      </c>
      <c r="B186" s="1359">
        <f t="shared" si="21"/>
        <v>0.02</v>
      </c>
      <c r="C186" s="1086"/>
      <c r="D186" s="1087"/>
      <c r="E186" s="1087"/>
      <c r="F186" s="1087"/>
      <c r="G186" s="1087"/>
      <c r="H186" s="1087"/>
      <c r="I186" s="1087"/>
      <c r="J186" s="1087"/>
      <c r="K186" s="1087"/>
      <c r="L186" s="1087"/>
      <c r="M186" s="1087"/>
      <c r="N186" s="1087"/>
      <c r="O186" s="1087"/>
      <c r="P186" s="1087"/>
      <c r="Q186" s="1087">
        <v>0.02</v>
      </c>
      <c r="R186" s="1087"/>
      <c r="S186" s="1087"/>
      <c r="T186" s="1087"/>
      <c r="U186" s="1087"/>
      <c r="V186" s="1087"/>
      <c r="W186" s="1087"/>
      <c r="X186" s="1087"/>
      <c r="Y186" s="1087"/>
      <c r="Z186" s="1087"/>
      <c r="AA186" s="1087"/>
      <c r="AB186" s="1087"/>
      <c r="AC186" s="1087"/>
      <c r="AD186" s="1087"/>
      <c r="AE186" s="1087"/>
      <c r="AF186" s="1087"/>
      <c r="AG186" s="1087"/>
      <c r="AH186" s="1013">
        <f t="shared" si="22"/>
        <v>0.02</v>
      </c>
    </row>
    <row r="187" spans="1:34" ht="12">
      <c r="A187" s="573" t="s">
        <v>150</v>
      </c>
      <c r="B187" s="1359">
        <f t="shared" si="21"/>
        <v>0.03</v>
      </c>
      <c r="C187" s="1086"/>
      <c r="D187" s="1087"/>
      <c r="E187" s="1087"/>
      <c r="F187" s="1087"/>
      <c r="G187" s="1087"/>
      <c r="H187" s="1087"/>
      <c r="I187" s="1087"/>
      <c r="J187" s="1087">
        <v>0.03</v>
      </c>
      <c r="K187" s="1087"/>
      <c r="L187" s="1087"/>
      <c r="M187" s="1087"/>
      <c r="N187" s="1087"/>
      <c r="O187" s="1087"/>
      <c r="P187" s="1087"/>
      <c r="Q187" s="1087"/>
      <c r="R187" s="1087"/>
      <c r="S187" s="1087"/>
      <c r="T187" s="1087"/>
      <c r="U187" s="1087"/>
      <c r="V187" s="1087"/>
      <c r="W187" s="1087"/>
      <c r="X187" s="1087"/>
      <c r="Y187" s="1087"/>
      <c r="Z187" s="1087"/>
      <c r="AA187" s="1087"/>
      <c r="AB187" s="1087"/>
      <c r="AC187" s="1087"/>
      <c r="AD187" s="1087"/>
      <c r="AE187" s="1087"/>
      <c r="AF187" s="1087"/>
      <c r="AG187" s="1087"/>
      <c r="AH187" s="1013">
        <f t="shared" si="22"/>
        <v>0.03</v>
      </c>
    </row>
    <row r="188" spans="1:34" ht="12">
      <c r="A188" s="573" t="s">
        <v>151</v>
      </c>
      <c r="B188" s="1359">
        <f t="shared" si="21"/>
        <v>0</v>
      </c>
      <c r="C188" s="1086"/>
      <c r="D188" s="1087"/>
      <c r="E188" s="1087"/>
      <c r="F188" s="1087"/>
      <c r="G188" s="1087"/>
      <c r="H188" s="1087"/>
      <c r="I188" s="1087"/>
      <c r="J188" s="1087"/>
      <c r="K188" s="1087"/>
      <c r="L188" s="1087"/>
      <c r="M188" s="1087"/>
      <c r="N188" s="1087"/>
      <c r="O188" s="1087"/>
      <c r="P188" s="1087"/>
      <c r="Q188" s="1087"/>
      <c r="R188" s="1087"/>
      <c r="S188" s="1087"/>
      <c r="T188" s="1087"/>
      <c r="U188" s="1087"/>
      <c r="V188" s="1087"/>
      <c r="W188" s="1087"/>
      <c r="X188" s="1087"/>
      <c r="Y188" s="1087"/>
      <c r="Z188" s="1087"/>
      <c r="AA188" s="1087"/>
      <c r="AB188" s="1087"/>
      <c r="AC188" s="1087"/>
      <c r="AD188" s="1087"/>
      <c r="AE188" s="1087"/>
      <c r="AF188" s="1087"/>
      <c r="AG188" s="1087"/>
      <c r="AH188" s="1013">
        <f t="shared" si="22"/>
        <v>0</v>
      </c>
    </row>
    <row r="189" spans="1:34" ht="12">
      <c r="A189" s="573" t="s">
        <v>152</v>
      </c>
      <c r="B189" s="1359">
        <f t="shared" si="21"/>
        <v>8.4269999999999996</v>
      </c>
      <c r="C189" s="1086"/>
      <c r="D189" s="1087"/>
      <c r="E189" s="1087"/>
      <c r="F189" s="1087"/>
      <c r="G189" s="1087"/>
      <c r="H189" s="1087"/>
      <c r="I189" s="1087"/>
      <c r="J189" s="1087"/>
      <c r="K189" s="1087"/>
      <c r="L189" s="1087">
        <v>8.4269999999999996</v>
      </c>
      <c r="M189" s="1087"/>
      <c r="N189" s="1087"/>
      <c r="O189" s="1087"/>
      <c r="P189" s="1087"/>
      <c r="Q189" s="1087"/>
      <c r="R189" s="1087"/>
      <c r="S189" s="1087"/>
      <c r="T189" s="1087"/>
      <c r="U189" s="1087"/>
      <c r="V189" s="1087"/>
      <c r="W189" s="1087"/>
      <c r="X189" s="1087"/>
      <c r="Y189" s="1087"/>
      <c r="Z189" s="1087"/>
      <c r="AA189" s="1087"/>
      <c r="AB189" s="1087"/>
      <c r="AC189" s="1087"/>
      <c r="AD189" s="1087"/>
      <c r="AE189" s="1087"/>
      <c r="AF189" s="1087"/>
      <c r="AG189" s="1087"/>
      <c r="AH189" s="1013">
        <f t="shared" si="22"/>
        <v>8.4269999999999996</v>
      </c>
    </row>
    <row r="190" spans="1:34" ht="12">
      <c r="A190" s="573" t="s">
        <v>153</v>
      </c>
      <c r="B190" s="1359">
        <f t="shared" si="21"/>
        <v>0</v>
      </c>
      <c r="C190" s="1086"/>
      <c r="D190" s="1087"/>
      <c r="E190" s="1087"/>
      <c r="F190" s="1087"/>
      <c r="G190" s="1087"/>
      <c r="H190" s="1087"/>
      <c r="I190" s="1087"/>
      <c r="J190" s="1087"/>
      <c r="K190" s="1087"/>
      <c r="L190" s="1087"/>
      <c r="M190" s="1087"/>
      <c r="N190" s="1087"/>
      <c r="O190" s="1087"/>
      <c r="P190" s="1087"/>
      <c r="Q190" s="1087"/>
      <c r="R190" s="1087"/>
      <c r="S190" s="1087"/>
      <c r="T190" s="1087"/>
      <c r="U190" s="1087"/>
      <c r="V190" s="1087"/>
      <c r="W190" s="1087"/>
      <c r="X190" s="1087"/>
      <c r="Y190" s="1087"/>
      <c r="Z190" s="1087"/>
      <c r="AA190" s="1087"/>
      <c r="AB190" s="1087"/>
      <c r="AC190" s="1087"/>
      <c r="AD190" s="1087"/>
      <c r="AE190" s="1087"/>
      <c r="AF190" s="1087"/>
      <c r="AG190" s="1087"/>
      <c r="AH190" s="1013">
        <f t="shared" si="22"/>
        <v>0</v>
      </c>
    </row>
    <row r="191" spans="1:34" ht="12">
      <c r="A191" s="573" t="s">
        <v>154</v>
      </c>
      <c r="B191" s="1359">
        <f t="shared" si="21"/>
        <v>0</v>
      </c>
      <c r="C191" s="1086"/>
      <c r="D191" s="1087"/>
      <c r="E191" s="1087"/>
      <c r="F191" s="1087"/>
      <c r="G191" s="1087"/>
      <c r="H191" s="1087"/>
      <c r="I191" s="1087"/>
      <c r="J191" s="1087"/>
      <c r="K191" s="1087"/>
      <c r="L191" s="1087"/>
      <c r="M191" s="1087"/>
      <c r="N191" s="1087"/>
      <c r="O191" s="1087"/>
      <c r="P191" s="1087"/>
      <c r="Q191" s="1087"/>
      <c r="R191" s="1087"/>
      <c r="S191" s="1087"/>
      <c r="T191" s="1087"/>
      <c r="U191" s="1087"/>
      <c r="V191" s="1087"/>
      <c r="W191" s="1087"/>
      <c r="X191" s="1087"/>
      <c r="Y191" s="1087"/>
      <c r="Z191" s="1087"/>
      <c r="AA191" s="1087"/>
      <c r="AB191" s="1087"/>
      <c r="AC191" s="1087"/>
      <c r="AD191" s="1087"/>
      <c r="AE191" s="1087"/>
      <c r="AF191" s="1087"/>
      <c r="AG191" s="1087"/>
      <c r="AH191" s="1013">
        <f t="shared" si="22"/>
        <v>0</v>
      </c>
    </row>
    <row r="192" spans="1:34" ht="12">
      <c r="A192" s="573" t="s">
        <v>155</v>
      </c>
      <c r="B192" s="1359">
        <f t="shared" si="21"/>
        <v>0</v>
      </c>
      <c r="C192" s="1086"/>
      <c r="D192" s="1087"/>
      <c r="E192" s="1087"/>
      <c r="F192" s="1087"/>
      <c r="G192" s="1087"/>
      <c r="H192" s="1087"/>
      <c r="I192" s="1087"/>
      <c r="J192" s="1087"/>
      <c r="K192" s="1087"/>
      <c r="L192" s="1087"/>
      <c r="M192" s="1087"/>
      <c r="N192" s="1087"/>
      <c r="O192" s="1087"/>
      <c r="P192" s="1087"/>
      <c r="Q192" s="1087"/>
      <c r="R192" s="1087"/>
      <c r="S192" s="1087"/>
      <c r="T192" s="1087"/>
      <c r="U192" s="1087"/>
      <c r="V192" s="1087"/>
      <c r="W192" s="1087"/>
      <c r="X192" s="1087"/>
      <c r="Y192" s="1087"/>
      <c r="Z192" s="1087"/>
      <c r="AA192" s="1087"/>
      <c r="AB192" s="1087"/>
      <c r="AC192" s="1087"/>
      <c r="AD192" s="1087"/>
      <c r="AE192" s="1087"/>
      <c r="AF192" s="1087"/>
      <c r="AG192" s="1087"/>
      <c r="AH192" s="1013">
        <f t="shared" si="22"/>
        <v>0</v>
      </c>
    </row>
    <row r="193" spans="1:34" ht="12">
      <c r="A193" s="573" t="s">
        <v>156</v>
      </c>
      <c r="B193" s="1359">
        <f t="shared" si="21"/>
        <v>0</v>
      </c>
      <c r="C193" s="1086"/>
      <c r="D193" s="1087"/>
      <c r="E193" s="1087"/>
      <c r="F193" s="1087"/>
      <c r="G193" s="1087"/>
      <c r="H193" s="1087"/>
      <c r="I193" s="1087"/>
      <c r="J193" s="1087"/>
      <c r="K193" s="1087"/>
      <c r="L193" s="1087"/>
      <c r="M193" s="1087"/>
      <c r="N193" s="1087"/>
      <c r="O193" s="1087"/>
      <c r="P193" s="1087"/>
      <c r="Q193" s="1087"/>
      <c r="R193" s="1087"/>
      <c r="S193" s="1087"/>
      <c r="T193" s="1087"/>
      <c r="U193" s="1087"/>
      <c r="V193" s="1087"/>
      <c r="W193" s="1087"/>
      <c r="X193" s="1087"/>
      <c r="Y193" s="1087"/>
      <c r="Z193" s="1087"/>
      <c r="AA193" s="1087"/>
      <c r="AB193" s="1087"/>
      <c r="AC193" s="1087"/>
      <c r="AD193" s="1087"/>
      <c r="AE193" s="1087"/>
      <c r="AF193" s="1087"/>
      <c r="AG193" s="1087"/>
      <c r="AH193" s="1013">
        <f t="shared" si="22"/>
        <v>0</v>
      </c>
    </row>
    <row r="194" spans="1:34" ht="12">
      <c r="A194" s="580" t="s">
        <v>111</v>
      </c>
      <c r="B194" s="2175">
        <f>SUM(B182:B193)</f>
        <v>8.7769999999999992</v>
      </c>
      <c r="C194" s="1088"/>
      <c r="D194" s="1088"/>
      <c r="E194" s="1088"/>
      <c r="F194" s="1088"/>
      <c r="G194" s="1088"/>
      <c r="H194" s="1088"/>
      <c r="I194" s="1088"/>
      <c r="J194" s="1088"/>
      <c r="K194" s="1088"/>
      <c r="L194" s="1088"/>
      <c r="M194" s="1088"/>
      <c r="N194" s="1088"/>
      <c r="O194" s="1088"/>
      <c r="P194" s="1088"/>
      <c r="Q194" s="1088"/>
      <c r="R194" s="1088"/>
      <c r="S194" s="1088"/>
      <c r="T194" s="1088"/>
      <c r="U194" s="1088"/>
      <c r="V194" s="1088"/>
      <c r="W194" s="1088"/>
      <c r="X194" s="1088"/>
      <c r="Y194" s="1088"/>
      <c r="Z194" s="1088"/>
      <c r="AA194" s="1088"/>
      <c r="AB194" s="1088"/>
      <c r="AC194" s="1088"/>
      <c r="AD194" s="1088"/>
      <c r="AE194" s="1088"/>
      <c r="AF194" s="1088"/>
      <c r="AG194" s="1088"/>
      <c r="AH194" s="2151">
        <f>SUM(AH182:AH193)</f>
        <v>8.7769999999999992</v>
      </c>
    </row>
    <row r="196" spans="1:34" ht="12">
      <c r="A196" s="3864" t="s">
        <v>517</v>
      </c>
      <c r="B196" s="3865"/>
      <c r="C196" s="3866"/>
      <c r="D196" s="1427"/>
      <c r="E196" s="1427"/>
      <c r="F196" s="1427"/>
      <c r="G196" s="1427"/>
      <c r="H196" s="1427"/>
      <c r="I196" s="1427"/>
      <c r="J196" s="1427"/>
      <c r="K196" s="1427"/>
      <c r="L196" s="1427"/>
      <c r="M196" s="2145"/>
      <c r="N196" s="1427"/>
      <c r="O196" s="1427"/>
      <c r="P196" s="1427"/>
      <c r="Q196" s="1427"/>
      <c r="R196" s="1427"/>
      <c r="S196" s="1427"/>
      <c r="T196" s="1427"/>
      <c r="U196" s="1427"/>
      <c r="V196" s="1427"/>
      <c r="W196" s="1427"/>
      <c r="X196" s="1427"/>
      <c r="Y196" s="1427"/>
      <c r="Z196" s="1427"/>
      <c r="AA196" s="1427"/>
      <c r="AB196" s="1427"/>
      <c r="AC196" s="1427"/>
      <c r="AD196" s="1427"/>
      <c r="AE196" s="1427"/>
      <c r="AF196" s="1427"/>
      <c r="AG196" s="1427"/>
    </row>
    <row r="197" spans="1:34" ht="12">
      <c r="A197" s="572" t="s">
        <v>142</v>
      </c>
      <c r="B197" s="1754" t="s">
        <v>143</v>
      </c>
      <c r="C197" s="2147">
        <v>1</v>
      </c>
      <c r="D197" s="2147">
        <v>2</v>
      </c>
      <c r="E197" s="2147">
        <v>3</v>
      </c>
      <c r="F197" s="2147">
        <v>4</v>
      </c>
      <c r="G197" s="2147">
        <v>5</v>
      </c>
      <c r="H197" s="2147">
        <v>6</v>
      </c>
      <c r="I197" s="2147">
        <v>7</v>
      </c>
      <c r="J197" s="2147">
        <v>8</v>
      </c>
      <c r="K197" s="2147">
        <v>9</v>
      </c>
      <c r="L197" s="2147">
        <v>10</v>
      </c>
      <c r="M197" s="2147">
        <v>11</v>
      </c>
      <c r="N197" s="2147">
        <v>12</v>
      </c>
      <c r="O197" s="2147">
        <v>13</v>
      </c>
      <c r="P197" s="2147">
        <v>14</v>
      </c>
      <c r="Q197" s="2147">
        <v>15</v>
      </c>
      <c r="R197" s="2147">
        <v>16</v>
      </c>
      <c r="S197" s="2147">
        <v>17</v>
      </c>
      <c r="T197" s="2147">
        <v>18</v>
      </c>
      <c r="U197" s="2147">
        <v>19</v>
      </c>
      <c r="V197" s="2147">
        <v>20</v>
      </c>
      <c r="W197" s="2146">
        <v>21</v>
      </c>
      <c r="X197" s="2147">
        <v>22</v>
      </c>
      <c r="Y197" s="2147">
        <v>23</v>
      </c>
      <c r="Z197" s="2147">
        <v>24</v>
      </c>
      <c r="AA197" s="2147">
        <v>25</v>
      </c>
      <c r="AB197" s="2147">
        <v>26</v>
      </c>
      <c r="AC197" s="2147">
        <v>27</v>
      </c>
      <c r="AD197" s="2147">
        <v>28</v>
      </c>
      <c r="AE197" s="2147">
        <v>29</v>
      </c>
      <c r="AF197" s="2147">
        <v>30</v>
      </c>
      <c r="AG197" s="2147">
        <v>31</v>
      </c>
      <c r="AH197" s="2148" t="s">
        <v>111</v>
      </c>
    </row>
    <row r="198" spans="1:34" ht="12">
      <c r="A198" s="573" t="s">
        <v>145</v>
      </c>
      <c r="B198" s="1359">
        <f>+AH198</f>
        <v>0</v>
      </c>
      <c r="C198" s="2149"/>
      <c r="D198" s="2149"/>
      <c r="E198" s="2149"/>
      <c r="F198" s="2149"/>
      <c r="G198" s="2149"/>
      <c r="H198" s="2149"/>
      <c r="I198" s="2149"/>
      <c r="J198" s="2149"/>
      <c r="K198" s="2149"/>
      <c r="L198" s="2149"/>
      <c r="M198" s="2149"/>
      <c r="N198" s="2149"/>
      <c r="O198" s="2149"/>
      <c r="P198" s="2149"/>
      <c r="Q198" s="2149"/>
      <c r="R198" s="2149"/>
      <c r="S198" s="2149"/>
      <c r="T198" s="2149"/>
      <c r="U198" s="2149"/>
      <c r="V198" s="2149"/>
      <c r="W198" s="2149"/>
      <c r="X198" s="2149"/>
      <c r="Y198" s="2149"/>
      <c r="Z198" s="2149"/>
      <c r="AA198" s="2149"/>
      <c r="AB198" s="2149"/>
      <c r="AC198" s="2149"/>
      <c r="AD198" s="2149"/>
      <c r="AE198" s="2149"/>
      <c r="AF198" s="2149"/>
      <c r="AG198" s="2149"/>
      <c r="AH198" s="1013">
        <f>SUM(C198:AG198)</f>
        <v>0</v>
      </c>
    </row>
    <row r="199" spans="1:34" ht="12">
      <c r="A199" s="573" t="s">
        <v>146</v>
      </c>
      <c r="B199" s="1359">
        <f t="shared" ref="B199:B209" si="23">+AH199</f>
        <v>0</v>
      </c>
      <c r="C199" s="2149"/>
      <c r="D199" s="2149"/>
      <c r="E199" s="2149"/>
      <c r="F199" s="2149"/>
      <c r="G199" s="2149"/>
      <c r="H199" s="2149"/>
      <c r="I199" s="2149"/>
      <c r="J199" s="2149"/>
      <c r="K199" s="2149"/>
      <c r="L199" s="2149"/>
      <c r="M199" s="2149"/>
      <c r="N199" s="2149"/>
      <c r="O199" s="2149"/>
      <c r="P199" s="2149"/>
      <c r="Q199" s="2149"/>
      <c r="R199" s="2149"/>
      <c r="S199" s="2149"/>
      <c r="T199" s="2149"/>
      <c r="U199" s="2149"/>
      <c r="V199" s="2149"/>
      <c r="W199" s="2149"/>
      <c r="X199" s="2149"/>
      <c r="Y199" s="2149"/>
      <c r="Z199" s="2149"/>
      <c r="AA199" s="2149"/>
      <c r="AB199" s="2149"/>
      <c r="AC199" s="2149"/>
      <c r="AD199" s="2149"/>
      <c r="AE199" s="2149"/>
      <c r="AF199" s="2149"/>
      <c r="AG199" s="2149"/>
      <c r="AH199" s="1013">
        <f t="shared" ref="AH199:AH209" si="24">SUM(C199:AG199)</f>
        <v>0</v>
      </c>
    </row>
    <row r="200" spans="1:34" ht="12">
      <c r="A200" s="573" t="s">
        <v>147</v>
      </c>
      <c r="B200" s="1359">
        <f t="shared" si="23"/>
        <v>0</v>
      </c>
      <c r="C200" s="2149"/>
      <c r="D200" s="2149"/>
      <c r="E200" s="2149"/>
      <c r="F200" s="2149"/>
      <c r="G200" s="2149"/>
      <c r="H200" s="2149"/>
      <c r="I200" s="2149"/>
      <c r="J200" s="2149"/>
      <c r="K200" s="2149"/>
      <c r="L200" s="2149"/>
      <c r="M200" s="2149"/>
      <c r="N200" s="2149"/>
      <c r="O200" s="2149"/>
      <c r="P200" s="2149"/>
      <c r="Q200" s="2149"/>
      <c r="R200" s="2149"/>
      <c r="S200" s="2149"/>
      <c r="T200" s="2149"/>
      <c r="U200" s="2149"/>
      <c r="V200" s="2149"/>
      <c r="W200" s="2149"/>
      <c r="X200" s="2149"/>
      <c r="Y200" s="2149"/>
      <c r="Z200" s="2149"/>
      <c r="AA200" s="2149"/>
      <c r="AB200" s="2149"/>
      <c r="AC200" s="2149"/>
      <c r="AD200" s="2149"/>
      <c r="AE200" s="2149"/>
      <c r="AF200" s="2149"/>
      <c r="AG200" s="2149"/>
      <c r="AH200" s="1013">
        <f t="shared" si="24"/>
        <v>0</v>
      </c>
    </row>
    <row r="201" spans="1:34" ht="12">
      <c r="A201" s="573" t="s">
        <v>148</v>
      </c>
      <c r="B201" s="1359">
        <f t="shared" si="23"/>
        <v>0</v>
      </c>
      <c r="C201" s="1013"/>
      <c r="D201" s="1013"/>
      <c r="E201" s="1013"/>
      <c r="F201" s="1013"/>
      <c r="G201" s="1013"/>
      <c r="H201" s="1013"/>
      <c r="I201" s="1013"/>
      <c r="J201" s="1013"/>
      <c r="K201" s="1013"/>
      <c r="L201" s="1013"/>
      <c r="M201" s="1013"/>
      <c r="N201" s="1013"/>
      <c r="O201" s="1013"/>
      <c r="P201" s="1013"/>
      <c r="Q201" s="1013"/>
      <c r="R201" s="1013"/>
      <c r="S201" s="1013"/>
      <c r="T201" s="1013"/>
      <c r="U201" s="1013"/>
      <c r="V201" s="1013"/>
      <c r="W201" s="1013"/>
      <c r="X201" s="1013"/>
      <c r="Y201" s="1013"/>
      <c r="Z201" s="1013"/>
      <c r="AA201" s="1013"/>
      <c r="AB201" s="1013"/>
      <c r="AC201" s="1013"/>
      <c r="AD201" s="1013"/>
      <c r="AE201" s="1013"/>
      <c r="AF201" s="1013"/>
      <c r="AG201" s="1013"/>
      <c r="AH201" s="1013">
        <f t="shared" si="24"/>
        <v>0</v>
      </c>
    </row>
    <row r="202" spans="1:34" ht="12">
      <c r="A202" s="573" t="s">
        <v>149</v>
      </c>
      <c r="B202" s="1359">
        <f t="shared" si="23"/>
        <v>0</v>
      </c>
      <c r="C202" s="1013"/>
      <c r="D202" s="1013"/>
      <c r="E202" s="1013"/>
      <c r="F202" s="1013"/>
      <c r="G202" s="1013"/>
      <c r="H202" s="1013"/>
      <c r="I202" s="1013"/>
      <c r="J202" s="1013"/>
      <c r="K202" s="1013"/>
      <c r="L202" s="1013"/>
      <c r="M202" s="1013"/>
      <c r="N202" s="1013"/>
      <c r="O202" s="1013"/>
      <c r="P202" s="1013"/>
      <c r="Q202" s="1013"/>
      <c r="R202" s="1013"/>
      <c r="S202" s="1013"/>
      <c r="T202" s="1013"/>
      <c r="U202" s="1013"/>
      <c r="V202" s="1013"/>
      <c r="W202" s="1013"/>
      <c r="X202" s="1013"/>
      <c r="Y202" s="1013"/>
      <c r="Z202" s="1013"/>
      <c r="AA202" s="1013"/>
      <c r="AB202" s="1013"/>
      <c r="AC202" s="1013"/>
      <c r="AD202" s="1013"/>
      <c r="AE202" s="1013"/>
      <c r="AF202" s="1013"/>
      <c r="AG202" s="1013"/>
      <c r="AH202" s="1013">
        <f t="shared" si="24"/>
        <v>0</v>
      </c>
    </row>
    <row r="203" spans="1:34" ht="12">
      <c r="A203" s="573" t="s">
        <v>150</v>
      </c>
      <c r="B203" s="1359">
        <f t="shared" si="23"/>
        <v>0</v>
      </c>
      <c r="C203" s="2149"/>
      <c r="D203" s="2149"/>
      <c r="E203" s="2149"/>
      <c r="F203" s="2149"/>
      <c r="G203" s="2149"/>
      <c r="H203" s="2149"/>
      <c r="I203" s="2149"/>
      <c r="J203" s="2149"/>
      <c r="K203" s="2149"/>
      <c r="L203" s="2149"/>
      <c r="M203" s="2149"/>
      <c r="N203" s="2149"/>
      <c r="O203" s="2149"/>
      <c r="P203" s="2149"/>
      <c r="Q203" s="2149"/>
      <c r="R203" s="2149"/>
      <c r="S203" s="2149"/>
      <c r="T203" s="2149"/>
      <c r="U203" s="2149"/>
      <c r="V203" s="2149"/>
      <c r="W203" s="2149"/>
      <c r="X203" s="2149"/>
      <c r="Y203" s="2149"/>
      <c r="Z203" s="2149"/>
      <c r="AA203" s="2149"/>
      <c r="AB203" s="2149"/>
      <c r="AC203" s="2149"/>
      <c r="AD203" s="2149"/>
      <c r="AE203" s="2149"/>
      <c r="AF203" s="2149"/>
      <c r="AG203" s="2149"/>
      <c r="AH203" s="1013">
        <f t="shared" si="24"/>
        <v>0</v>
      </c>
    </row>
    <row r="204" spans="1:34" ht="12">
      <c r="A204" s="573" t="s">
        <v>151</v>
      </c>
      <c r="B204" s="1359">
        <f t="shared" si="23"/>
        <v>0</v>
      </c>
      <c r="C204" s="2149"/>
      <c r="D204" s="2149"/>
      <c r="E204" s="2149"/>
      <c r="F204" s="2149"/>
      <c r="G204" s="2149"/>
      <c r="H204" s="2149"/>
      <c r="I204" s="2149"/>
      <c r="J204" s="2149"/>
      <c r="K204" s="2149"/>
      <c r="L204" s="2149"/>
      <c r="M204" s="2149"/>
      <c r="N204" s="2149"/>
      <c r="O204" s="2149"/>
      <c r="P204" s="2149"/>
      <c r="Q204" s="2149"/>
      <c r="R204" s="2149"/>
      <c r="S204" s="2149"/>
      <c r="T204" s="2149"/>
      <c r="U204" s="2149"/>
      <c r="V204" s="2149"/>
      <c r="W204" s="2149"/>
      <c r="X204" s="2149"/>
      <c r="Y204" s="2149"/>
      <c r="Z204" s="2149"/>
      <c r="AA204" s="2149"/>
      <c r="AB204" s="2149"/>
      <c r="AC204" s="2149"/>
      <c r="AD204" s="2149"/>
      <c r="AE204" s="2149"/>
      <c r="AF204" s="2149"/>
      <c r="AG204" s="2149"/>
      <c r="AH204" s="1013">
        <f t="shared" si="24"/>
        <v>0</v>
      </c>
    </row>
    <row r="205" spans="1:34" ht="12">
      <c r="A205" s="573" t="s">
        <v>152</v>
      </c>
      <c r="B205" s="1359">
        <f t="shared" si="23"/>
        <v>0</v>
      </c>
      <c r="C205" s="2149"/>
      <c r="D205" s="2149"/>
      <c r="E205" s="2149"/>
      <c r="F205" s="2149"/>
      <c r="G205" s="2149"/>
      <c r="H205" s="2149"/>
      <c r="I205" s="2149"/>
      <c r="J205" s="2149"/>
      <c r="K205" s="2149"/>
      <c r="L205" s="2149"/>
      <c r="M205" s="2149"/>
      <c r="N205" s="2149"/>
      <c r="O205" s="2149"/>
      <c r="P205" s="2149"/>
      <c r="Q205" s="2149"/>
      <c r="R205" s="2149"/>
      <c r="S205" s="2149"/>
      <c r="T205" s="2149"/>
      <c r="U205" s="2149"/>
      <c r="V205" s="2149"/>
      <c r="W205" s="2149"/>
      <c r="X205" s="2149"/>
      <c r="Y205" s="2149"/>
      <c r="Z205" s="2149"/>
      <c r="AA205" s="2149"/>
      <c r="AB205" s="2149"/>
      <c r="AC205" s="2149"/>
      <c r="AD205" s="2149"/>
      <c r="AE205" s="2149"/>
      <c r="AF205" s="2149"/>
      <c r="AG205" s="2149"/>
      <c r="AH205" s="1013">
        <f t="shared" si="24"/>
        <v>0</v>
      </c>
    </row>
    <row r="206" spans="1:34" ht="12">
      <c r="A206" s="573" t="s">
        <v>153</v>
      </c>
      <c r="B206" s="1359">
        <f t="shared" si="23"/>
        <v>0</v>
      </c>
      <c r="C206" s="1013"/>
      <c r="D206" s="1013"/>
      <c r="E206" s="1013"/>
      <c r="F206" s="1013"/>
      <c r="G206" s="1013"/>
      <c r="H206" s="1013"/>
      <c r="I206" s="1013"/>
      <c r="J206" s="1013"/>
      <c r="K206" s="1013"/>
      <c r="L206" s="1013"/>
      <c r="M206" s="1013"/>
      <c r="N206" s="1013"/>
      <c r="O206" s="1013"/>
      <c r="P206" s="1013"/>
      <c r="Q206" s="1013"/>
      <c r="R206" s="1013"/>
      <c r="S206" s="1013"/>
      <c r="T206" s="1013"/>
      <c r="U206" s="1013"/>
      <c r="V206" s="1013"/>
      <c r="W206" s="1013"/>
      <c r="X206" s="1013"/>
      <c r="Y206" s="1013"/>
      <c r="Z206" s="1013"/>
      <c r="AA206" s="1013"/>
      <c r="AB206" s="1013"/>
      <c r="AC206" s="1013"/>
      <c r="AD206" s="1013"/>
      <c r="AE206" s="1013"/>
      <c r="AF206" s="1013"/>
      <c r="AG206" s="1013"/>
      <c r="AH206" s="1013">
        <f t="shared" si="24"/>
        <v>0</v>
      </c>
    </row>
    <row r="207" spans="1:34" ht="12">
      <c r="A207" s="573" t="s">
        <v>154</v>
      </c>
      <c r="B207" s="1359">
        <f t="shared" si="23"/>
        <v>0</v>
      </c>
      <c r="C207" s="1013"/>
      <c r="D207" s="1013"/>
      <c r="E207" s="1013"/>
      <c r="F207" s="1013"/>
      <c r="G207" s="1013"/>
      <c r="H207" s="1013"/>
      <c r="I207" s="1013"/>
      <c r="J207" s="1013"/>
      <c r="K207" s="1013"/>
      <c r="L207" s="1013"/>
      <c r="M207" s="1013"/>
      <c r="N207" s="1013"/>
      <c r="O207" s="1013"/>
      <c r="P207" s="1013"/>
      <c r="Q207" s="1013"/>
      <c r="R207" s="1013"/>
      <c r="S207" s="1013"/>
      <c r="T207" s="1013"/>
      <c r="U207" s="1013"/>
      <c r="V207" s="1013"/>
      <c r="W207" s="1013"/>
      <c r="X207" s="1013"/>
      <c r="Y207" s="1013"/>
      <c r="Z207" s="1013"/>
      <c r="AA207" s="1013"/>
      <c r="AB207" s="1013"/>
      <c r="AC207" s="1013"/>
      <c r="AD207" s="1013"/>
      <c r="AE207" s="1013"/>
      <c r="AF207" s="1013"/>
      <c r="AG207" s="1013"/>
      <c r="AH207" s="1013">
        <f t="shared" si="24"/>
        <v>0</v>
      </c>
    </row>
    <row r="208" spans="1:34" ht="12">
      <c r="A208" s="573" t="s">
        <v>155</v>
      </c>
      <c r="B208" s="1359">
        <f t="shared" si="23"/>
        <v>0</v>
      </c>
      <c r="C208" s="2149"/>
      <c r="D208" s="2149"/>
      <c r="E208" s="2149"/>
      <c r="F208" s="2149"/>
      <c r="G208" s="2149"/>
      <c r="H208" s="2149"/>
      <c r="I208" s="2149"/>
      <c r="J208" s="2149"/>
      <c r="K208" s="2149"/>
      <c r="L208" s="2149"/>
      <c r="M208" s="2149"/>
      <c r="N208" s="2149"/>
      <c r="O208" s="2149"/>
      <c r="P208" s="2149"/>
      <c r="Q208" s="2149"/>
      <c r="R208" s="2149"/>
      <c r="S208" s="2149"/>
      <c r="T208" s="2149"/>
      <c r="U208" s="2149"/>
      <c r="V208" s="2149"/>
      <c r="W208" s="2149"/>
      <c r="X208" s="2149"/>
      <c r="Y208" s="2149"/>
      <c r="Z208" s="2149"/>
      <c r="AA208" s="2149"/>
      <c r="AB208" s="2149"/>
      <c r="AC208" s="2149"/>
      <c r="AD208" s="2149"/>
      <c r="AE208" s="2149"/>
      <c r="AF208" s="2149"/>
      <c r="AG208" s="2149"/>
      <c r="AH208" s="1013">
        <f t="shared" si="24"/>
        <v>0</v>
      </c>
    </row>
    <row r="209" spans="1:34" ht="12">
      <c r="A209" s="573" t="s">
        <v>156</v>
      </c>
      <c r="B209" s="1359">
        <f t="shared" si="23"/>
        <v>0</v>
      </c>
      <c r="C209" s="2149"/>
      <c r="D209" s="2149"/>
      <c r="E209" s="2149"/>
      <c r="F209" s="2149"/>
      <c r="G209" s="2149"/>
      <c r="H209" s="2149"/>
      <c r="I209" s="2149"/>
      <c r="J209" s="2149"/>
      <c r="K209" s="2149"/>
      <c r="L209" s="2149"/>
      <c r="M209" s="2149"/>
      <c r="N209" s="2149"/>
      <c r="O209" s="2149"/>
      <c r="P209" s="2149"/>
      <c r="Q209" s="2149"/>
      <c r="R209" s="2149"/>
      <c r="S209" s="2149"/>
      <c r="T209" s="2149"/>
      <c r="U209" s="2149"/>
      <c r="V209" s="2149"/>
      <c r="W209" s="2149"/>
      <c r="X209" s="2149"/>
      <c r="Y209" s="2149"/>
      <c r="Z209" s="2149"/>
      <c r="AA209" s="2149"/>
      <c r="AB209" s="2149"/>
      <c r="AC209" s="2149"/>
      <c r="AD209" s="2149"/>
      <c r="AE209" s="2149"/>
      <c r="AF209" s="2149"/>
      <c r="AG209" s="2149"/>
      <c r="AH209" s="1013">
        <f t="shared" si="24"/>
        <v>0</v>
      </c>
    </row>
    <row r="210" spans="1:34" ht="12">
      <c r="A210" s="580" t="s">
        <v>111</v>
      </c>
      <c r="B210" s="2150">
        <f>SUM(B198:B209)</f>
        <v>0</v>
      </c>
      <c r="C210" s="1088"/>
      <c r="D210" s="1088"/>
      <c r="E210" s="1088"/>
      <c r="F210" s="1088"/>
      <c r="G210" s="1088"/>
      <c r="H210" s="1088"/>
      <c r="I210" s="1088"/>
      <c r="J210" s="1088"/>
      <c r="K210" s="1088"/>
      <c r="L210" s="1088"/>
      <c r="M210" s="1088"/>
      <c r="N210" s="1088"/>
      <c r="O210" s="1088"/>
      <c r="P210" s="1088"/>
      <c r="Q210" s="1088"/>
      <c r="R210" s="1088"/>
      <c r="S210" s="1088"/>
      <c r="T210" s="1088"/>
      <c r="U210" s="1088"/>
      <c r="V210" s="1088"/>
      <c r="W210" s="1088"/>
      <c r="X210" s="1088"/>
      <c r="Y210" s="1088"/>
      <c r="Z210" s="1088"/>
      <c r="AA210" s="1088"/>
      <c r="AB210" s="1088"/>
      <c r="AC210" s="1088"/>
      <c r="AD210" s="1088"/>
      <c r="AE210" s="1088"/>
      <c r="AF210" s="1088"/>
      <c r="AG210" s="1088"/>
      <c r="AH210" s="2151">
        <f>SUM(AH198:AH209)</f>
        <v>0</v>
      </c>
    </row>
    <row r="212" spans="1:34" ht="12">
      <c r="A212" s="3864" t="s">
        <v>518</v>
      </c>
      <c r="B212" s="3865"/>
      <c r="C212" s="3866"/>
      <c r="D212" s="1427"/>
      <c r="E212" s="1427"/>
      <c r="F212" s="1427"/>
      <c r="G212" s="1427"/>
      <c r="H212" s="1427"/>
      <c r="I212" s="1427"/>
      <c r="J212" s="1427"/>
      <c r="K212" s="1427"/>
      <c r="L212" s="1427"/>
      <c r="M212" s="2145"/>
      <c r="N212" s="1427"/>
      <c r="O212" s="1427"/>
      <c r="P212" s="1427"/>
      <c r="Q212" s="1427"/>
      <c r="R212" s="1427"/>
      <c r="S212" s="1427"/>
      <c r="T212" s="1427"/>
      <c r="U212" s="1427"/>
      <c r="V212" s="1427"/>
      <c r="W212" s="1427"/>
      <c r="X212" s="1427"/>
      <c r="Y212" s="1427"/>
      <c r="Z212" s="1427"/>
      <c r="AA212" s="1427"/>
      <c r="AB212" s="1427"/>
      <c r="AC212" s="1427"/>
      <c r="AD212" s="1427"/>
      <c r="AE212" s="1427"/>
      <c r="AF212" s="1427"/>
      <c r="AG212" s="1427"/>
    </row>
    <row r="213" spans="1:34" ht="12">
      <c r="A213" s="572" t="s">
        <v>142</v>
      </c>
      <c r="B213" s="1754" t="s">
        <v>143</v>
      </c>
      <c r="C213" s="2147">
        <v>1</v>
      </c>
      <c r="D213" s="2147">
        <v>2</v>
      </c>
      <c r="E213" s="2147">
        <v>3</v>
      </c>
      <c r="F213" s="2147">
        <v>4</v>
      </c>
      <c r="G213" s="2147">
        <v>5</v>
      </c>
      <c r="H213" s="2147">
        <v>6</v>
      </c>
      <c r="I213" s="2147">
        <v>7</v>
      </c>
      <c r="J213" s="2147">
        <v>8</v>
      </c>
      <c r="K213" s="2147">
        <v>9</v>
      </c>
      <c r="L213" s="2147">
        <v>10</v>
      </c>
      <c r="M213" s="2147">
        <v>11</v>
      </c>
      <c r="N213" s="2147">
        <v>12</v>
      </c>
      <c r="O213" s="2147">
        <v>13</v>
      </c>
      <c r="P213" s="2147">
        <v>14</v>
      </c>
      <c r="Q213" s="2147">
        <v>15</v>
      </c>
      <c r="R213" s="2147">
        <v>16</v>
      </c>
      <c r="S213" s="2147">
        <v>17</v>
      </c>
      <c r="T213" s="2147">
        <v>18</v>
      </c>
      <c r="U213" s="2147">
        <v>19</v>
      </c>
      <c r="V213" s="2147">
        <v>20</v>
      </c>
      <c r="W213" s="2146">
        <v>21</v>
      </c>
      <c r="X213" s="2147">
        <v>22</v>
      </c>
      <c r="Y213" s="2147">
        <v>23</v>
      </c>
      <c r="Z213" s="2147">
        <v>24</v>
      </c>
      <c r="AA213" s="2147">
        <v>25</v>
      </c>
      <c r="AB213" s="2147">
        <v>26</v>
      </c>
      <c r="AC213" s="2147">
        <v>27</v>
      </c>
      <c r="AD213" s="2147">
        <v>28</v>
      </c>
      <c r="AE213" s="2147">
        <v>29</v>
      </c>
      <c r="AF213" s="2147">
        <v>30</v>
      </c>
      <c r="AG213" s="2147">
        <v>31</v>
      </c>
      <c r="AH213" s="2148" t="s">
        <v>111</v>
      </c>
    </row>
    <row r="214" spans="1:34" ht="12">
      <c r="A214" s="573" t="s">
        <v>145</v>
      </c>
      <c r="B214" s="1359">
        <f t="shared" ref="B214:B225" si="25">+AH214</f>
        <v>0</v>
      </c>
      <c r="C214" s="2149"/>
      <c r="D214" s="2149"/>
      <c r="E214" s="2149"/>
      <c r="F214" s="2149"/>
      <c r="G214" s="2149"/>
      <c r="H214" s="2149"/>
      <c r="I214" s="2149"/>
      <c r="J214" s="2149"/>
      <c r="K214" s="2149"/>
      <c r="L214" s="2149"/>
      <c r="M214" s="2149"/>
      <c r="N214" s="2149"/>
      <c r="O214" s="2149"/>
      <c r="P214" s="2149"/>
      <c r="Q214" s="2149"/>
      <c r="R214" s="2149"/>
      <c r="S214" s="2149"/>
      <c r="T214" s="2149"/>
      <c r="U214" s="2149"/>
      <c r="V214" s="2149"/>
      <c r="W214" s="2149"/>
      <c r="X214" s="2149"/>
      <c r="Y214" s="2149"/>
      <c r="Z214" s="2149"/>
      <c r="AA214" s="2149"/>
      <c r="AB214" s="2149"/>
      <c r="AC214" s="2149"/>
      <c r="AD214" s="2149"/>
      <c r="AE214" s="2149"/>
      <c r="AF214" s="2149"/>
      <c r="AG214" s="2149"/>
      <c r="AH214" s="1013">
        <f>SUM(C214:AG214)</f>
        <v>0</v>
      </c>
    </row>
    <row r="215" spans="1:34" ht="12">
      <c r="A215" s="573" t="s">
        <v>146</v>
      </c>
      <c r="B215" s="1359">
        <f t="shared" si="25"/>
        <v>0</v>
      </c>
      <c r="C215" s="2149"/>
      <c r="D215" s="2149"/>
      <c r="E215" s="2149"/>
      <c r="F215" s="2149"/>
      <c r="G215" s="2149"/>
      <c r="H215" s="2149"/>
      <c r="I215" s="2149"/>
      <c r="J215" s="2149"/>
      <c r="K215" s="2149"/>
      <c r="L215" s="2149"/>
      <c r="M215" s="2149"/>
      <c r="N215" s="2149"/>
      <c r="O215" s="2149"/>
      <c r="P215" s="2149"/>
      <c r="Q215" s="2149"/>
      <c r="R215" s="2149"/>
      <c r="S215" s="2149"/>
      <c r="T215" s="2149"/>
      <c r="U215" s="2149"/>
      <c r="V215" s="2149"/>
      <c r="W215" s="2149"/>
      <c r="X215" s="2149"/>
      <c r="Y215" s="2149"/>
      <c r="Z215" s="2149"/>
      <c r="AA215" s="2149"/>
      <c r="AB215" s="2149"/>
      <c r="AC215" s="2149"/>
      <c r="AD215" s="2149"/>
      <c r="AE215" s="2149"/>
      <c r="AF215" s="2149"/>
      <c r="AG215" s="2149"/>
      <c r="AH215" s="1013">
        <f>SUM(C215:AG215)</f>
        <v>0</v>
      </c>
    </row>
    <row r="216" spans="1:34" ht="12">
      <c r="A216" s="573" t="s">
        <v>147</v>
      </c>
      <c r="B216" s="1359">
        <f t="shared" si="25"/>
        <v>0</v>
      </c>
      <c r="C216" s="2149"/>
      <c r="D216" s="2149"/>
      <c r="E216" s="2149"/>
      <c r="F216" s="2149"/>
      <c r="G216" s="2149"/>
      <c r="H216" s="2149"/>
      <c r="I216" s="2149"/>
      <c r="J216" s="2149"/>
      <c r="K216" s="2149"/>
      <c r="L216" s="2149"/>
      <c r="M216" s="2149"/>
      <c r="N216" s="2149"/>
      <c r="O216" s="2149"/>
      <c r="P216" s="2149"/>
      <c r="Q216" s="2149"/>
      <c r="R216" s="2149"/>
      <c r="S216" s="2149"/>
      <c r="T216" s="2149"/>
      <c r="U216" s="2149"/>
      <c r="V216" s="2149"/>
      <c r="W216" s="2149"/>
      <c r="X216" s="2149"/>
      <c r="Y216" s="2149"/>
      <c r="Z216" s="2149"/>
      <c r="AA216" s="2149"/>
      <c r="AB216" s="2149"/>
      <c r="AC216" s="2149"/>
      <c r="AD216" s="2149"/>
      <c r="AE216" s="2149"/>
      <c r="AF216" s="2149"/>
      <c r="AG216" s="2149"/>
      <c r="AH216" s="1013">
        <f>SUM(C216:AG216)</f>
        <v>0</v>
      </c>
    </row>
    <row r="217" spans="1:34" ht="12">
      <c r="A217" s="573" t="s">
        <v>148</v>
      </c>
      <c r="B217" s="1359">
        <f t="shared" si="25"/>
        <v>0</v>
      </c>
      <c r="C217" s="1086"/>
      <c r="D217" s="1087"/>
      <c r="E217" s="1087"/>
      <c r="F217" s="1087"/>
      <c r="G217" s="1087"/>
      <c r="H217" s="1087"/>
      <c r="I217" s="1087"/>
      <c r="J217" s="1087"/>
      <c r="K217" s="1087"/>
      <c r="L217" s="1087"/>
      <c r="M217" s="1087"/>
      <c r="N217" s="1087"/>
      <c r="O217" s="1087"/>
      <c r="P217" s="1087"/>
      <c r="Q217" s="1087"/>
      <c r="R217" s="1087"/>
      <c r="S217" s="1087"/>
      <c r="T217" s="1087"/>
      <c r="U217" s="1087"/>
      <c r="V217" s="1087"/>
      <c r="W217" s="1087"/>
      <c r="X217" s="1087"/>
      <c r="Y217" s="1087"/>
      <c r="Z217" s="1087"/>
      <c r="AA217" s="1087"/>
      <c r="AB217" s="1087"/>
      <c r="AC217" s="1087"/>
      <c r="AD217" s="1087"/>
      <c r="AE217" s="1087"/>
      <c r="AF217" s="1087"/>
      <c r="AG217" s="1087"/>
      <c r="AH217" s="1013"/>
    </row>
    <row r="218" spans="1:34" ht="12">
      <c r="A218" s="573" t="s">
        <v>149</v>
      </c>
      <c r="B218" s="1359">
        <f t="shared" si="25"/>
        <v>0</v>
      </c>
      <c r="C218" s="1086"/>
      <c r="D218" s="1087"/>
      <c r="E218" s="1087"/>
      <c r="F218" s="1087"/>
      <c r="G218" s="1087"/>
      <c r="H218" s="1087"/>
      <c r="I218" s="1087"/>
      <c r="J218" s="1087"/>
      <c r="K218" s="1087"/>
      <c r="L218" s="1087"/>
      <c r="M218" s="1087"/>
      <c r="N218" s="1087"/>
      <c r="O218" s="1087"/>
      <c r="P218" s="1087"/>
      <c r="Q218" s="1087"/>
      <c r="R218" s="1087"/>
      <c r="S218" s="1087"/>
      <c r="T218" s="1087"/>
      <c r="U218" s="1087"/>
      <c r="V218" s="1087"/>
      <c r="W218" s="1087"/>
      <c r="X218" s="1087"/>
      <c r="Y218" s="1087"/>
      <c r="Z218" s="1087"/>
      <c r="AA218" s="1087"/>
      <c r="AB218" s="1087"/>
      <c r="AC218" s="1087"/>
      <c r="AD218" s="1087"/>
      <c r="AE218" s="1087"/>
      <c r="AF218" s="1087"/>
      <c r="AG218" s="1087"/>
      <c r="AH218" s="1013"/>
    </row>
    <row r="219" spans="1:34" ht="12">
      <c r="A219" s="573" t="s">
        <v>150</v>
      </c>
      <c r="B219" s="1359">
        <f t="shared" si="25"/>
        <v>0</v>
      </c>
      <c r="C219" s="1086"/>
      <c r="D219" s="1087"/>
      <c r="E219" s="1087"/>
      <c r="F219" s="1087"/>
      <c r="G219" s="1087"/>
      <c r="H219" s="1087"/>
      <c r="I219" s="1087"/>
      <c r="J219" s="1087"/>
      <c r="K219" s="1087"/>
      <c r="L219" s="1087"/>
      <c r="M219" s="1087"/>
      <c r="N219" s="1087"/>
      <c r="O219" s="1087"/>
      <c r="P219" s="1087"/>
      <c r="Q219" s="1087"/>
      <c r="R219" s="1087"/>
      <c r="S219" s="1087"/>
      <c r="T219" s="1087"/>
      <c r="U219" s="1087"/>
      <c r="V219" s="1087"/>
      <c r="W219" s="1087"/>
      <c r="X219" s="1087"/>
      <c r="Y219" s="1087"/>
      <c r="Z219" s="1087"/>
      <c r="AA219" s="1087"/>
      <c r="AB219" s="1087"/>
      <c r="AC219" s="1087"/>
      <c r="AD219" s="1087"/>
      <c r="AE219" s="1087"/>
      <c r="AF219" s="1087"/>
      <c r="AG219" s="1087"/>
      <c r="AH219" s="1013"/>
    </row>
    <row r="220" spans="1:34" ht="12">
      <c r="A220" s="573" t="s">
        <v>151</v>
      </c>
      <c r="B220" s="1359">
        <f t="shared" si="25"/>
        <v>0</v>
      </c>
      <c r="C220" s="1086"/>
      <c r="D220" s="1087"/>
      <c r="E220" s="1087"/>
      <c r="F220" s="1087"/>
      <c r="G220" s="1087"/>
      <c r="H220" s="1087"/>
      <c r="I220" s="1087"/>
      <c r="J220" s="1087"/>
      <c r="K220" s="1087"/>
      <c r="L220" s="1087"/>
      <c r="M220" s="1087"/>
      <c r="N220" s="1087"/>
      <c r="O220" s="1087"/>
      <c r="P220" s="1087"/>
      <c r="Q220" s="1087"/>
      <c r="R220" s="1087"/>
      <c r="S220" s="1087"/>
      <c r="T220" s="1087"/>
      <c r="U220" s="1087"/>
      <c r="V220" s="1087"/>
      <c r="W220" s="1087"/>
      <c r="X220" s="1087"/>
      <c r="Y220" s="1087"/>
      <c r="Z220" s="1087"/>
      <c r="AA220" s="1087"/>
      <c r="AB220" s="1087"/>
      <c r="AC220" s="1087"/>
      <c r="AD220" s="1087"/>
      <c r="AE220" s="1087"/>
      <c r="AF220" s="1087"/>
      <c r="AG220" s="1087"/>
      <c r="AH220" s="1013"/>
    </row>
    <row r="221" spans="1:34" ht="12">
      <c r="A221" s="573" t="s">
        <v>152</v>
      </c>
      <c r="B221" s="1359">
        <f t="shared" si="25"/>
        <v>0</v>
      </c>
      <c r="C221" s="1086"/>
      <c r="D221" s="1087"/>
      <c r="E221" s="1087"/>
      <c r="F221" s="1087"/>
      <c r="G221" s="1087"/>
      <c r="H221" s="1087"/>
      <c r="I221" s="1087"/>
      <c r="J221" s="1087"/>
      <c r="K221" s="1087"/>
      <c r="L221" s="1087"/>
      <c r="M221" s="1087"/>
      <c r="N221" s="1087"/>
      <c r="O221" s="1087"/>
      <c r="P221" s="1087"/>
      <c r="Q221" s="1087"/>
      <c r="R221" s="1087"/>
      <c r="S221" s="1087"/>
      <c r="T221" s="1087"/>
      <c r="U221" s="1087"/>
      <c r="V221" s="1087"/>
      <c r="W221" s="1087"/>
      <c r="X221" s="1087"/>
      <c r="Y221" s="1087"/>
      <c r="Z221" s="1087"/>
      <c r="AA221" s="1087"/>
      <c r="AB221" s="1087"/>
      <c r="AC221" s="1087"/>
      <c r="AD221" s="1087"/>
      <c r="AE221" s="1087"/>
      <c r="AF221" s="1087"/>
      <c r="AG221" s="1087"/>
      <c r="AH221" s="1013"/>
    </row>
    <row r="222" spans="1:34" ht="12">
      <c r="A222" s="573" t="s">
        <v>153</v>
      </c>
      <c r="B222" s="1359">
        <f t="shared" si="25"/>
        <v>0</v>
      </c>
      <c r="C222" s="1086"/>
      <c r="D222" s="1087"/>
      <c r="E222" s="1087"/>
      <c r="F222" s="1087"/>
      <c r="G222" s="1087"/>
      <c r="H222" s="1087"/>
      <c r="I222" s="1087"/>
      <c r="J222" s="1087"/>
      <c r="K222" s="1087"/>
      <c r="L222" s="1087"/>
      <c r="M222" s="1087"/>
      <c r="N222" s="1087"/>
      <c r="O222" s="1087"/>
      <c r="P222" s="1087"/>
      <c r="Q222" s="1087"/>
      <c r="R222" s="1087"/>
      <c r="S222" s="1087"/>
      <c r="T222" s="1087"/>
      <c r="U222" s="1087"/>
      <c r="V222" s="1087"/>
      <c r="W222" s="1087"/>
      <c r="X222" s="1087"/>
      <c r="Y222" s="1087"/>
      <c r="Z222" s="1087"/>
      <c r="AA222" s="1087"/>
      <c r="AB222" s="1087"/>
      <c r="AC222" s="1087"/>
      <c r="AD222" s="1087"/>
      <c r="AE222" s="1087"/>
      <c r="AF222" s="1087"/>
      <c r="AG222" s="1087"/>
      <c r="AH222" s="1013"/>
    </row>
    <row r="223" spans="1:34" ht="12">
      <c r="A223" s="573" t="s">
        <v>154</v>
      </c>
      <c r="B223" s="1359">
        <f t="shared" si="25"/>
        <v>0</v>
      </c>
      <c r="C223" s="1086"/>
      <c r="D223" s="1087"/>
      <c r="E223" s="1087"/>
      <c r="F223" s="1087"/>
      <c r="G223" s="1087"/>
      <c r="H223" s="1087"/>
      <c r="I223" s="1087"/>
      <c r="J223" s="1087"/>
      <c r="K223" s="1087"/>
      <c r="L223" s="1087"/>
      <c r="M223" s="1087"/>
      <c r="N223" s="1087"/>
      <c r="O223" s="1087"/>
      <c r="P223" s="1087"/>
      <c r="Q223" s="1087"/>
      <c r="R223" s="1087"/>
      <c r="S223" s="1087"/>
      <c r="T223" s="1087"/>
      <c r="U223" s="1087"/>
      <c r="V223" s="1087"/>
      <c r="W223" s="1087"/>
      <c r="X223" s="1087"/>
      <c r="Y223" s="1087"/>
      <c r="Z223" s="1087"/>
      <c r="AA223" s="1087"/>
      <c r="AB223" s="1087"/>
      <c r="AC223" s="1087"/>
      <c r="AD223" s="1087"/>
      <c r="AE223" s="1087"/>
      <c r="AF223" s="1087"/>
      <c r="AG223" s="1087"/>
      <c r="AH223" s="1013"/>
    </row>
    <row r="224" spans="1:34" ht="12">
      <c r="A224" s="573" t="s">
        <v>155</v>
      </c>
      <c r="B224" s="1359">
        <f t="shared" si="25"/>
        <v>0</v>
      </c>
      <c r="C224" s="1086"/>
      <c r="D224" s="1087"/>
      <c r="E224" s="1087"/>
      <c r="F224" s="1087"/>
      <c r="G224" s="1087"/>
      <c r="H224" s="1087"/>
      <c r="I224" s="1087"/>
      <c r="J224" s="1087"/>
      <c r="K224" s="1087"/>
      <c r="L224" s="1087"/>
      <c r="M224" s="1087"/>
      <c r="N224" s="1087"/>
      <c r="O224" s="1087"/>
      <c r="P224" s="1087"/>
      <c r="Q224" s="1087"/>
      <c r="R224" s="1087"/>
      <c r="S224" s="1087"/>
      <c r="T224" s="1087"/>
      <c r="U224" s="1087"/>
      <c r="V224" s="1087"/>
      <c r="W224" s="1087"/>
      <c r="X224" s="1087"/>
      <c r="Y224" s="1087"/>
      <c r="Z224" s="1087"/>
      <c r="AA224" s="1087"/>
      <c r="AB224" s="1087"/>
      <c r="AC224" s="1087"/>
      <c r="AD224" s="1087"/>
      <c r="AE224" s="1087"/>
      <c r="AF224" s="1087"/>
      <c r="AG224" s="1087"/>
      <c r="AH224" s="1013"/>
    </row>
    <row r="225" spans="1:34" ht="12">
      <c r="A225" s="573" t="s">
        <v>156</v>
      </c>
      <c r="B225" s="1359">
        <f t="shared" si="25"/>
        <v>0</v>
      </c>
      <c r="C225" s="1086"/>
      <c r="D225" s="1087"/>
      <c r="E225" s="1087"/>
      <c r="F225" s="1087"/>
      <c r="G225" s="1087"/>
      <c r="H225" s="1087"/>
      <c r="I225" s="1087"/>
      <c r="J225" s="1087"/>
      <c r="K225" s="1087"/>
      <c r="L225" s="1087"/>
      <c r="M225" s="1087"/>
      <c r="N225" s="1087"/>
      <c r="O225" s="1087"/>
      <c r="P225" s="1087"/>
      <c r="Q225" s="1087"/>
      <c r="R225" s="1087"/>
      <c r="S225" s="1087"/>
      <c r="T225" s="1087"/>
      <c r="U225" s="1087"/>
      <c r="V225" s="1087"/>
      <c r="W225" s="1087"/>
      <c r="X225" s="1087"/>
      <c r="Y225" s="1087"/>
      <c r="Z225" s="1087"/>
      <c r="AA225" s="1087"/>
      <c r="AB225" s="1087"/>
      <c r="AC225" s="1087"/>
      <c r="AD225" s="1087"/>
      <c r="AE225" s="1087"/>
      <c r="AF225" s="1087"/>
      <c r="AG225" s="1087"/>
      <c r="AH225" s="1013"/>
    </row>
    <row r="226" spans="1:34" ht="12">
      <c r="A226" s="580" t="s">
        <v>111</v>
      </c>
      <c r="B226" s="2150">
        <f>SUM(B214:B225)</f>
        <v>0</v>
      </c>
      <c r="C226" s="1088"/>
      <c r="D226" s="1088"/>
      <c r="E226" s="1088"/>
      <c r="F226" s="1088"/>
      <c r="G226" s="1088"/>
      <c r="H226" s="1088"/>
      <c r="I226" s="1088"/>
      <c r="J226" s="1088"/>
      <c r="K226" s="1088"/>
      <c r="L226" s="1088"/>
      <c r="M226" s="1088"/>
      <c r="N226" s="1088"/>
      <c r="O226" s="1088"/>
      <c r="P226" s="1088"/>
      <c r="Q226" s="1088"/>
      <c r="R226" s="1088"/>
      <c r="S226" s="1088"/>
      <c r="T226" s="1088"/>
      <c r="U226" s="1088"/>
      <c r="V226" s="1088"/>
      <c r="W226" s="1088"/>
      <c r="X226" s="1088"/>
      <c r="Y226" s="1088"/>
      <c r="Z226" s="1088"/>
      <c r="AA226" s="1088"/>
      <c r="AB226" s="1088"/>
      <c r="AC226" s="1088"/>
      <c r="AD226" s="1088"/>
      <c r="AE226" s="1088"/>
      <c r="AF226" s="1088"/>
      <c r="AG226" s="1088"/>
      <c r="AH226" s="2151"/>
    </row>
  </sheetData>
  <mergeCells count="14">
    <mergeCell ref="A84:C84"/>
    <mergeCell ref="A196:C196"/>
    <mergeCell ref="A212:C212"/>
    <mergeCell ref="A100:C100"/>
    <mergeCell ref="A116:C116"/>
    <mergeCell ref="A132:C132"/>
    <mergeCell ref="A148:C148"/>
    <mergeCell ref="A164:C164"/>
    <mergeCell ref="A180:C180"/>
    <mergeCell ref="A4:C4"/>
    <mergeCell ref="A20:C20"/>
    <mergeCell ref="A36:C36"/>
    <mergeCell ref="A52:C52"/>
    <mergeCell ref="A68:C68"/>
  </mergeCells>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dimension ref="A1:AY423"/>
  <sheetViews>
    <sheetView workbookViewId="0">
      <selection activeCell="F37" sqref="F37"/>
    </sheetView>
  </sheetViews>
  <sheetFormatPr baseColWidth="10" defaultRowHeight="13.2"/>
  <cols>
    <col min="1" max="1" width="51.88671875" customWidth="1"/>
    <col min="2" max="2" width="33.5546875" customWidth="1"/>
    <col min="3" max="3" width="13.109375" customWidth="1"/>
    <col min="4" max="4" width="23.5546875" customWidth="1"/>
    <col min="5" max="5" width="14.44140625" customWidth="1"/>
    <col min="6" max="6" width="12.109375" bestFit="1" customWidth="1"/>
    <col min="7" max="7" width="16.44140625" customWidth="1"/>
    <col min="8" max="8" width="24" style="169" customWidth="1"/>
    <col min="9" max="9" width="21.44140625" customWidth="1"/>
    <col min="10" max="10" width="11.88671875" style="169" customWidth="1"/>
    <col min="11" max="11" width="8.5546875" customWidth="1"/>
    <col min="12" max="12" width="21.5546875" customWidth="1"/>
    <col min="13" max="13" width="17.88671875" customWidth="1"/>
    <col min="14" max="14" width="12.6640625" customWidth="1"/>
    <col min="15" max="15" width="16.6640625" customWidth="1"/>
    <col min="16" max="16" width="20.44140625" customWidth="1"/>
    <col min="36" max="36" width="6" customWidth="1"/>
    <col min="37" max="37" width="15.88671875" customWidth="1"/>
    <col min="44" max="44" width="14" customWidth="1"/>
  </cols>
  <sheetData>
    <row r="1" spans="1:9" ht="13.8" thickBot="1">
      <c r="A1" s="510"/>
      <c r="B1" s="510"/>
      <c r="C1" s="510"/>
      <c r="D1" s="510"/>
      <c r="E1" s="510"/>
      <c r="F1" s="510"/>
      <c r="G1" s="510"/>
    </row>
    <row r="2" spans="1:9" ht="13.8" thickBot="1">
      <c r="A2" s="4196" t="s">
        <v>777</v>
      </c>
      <c r="B2" s="4197"/>
      <c r="C2" s="961" t="s">
        <v>11</v>
      </c>
      <c r="D2" s="3067" t="s">
        <v>1183</v>
      </c>
      <c r="E2" s="962"/>
      <c r="F2" s="963"/>
      <c r="G2" s="510"/>
    </row>
    <row r="3" spans="1:9" ht="13.8" thickBot="1">
      <c r="A3" s="4198" t="s">
        <v>712</v>
      </c>
      <c r="B3" s="4199"/>
      <c r="C3" s="964"/>
      <c r="D3" s="963"/>
      <c r="E3" s="963"/>
      <c r="F3" s="963"/>
      <c r="G3" s="510"/>
    </row>
    <row r="4" spans="1:9" ht="13.8" thickBot="1">
      <c r="A4" s="965"/>
      <c r="B4" s="966" t="s">
        <v>540</v>
      </c>
      <c r="C4" s="967"/>
      <c r="D4" s="968" t="s">
        <v>541</v>
      </c>
      <c r="E4" s="969" t="s">
        <v>127</v>
      </c>
      <c r="F4" s="969" t="s">
        <v>128</v>
      </c>
      <c r="G4" s="970" t="s">
        <v>539</v>
      </c>
    </row>
    <row r="5" spans="1:9">
      <c r="A5" s="971"/>
      <c r="B5" s="972"/>
      <c r="C5" s="973"/>
      <c r="D5" s="974">
        <v>20000</v>
      </c>
      <c r="E5" s="2312">
        <f>+SUM('Planillas diarias trapasos'!B16)</f>
        <v>19998.169999999995</v>
      </c>
      <c r="F5" s="2312">
        <f>+D5-E5</f>
        <v>1.8300000000053842</v>
      </c>
      <c r="G5" s="2464">
        <v>41081</v>
      </c>
      <c r="H5" s="2688">
        <v>41278</v>
      </c>
    </row>
    <row r="6" spans="1:9" ht="13.8" thickBot="1">
      <c r="A6" s="977"/>
      <c r="B6" s="978"/>
      <c r="C6" s="978"/>
      <c r="D6" s="979"/>
      <c r="E6" s="980"/>
      <c r="F6" s="981"/>
      <c r="G6" s="982"/>
    </row>
    <row r="7" spans="1:9" ht="13.8" thickBot="1">
      <c r="A7" s="510"/>
      <c r="B7" s="510"/>
      <c r="C7" s="510"/>
      <c r="D7" s="983">
        <f>SUM(D5:D6)</f>
        <v>20000</v>
      </c>
      <c r="E7" s="984">
        <f>SUM(E5:E6)</f>
        <v>19998.169999999995</v>
      </c>
      <c r="F7" s="985">
        <f>SUM(F5:F6)</f>
        <v>1.8300000000053842</v>
      </c>
      <c r="G7" s="510"/>
      <c r="I7" s="730"/>
    </row>
    <row r="8" spans="1:9" ht="13.8" thickBot="1">
      <c r="A8" s="510"/>
      <c r="B8" s="510"/>
      <c r="C8" s="510"/>
      <c r="D8" s="510"/>
      <c r="E8" s="510"/>
      <c r="F8" s="510"/>
      <c r="G8" s="510"/>
    </row>
    <row r="9" spans="1:9" ht="13.8" thickBot="1">
      <c r="A9" s="4196" t="s">
        <v>777</v>
      </c>
      <c r="B9" s="4197"/>
      <c r="C9" s="961" t="s">
        <v>11</v>
      </c>
      <c r="D9" s="3067" t="s">
        <v>776</v>
      </c>
      <c r="E9" s="962"/>
      <c r="F9" s="963"/>
      <c r="G9" s="510"/>
    </row>
    <row r="10" spans="1:9" ht="13.8" thickBot="1">
      <c r="A10" s="4198" t="s">
        <v>712</v>
      </c>
      <c r="B10" s="4199"/>
      <c r="C10" s="964"/>
      <c r="D10" s="963"/>
      <c r="E10" s="963"/>
      <c r="F10" s="963"/>
      <c r="G10" s="510"/>
    </row>
    <row r="11" spans="1:9" ht="13.8" thickBot="1">
      <c r="A11" s="965"/>
      <c r="B11" s="966" t="s">
        <v>540</v>
      </c>
      <c r="C11" s="967"/>
      <c r="D11" s="968" t="s">
        <v>541</v>
      </c>
      <c r="E11" s="969" t="s">
        <v>127</v>
      </c>
      <c r="F11" s="969" t="s">
        <v>128</v>
      </c>
      <c r="G11" s="970" t="s">
        <v>539</v>
      </c>
      <c r="H11" s="2688">
        <v>41278</v>
      </c>
    </row>
    <row r="12" spans="1:9">
      <c r="A12" s="971"/>
      <c r="B12" s="972"/>
      <c r="C12" s="973"/>
      <c r="D12" s="974">
        <v>20000</v>
      </c>
      <c r="E12" s="2312">
        <f>+SUM('Planillas diarias trapasos'!B35)</f>
        <v>19998.109000000004</v>
      </c>
      <c r="F12" s="2312">
        <f>+D12-E12</f>
        <v>1.8909999999959837</v>
      </c>
      <c r="G12" s="2464">
        <v>41202</v>
      </c>
    </row>
    <row r="13" spans="1:9" ht="13.8" thickBot="1">
      <c r="A13" s="977"/>
      <c r="B13" s="978"/>
      <c r="C13" s="978"/>
      <c r="D13" s="979"/>
      <c r="E13" s="980"/>
      <c r="F13" s="981"/>
      <c r="G13" s="982"/>
    </row>
    <row r="14" spans="1:9" ht="13.8" thickBot="1">
      <c r="A14" s="510"/>
      <c r="B14" s="510"/>
      <c r="C14" s="510"/>
      <c r="D14" s="983">
        <f>SUM(D12:D13)</f>
        <v>20000</v>
      </c>
      <c r="E14" s="984">
        <v>0</v>
      </c>
      <c r="F14" s="3519">
        <f>SUM(F12:F13)</f>
        <v>1.8909999999959837</v>
      </c>
      <c r="G14" s="510"/>
    </row>
    <row r="15" spans="1:9">
      <c r="A15" s="510"/>
      <c r="B15" s="510"/>
      <c r="C15" s="510"/>
      <c r="D15" s="963"/>
      <c r="E15" s="2681"/>
      <c r="F15" s="2681"/>
      <c r="G15" s="510"/>
    </row>
    <row r="16" spans="1:9" ht="13.8" thickBot="1">
      <c r="A16" s="510"/>
      <c r="B16" s="510"/>
      <c r="C16" s="510"/>
      <c r="D16" s="963"/>
      <c r="E16" s="2681"/>
      <c r="F16" s="2681"/>
      <c r="G16" s="510"/>
    </row>
    <row r="17" spans="1:10" ht="13.8" thickBot="1">
      <c r="A17" s="4196" t="s">
        <v>777</v>
      </c>
      <c r="B17" s="4197"/>
      <c r="C17" s="961" t="s">
        <v>11</v>
      </c>
      <c r="D17" s="3067" t="s">
        <v>1117</v>
      </c>
      <c r="E17" s="962"/>
      <c r="F17" s="963"/>
      <c r="G17" s="510"/>
      <c r="H17" s="2967"/>
    </row>
    <row r="18" spans="1:10" ht="13.8" thickBot="1">
      <c r="A18" s="4198" t="s">
        <v>712</v>
      </c>
      <c r="B18" s="4199"/>
      <c r="C18" s="964"/>
      <c r="D18" s="963"/>
      <c r="E18" s="963"/>
      <c r="F18" s="963"/>
      <c r="G18" s="510"/>
    </row>
    <row r="19" spans="1:10" ht="13.8" thickBot="1">
      <c r="A19" s="965"/>
      <c r="B19" s="966" t="s">
        <v>540</v>
      </c>
      <c r="C19" s="967"/>
      <c r="D19" s="968" t="s">
        <v>541</v>
      </c>
      <c r="E19" s="969" t="s">
        <v>127</v>
      </c>
      <c r="F19" s="969" t="s">
        <v>128</v>
      </c>
      <c r="G19" s="970" t="s">
        <v>539</v>
      </c>
      <c r="H19" s="3034"/>
      <c r="I19" s="3033"/>
      <c r="J19" s="3033"/>
    </row>
    <row r="20" spans="1:10">
      <c r="A20" s="971"/>
      <c r="B20" s="972" t="s">
        <v>1116</v>
      </c>
      <c r="C20" s="973"/>
      <c r="D20" s="974">
        <v>12000</v>
      </c>
      <c r="E20" s="2981">
        <f>+SUM('Planillas diarias trapasos'!B53)</f>
        <v>12116.938</v>
      </c>
      <c r="F20" s="2312">
        <f>+D20-E20</f>
        <v>-116.9380000000001</v>
      </c>
      <c r="G20" s="2464">
        <v>41240</v>
      </c>
      <c r="H20" s="2688">
        <v>41278</v>
      </c>
    </row>
    <row r="21" spans="1:10" ht="13.8" thickBot="1">
      <c r="A21" s="977"/>
      <c r="B21" s="978"/>
      <c r="C21" s="978"/>
      <c r="D21" s="979"/>
      <c r="E21" s="980"/>
      <c r="F21" s="981"/>
      <c r="G21" s="982"/>
    </row>
    <row r="22" spans="1:10" ht="13.8" thickBot="1">
      <c r="A22" s="510"/>
      <c r="B22" s="510"/>
      <c r="C22" s="510"/>
      <c r="D22" s="983">
        <f>SUM(D20:D21)</f>
        <v>12000</v>
      </c>
      <c r="E22" s="984">
        <v>0</v>
      </c>
      <c r="F22" s="3035">
        <f>SUM(F20:F21)</f>
        <v>-116.9380000000001</v>
      </c>
      <c r="G22" s="510"/>
      <c r="H22" s="2968"/>
    </row>
    <row r="23" spans="1:10" s="2934" customFormat="1" ht="13.8" thickBot="1">
      <c r="A23" s="510"/>
      <c r="B23" s="510"/>
      <c r="C23" s="510"/>
      <c r="D23" s="963"/>
      <c r="E23" s="2681"/>
      <c r="F23" s="2681"/>
      <c r="G23" s="510"/>
      <c r="H23" s="2968"/>
      <c r="J23" s="169"/>
    </row>
    <row r="24" spans="1:10" s="2934" customFormat="1" ht="13.8" thickBot="1">
      <c r="A24" s="4196" t="s">
        <v>777</v>
      </c>
      <c r="B24" s="4197"/>
      <c r="C24" s="961" t="s">
        <v>11</v>
      </c>
      <c r="D24" s="3067" t="s">
        <v>1176</v>
      </c>
      <c r="E24" s="962"/>
      <c r="F24" s="963"/>
      <c r="G24" s="510"/>
      <c r="H24" s="2968"/>
      <c r="J24" s="169"/>
    </row>
    <row r="25" spans="1:10" s="2934" customFormat="1" ht="13.8" thickBot="1">
      <c r="A25" s="4198" t="s">
        <v>712</v>
      </c>
      <c r="B25" s="4199"/>
      <c r="C25" s="964"/>
      <c r="D25" s="963"/>
      <c r="E25" s="963"/>
      <c r="F25" s="963"/>
      <c r="G25" s="510"/>
      <c r="H25" s="2968"/>
      <c r="J25" s="169"/>
    </row>
    <row r="26" spans="1:10" s="2934" customFormat="1" ht="13.8" thickBot="1">
      <c r="A26" s="965"/>
      <c r="B26" s="966" t="s">
        <v>540</v>
      </c>
      <c r="C26" s="967"/>
      <c r="D26" s="968" t="s">
        <v>541</v>
      </c>
      <c r="E26" s="969" t="s">
        <v>127</v>
      </c>
      <c r="F26" s="969" t="s">
        <v>128</v>
      </c>
      <c r="G26" s="970" t="s">
        <v>539</v>
      </c>
      <c r="H26" s="2688">
        <v>41278</v>
      </c>
      <c r="J26" s="169"/>
    </row>
    <row r="27" spans="1:10" s="2934" customFormat="1">
      <c r="A27" s="971"/>
      <c r="B27" s="972" t="s">
        <v>1116</v>
      </c>
      <c r="C27" s="973"/>
      <c r="D27" s="974">
        <v>10000</v>
      </c>
      <c r="E27" s="2981">
        <f>+SUM('Planillas diarias trapasos'!B71)</f>
        <v>9027.2169999999987</v>
      </c>
      <c r="F27" s="2312">
        <f>+D27-E27</f>
        <v>972.78300000000127</v>
      </c>
      <c r="G27" s="2464"/>
      <c r="H27" s="2968"/>
      <c r="J27" s="169"/>
    </row>
    <row r="28" spans="1:10" s="2934" customFormat="1" ht="13.8" thickBot="1">
      <c r="A28" s="977"/>
      <c r="B28" s="978"/>
      <c r="C28" s="978"/>
      <c r="D28" s="979"/>
      <c r="E28" s="980"/>
      <c r="F28" s="981"/>
      <c r="G28" s="982"/>
      <c r="H28" s="2968"/>
      <c r="J28" s="169"/>
    </row>
    <row r="29" spans="1:10" s="2934" customFormat="1" ht="13.8" thickBot="1">
      <c r="A29" s="510"/>
      <c r="B29" s="510"/>
      <c r="C29" s="510"/>
      <c r="D29" s="983">
        <f>SUM(D27:D28)</f>
        <v>10000</v>
      </c>
      <c r="E29" s="984">
        <f>SUM(E27:E28)</f>
        <v>9027.2169999999987</v>
      </c>
      <c r="F29" s="985">
        <f>SUM(F27:F28)</f>
        <v>972.78300000000127</v>
      </c>
      <c r="G29" s="510"/>
      <c r="H29" s="2968"/>
      <c r="J29" s="169"/>
    </row>
    <row r="30" spans="1:10" s="3493" customFormat="1" ht="13.8" thickBot="1">
      <c r="A30" s="510"/>
      <c r="B30" s="510"/>
      <c r="C30" s="510"/>
      <c r="D30" s="963"/>
      <c r="E30" s="2681"/>
      <c r="F30" s="2681"/>
      <c r="G30" s="510"/>
      <c r="H30" s="2968"/>
      <c r="J30" s="169"/>
    </row>
    <row r="31" spans="1:10" s="3493" customFormat="1" ht="13.8" thickBot="1">
      <c r="A31" s="4196" t="s">
        <v>777</v>
      </c>
      <c r="B31" s="4197"/>
      <c r="C31" s="961" t="s">
        <v>11</v>
      </c>
      <c r="D31" s="3067" t="s">
        <v>1294</v>
      </c>
      <c r="E31" s="962"/>
      <c r="F31" s="963"/>
      <c r="G31" s="510"/>
      <c r="H31" s="2968"/>
      <c r="J31" s="169"/>
    </row>
    <row r="32" spans="1:10" s="3493" customFormat="1" ht="13.8" thickBot="1">
      <c r="A32" s="4198" t="s">
        <v>712</v>
      </c>
      <c r="B32" s="4199"/>
      <c r="C32" s="964"/>
      <c r="D32" s="963"/>
      <c r="E32" s="963"/>
      <c r="F32" s="963"/>
      <c r="G32" s="510"/>
      <c r="H32" s="2968"/>
      <c r="J32" s="169"/>
    </row>
    <row r="33" spans="1:15" s="3493" customFormat="1" ht="13.8" thickBot="1">
      <c r="A33" s="965"/>
      <c r="B33" s="966" t="s">
        <v>540</v>
      </c>
      <c r="C33" s="967"/>
      <c r="D33" s="968" t="s">
        <v>541</v>
      </c>
      <c r="E33" s="969" t="s">
        <v>127</v>
      </c>
      <c r="F33" s="969" t="s">
        <v>128</v>
      </c>
      <c r="G33" s="970" t="s">
        <v>539</v>
      </c>
      <c r="H33" s="2688">
        <v>41278</v>
      </c>
      <c r="J33" s="169"/>
    </row>
    <row r="34" spans="1:15" s="3493" customFormat="1">
      <c r="A34" s="971"/>
      <c r="B34" s="972" t="s">
        <v>1116</v>
      </c>
      <c r="C34" s="973"/>
      <c r="D34" s="974">
        <v>5000</v>
      </c>
      <c r="E34" s="2981">
        <f>+SUM('Planillas diarias trapasos'!B90)</f>
        <v>0</v>
      </c>
      <c r="F34" s="2312">
        <f>+D34-E34</f>
        <v>5000</v>
      </c>
      <c r="G34" s="2464"/>
      <c r="H34" s="2968"/>
      <c r="J34" s="169"/>
    </row>
    <row r="35" spans="1:15" s="3493" customFormat="1" ht="13.8" thickBot="1">
      <c r="A35" s="977"/>
      <c r="B35" s="978"/>
      <c r="C35" s="978"/>
      <c r="D35" s="979"/>
      <c r="E35" s="980"/>
      <c r="F35" s="981"/>
      <c r="G35" s="982"/>
      <c r="H35" s="2968"/>
      <c r="J35" s="169"/>
    </row>
    <row r="36" spans="1:15" s="3493" customFormat="1" ht="13.8" thickBot="1">
      <c r="A36" s="510"/>
      <c r="B36" s="510"/>
      <c r="C36" s="510"/>
      <c r="D36" s="983">
        <f>SUM(D34:D35)</f>
        <v>5000</v>
      </c>
      <c r="E36" s="984">
        <f>SUM(E34:E35)</f>
        <v>0</v>
      </c>
      <c r="F36" s="985">
        <f>SUM(F34:F35)</f>
        <v>5000</v>
      </c>
      <c r="G36" s="510"/>
      <c r="H36" s="2968"/>
      <c r="J36" s="169"/>
    </row>
    <row r="37" spans="1:15" s="2934" customFormat="1">
      <c r="A37" s="510"/>
      <c r="B37" s="510"/>
      <c r="C37" s="3064"/>
      <c r="D37" s="3065">
        <f>+D27+D20+D12+D5+D34</f>
        <v>67000</v>
      </c>
      <c r="E37" s="3066">
        <f>+E27+E20+E12+E5-F22</f>
        <v>61257.371999999996</v>
      </c>
      <c r="F37" s="3066">
        <f>+D37-E37</f>
        <v>5742.6280000000042</v>
      </c>
      <c r="G37" s="3064"/>
      <c r="H37" s="2968"/>
      <c r="J37" s="169"/>
    </row>
    <row r="38" spans="1:15" ht="15.6" thickBot="1">
      <c r="A38" s="510"/>
      <c r="B38" s="510"/>
      <c r="C38" s="510"/>
      <c r="D38" s="510"/>
      <c r="E38" s="510"/>
      <c r="F38" s="510"/>
      <c r="G38" s="510"/>
      <c r="H38" s="946"/>
      <c r="I38" s="945"/>
      <c r="J38" s="946"/>
      <c r="K38" s="945"/>
      <c r="L38" s="945"/>
      <c r="M38" s="945"/>
      <c r="N38" s="945"/>
      <c r="O38" s="945"/>
    </row>
    <row r="39" spans="1:15" ht="15.6" thickBot="1">
      <c r="A39" s="4121" t="s">
        <v>1033</v>
      </c>
      <c r="B39" s="4122"/>
      <c r="C39" s="3068" t="s">
        <v>547</v>
      </c>
      <c r="D39" s="4236" t="s">
        <v>553</v>
      </c>
      <c r="E39" s="4237"/>
      <c r="F39" s="963"/>
      <c r="G39" s="510"/>
      <c r="H39" s="946"/>
      <c r="I39" s="945"/>
      <c r="J39" s="946"/>
      <c r="K39" s="945"/>
      <c r="L39" s="945"/>
      <c r="M39" s="945"/>
      <c r="N39" s="945"/>
      <c r="O39" s="945"/>
    </row>
    <row r="40" spans="1:15" ht="15">
      <c r="A40" s="986"/>
      <c r="B40" s="986"/>
      <c r="C40" s="987"/>
      <c r="D40" s="963"/>
      <c r="E40" s="963"/>
      <c r="F40" s="963"/>
      <c r="G40" s="510"/>
      <c r="H40" s="946"/>
      <c r="I40" s="945"/>
      <c r="J40" s="946"/>
      <c r="K40" s="945"/>
      <c r="L40" s="945"/>
      <c r="M40" s="945"/>
      <c r="N40" s="945"/>
      <c r="O40" s="945"/>
    </row>
    <row r="41" spans="1:15" ht="15.6" thickBot="1">
      <c r="A41" s="988" t="s">
        <v>538</v>
      </c>
      <c r="B41" s="969" t="s">
        <v>540</v>
      </c>
      <c r="C41" s="969"/>
      <c r="D41" s="969" t="s">
        <v>541</v>
      </c>
      <c r="E41" s="969" t="s">
        <v>127</v>
      </c>
      <c r="F41" s="969" t="s">
        <v>128</v>
      </c>
      <c r="G41" s="970" t="s">
        <v>539</v>
      </c>
      <c r="H41" s="1931">
        <v>40912</v>
      </c>
      <c r="I41" s="945"/>
      <c r="J41" s="946"/>
      <c r="K41" s="945">
        <f>SUM(F44+G63++G71)</f>
        <v>378.62700000000007</v>
      </c>
      <c r="L41" s="945"/>
      <c r="M41" s="945"/>
      <c r="N41" s="945"/>
      <c r="O41" s="945"/>
    </row>
    <row r="42" spans="1:15" ht="15">
      <c r="A42" s="977" t="s">
        <v>546</v>
      </c>
      <c r="B42" s="989"/>
      <c r="C42" s="990"/>
      <c r="D42" s="974">
        <v>50</v>
      </c>
      <c r="E42" s="975">
        <f>+SUM('Planillas diarias trapasos'!B311)</f>
        <v>5.6720000000000006</v>
      </c>
      <c r="F42" s="991">
        <f>+D42-E42</f>
        <v>44.328000000000003</v>
      </c>
      <c r="G42" s="976"/>
      <c r="H42" s="946"/>
      <c r="I42" s="945"/>
      <c r="J42" s="946"/>
      <c r="K42" s="945"/>
      <c r="L42" s="945"/>
      <c r="M42" s="945"/>
      <c r="N42" s="945"/>
      <c r="O42" s="945"/>
    </row>
    <row r="43" spans="1:15" ht="12.75" customHeight="1" thickBot="1">
      <c r="A43" s="977" t="s">
        <v>548</v>
      </c>
      <c r="B43" s="978"/>
      <c r="C43" s="992"/>
      <c r="D43" s="979">
        <v>450</v>
      </c>
      <c r="E43" s="980">
        <f>+SUM('Planillas diarias trapasos'!B328)</f>
        <v>170.59800000000001</v>
      </c>
      <c r="F43" s="981">
        <f>+D43-E43</f>
        <v>279.40199999999999</v>
      </c>
      <c r="G43" s="982"/>
      <c r="H43" s="946"/>
      <c r="I43" s="945"/>
      <c r="J43" s="946"/>
      <c r="K43" s="945"/>
      <c r="L43" s="945"/>
      <c r="M43" s="945"/>
      <c r="N43" s="945"/>
      <c r="O43" s="945"/>
    </row>
    <row r="44" spans="1:15" ht="12.75" customHeight="1" thickBot="1">
      <c r="A44" s="993" t="s">
        <v>111</v>
      </c>
      <c r="B44" s="510"/>
      <c r="C44" s="510"/>
      <c r="D44" s="1000">
        <f>SUM(D42:D43)</f>
        <v>500</v>
      </c>
      <c r="E44" s="1003">
        <f>SUM(E42:E43)</f>
        <v>176.27</v>
      </c>
      <c r="F44" s="1003">
        <f>SUM(F42:F43)</f>
        <v>323.73</v>
      </c>
      <c r="G44" s="510"/>
      <c r="H44" s="946"/>
      <c r="I44" s="945"/>
      <c r="J44" s="946"/>
      <c r="K44" s="945"/>
      <c r="L44" s="945"/>
      <c r="M44" s="945"/>
      <c r="N44" s="945"/>
      <c r="O44" s="945"/>
    </row>
    <row r="45" spans="1:15" ht="12.75" customHeight="1" thickBot="1">
      <c r="A45" s="993"/>
      <c r="B45" s="510"/>
      <c r="C45" s="510"/>
      <c r="D45" s="994"/>
      <c r="E45" s="994"/>
      <c r="F45" s="510"/>
      <c r="G45" s="510"/>
      <c r="H45" s="946"/>
      <c r="I45" s="945"/>
      <c r="J45" s="946"/>
      <c r="K45" s="945"/>
      <c r="L45" s="945"/>
      <c r="M45" s="945"/>
      <c r="N45" s="945"/>
      <c r="O45" s="945"/>
    </row>
    <row r="46" spans="1:15" ht="12.75" customHeight="1" thickBot="1">
      <c r="A46" s="4121" t="s">
        <v>545</v>
      </c>
      <c r="B46" s="4122"/>
      <c r="C46" s="2703" t="s">
        <v>11</v>
      </c>
      <c r="D46" s="4118" t="s">
        <v>761</v>
      </c>
      <c r="E46" s="4120"/>
      <c r="F46" s="510"/>
      <c r="G46" s="510"/>
      <c r="H46" s="946"/>
      <c r="I46" s="945"/>
      <c r="J46" s="946"/>
      <c r="K46" s="945"/>
      <c r="L46" s="945"/>
      <c r="M46" s="945"/>
      <c r="N46" s="945"/>
      <c r="O46" s="945"/>
    </row>
    <row r="47" spans="1:15" ht="12.75" customHeight="1" thickBot="1">
      <c r="A47" s="988" t="s">
        <v>538</v>
      </c>
      <c r="B47" s="969" t="s">
        <v>540</v>
      </c>
      <c r="C47" s="969"/>
      <c r="D47" s="1117" t="s">
        <v>541</v>
      </c>
      <c r="E47" s="1117" t="s">
        <v>127</v>
      </c>
      <c r="F47" s="969" t="s">
        <v>128</v>
      </c>
      <c r="G47" s="970" t="s">
        <v>539</v>
      </c>
      <c r="H47" s="946"/>
      <c r="I47" s="945"/>
      <c r="J47" s="946"/>
      <c r="K47" s="945"/>
      <c r="L47" s="945"/>
      <c r="M47" s="945"/>
      <c r="N47" s="945"/>
      <c r="O47" s="945"/>
    </row>
    <row r="48" spans="1:15" ht="12.75" customHeight="1">
      <c r="A48" s="977" t="s">
        <v>546</v>
      </c>
      <c r="B48" s="989"/>
      <c r="C48" s="990"/>
      <c r="D48" s="974">
        <v>6286.4260000000004</v>
      </c>
      <c r="E48" s="975">
        <f>+SUM('Planillas diarias trapasos'!B375)</f>
        <v>20.324999999999999</v>
      </c>
      <c r="F48" s="991">
        <f>+D48-E48</f>
        <v>6266.1010000000006</v>
      </c>
      <c r="G48" s="976"/>
      <c r="H48" s="1931">
        <v>40912</v>
      </c>
      <c r="I48" s="945"/>
      <c r="J48" s="946"/>
      <c r="K48" s="945"/>
      <c r="L48" s="945"/>
      <c r="M48" s="945"/>
      <c r="N48" s="945"/>
      <c r="O48" s="945"/>
    </row>
    <row r="49" spans="1:16" ht="12.75" customHeight="1" thickBot="1">
      <c r="A49" s="977"/>
      <c r="B49" s="978"/>
      <c r="C49" s="992"/>
      <c r="D49" s="979"/>
      <c r="E49" s="981"/>
      <c r="F49" s="981"/>
      <c r="G49" s="982"/>
      <c r="H49" s="946"/>
      <c r="I49" s="945"/>
      <c r="J49" s="946"/>
      <c r="K49" s="945"/>
      <c r="L49" s="945"/>
      <c r="M49" s="945"/>
      <c r="N49" s="945"/>
      <c r="O49" s="945"/>
    </row>
    <row r="50" spans="1:16" ht="12.75" customHeight="1" thickBot="1">
      <c r="A50" s="993" t="s">
        <v>111</v>
      </c>
      <c r="B50" s="510"/>
      <c r="C50" s="510"/>
      <c r="D50" s="1000">
        <f>SUM(D48:D49)</f>
        <v>6286.4260000000004</v>
      </c>
      <c r="E50" s="1003">
        <f>SUM(E48:E49)</f>
        <v>20.324999999999999</v>
      </c>
      <c r="F50" s="1003">
        <f>SUM(F48:F49)</f>
        <v>6266.1010000000006</v>
      </c>
      <c r="G50" s="511"/>
      <c r="H50" s="946"/>
      <c r="I50" s="945"/>
      <c r="J50" s="946"/>
      <c r="K50" s="945"/>
      <c r="L50" s="945"/>
      <c r="M50" s="945"/>
      <c r="N50" s="945"/>
      <c r="O50" s="945"/>
    </row>
    <row r="51" spans="1:16" ht="12.75" customHeight="1" thickBot="1">
      <c r="A51" s="993"/>
      <c r="B51" s="510"/>
      <c r="C51" s="510"/>
      <c r="D51" s="994"/>
      <c r="E51" s="994"/>
      <c r="F51" s="510"/>
      <c r="G51" s="510"/>
      <c r="H51" s="946"/>
      <c r="I51" s="945"/>
      <c r="J51" s="946"/>
      <c r="K51" s="945"/>
      <c r="L51" s="945"/>
      <c r="M51" s="945"/>
      <c r="N51" s="945"/>
      <c r="O51" s="945"/>
    </row>
    <row r="52" spans="1:16" ht="12.75" customHeight="1" thickBot="1">
      <c r="A52" s="4121" t="s">
        <v>545</v>
      </c>
      <c r="B52" s="4122"/>
      <c r="C52" s="2703" t="s">
        <v>11</v>
      </c>
      <c r="D52" s="4118" t="s">
        <v>762</v>
      </c>
      <c r="E52" s="4120"/>
      <c r="F52" s="510"/>
      <c r="G52" s="510"/>
      <c r="H52" s="946"/>
      <c r="I52" s="945"/>
      <c r="J52" s="946"/>
      <c r="K52" s="945"/>
      <c r="L52" s="945"/>
      <c r="M52" s="945"/>
      <c r="N52" s="945"/>
      <c r="O52" s="945"/>
    </row>
    <row r="53" spans="1:16" ht="12.75" customHeight="1" thickBot="1">
      <c r="A53" s="988" t="s">
        <v>538</v>
      </c>
      <c r="B53" s="969" t="s">
        <v>540</v>
      </c>
      <c r="C53" s="969"/>
      <c r="D53" s="1117" t="s">
        <v>541</v>
      </c>
      <c r="E53" s="1117" t="s">
        <v>127</v>
      </c>
      <c r="F53" s="969" t="s">
        <v>128</v>
      </c>
      <c r="G53" s="970" t="s">
        <v>539</v>
      </c>
      <c r="H53" s="946"/>
      <c r="I53" s="945"/>
      <c r="J53" s="946"/>
      <c r="K53" s="945"/>
      <c r="L53" s="945"/>
      <c r="M53" s="945"/>
      <c r="N53" s="945"/>
      <c r="O53" s="945"/>
    </row>
    <row r="54" spans="1:16" ht="12.75" customHeight="1">
      <c r="A54" s="977" t="s">
        <v>546</v>
      </c>
      <c r="B54" s="989"/>
      <c r="C54" s="990"/>
      <c r="D54" s="974">
        <v>8045.59</v>
      </c>
      <c r="E54" s="975">
        <f>+'Planillas diarias trapasos'!B392</f>
        <v>0</v>
      </c>
      <c r="F54" s="991">
        <f>+D54-E54</f>
        <v>8045.59</v>
      </c>
      <c r="G54" s="976"/>
      <c r="H54" s="1931">
        <v>40912</v>
      </c>
      <c r="I54" s="945"/>
      <c r="J54" s="946"/>
      <c r="K54" s="945"/>
      <c r="L54" s="945"/>
      <c r="M54" s="945"/>
      <c r="N54" s="945"/>
      <c r="O54" s="945"/>
    </row>
    <row r="55" spans="1:16" ht="12.75" customHeight="1" thickBot="1">
      <c r="A55" s="977"/>
      <c r="B55" s="978"/>
      <c r="C55" s="992"/>
      <c r="D55" s="979"/>
      <c r="E55" s="980">
        <f>+SUM('Planillas diarias trapasos'!B342:B343)</f>
        <v>0</v>
      </c>
      <c r="F55" s="981"/>
      <c r="G55" s="982"/>
      <c r="H55" s="946"/>
      <c r="I55" s="945"/>
      <c r="J55" s="946"/>
      <c r="K55" s="945"/>
      <c r="L55" s="945"/>
      <c r="M55" s="945"/>
      <c r="N55" s="945"/>
      <c r="O55" s="945"/>
    </row>
    <row r="56" spans="1:16" ht="12.75" customHeight="1" thickBot="1">
      <c r="A56" s="993" t="s">
        <v>111</v>
      </c>
      <c r="B56" s="510"/>
      <c r="C56" s="510"/>
      <c r="D56" s="1000">
        <f>SUM(D54:D55)</f>
        <v>8045.59</v>
      </c>
      <c r="E56" s="1003">
        <f>SUM(E54:E55)</f>
        <v>0</v>
      </c>
      <c r="F56" s="1116">
        <f>SUM(F54:F55)</f>
        <v>8045.59</v>
      </c>
      <c r="G56" s="510"/>
      <c r="H56" s="946"/>
      <c r="I56" s="945"/>
      <c r="J56" s="946"/>
      <c r="K56" s="945"/>
      <c r="L56" s="945"/>
      <c r="M56" s="945"/>
      <c r="N56" s="945"/>
      <c r="O56" s="945"/>
    </row>
    <row r="57" spans="1:16" ht="12.75" customHeight="1" thickBot="1">
      <c r="A57" s="993"/>
      <c r="B57" s="510"/>
      <c r="C57" s="510"/>
      <c r="D57" s="962"/>
      <c r="E57" s="962"/>
      <c r="F57" s="962"/>
      <c r="G57" s="510"/>
      <c r="H57" s="946"/>
      <c r="I57" s="945"/>
      <c r="J57" s="946"/>
      <c r="K57" s="945"/>
      <c r="L57" s="945"/>
      <c r="M57" s="945"/>
      <c r="N57" s="945"/>
      <c r="O57" s="945"/>
    </row>
    <row r="58" spans="1:16" ht="12.75" customHeight="1" thickBot="1">
      <c r="A58" s="4121" t="s">
        <v>545</v>
      </c>
      <c r="B58" s="4122"/>
      <c r="C58" s="3068" t="s">
        <v>547</v>
      </c>
      <c r="D58" s="4216" t="s">
        <v>826</v>
      </c>
      <c r="E58" s="4217"/>
      <c r="F58" s="963"/>
      <c r="G58" s="510"/>
      <c r="H58" s="946"/>
      <c r="I58" s="945"/>
      <c r="J58" s="946"/>
      <c r="K58" s="945"/>
      <c r="L58" s="945"/>
      <c r="M58" s="945"/>
      <c r="N58" s="945"/>
      <c r="O58" s="945"/>
    </row>
    <row r="59" spans="1:16" ht="12.75" customHeight="1">
      <c r="A59" s="986"/>
      <c r="B59" s="986"/>
      <c r="C59" s="987"/>
      <c r="D59" s="963"/>
      <c r="E59" s="963"/>
      <c r="F59" s="963"/>
      <c r="G59" s="510"/>
      <c r="H59" s="946"/>
      <c r="I59" s="945"/>
      <c r="J59" s="946"/>
      <c r="K59" s="945"/>
      <c r="L59" s="945"/>
      <c r="M59" s="945"/>
      <c r="N59" s="945"/>
      <c r="O59" s="945"/>
    </row>
    <row r="60" spans="1:16" ht="12.75" customHeight="1" thickBot="1">
      <c r="A60" s="988" t="s">
        <v>538</v>
      </c>
      <c r="B60" s="969" t="s">
        <v>540</v>
      </c>
      <c r="C60" s="969"/>
      <c r="D60" s="969" t="s">
        <v>541</v>
      </c>
      <c r="E60" s="969" t="s">
        <v>1034</v>
      </c>
      <c r="F60" s="969" t="s">
        <v>127</v>
      </c>
      <c r="G60" s="969" t="s">
        <v>128</v>
      </c>
      <c r="H60" s="970" t="s">
        <v>539</v>
      </c>
      <c r="I60" s="946"/>
      <c r="J60" s="946"/>
      <c r="K60" s="946"/>
      <c r="L60" s="945"/>
      <c r="M60" s="945"/>
      <c r="N60" s="945"/>
      <c r="O60" s="945"/>
      <c r="P60" s="945"/>
    </row>
    <row r="61" spans="1:16" ht="12.75" customHeight="1" thickBot="1">
      <c r="A61" s="977" t="s">
        <v>1046</v>
      </c>
      <c r="B61" s="989"/>
      <c r="C61" s="990"/>
      <c r="D61" s="974">
        <v>102.30500000000001</v>
      </c>
      <c r="E61" s="2350">
        <f>+D61</f>
        <v>102.30500000000001</v>
      </c>
      <c r="F61" s="975">
        <f>+SUM('Planillas diarias trapasos'!B332:B341)</f>
        <v>101.425</v>
      </c>
      <c r="G61" s="991">
        <f>+D61-F61</f>
        <v>0.88000000000000966</v>
      </c>
      <c r="H61" s="2930">
        <v>41199</v>
      </c>
      <c r="I61" s="1931">
        <v>40912</v>
      </c>
      <c r="J61" s="946"/>
      <c r="K61" s="946"/>
      <c r="L61" s="945"/>
      <c r="M61" s="945"/>
      <c r="N61" s="945"/>
      <c r="O61" s="945"/>
      <c r="P61" s="945"/>
    </row>
    <row r="62" spans="1:16" ht="12.75" customHeight="1" thickBot="1">
      <c r="A62" s="977" t="s">
        <v>1047</v>
      </c>
      <c r="B62" s="978"/>
      <c r="C62" s="992"/>
      <c r="D62" s="979">
        <v>5.53</v>
      </c>
      <c r="E62" s="2349">
        <f>+G61+D62</f>
        <v>6.4100000000000099</v>
      </c>
      <c r="F62" s="980">
        <f>+SUM('Planillas diarias trapasos'!B377)</f>
        <v>0</v>
      </c>
      <c r="G62" s="980">
        <f>+E62-F62</f>
        <v>6.4100000000000099</v>
      </c>
      <c r="H62" s="2930"/>
      <c r="I62" s="2929" t="s">
        <v>820</v>
      </c>
      <c r="J62" s="946"/>
      <c r="K62" s="946"/>
      <c r="L62" s="945"/>
      <c r="M62" s="945"/>
      <c r="N62" s="945"/>
      <c r="O62" s="945"/>
      <c r="P62" s="945"/>
    </row>
    <row r="63" spans="1:16" ht="12.75" customHeight="1" thickBot="1">
      <c r="A63" s="993" t="s">
        <v>111</v>
      </c>
      <c r="B63" s="510"/>
      <c r="C63" s="510"/>
      <c r="D63" s="1000">
        <f>SUM(D61:D62)</f>
        <v>107.83500000000001</v>
      </c>
      <c r="E63" s="1000">
        <v>0</v>
      </c>
      <c r="F63" s="1003">
        <f>SUM(F61:F62)</f>
        <v>101.425</v>
      </c>
      <c r="G63" s="1003">
        <f>+D63-F63</f>
        <v>6.4100000000000108</v>
      </c>
      <c r="H63" s="510"/>
      <c r="I63" s="946"/>
      <c r="J63" s="946"/>
      <c r="K63" s="946"/>
      <c r="L63" s="945"/>
      <c r="M63" s="945"/>
      <c r="N63" s="945"/>
      <c r="O63" s="945"/>
      <c r="P63" s="945"/>
    </row>
    <row r="64" spans="1:16" ht="12.75" customHeight="1">
      <c r="A64" s="993"/>
      <c r="B64" s="510"/>
      <c r="C64" s="510"/>
      <c r="D64" s="962"/>
      <c r="E64" s="962"/>
      <c r="F64" s="962"/>
      <c r="G64" s="962"/>
      <c r="H64" s="510"/>
      <c r="I64" s="946"/>
      <c r="J64" s="946"/>
      <c r="K64" s="946"/>
      <c r="L64" s="945"/>
      <c r="M64" s="945"/>
      <c r="N64" s="945"/>
      <c r="O64" s="945"/>
      <c r="P64" s="945"/>
    </row>
    <row r="65" spans="1:51" ht="12.75" customHeight="1" thickBot="1">
      <c r="A65" s="993"/>
      <c r="B65" s="510"/>
      <c r="C65" s="510"/>
      <c r="D65" s="962"/>
      <c r="E65" s="962"/>
      <c r="F65" s="962"/>
      <c r="G65" s="962"/>
      <c r="H65" s="510"/>
      <c r="I65" s="946"/>
      <c r="J65" s="946"/>
      <c r="K65" s="946"/>
      <c r="L65" s="945"/>
      <c r="M65" s="945"/>
      <c r="N65" s="945"/>
      <c r="O65" s="945"/>
      <c r="P65" s="945"/>
    </row>
    <row r="66" spans="1:51" ht="12.75" customHeight="1" thickBot="1">
      <c r="A66" s="4121" t="s">
        <v>545</v>
      </c>
      <c r="B66" s="4122"/>
      <c r="C66" s="3068" t="s">
        <v>547</v>
      </c>
      <c r="D66" s="4216" t="s">
        <v>1048</v>
      </c>
      <c r="E66" s="4217"/>
      <c r="F66" s="963"/>
      <c r="G66" s="510"/>
      <c r="H66" s="946"/>
      <c r="I66" s="946"/>
      <c r="J66" s="946"/>
      <c r="K66" s="946"/>
      <c r="L66" s="945"/>
      <c r="M66" s="945"/>
      <c r="N66" s="945"/>
      <c r="O66" s="945"/>
      <c r="P66" s="945"/>
    </row>
    <row r="67" spans="1:51" ht="12.75" customHeight="1">
      <c r="A67" s="986"/>
      <c r="B67" s="986"/>
      <c r="C67" s="987"/>
      <c r="D67" s="963"/>
      <c r="E67" s="963"/>
      <c r="F67" s="963"/>
      <c r="G67" s="510"/>
      <c r="H67" s="946"/>
      <c r="I67" s="946"/>
      <c r="J67" s="946"/>
      <c r="K67" s="946"/>
      <c r="L67" s="945"/>
      <c r="M67" s="945"/>
      <c r="N67" s="945"/>
      <c r="O67" s="945"/>
      <c r="P67" s="945"/>
    </row>
    <row r="68" spans="1:51" ht="12.75" customHeight="1" thickBot="1">
      <c r="A68" s="988" t="s">
        <v>538</v>
      </c>
      <c r="B68" s="969" t="s">
        <v>540</v>
      </c>
      <c r="C68" s="969"/>
      <c r="D68" s="969" t="s">
        <v>541</v>
      </c>
      <c r="E68" s="969" t="s">
        <v>1034</v>
      </c>
      <c r="F68" s="969" t="s">
        <v>127</v>
      </c>
      <c r="G68" s="969" t="s">
        <v>128</v>
      </c>
      <c r="H68" s="970" t="s">
        <v>539</v>
      </c>
      <c r="I68" s="1931">
        <v>40912</v>
      </c>
      <c r="J68" s="946"/>
      <c r="K68" s="946">
        <f>SUM(+F71+F63+E44)</f>
        <v>348.63800000000003</v>
      </c>
      <c r="L68" s="945"/>
      <c r="M68" s="945"/>
      <c r="N68" s="945"/>
      <c r="O68" s="945"/>
      <c r="P68" s="945"/>
    </row>
    <row r="69" spans="1:51" ht="12.75" customHeight="1">
      <c r="A69" s="977" t="s">
        <v>1049</v>
      </c>
      <c r="B69" s="989"/>
      <c r="C69" s="990"/>
      <c r="D69" s="974">
        <v>118.04900000000001</v>
      </c>
      <c r="E69" s="991">
        <f>+D69</f>
        <v>118.04900000000001</v>
      </c>
      <c r="F69" s="975">
        <f>+SUM('Planillas diarias trapasos'!B349:B353)</f>
        <v>15.66</v>
      </c>
      <c r="G69" s="1011">
        <f>+D69-F69</f>
        <v>102.38900000000001</v>
      </c>
      <c r="H69" s="2442"/>
      <c r="I69" s="946"/>
      <c r="J69" s="946"/>
      <c r="K69" s="946"/>
      <c r="L69" s="945"/>
      <c r="M69" s="945"/>
      <c r="N69" s="945"/>
      <c r="O69" s="945"/>
      <c r="P69" s="945"/>
    </row>
    <row r="70" spans="1:51" ht="12.75" customHeight="1" thickBot="1">
      <c r="A70" s="977" t="s">
        <v>1050</v>
      </c>
      <c r="B70" s="978"/>
      <c r="C70" s="992"/>
      <c r="D70" s="979">
        <v>1.381</v>
      </c>
      <c r="E70" s="981">
        <f>+G69+D70</f>
        <v>103.77000000000001</v>
      </c>
      <c r="F70" s="980">
        <f>+SUM('Planillas diarias trapasos'!B354:B355)</f>
        <v>55.283000000000001</v>
      </c>
      <c r="G70" s="2211">
        <f>+E70-F70</f>
        <v>48.487000000000009</v>
      </c>
      <c r="H70" s="2443"/>
      <c r="I70" s="2702" t="s">
        <v>644</v>
      </c>
      <c r="J70" s="946"/>
      <c r="K70" s="946"/>
      <c r="L70" s="945"/>
      <c r="M70" s="945"/>
      <c r="N70" s="945"/>
      <c r="O70" s="945"/>
      <c r="P70" s="945"/>
    </row>
    <row r="71" spans="1:51" ht="12.75" customHeight="1" thickBot="1">
      <c r="A71" s="993" t="s">
        <v>111</v>
      </c>
      <c r="B71" s="510"/>
      <c r="C71" s="510"/>
      <c r="D71" s="2440">
        <f>SUM(D69:D70)</f>
        <v>119.43</v>
      </c>
      <c r="E71" s="2440">
        <v>0</v>
      </c>
      <c r="F71" s="2441">
        <f>SUM(F69:F70)</f>
        <v>70.942999999999998</v>
      </c>
      <c r="G71" s="2441">
        <f>+D71-F71</f>
        <v>48.487000000000009</v>
      </c>
      <c r="H71" s="510"/>
      <c r="I71" s="946"/>
      <c r="J71" s="946"/>
      <c r="K71" s="946"/>
      <c r="L71" s="945"/>
      <c r="M71" s="945"/>
      <c r="N71" s="945"/>
      <c r="O71" s="945"/>
      <c r="P71" s="945"/>
    </row>
    <row r="72" spans="1:51" ht="12.75" customHeight="1">
      <c r="A72" s="993"/>
      <c r="B72" s="510"/>
      <c r="C72" s="510"/>
      <c r="D72" s="962"/>
      <c r="E72" s="962">
        <f>SUM(E63)</f>
        <v>0</v>
      </c>
      <c r="F72" s="962"/>
      <c r="G72" s="510"/>
      <c r="H72" s="946"/>
      <c r="I72" s="945"/>
      <c r="J72" s="946"/>
      <c r="K72" s="945"/>
      <c r="L72" s="945"/>
      <c r="M72" s="945"/>
      <c r="N72" s="945"/>
      <c r="O72" s="945"/>
    </row>
    <row r="73" spans="1:51" ht="15.6" thickBot="1">
      <c r="A73" s="510"/>
      <c r="B73" s="510"/>
      <c r="C73" s="510"/>
      <c r="D73" s="510"/>
      <c r="E73" s="510"/>
      <c r="F73" s="510"/>
      <c r="G73" s="510"/>
      <c r="H73" s="946"/>
      <c r="I73" s="945"/>
      <c r="J73" s="946"/>
      <c r="K73" s="945"/>
      <c r="L73" s="945"/>
      <c r="M73" s="945"/>
      <c r="N73" s="945"/>
      <c r="O73" s="945"/>
    </row>
    <row r="74" spans="1:51" ht="12.75" customHeight="1">
      <c r="A74" s="4233" t="s">
        <v>628</v>
      </c>
      <c r="B74" s="4234"/>
      <c r="C74" s="4234"/>
      <c r="D74" s="4234"/>
      <c r="E74" s="4234"/>
      <c r="F74" s="4234"/>
      <c r="G74" s="4235"/>
      <c r="H74" s="1698"/>
      <c r="I74" s="945"/>
      <c r="J74" s="946"/>
      <c r="K74" s="945"/>
      <c r="L74" s="945"/>
      <c r="M74" s="945"/>
      <c r="N74" s="945"/>
      <c r="O74" s="945"/>
    </row>
    <row r="75" spans="1:51" ht="12.75" customHeight="1" thickBot="1">
      <c r="A75" s="995" t="s">
        <v>588</v>
      </c>
      <c r="B75" s="996" t="s">
        <v>589</v>
      </c>
      <c r="C75" s="996"/>
      <c r="D75" s="996"/>
      <c r="E75" s="996"/>
      <c r="F75" s="996"/>
      <c r="G75" s="997"/>
      <c r="H75" s="946"/>
      <c r="I75" s="945"/>
      <c r="J75" s="946"/>
      <c r="K75" s="945"/>
      <c r="L75" s="945"/>
      <c r="M75" s="945"/>
      <c r="N75" s="945"/>
      <c r="O75" s="945"/>
    </row>
    <row r="76" spans="1:51" ht="12.75" customHeight="1" thickBot="1">
      <c r="A76" s="986"/>
      <c r="B76" s="1722"/>
      <c r="C76" s="1722"/>
      <c r="D76" s="1722"/>
      <c r="E76" s="1722"/>
      <c r="F76" s="1722"/>
      <c r="G76" s="1722"/>
      <c r="H76" s="946"/>
      <c r="I76" s="945"/>
      <c r="J76" s="946"/>
      <c r="K76" s="945"/>
      <c r="L76" s="945"/>
      <c r="M76" s="945"/>
      <c r="N76" s="945"/>
      <c r="O76" s="945"/>
    </row>
    <row r="77" spans="1:51" ht="12.75" customHeight="1" thickBot="1">
      <c r="A77" s="993" t="s">
        <v>147</v>
      </c>
      <c r="B77" s="998" t="s">
        <v>128</v>
      </c>
      <c r="C77" s="998" t="s">
        <v>574</v>
      </c>
      <c r="D77" s="998" t="s">
        <v>575</v>
      </c>
      <c r="E77" s="998" t="s">
        <v>576</v>
      </c>
      <c r="F77" s="998" t="s">
        <v>128</v>
      </c>
      <c r="G77" s="999" t="s">
        <v>577</v>
      </c>
      <c r="H77" s="993" t="s">
        <v>148</v>
      </c>
      <c r="I77" s="998" t="s">
        <v>128</v>
      </c>
      <c r="J77" s="998" t="s">
        <v>574</v>
      </c>
      <c r="K77" s="998" t="s">
        <v>575</v>
      </c>
      <c r="L77" s="998" t="s">
        <v>576</v>
      </c>
      <c r="M77" s="998" t="s">
        <v>128</v>
      </c>
      <c r="N77" s="999" t="s">
        <v>577</v>
      </c>
      <c r="O77" s="993" t="s">
        <v>149</v>
      </c>
      <c r="P77" s="998" t="s">
        <v>128</v>
      </c>
      <c r="Q77" s="998" t="s">
        <v>574</v>
      </c>
      <c r="R77" s="998" t="s">
        <v>575</v>
      </c>
      <c r="S77" s="998" t="s">
        <v>576</v>
      </c>
      <c r="T77" s="998" t="s">
        <v>128</v>
      </c>
      <c r="U77" s="999" t="s">
        <v>577</v>
      </c>
      <c r="V77" s="1723" t="s">
        <v>150</v>
      </c>
      <c r="W77" s="998" t="s">
        <v>128</v>
      </c>
      <c r="X77" s="998" t="s">
        <v>574</v>
      </c>
      <c r="Y77" s="998" t="s">
        <v>575</v>
      </c>
      <c r="Z77" s="998" t="s">
        <v>576</v>
      </c>
      <c r="AA77" s="998" t="s">
        <v>128</v>
      </c>
      <c r="AB77" s="999" t="s">
        <v>577</v>
      </c>
      <c r="AC77" s="1723" t="s">
        <v>1152</v>
      </c>
      <c r="AD77" s="998" t="s">
        <v>128</v>
      </c>
      <c r="AE77" s="998" t="s">
        <v>574</v>
      </c>
      <c r="AF77" s="998" t="s">
        <v>575</v>
      </c>
      <c r="AG77" s="998" t="s">
        <v>576</v>
      </c>
      <c r="AH77" s="998" t="s">
        <v>128</v>
      </c>
      <c r="AI77" s="1737" t="s">
        <v>576</v>
      </c>
      <c r="AK77" s="1723" t="s">
        <v>153</v>
      </c>
      <c r="AL77" t="s">
        <v>128</v>
      </c>
      <c r="AM77" s="2177" t="s">
        <v>574</v>
      </c>
      <c r="AN77" s="2178" t="s">
        <v>575</v>
      </c>
      <c r="AO77" s="2177" t="s">
        <v>987</v>
      </c>
      <c r="AP77" s="2176" t="s">
        <v>128</v>
      </c>
      <c r="AQ77" s="2179" t="s">
        <v>576</v>
      </c>
      <c r="AS77" s="1723" t="s">
        <v>154</v>
      </c>
      <c r="AT77" s="2176" t="s">
        <v>128</v>
      </c>
      <c r="AU77" s="2177" t="s">
        <v>574</v>
      </c>
      <c r="AV77" s="2178" t="s">
        <v>575</v>
      </c>
      <c r="AW77" s="2177" t="s">
        <v>987</v>
      </c>
      <c r="AX77" s="2176" t="s">
        <v>128</v>
      </c>
      <c r="AY77" s="2179" t="s">
        <v>576</v>
      </c>
    </row>
    <row r="78" spans="1:51" ht="12.75" customHeight="1" thickBot="1">
      <c r="A78" s="1723" t="s">
        <v>578</v>
      </c>
      <c r="B78" s="1001" t="s">
        <v>146</v>
      </c>
      <c r="C78" s="1001" t="s">
        <v>147</v>
      </c>
      <c r="D78" s="1001" t="s">
        <v>147</v>
      </c>
      <c r="E78" s="1001" t="s">
        <v>147</v>
      </c>
      <c r="F78" s="1001" t="s">
        <v>147</v>
      </c>
      <c r="G78" s="1002" t="s">
        <v>579</v>
      </c>
      <c r="H78" s="1723" t="s">
        <v>578</v>
      </c>
      <c r="I78" s="1737" t="s">
        <v>147</v>
      </c>
      <c r="J78" s="1737" t="s">
        <v>148</v>
      </c>
      <c r="K78" s="1737" t="s">
        <v>148</v>
      </c>
      <c r="L78" s="1737" t="s">
        <v>148</v>
      </c>
      <c r="M78" s="1737" t="s">
        <v>148</v>
      </c>
      <c r="N78" s="1737" t="s">
        <v>579</v>
      </c>
      <c r="O78" s="1723" t="s">
        <v>578</v>
      </c>
      <c r="P78" s="1737" t="s">
        <v>148</v>
      </c>
      <c r="Q78" s="1737" t="s">
        <v>149</v>
      </c>
      <c r="R78" s="1737" t="s">
        <v>149</v>
      </c>
      <c r="S78" s="1737" t="s">
        <v>149</v>
      </c>
      <c r="T78" s="1737" t="s">
        <v>149</v>
      </c>
      <c r="U78" s="1737" t="s">
        <v>579</v>
      </c>
      <c r="V78" s="1723" t="s">
        <v>578</v>
      </c>
      <c r="W78" s="1737" t="s">
        <v>149</v>
      </c>
      <c r="X78" s="1737" t="s">
        <v>150</v>
      </c>
      <c r="Y78" s="1737" t="s">
        <v>150</v>
      </c>
      <c r="Z78" s="1737" t="s">
        <v>150</v>
      </c>
      <c r="AA78" s="1737" t="s">
        <v>150</v>
      </c>
      <c r="AB78" s="1737" t="s">
        <v>579</v>
      </c>
      <c r="AC78" s="1723" t="s">
        <v>578</v>
      </c>
      <c r="AD78" s="1737" t="s">
        <v>150</v>
      </c>
      <c r="AE78" s="1737" t="s">
        <v>151</v>
      </c>
      <c r="AF78" s="1737" t="s">
        <v>151</v>
      </c>
      <c r="AG78" s="1737" t="s">
        <v>151</v>
      </c>
      <c r="AH78" s="1737" t="s">
        <v>151</v>
      </c>
      <c r="AI78" s="1737" t="s">
        <v>983</v>
      </c>
      <c r="AK78" s="1732" t="s">
        <v>578</v>
      </c>
      <c r="AL78" s="2359" t="s">
        <v>151</v>
      </c>
      <c r="AM78" s="2178" t="s">
        <v>153</v>
      </c>
      <c r="AN78" s="2178" t="s">
        <v>153</v>
      </c>
      <c r="AO78" s="2178" t="s">
        <v>153</v>
      </c>
      <c r="AP78" s="2178" t="s">
        <v>153</v>
      </c>
      <c r="AQ78" s="2180" t="s">
        <v>983</v>
      </c>
      <c r="AS78" s="1732" t="s">
        <v>578</v>
      </c>
      <c r="AT78" s="2180" t="s">
        <v>153</v>
      </c>
      <c r="AU78" s="2359" t="s">
        <v>154</v>
      </c>
      <c r="AV78" s="2360" t="s">
        <v>154</v>
      </c>
      <c r="AW78" s="2359" t="s">
        <v>154</v>
      </c>
      <c r="AX78" s="2360" t="s">
        <v>154</v>
      </c>
      <c r="AY78" s="2180" t="s">
        <v>983</v>
      </c>
    </row>
    <row r="79" spans="1:51" ht="12.75" customHeight="1">
      <c r="A79" s="1724" t="s">
        <v>872</v>
      </c>
      <c r="B79" s="1725">
        <v>30366.910572320172</v>
      </c>
      <c r="C79" s="1725">
        <v>4259</v>
      </c>
      <c r="D79" s="1725"/>
      <c r="E79" s="1725">
        <v>4259</v>
      </c>
      <c r="F79" s="1725">
        <v>26107.910572320172</v>
      </c>
      <c r="G79" s="1725">
        <v>18563</v>
      </c>
      <c r="H79" s="1724" t="s">
        <v>872</v>
      </c>
      <c r="I79" s="1725">
        <v>26107.910572320172</v>
      </c>
      <c r="J79" s="2449">
        <v>12527</v>
      </c>
      <c r="K79" s="1725"/>
      <c r="L79" s="1725">
        <v>12527</v>
      </c>
      <c r="M79" s="1725">
        <v>13580.910572320172</v>
      </c>
      <c r="N79" s="1725">
        <v>31090</v>
      </c>
      <c r="O79" s="1724" t="s">
        <v>872</v>
      </c>
      <c r="P79" s="1725">
        <v>13580.910572320172</v>
      </c>
      <c r="Q79" s="1725"/>
      <c r="R79" s="1725"/>
      <c r="S79" s="1725">
        <v>0</v>
      </c>
      <c r="T79" s="1725">
        <v>13580.910572320172</v>
      </c>
      <c r="U79" s="1725">
        <v>31090</v>
      </c>
      <c r="V79" s="1724" t="s">
        <v>872</v>
      </c>
      <c r="W79" s="1740">
        <v>13580.910572320172</v>
      </c>
      <c r="X79" s="1740">
        <v>4061</v>
      </c>
      <c r="Y79" s="1740"/>
      <c r="Z79" s="1740">
        <v>4061</v>
      </c>
      <c r="AA79" s="1740">
        <v>9519.9105723201719</v>
      </c>
      <c r="AB79" s="1740">
        <v>35151</v>
      </c>
      <c r="AC79" s="1724" t="s">
        <v>872</v>
      </c>
      <c r="AD79" s="1725">
        <v>9519.9105723201719</v>
      </c>
      <c r="AE79" s="1746">
        <v>4753</v>
      </c>
      <c r="AF79" s="1746"/>
      <c r="AG79" s="1746">
        <v>4753</v>
      </c>
      <c r="AH79" s="1725">
        <v>4766.9105723201719</v>
      </c>
      <c r="AI79" s="1725">
        <v>39904</v>
      </c>
      <c r="AK79" t="s">
        <v>872</v>
      </c>
      <c r="AL79">
        <f>'[1]Resumen ORG.'!BA65</f>
        <v>0</v>
      </c>
      <c r="AM79" s="1746">
        <v>9633</v>
      </c>
      <c r="AN79" s="1746"/>
      <c r="AO79" s="1746">
        <f>AM79+AN79</f>
        <v>9633</v>
      </c>
      <c r="AP79" s="1725">
        <f>AL79-AO79</f>
        <v>-9633</v>
      </c>
      <c r="AQ79" s="1746">
        <f>[1]Julio!AQ67+AO79</f>
        <v>9633</v>
      </c>
      <c r="AS79" t="s">
        <v>872</v>
      </c>
      <c r="AT79">
        <v>-9633</v>
      </c>
      <c r="AU79" s="1746">
        <v>5382</v>
      </c>
      <c r="AV79" s="1746"/>
      <c r="AW79" s="1746">
        <v>5382</v>
      </c>
      <c r="AX79" s="1725">
        <v>-15015</v>
      </c>
      <c r="AY79" s="1746">
        <v>15015</v>
      </c>
    </row>
    <row r="80" spans="1:51" ht="12.75" customHeight="1">
      <c r="A80" s="1726" t="s">
        <v>873</v>
      </c>
      <c r="B80" s="1725">
        <v>9164.9306951182953</v>
      </c>
      <c r="C80" s="1725">
        <v>222</v>
      </c>
      <c r="D80" s="1725"/>
      <c r="E80" s="1725">
        <v>222</v>
      </c>
      <c r="F80" s="1725">
        <v>8942.9306951182953</v>
      </c>
      <c r="G80" s="1725">
        <v>9824</v>
      </c>
      <c r="H80" s="1726" t="s">
        <v>873</v>
      </c>
      <c r="I80" s="1725">
        <v>8942.9306951182953</v>
      </c>
      <c r="J80" s="2449">
        <v>3160</v>
      </c>
      <c r="K80" s="1725"/>
      <c r="L80" s="1725">
        <v>3160</v>
      </c>
      <c r="M80" s="1725">
        <v>5782.9306951182953</v>
      </c>
      <c r="N80" s="1725">
        <v>12984</v>
      </c>
      <c r="O80" s="1726" t="s">
        <v>873</v>
      </c>
      <c r="P80" s="1725">
        <v>5782.9306951182953</v>
      </c>
      <c r="Q80" s="1725"/>
      <c r="R80" s="1725"/>
      <c r="S80" s="1725">
        <v>0</v>
      </c>
      <c r="T80" s="1725">
        <v>5782.9306951182953</v>
      </c>
      <c r="U80" s="1725">
        <v>12984</v>
      </c>
      <c r="V80" s="1726" t="s">
        <v>873</v>
      </c>
      <c r="W80" s="1740">
        <v>5782.9306951182953</v>
      </c>
      <c r="X80" s="1740"/>
      <c r="Y80" s="1740"/>
      <c r="Z80" s="1740">
        <v>0</v>
      </c>
      <c r="AA80" s="1740">
        <v>5782.9306951182953</v>
      </c>
      <c r="AB80" s="1740">
        <v>12984</v>
      </c>
      <c r="AC80" s="1726" t="s">
        <v>873</v>
      </c>
      <c r="AD80" s="1725">
        <v>5782.9306951182953</v>
      </c>
      <c r="AE80" s="1746"/>
      <c r="AF80" s="1746"/>
      <c r="AG80" s="1746">
        <v>0</v>
      </c>
      <c r="AH80" s="1725">
        <v>5782.9306951182953</v>
      </c>
      <c r="AI80" s="1725">
        <v>12984</v>
      </c>
      <c r="AK80" t="s">
        <v>873</v>
      </c>
      <c r="AL80">
        <f>'[1]Resumen ORG.'!BA66</f>
        <v>0</v>
      </c>
      <c r="AM80" s="1746"/>
      <c r="AN80" s="1746"/>
      <c r="AO80" s="1746">
        <f t="shared" ref="AO80:AO115" si="0">AM80+AN80</f>
        <v>0</v>
      </c>
      <c r="AP80" s="1725">
        <f t="shared" ref="AP80:AP115" si="1">AL80-AO80</f>
        <v>0</v>
      </c>
      <c r="AQ80" s="1746">
        <f>[1]Julio!AQ68+AO80</f>
        <v>0</v>
      </c>
      <c r="AS80" t="s">
        <v>873</v>
      </c>
      <c r="AT80">
        <v>0</v>
      </c>
      <c r="AU80" s="1746">
        <v>1010</v>
      </c>
      <c r="AV80" s="1746"/>
      <c r="AW80" s="1746">
        <v>1010</v>
      </c>
      <c r="AX80" s="1725">
        <v>-1010</v>
      </c>
      <c r="AY80" s="1746">
        <v>1010</v>
      </c>
    </row>
    <row r="81" spans="1:51" ht="12.75" customHeight="1">
      <c r="A81" s="1726" t="s">
        <v>874</v>
      </c>
      <c r="B81" s="1725">
        <v>13515.645888399613</v>
      </c>
      <c r="C81" s="1725"/>
      <c r="D81" s="1725"/>
      <c r="E81" s="1725">
        <v>0</v>
      </c>
      <c r="F81" s="1725">
        <v>13515.645888399613</v>
      </c>
      <c r="G81" s="1725">
        <v>8535</v>
      </c>
      <c r="H81" s="1726" t="s">
        <v>874</v>
      </c>
      <c r="I81" s="1725">
        <v>13515.645888399613</v>
      </c>
      <c r="J81" s="2449"/>
      <c r="K81" s="1725"/>
      <c r="L81" s="1725">
        <v>0</v>
      </c>
      <c r="M81" s="1725">
        <v>13515.645888399613</v>
      </c>
      <c r="N81" s="1725">
        <v>8535</v>
      </c>
      <c r="O81" s="1726" t="s">
        <v>874</v>
      </c>
      <c r="P81" s="1725">
        <v>13515.645888399613</v>
      </c>
      <c r="Q81" s="1725"/>
      <c r="R81" s="1725"/>
      <c r="S81" s="1725">
        <v>0</v>
      </c>
      <c r="T81" s="1725">
        <v>13515.645888399613</v>
      </c>
      <c r="U81" s="1725">
        <v>8535</v>
      </c>
      <c r="V81" s="1726" t="s">
        <v>874</v>
      </c>
      <c r="W81" s="1740">
        <v>13515.645888399613</v>
      </c>
      <c r="X81" s="1740">
        <v>434</v>
      </c>
      <c r="Y81" s="1740"/>
      <c r="Z81" s="1740">
        <v>434</v>
      </c>
      <c r="AA81" s="1740">
        <v>13081.645888399613</v>
      </c>
      <c r="AB81" s="1740">
        <v>8969</v>
      </c>
      <c r="AC81" s="1726" t="s">
        <v>874</v>
      </c>
      <c r="AD81" s="1725">
        <v>13081.645888399613</v>
      </c>
      <c r="AE81" s="1746">
        <v>433</v>
      </c>
      <c r="AF81" s="1746"/>
      <c r="AG81" s="1746">
        <v>433</v>
      </c>
      <c r="AH81" s="1725">
        <v>12648.645888399613</v>
      </c>
      <c r="AI81" s="1725">
        <v>9402</v>
      </c>
      <c r="AK81" t="s">
        <v>874</v>
      </c>
      <c r="AL81">
        <f>'[1]Resumen ORG.'!BA67</f>
        <v>0</v>
      </c>
      <c r="AM81" s="1746">
        <v>1174</v>
      </c>
      <c r="AN81" s="1746"/>
      <c r="AO81" s="1746">
        <f t="shared" si="0"/>
        <v>1174</v>
      </c>
      <c r="AP81" s="1725">
        <f t="shared" si="1"/>
        <v>-1174</v>
      </c>
      <c r="AQ81" s="1746">
        <f>[1]Julio!AQ69+AO81</f>
        <v>1174</v>
      </c>
      <c r="AS81" t="s">
        <v>874</v>
      </c>
      <c r="AT81">
        <v>-1174</v>
      </c>
      <c r="AU81" s="1746">
        <v>1880</v>
      </c>
      <c r="AV81" s="1746"/>
      <c r="AW81" s="1746">
        <v>1880</v>
      </c>
      <c r="AX81" s="1725">
        <v>-3054</v>
      </c>
      <c r="AY81" s="1746">
        <v>3054</v>
      </c>
    </row>
    <row r="82" spans="1:51" ht="12.75" customHeight="1">
      <c r="A82" s="1727" t="s">
        <v>765</v>
      </c>
      <c r="B82" s="1725">
        <v>88849.624986513489</v>
      </c>
      <c r="C82" s="1725"/>
      <c r="D82" s="1725"/>
      <c r="E82" s="1725">
        <v>0</v>
      </c>
      <c r="F82" s="1725">
        <v>88849.624986513489</v>
      </c>
      <c r="G82" s="1725">
        <v>2544</v>
      </c>
      <c r="H82" s="1727" t="s">
        <v>765</v>
      </c>
      <c r="I82" s="1725">
        <v>88849.624986513489</v>
      </c>
      <c r="J82" s="2449"/>
      <c r="K82" s="1725"/>
      <c r="L82" s="1725">
        <v>0</v>
      </c>
      <c r="M82" s="1725">
        <v>88849.624986513489</v>
      </c>
      <c r="N82" s="1725">
        <v>2544</v>
      </c>
      <c r="O82" s="1727" t="s">
        <v>765</v>
      </c>
      <c r="P82" s="1725">
        <v>88849.624986513489</v>
      </c>
      <c r="Q82" s="1725"/>
      <c r="R82" s="1725">
        <v>43598</v>
      </c>
      <c r="S82" s="1725">
        <v>43598</v>
      </c>
      <c r="T82" s="1725">
        <v>45251.624986513489</v>
      </c>
      <c r="U82" s="1725">
        <v>46142</v>
      </c>
      <c r="V82" s="1727" t="s">
        <v>765</v>
      </c>
      <c r="W82" s="1740">
        <v>45251.624986513489</v>
      </c>
      <c r="X82" s="1740"/>
      <c r="Y82" s="1740">
        <v>2999</v>
      </c>
      <c r="Z82" s="1740">
        <v>2999</v>
      </c>
      <c r="AA82" s="1740">
        <v>42252.624986513489</v>
      </c>
      <c r="AB82" s="1740">
        <v>49141</v>
      </c>
      <c r="AC82" s="1727" t="s">
        <v>765</v>
      </c>
      <c r="AD82" s="1725">
        <v>42252.624986513489</v>
      </c>
      <c r="AE82" s="1746"/>
      <c r="AF82" s="1746"/>
      <c r="AG82" s="1746">
        <v>0</v>
      </c>
      <c r="AH82" s="1725">
        <v>42252.624986513489</v>
      </c>
      <c r="AI82" s="1725">
        <v>49141</v>
      </c>
      <c r="AK82" t="s">
        <v>765</v>
      </c>
      <c r="AL82">
        <f>'[1]Resumen ORG.'!BA68</f>
        <v>0</v>
      </c>
      <c r="AM82" s="1746">
        <v>570</v>
      </c>
      <c r="AN82" s="1746"/>
      <c r="AO82" s="1746">
        <f t="shared" si="0"/>
        <v>570</v>
      </c>
      <c r="AP82" s="1725">
        <f t="shared" si="1"/>
        <v>-570</v>
      </c>
      <c r="AQ82" s="1746">
        <f>[1]Julio!AQ70+AO82</f>
        <v>570</v>
      </c>
      <c r="AS82" t="s">
        <v>765</v>
      </c>
      <c r="AT82">
        <v>-570</v>
      </c>
      <c r="AU82" s="1746">
        <v>873</v>
      </c>
      <c r="AV82" s="1746"/>
      <c r="AW82" s="1746">
        <v>873</v>
      </c>
      <c r="AX82" s="1725">
        <v>-1443</v>
      </c>
      <c r="AY82" s="1746">
        <v>1443</v>
      </c>
    </row>
    <row r="83" spans="1:51" ht="12.75" customHeight="1">
      <c r="A83" s="1726" t="s">
        <v>875</v>
      </c>
      <c r="B83" s="1725">
        <v>16032.391636726896</v>
      </c>
      <c r="C83" s="1725"/>
      <c r="D83" s="1725"/>
      <c r="E83" s="1725">
        <v>0</v>
      </c>
      <c r="F83" s="1725">
        <v>16032.391636726896</v>
      </c>
      <c r="G83" s="1725">
        <v>0</v>
      </c>
      <c r="H83" s="1726" t="s">
        <v>875</v>
      </c>
      <c r="I83" s="1725">
        <v>16032.391636726896</v>
      </c>
      <c r="J83" s="2449"/>
      <c r="K83" s="1725"/>
      <c r="L83" s="1725">
        <v>0</v>
      </c>
      <c r="M83" s="1725">
        <v>16032.391636726896</v>
      </c>
      <c r="N83" s="1725">
        <v>0</v>
      </c>
      <c r="O83" s="1726" t="s">
        <v>875</v>
      </c>
      <c r="P83" s="1725">
        <v>16032.391636726896</v>
      </c>
      <c r="Q83" s="1725"/>
      <c r="R83" s="1725"/>
      <c r="S83" s="1725">
        <v>0</v>
      </c>
      <c r="T83" s="1725">
        <v>16032.391636726896</v>
      </c>
      <c r="U83" s="1725">
        <v>0</v>
      </c>
      <c r="V83" s="1726" t="s">
        <v>875</v>
      </c>
      <c r="W83" s="1740">
        <v>16032.391636726896</v>
      </c>
      <c r="X83" s="1740"/>
      <c r="Y83" s="1740"/>
      <c r="Z83" s="1740">
        <v>0</v>
      </c>
      <c r="AA83" s="1740">
        <v>16032.391636726896</v>
      </c>
      <c r="AB83" s="1740">
        <v>0</v>
      </c>
      <c r="AC83" s="1726" t="s">
        <v>875</v>
      </c>
      <c r="AD83" s="1725">
        <v>16032.391636726896</v>
      </c>
      <c r="AE83" s="1746"/>
      <c r="AF83" s="1746">
        <v>12470</v>
      </c>
      <c r="AG83" s="1746">
        <v>12470</v>
      </c>
      <c r="AH83" s="1725">
        <v>16032.391636726896</v>
      </c>
      <c r="AI83" s="1725">
        <v>12470</v>
      </c>
      <c r="AK83" t="s">
        <v>875</v>
      </c>
      <c r="AL83">
        <f>'[1]Resumen ORG.'!BA69</f>
        <v>0</v>
      </c>
      <c r="AM83" s="1746">
        <v>56</v>
      </c>
      <c r="AN83" s="1746"/>
      <c r="AO83" s="1746">
        <f t="shared" si="0"/>
        <v>56</v>
      </c>
      <c r="AP83" s="1725">
        <f t="shared" si="1"/>
        <v>-56</v>
      </c>
      <c r="AQ83" s="1746">
        <f>[1]Julio!AQ71+AO83</f>
        <v>56</v>
      </c>
      <c r="AS83" t="s">
        <v>875</v>
      </c>
      <c r="AT83">
        <v>-56</v>
      </c>
      <c r="AU83" s="1746"/>
      <c r="AV83" s="1746">
        <v>12414</v>
      </c>
      <c r="AW83" s="1746">
        <v>12414</v>
      </c>
      <c r="AX83" s="1725">
        <v>-12470</v>
      </c>
      <c r="AY83" s="1746">
        <v>12470</v>
      </c>
    </row>
    <row r="84" spans="1:51" ht="12.75" customHeight="1">
      <c r="A84" s="1727" t="s">
        <v>876</v>
      </c>
      <c r="B84" s="1725">
        <v>30476.400374489764</v>
      </c>
      <c r="C84" s="1725"/>
      <c r="D84" s="1725"/>
      <c r="E84" s="1725">
        <v>0</v>
      </c>
      <c r="F84" s="1725">
        <v>30476.400374489764</v>
      </c>
      <c r="G84" s="1725">
        <v>0</v>
      </c>
      <c r="H84" s="1727" t="s">
        <v>876</v>
      </c>
      <c r="I84" s="1725">
        <v>30476.400374489764</v>
      </c>
      <c r="J84" s="2449">
        <v>4270</v>
      </c>
      <c r="K84" s="1725"/>
      <c r="L84" s="1725">
        <v>4270</v>
      </c>
      <c r="M84" s="1725">
        <v>26206.400374489764</v>
      </c>
      <c r="N84" s="1725">
        <v>4270</v>
      </c>
      <c r="O84" s="1727" t="s">
        <v>876</v>
      </c>
      <c r="P84" s="1725">
        <v>26206.400374489764</v>
      </c>
      <c r="Q84" s="1725"/>
      <c r="R84" s="1725"/>
      <c r="S84" s="1725">
        <v>0</v>
      </c>
      <c r="T84" s="1725">
        <v>26206.400374489764</v>
      </c>
      <c r="U84" s="1725">
        <v>4270</v>
      </c>
      <c r="V84" s="1727" t="s">
        <v>876</v>
      </c>
      <c r="W84" s="1740">
        <v>26206.400374489764</v>
      </c>
      <c r="X84" s="1740">
        <v>4355</v>
      </c>
      <c r="Y84" s="1740"/>
      <c r="Z84" s="1740">
        <v>4355</v>
      </c>
      <c r="AA84" s="1740">
        <v>21851.400374489764</v>
      </c>
      <c r="AB84" s="1740">
        <v>8625</v>
      </c>
      <c r="AC84" s="1727" t="s">
        <v>876</v>
      </c>
      <c r="AD84" s="1725">
        <v>21851.400374489764</v>
      </c>
      <c r="AE84" s="1746">
        <v>805</v>
      </c>
      <c r="AF84" s="1746"/>
      <c r="AG84" s="1746">
        <v>805</v>
      </c>
      <c r="AH84" s="1725">
        <v>21046.400374489764</v>
      </c>
      <c r="AI84" s="1725">
        <v>9430</v>
      </c>
      <c r="AK84" t="s">
        <v>876</v>
      </c>
      <c r="AL84">
        <f>'[1]Resumen ORG.'!BA70</f>
        <v>0</v>
      </c>
      <c r="AM84" s="1746">
        <v>4399</v>
      </c>
      <c r="AN84" s="1746"/>
      <c r="AO84" s="1746">
        <f t="shared" si="0"/>
        <v>4399</v>
      </c>
      <c r="AP84" s="1725">
        <f t="shared" si="1"/>
        <v>-4399</v>
      </c>
      <c r="AQ84" s="1746">
        <f>[1]Julio!AQ72+AO84</f>
        <v>4399</v>
      </c>
      <c r="AS84" t="s">
        <v>876</v>
      </c>
      <c r="AT84">
        <v>-4399</v>
      </c>
      <c r="AU84" s="1746"/>
      <c r="AV84" s="1746"/>
      <c r="AW84" s="1746">
        <v>0</v>
      </c>
      <c r="AX84" s="1725">
        <v>-4399</v>
      </c>
      <c r="AY84" s="1746">
        <v>4399</v>
      </c>
    </row>
    <row r="85" spans="1:51" ht="12.75" customHeight="1">
      <c r="A85" s="1726" t="s">
        <v>877</v>
      </c>
      <c r="B85" s="1725">
        <v>30862.561769190259</v>
      </c>
      <c r="C85" s="1725">
        <v>870</v>
      </c>
      <c r="D85" s="1725"/>
      <c r="E85" s="1725">
        <v>870</v>
      </c>
      <c r="F85" s="1725">
        <v>29992.561769190259</v>
      </c>
      <c r="G85" s="1725">
        <v>14262</v>
      </c>
      <c r="H85" s="1726" t="s">
        <v>877</v>
      </c>
      <c r="I85" s="1725">
        <v>29992.561769190259</v>
      </c>
      <c r="J85" s="2449">
        <v>3802</v>
      </c>
      <c r="K85" s="1725"/>
      <c r="L85" s="1725">
        <v>3802</v>
      </c>
      <c r="M85" s="1725">
        <v>26190.561769190259</v>
      </c>
      <c r="N85" s="1725">
        <v>18064</v>
      </c>
      <c r="O85" s="1726" t="s">
        <v>877</v>
      </c>
      <c r="P85" s="1725">
        <v>26190.561769190259</v>
      </c>
      <c r="Q85" s="1729">
        <v>1267</v>
      </c>
      <c r="R85" s="1725"/>
      <c r="S85" s="1725">
        <v>1267</v>
      </c>
      <c r="T85" s="1725">
        <v>24923.561769190259</v>
      </c>
      <c r="U85" s="1725">
        <v>19331</v>
      </c>
      <c r="V85" s="1726" t="s">
        <v>877</v>
      </c>
      <c r="W85" s="1740">
        <v>24923.561769190259</v>
      </c>
      <c r="X85" s="1740">
        <v>3588</v>
      </c>
      <c r="Y85" s="1740"/>
      <c r="Z85" s="1740">
        <v>3588</v>
      </c>
      <c r="AA85" s="1740">
        <v>21335.561769190259</v>
      </c>
      <c r="AB85" s="1740">
        <v>22919</v>
      </c>
      <c r="AC85" s="1726" t="s">
        <v>877</v>
      </c>
      <c r="AD85" s="1725">
        <v>21335.561769190259</v>
      </c>
      <c r="AE85" s="1746"/>
      <c r="AF85" s="1746"/>
      <c r="AG85" s="1746">
        <v>0</v>
      </c>
      <c r="AH85" s="1725">
        <v>21335.561769190259</v>
      </c>
      <c r="AI85" s="1725">
        <v>22919</v>
      </c>
      <c r="AK85" t="s">
        <v>877</v>
      </c>
      <c r="AL85">
        <f>'[1]Resumen ORG.'!BA71</f>
        <v>0</v>
      </c>
      <c r="AM85" s="1746">
        <v>5543</v>
      </c>
      <c r="AN85" s="1746"/>
      <c r="AO85" s="1746">
        <f t="shared" si="0"/>
        <v>5543</v>
      </c>
      <c r="AP85" s="1725">
        <f t="shared" si="1"/>
        <v>-5543</v>
      </c>
      <c r="AQ85" s="1746">
        <f>[1]Julio!AQ73+AO85</f>
        <v>5543</v>
      </c>
      <c r="AS85" t="s">
        <v>877</v>
      </c>
      <c r="AT85">
        <v>-5543</v>
      </c>
      <c r="AU85" s="1746">
        <v>7678</v>
      </c>
      <c r="AV85" s="1746"/>
      <c r="AW85" s="1746">
        <v>7678</v>
      </c>
      <c r="AX85" s="1725">
        <v>-13221</v>
      </c>
      <c r="AY85" s="1746">
        <v>13221</v>
      </c>
    </row>
    <row r="86" spans="1:51" ht="12.75" customHeight="1">
      <c r="A86" s="1726" t="s">
        <v>580</v>
      </c>
      <c r="B86" s="1725">
        <v>42878.348162077127</v>
      </c>
      <c r="C86" s="1725"/>
      <c r="D86" s="1725">
        <v>28718</v>
      </c>
      <c r="E86" s="1725">
        <v>28718</v>
      </c>
      <c r="F86" s="1725">
        <v>14160.348162077127</v>
      </c>
      <c r="G86" s="1725">
        <v>31387</v>
      </c>
      <c r="H86" s="1726" t="s">
        <v>580</v>
      </c>
      <c r="I86" s="1725">
        <v>14160.348162077127</v>
      </c>
      <c r="J86" s="2449"/>
      <c r="K86" s="1725"/>
      <c r="L86" s="1725">
        <v>0</v>
      </c>
      <c r="M86" s="1725">
        <v>14160.348162077127</v>
      </c>
      <c r="N86" s="1725">
        <v>31387</v>
      </c>
      <c r="O86" s="1726" t="s">
        <v>580</v>
      </c>
      <c r="P86" s="1725">
        <v>14160.348162077127</v>
      </c>
      <c r="Q86" s="1725"/>
      <c r="R86" s="1725"/>
      <c r="S86" s="1725">
        <v>0</v>
      </c>
      <c r="T86" s="1725">
        <v>14160.348162077127</v>
      </c>
      <c r="U86" s="1725">
        <v>31387</v>
      </c>
      <c r="V86" s="1726" t="s">
        <v>580</v>
      </c>
      <c r="W86" s="1740">
        <v>14160.348162077127</v>
      </c>
      <c r="X86" s="1740"/>
      <c r="Y86" s="1740"/>
      <c r="Z86" s="1740">
        <v>0</v>
      </c>
      <c r="AA86" s="1740">
        <v>14160.348162077127</v>
      </c>
      <c r="AB86" s="1740">
        <v>31387</v>
      </c>
      <c r="AC86" s="1726" t="s">
        <v>580</v>
      </c>
      <c r="AD86" s="1725">
        <v>14160.348162077127</v>
      </c>
      <c r="AE86" s="1746"/>
      <c r="AF86" s="1746"/>
      <c r="AG86" s="1746">
        <v>0</v>
      </c>
      <c r="AH86" s="1725">
        <v>14160.348162077127</v>
      </c>
      <c r="AI86" s="1725">
        <v>31387</v>
      </c>
      <c r="AK86" t="s">
        <v>580</v>
      </c>
      <c r="AL86">
        <f>'[1]Resumen ORG.'!BA72</f>
        <v>0</v>
      </c>
      <c r="AM86" s="1746"/>
      <c r="AN86" s="1746"/>
      <c r="AO86" s="1746">
        <f t="shared" si="0"/>
        <v>0</v>
      </c>
      <c r="AP86" s="1725">
        <f t="shared" si="1"/>
        <v>0</v>
      </c>
      <c r="AQ86" s="1746">
        <f>[1]Julio!AQ74+AO86</f>
        <v>0</v>
      </c>
      <c r="AS86" t="s">
        <v>580</v>
      </c>
      <c r="AT86">
        <v>0</v>
      </c>
      <c r="AU86" s="1746"/>
      <c r="AV86" s="1746">
        <v>40327</v>
      </c>
      <c r="AW86" s="1746">
        <v>40327</v>
      </c>
      <c r="AX86" s="1725">
        <v>-40327</v>
      </c>
      <c r="AY86" s="1746">
        <v>40327</v>
      </c>
    </row>
    <row r="87" spans="1:51" ht="12.75" customHeight="1">
      <c r="A87" s="1727" t="s">
        <v>345</v>
      </c>
      <c r="B87" s="1725">
        <v>9693.3545536327365</v>
      </c>
      <c r="C87" s="1725">
        <v>238</v>
      </c>
      <c r="D87" s="1725">
        <v>1188</v>
      </c>
      <c r="E87" s="1725">
        <v>1426</v>
      </c>
      <c r="F87" s="1725">
        <v>8267.3545536327365</v>
      </c>
      <c r="G87" s="1725">
        <v>6370</v>
      </c>
      <c r="H87" s="1727" t="s">
        <v>345</v>
      </c>
      <c r="I87" s="1725">
        <v>8267.3545536327365</v>
      </c>
      <c r="J87" s="2449">
        <v>1580</v>
      </c>
      <c r="K87" s="1725"/>
      <c r="L87" s="1725">
        <v>1580</v>
      </c>
      <c r="M87" s="1725">
        <v>6687.3545536327365</v>
      </c>
      <c r="N87" s="1725">
        <v>7950</v>
      </c>
      <c r="O87" s="1727" t="s">
        <v>345</v>
      </c>
      <c r="P87" s="1725">
        <v>6687.3545536327365</v>
      </c>
      <c r="Q87" s="1725"/>
      <c r="R87" s="1725"/>
      <c r="S87" s="1725">
        <v>0</v>
      </c>
      <c r="T87" s="1725">
        <v>6687.3545536327365</v>
      </c>
      <c r="U87" s="1725">
        <v>7950</v>
      </c>
      <c r="V87" s="1727" t="s">
        <v>345</v>
      </c>
      <c r="W87" s="1740">
        <v>6687.3545536327365</v>
      </c>
      <c r="X87" s="1740"/>
      <c r="Y87" s="1740"/>
      <c r="Z87" s="1740">
        <v>0</v>
      </c>
      <c r="AA87" s="1740">
        <v>6687.3545536327365</v>
      </c>
      <c r="AB87" s="1740">
        <v>7950</v>
      </c>
      <c r="AC87" s="1727" t="s">
        <v>345</v>
      </c>
      <c r="AD87" s="1725">
        <v>6687.3545536327365</v>
      </c>
      <c r="AE87" s="1746">
        <v>577</v>
      </c>
      <c r="AF87" s="1746"/>
      <c r="AG87" s="1746">
        <v>577</v>
      </c>
      <c r="AH87" s="1725">
        <v>6110.3545536327365</v>
      </c>
      <c r="AI87" s="1725">
        <v>8527</v>
      </c>
      <c r="AK87" t="s">
        <v>345</v>
      </c>
      <c r="AL87">
        <f>'[1]Resumen ORG.'!BA73</f>
        <v>0</v>
      </c>
      <c r="AM87" s="1746">
        <v>296</v>
      </c>
      <c r="AN87" s="1746"/>
      <c r="AO87" s="1746">
        <f t="shared" si="0"/>
        <v>296</v>
      </c>
      <c r="AP87" s="1725">
        <f t="shared" si="1"/>
        <v>-296</v>
      </c>
      <c r="AQ87" s="1746">
        <f>[1]Julio!AQ75+AO87</f>
        <v>296</v>
      </c>
      <c r="AS87" t="s">
        <v>345</v>
      </c>
      <c r="AT87">
        <v>-296</v>
      </c>
      <c r="AU87" s="1746">
        <v>1466</v>
      </c>
      <c r="AV87" s="1746"/>
      <c r="AW87" s="1746">
        <v>1466</v>
      </c>
      <c r="AX87" s="1725">
        <v>-1762</v>
      </c>
      <c r="AY87" s="1746">
        <v>1762</v>
      </c>
    </row>
    <row r="88" spans="1:51" ht="12.75" customHeight="1">
      <c r="A88" s="1728" t="s">
        <v>581</v>
      </c>
      <c r="B88" s="1725">
        <v>9446.8143111257777</v>
      </c>
      <c r="C88" s="1725"/>
      <c r="D88" s="1725">
        <v>5763</v>
      </c>
      <c r="E88" s="1725">
        <v>5763</v>
      </c>
      <c r="F88" s="1725">
        <v>3683.8143111257777</v>
      </c>
      <c r="G88" s="1725">
        <v>5763</v>
      </c>
      <c r="H88" s="1728" t="s">
        <v>581</v>
      </c>
      <c r="I88" s="1725">
        <v>3683.8143111257777</v>
      </c>
      <c r="J88" s="2449"/>
      <c r="K88" s="1725"/>
      <c r="L88" s="1725">
        <v>0</v>
      </c>
      <c r="M88" s="1725">
        <v>3683.8143111257777</v>
      </c>
      <c r="N88" s="1725">
        <v>5763</v>
      </c>
      <c r="O88" s="1728" t="s">
        <v>581</v>
      </c>
      <c r="P88" s="1725">
        <v>3683.8143111257777</v>
      </c>
      <c r="Q88" s="1725"/>
      <c r="R88" s="1725"/>
      <c r="S88" s="1725">
        <v>0</v>
      </c>
      <c r="T88" s="1725">
        <v>3683.8143111257777</v>
      </c>
      <c r="U88" s="1725">
        <v>5763</v>
      </c>
      <c r="V88" s="1728" t="s">
        <v>581</v>
      </c>
      <c r="W88" s="1740">
        <v>3683.8143111257777</v>
      </c>
      <c r="X88" s="1740"/>
      <c r="Y88" s="1740"/>
      <c r="Z88" s="1740">
        <v>0</v>
      </c>
      <c r="AA88" s="1740">
        <v>3683.8143111257777</v>
      </c>
      <c r="AB88" s="1740">
        <v>5763</v>
      </c>
      <c r="AC88" s="1728" t="s">
        <v>581</v>
      </c>
      <c r="AD88" s="1725">
        <v>3683.8143111257777</v>
      </c>
      <c r="AE88" s="1746"/>
      <c r="AF88" s="1746"/>
      <c r="AG88" s="1746">
        <v>0</v>
      </c>
      <c r="AH88" s="1725">
        <v>3683.8143111257777</v>
      </c>
      <c r="AI88" s="1725">
        <v>5763</v>
      </c>
      <c r="AK88" t="s">
        <v>581</v>
      </c>
      <c r="AL88">
        <f>'[1]Resumen ORG.'!BA74</f>
        <v>0</v>
      </c>
      <c r="AM88" s="1746"/>
      <c r="AN88" s="1746"/>
      <c r="AO88" s="1746">
        <f t="shared" si="0"/>
        <v>0</v>
      </c>
      <c r="AP88" s="1725">
        <f t="shared" si="1"/>
        <v>0</v>
      </c>
      <c r="AQ88" s="1746">
        <f>[1]Julio!AQ76+AO88</f>
        <v>0</v>
      </c>
      <c r="AS88" t="s">
        <v>581</v>
      </c>
      <c r="AT88">
        <v>0</v>
      </c>
      <c r="AU88" s="1746"/>
      <c r="AV88" s="1746"/>
      <c r="AW88" s="1746">
        <v>0</v>
      </c>
      <c r="AX88" s="1725">
        <v>0</v>
      </c>
      <c r="AY88" s="1746">
        <v>0</v>
      </c>
    </row>
    <row r="89" spans="1:51" ht="12.75" customHeight="1">
      <c r="A89" s="1726" t="s">
        <v>878</v>
      </c>
      <c r="B89" s="1725">
        <v>20317.295988718874</v>
      </c>
      <c r="C89" s="1729">
        <v>3334</v>
      </c>
      <c r="D89" s="1729"/>
      <c r="E89" s="1725">
        <v>3334</v>
      </c>
      <c r="F89" s="1725">
        <v>16983.295988718874</v>
      </c>
      <c r="G89" s="1725">
        <v>6667</v>
      </c>
      <c r="H89" s="1726" t="s">
        <v>878</v>
      </c>
      <c r="I89" s="1725">
        <v>16983.295988718874</v>
      </c>
      <c r="J89" s="2450"/>
      <c r="K89" s="1729"/>
      <c r="L89" s="1725">
        <v>0</v>
      </c>
      <c r="M89" s="1725">
        <v>16983.295988718874</v>
      </c>
      <c r="N89" s="1725">
        <v>6667</v>
      </c>
      <c r="O89" s="1726" t="s">
        <v>878</v>
      </c>
      <c r="P89" s="1725">
        <v>16983.295988718874</v>
      </c>
      <c r="Q89" s="1725"/>
      <c r="R89" s="1725"/>
      <c r="S89" s="1725">
        <v>0</v>
      </c>
      <c r="T89" s="1725">
        <v>16983.295988718874</v>
      </c>
      <c r="U89" s="1725">
        <v>6667</v>
      </c>
      <c r="V89" s="1726" t="s">
        <v>878</v>
      </c>
      <c r="W89" s="1740">
        <v>16983.295988718874</v>
      </c>
      <c r="X89" s="1740">
        <v>434</v>
      </c>
      <c r="Y89" s="1740"/>
      <c r="Z89" s="1740">
        <v>434</v>
      </c>
      <c r="AA89" s="1740">
        <v>16549.295988718874</v>
      </c>
      <c r="AB89" s="1740">
        <v>7101</v>
      </c>
      <c r="AC89" s="1726" t="s">
        <v>878</v>
      </c>
      <c r="AD89" s="1725">
        <v>16549.295988718874</v>
      </c>
      <c r="AE89" s="1746">
        <v>432</v>
      </c>
      <c r="AF89" s="1746">
        <v>17639</v>
      </c>
      <c r="AG89" s="1746">
        <v>18071</v>
      </c>
      <c r="AH89" s="1725">
        <v>16117.295988718874</v>
      </c>
      <c r="AI89" s="1725">
        <v>25172</v>
      </c>
      <c r="AK89" t="s">
        <v>878</v>
      </c>
      <c r="AL89">
        <f>'[1]Resumen ORG.'!BA75</f>
        <v>0</v>
      </c>
      <c r="AM89" s="1746"/>
      <c r="AN89" s="1746"/>
      <c r="AO89" s="1746">
        <f t="shared" si="0"/>
        <v>0</v>
      </c>
      <c r="AP89" s="1725">
        <f t="shared" si="1"/>
        <v>0</v>
      </c>
      <c r="AQ89" s="1746">
        <f>[1]Julio!AQ77+AO89</f>
        <v>0</v>
      </c>
      <c r="AS89" t="s">
        <v>878</v>
      </c>
      <c r="AT89">
        <v>0</v>
      </c>
      <c r="AU89" s="1746"/>
      <c r="AV89" s="1746"/>
      <c r="AW89" s="1746">
        <v>0</v>
      </c>
      <c r="AX89" s="1725">
        <v>0</v>
      </c>
      <c r="AY89" s="1746">
        <v>0</v>
      </c>
    </row>
    <row r="90" spans="1:51" ht="12.75" customHeight="1">
      <c r="A90" s="1727" t="s">
        <v>582</v>
      </c>
      <c r="B90" s="1725">
        <v>35257.430987985201</v>
      </c>
      <c r="C90" s="1725">
        <v>59</v>
      </c>
      <c r="D90" s="1725">
        <v>21921</v>
      </c>
      <c r="E90" s="1725">
        <v>21980</v>
      </c>
      <c r="F90" s="1725">
        <v>13277.430987985201</v>
      </c>
      <c r="G90" s="1725">
        <v>23834</v>
      </c>
      <c r="H90" s="1727" t="s">
        <v>582</v>
      </c>
      <c r="I90" s="1725">
        <v>13277.430987985201</v>
      </c>
      <c r="J90" s="2449"/>
      <c r="K90" s="1725"/>
      <c r="L90" s="1725">
        <v>0</v>
      </c>
      <c r="M90" s="1725">
        <v>13277.430987985201</v>
      </c>
      <c r="N90" s="1725">
        <v>23834</v>
      </c>
      <c r="O90" s="1727" t="s">
        <v>582</v>
      </c>
      <c r="P90" s="1725">
        <v>13277.430987985201</v>
      </c>
      <c r="Q90" s="1725"/>
      <c r="R90" s="1725"/>
      <c r="S90" s="1725">
        <v>0</v>
      </c>
      <c r="T90" s="1725">
        <v>13277.430987985201</v>
      </c>
      <c r="U90" s="1725">
        <v>23834</v>
      </c>
      <c r="V90" s="1727" t="s">
        <v>582</v>
      </c>
      <c r="W90" s="1740">
        <v>13277.430987985201</v>
      </c>
      <c r="X90" s="1740"/>
      <c r="Y90" s="1740"/>
      <c r="Z90" s="1740">
        <v>0</v>
      </c>
      <c r="AA90" s="1740">
        <v>13277.430987985201</v>
      </c>
      <c r="AB90" s="1740">
        <v>23834</v>
      </c>
      <c r="AC90" s="1727" t="s">
        <v>582</v>
      </c>
      <c r="AD90" s="1725">
        <v>13277.430987985201</v>
      </c>
      <c r="AE90" s="1746">
        <v>1000</v>
      </c>
      <c r="AF90" s="1746"/>
      <c r="AG90" s="1746">
        <v>1000</v>
      </c>
      <c r="AH90" s="1725">
        <v>12277.430987985201</v>
      </c>
      <c r="AI90" s="1725">
        <v>24834</v>
      </c>
      <c r="AK90" t="s">
        <v>582</v>
      </c>
      <c r="AL90">
        <f>'[1]Resumen ORG.'!BA76</f>
        <v>0</v>
      </c>
      <c r="AM90" s="1746">
        <v>2328</v>
      </c>
      <c r="AN90" s="1746"/>
      <c r="AO90" s="1746">
        <f t="shared" si="0"/>
        <v>2328</v>
      </c>
      <c r="AP90" s="1725">
        <f t="shared" si="1"/>
        <v>-2328</v>
      </c>
      <c r="AQ90" s="1746">
        <f>[1]Julio!AQ78+AO90</f>
        <v>2328</v>
      </c>
      <c r="AS90" t="s">
        <v>582</v>
      </c>
      <c r="AT90">
        <v>-2328</v>
      </c>
      <c r="AU90" s="1746"/>
      <c r="AV90" s="1746">
        <v>25323</v>
      </c>
      <c r="AW90" s="1746">
        <v>25323</v>
      </c>
      <c r="AX90" s="1725">
        <v>-27651</v>
      </c>
      <c r="AY90" s="1746">
        <v>27651</v>
      </c>
    </row>
    <row r="91" spans="1:51" ht="12.75" customHeight="1">
      <c r="A91" s="1727" t="s">
        <v>879</v>
      </c>
      <c r="B91" s="1725">
        <v>17216.275560402293</v>
      </c>
      <c r="C91" s="1725"/>
      <c r="D91" s="1725"/>
      <c r="E91" s="1725">
        <v>0</v>
      </c>
      <c r="F91" s="1725">
        <v>17216.275560402293</v>
      </c>
      <c r="G91" s="1725">
        <v>5139</v>
      </c>
      <c r="H91" s="1727" t="s">
        <v>879</v>
      </c>
      <c r="I91" s="1725">
        <v>17216.275560402293</v>
      </c>
      <c r="J91" s="2449">
        <v>2047</v>
      </c>
      <c r="K91" s="1725"/>
      <c r="L91" s="1725">
        <v>2047</v>
      </c>
      <c r="M91" s="1725">
        <v>15169.275560402293</v>
      </c>
      <c r="N91" s="1725">
        <v>7186</v>
      </c>
      <c r="O91" s="1727" t="s">
        <v>879</v>
      </c>
      <c r="P91" s="1725">
        <v>15169.275560402293</v>
      </c>
      <c r="Q91" s="1729">
        <v>326</v>
      </c>
      <c r="R91" s="1725"/>
      <c r="S91" s="1725">
        <v>326</v>
      </c>
      <c r="T91" s="1725">
        <v>14843.275560402293</v>
      </c>
      <c r="U91" s="1725">
        <v>7512</v>
      </c>
      <c r="V91" s="1727" t="s">
        <v>879</v>
      </c>
      <c r="W91" s="1740">
        <v>14843.275560402293</v>
      </c>
      <c r="X91" s="1740">
        <v>2467</v>
      </c>
      <c r="Y91" s="1740"/>
      <c r="Z91" s="1740">
        <v>2467</v>
      </c>
      <c r="AA91" s="1740">
        <v>12376.275560402293</v>
      </c>
      <c r="AB91" s="1740">
        <v>9979</v>
      </c>
      <c r="AC91" s="1727" t="s">
        <v>879</v>
      </c>
      <c r="AD91" s="1725">
        <v>12376.275560402293</v>
      </c>
      <c r="AE91" s="1746"/>
      <c r="AF91" s="1746">
        <v>8000</v>
      </c>
      <c r="AG91" s="1746">
        <v>8000</v>
      </c>
      <c r="AH91" s="1725">
        <v>12376.275560402293</v>
      </c>
      <c r="AI91" s="1725">
        <v>17979</v>
      </c>
      <c r="AK91" t="s">
        <v>879</v>
      </c>
      <c r="AL91">
        <f>'[1]Resumen ORG.'!BA77</f>
        <v>0</v>
      </c>
      <c r="AM91" s="1746">
        <v>2527</v>
      </c>
      <c r="AN91" s="1746"/>
      <c r="AO91" s="1746">
        <f t="shared" si="0"/>
        <v>2527</v>
      </c>
      <c r="AP91" s="1725">
        <f t="shared" si="1"/>
        <v>-2527</v>
      </c>
      <c r="AQ91" s="1746">
        <f>[1]Julio!AQ79+AO91</f>
        <v>2527</v>
      </c>
      <c r="AS91" t="s">
        <v>879</v>
      </c>
      <c r="AT91">
        <v>-2527</v>
      </c>
      <c r="AU91" s="1746">
        <v>2858</v>
      </c>
      <c r="AV91" s="1746"/>
      <c r="AW91" s="1746">
        <v>2858</v>
      </c>
      <c r="AX91" s="1725">
        <v>-5385</v>
      </c>
      <c r="AY91" s="1746">
        <v>5385</v>
      </c>
    </row>
    <row r="92" spans="1:51" ht="12.75" customHeight="1">
      <c r="A92" s="1726" t="s">
        <v>880</v>
      </c>
      <c r="B92" s="1725">
        <v>23906.36715747738</v>
      </c>
      <c r="C92" s="1725"/>
      <c r="D92" s="1725"/>
      <c r="E92" s="1725">
        <v>0</v>
      </c>
      <c r="F92" s="1725">
        <v>23906.36715747738</v>
      </c>
      <c r="G92" s="1725">
        <v>2100</v>
      </c>
      <c r="H92" s="1726" t="s">
        <v>880</v>
      </c>
      <c r="I92" s="1725">
        <v>23906.36715747738</v>
      </c>
      <c r="J92" s="2449">
        <v>4559</v>
      </c>
      <c r="K92" s="1725"/>
      <c r="L92" s="1725">
        <v>4559</v>
      </c>
      <c r="M92" s="1725">
        <v>19347.36715747738</v>
      </c>
      <c r="N92" s="1725">
        <v>6659</v>
      </c>
      <c r="O92" s="1726" t="s">
        <v>880</v>
      </c>
      <c r="P92" s="1725">
        <v>19347.36715747738</v>
      </c>
      <c r="Q92" s="1725"/>
      <c r="R92" s="1725"/>
      <c r="S92" s="1725">
        <v>0</v>
      </c>
      <c r="T92" s="1725">
        <v>19347.36715747738</v>
      </c>
      <c r="U92" s="1725">
        <v>6659</v>
      </c>
      <c r="V92" s="1726" t="s">
        <v>880</v>
      </c>
      <c r="W92" s="1740">
        <v>19347.36715747738</v>
      </c>
      <c r="X92" s="1740"/>
      <c r="Y92" s="1740"/>
      <c r="Z92" s="1740">
        <v>0</v>
      </c>
      <c r="AA92" s="1740">
        <v>19347.36715747738</v>
      </c>
      <c r="AB92" s="1740">
        <v>6659</v>
      </c>
      <c r="AC92" s="1726" t="s">
        <v>880</v>
      </c>
      <c r="AD92" s="1725">
        <v>19347.36715747738</v>
      </c>
      <c r="AE92" s="1746"/>
      <c r="AF92" s="1746"/>
      <c r="AG92" s="1746">
        <v>0</v>
      </c>
      <c r="AH92" s="1725">
        <v>19347.36715747738</v>
      </c>
      <c r="AI92" s="1725">
        <v>6659</v>
      </c>
      <c r="AK92" t="s">
        <v>880</v>
      </c>
      <c r="AL92">
        <f>'[1]Resumen ORG.'!BA78</f>
        <v>0</v>
      </c>
      <c r="AM92" s="1746"/>
      <c r="AN92" s="1746"/>
      <c r="AO92" s="1746">
        <f t="shared" si="0"/>
        <v>0</v>
      </c>
      <c r="AP92" s="1725">
        <f t="shared" si="1"/>
        <v>0</v>
      </c>
      <c r="AQ92" s="1746">
        <f>[1]Julio!AQ80+AO92</f>
        <v>0</v>
      </c>
      <c r="AS92" t="s">
        <v>880</v>
      </c>
      <c r="AT92">
        <v>0</v>
      </c>
      <c r="AU92" s="1746"/>
      <c r="AV92" s="1746"/>
      <c r="AW92" s="1746">
        <v>0</v>
      </c>
      <c r="AX92" s="1725">
        <v>0</v>
      </c>
      <c r="AY92" s="1746">
        <v>0</v>
      </c>
    </row>
    <row r="93" spans="1:51" ht="12.75" customHeight="1">
      <c r="A93" s="1726" t="s">
        <v>881</v>
      </c>
      <c r="B93" s="1725">
        <v>18733.942421831194</v>
      </c>
      <c r="C93" s="1725"/>
      <c r="D93" s="1725"/>
      <c r="E93" s="1725">
        <v>0</v>
      </c>
      <c r="F93" s="1725">
        <v>18733.942421831194</v>
      </c>
      <c r="G93" s="1725">
        <v>2805</v>
      </c>
      <c r="H93" s="1726" t="s">
        <v>881</v>
      </c>
      <c r="I93" s="1725">
        <v>18733.942421831194</v>
      </c>
      <c r="J93" s="2449">
        <v>1736</v>
      </c>
      <c r="K93" s="1725"/>
      <c r="L93" s="1725">
        <v>1736</v>
      </c>
      <c r="M93" s="1725">
        <v>16997.942421831194</v>
      </c>
      <c r="N93" s="1725">
        <v>4541</v>
      </c>
      <c r="O93" s="1726" t="s">
        <v>881</v>
      </c>
      <c r="P93" s="1725">
        <v>16997.942421831194</v>
      </c>
      <c r="Q93" s="1725"/>
      <c r="R93" s="1725"/>
      <c r="S93" s="1725">
        <v>0</v>
      </c>
      <c r="T93" s="1725">
        <v>16997.942421831194</v>
      </c>
      <c r="U93" s="1725">
        <v>4541</v>
      </c>
      <c r="V93" s="1726" t="s">
        <v>881</v>
      </c>
      <c r="W93" s="1740">
        <v>16997.942421831194</v>
      </c>
      <c r="X93" s="1740"/>
      <c r="Y93" s="1740"/>
      <c r="Z93" s="1740">
        <v>0</v>
      </c>
      <c r="AA93" s="1740">
        <v>16997.942421831194</v>
      </c>
      <c r="AB93" s="1740">
        <v>4541</v>
      </c>
      <c r="AC93" s="1726" t="s">
        <v>881</v>
      </c>
      <c r="AD93" s="1725">
        <v>16997.942421831194</v>
      </c>
      <c r="AE93" s="1746"/>
      <c r="AF93" s="1746"/>
      <c r="AG93" s="1746">
        <v>0</v>
      </c>
      <c r="AH93" s="1725">
        <v>16997.942421831194</v>
      </c>
      <c r="AI93" s="1725">
        <v>4541</v>
      </c>
      <c r="AK93" t="s">
        <v>881</v>
      </c>
      <c r="AL93">
        <f>'[1]Resumen ORG.'!BA79</f>
        <v>0</v>
      </c>
      <c r="AM93" s="1746"/>
      <c r="AN93" s="1746"/>
      <c r="AO93" s="1746">
        <f t="shared" si="0"/>
        <v>0</v>
      </c>
      <c r="AP93" s="1725">
        <f t="shared" si="1"/>
        <v>0</v>
      </c>
      <c r="AQ93" s="1746">
        <f>[1]Julio!AQ81+AO93</f>
        <v>0</v>
      </c>
      <c r="AS93" t="s">
        <v>881</v>
      </c>
      <c r="AT93">
        <v>0</v>
      </c>
      <c r="AU93" s="1746"/>
      <c r="AV93" s="1746">
        <v>28835</v>
      </c>
      <c r="AW93" s="1746">
        <v>28835</v>
      </c>
      <c r="AX93" s="1725">
        <v>-28835</v>
      </c>
      <c r="AY93" s="1746">
        <v>28835</v>
      </c>
    </row>
    <row r="94" spans="1:51" ht="12.75" customHeight="1">
      <c r="A94" s="1727" t="s">
        <v>202</v>
      </c>
      <c r="B94" s="1725">
        <v>19939.139815244736</v>
      </c>
      <c r="C94" s="1725">
        <v>5772</v>
      </c>
      <c r="D94" s="1725"/>
      <c r="E94" s="1725">
        <v>5772</v>
      </c>
      <c r="F94" s="1725">
        <v>14167.139815244736</v>
      </c>
      <c r="G94" s="1725">
        <v>6528</v>
      </c>
      <c r="H94" s="1727" t="s">
        <v>202</v>
      </c>
      <c r="I94" s="1725">
        <v>14167.139815244736</v>
      </c>
      <c r="J94" s="2449">
        <v>10972</v>
      </c>
      <c r="K94" s="1725"/>
      <c r="L94" s="1725">
        <v>10972</v>
      </c>
      <c r="M94" s="1725">
        <v>3195.1398152447364</v>
      </c>
      <c r="N94" s="1725">
        <v>17500</v>
      </c>
      <c r="O94" s="1727" t="s">
        <v>202</v>
      </c>
      <c r="P94" s="1725">
        <v>3195.1398152447364</v>
      </c>
      <c r="Q94" s="1725"/>
      <c r="R94" s="1725"/>
      <c r="S94" s="1725">
        <v>0</v>
      </c>
      <c r="T94" s="1725">
        <v>3195.1398152447364</v>
      </c>
      <c r="U94" s="1725">
        <v>17500</v>
      </c>
      <c r="V94" s="1727" t="s">
        <v>202</v>
      </c>
      <c r="W94" s="1740">
        <v>3195.1398152447364</v>
      </c>
      <c r="X94" s="1740"/>
      <c r="Y94" s="1740"/>
      <c r="Z94" s="1740">
        <v>0</v>
      </c>
      <c r="AA94" s="1740">
        <v>3195.1398152447364</v>
      </c>
      <c r="AB94" s="1740">
        <v>17500</v>
      </c>
      <c r="AC94" s="1727" t="s">
        <v>202</v>
      </c>
      <c r="AD94" s="1725">
        <v>3195.1398152447364</v>
      </c>
      <c r="AE94" s="1746"/>
      <c r="AF94" s="1746"/>
      <c r="AG94" s="1746">
        <v>0</v>
      </c>
      <c r="AH94" s="1725">
        <v>3195.1398152447364</v>
      </c>
      <c r="AI94" s="1725">
        <v>17500</v>
      </c>
      <c r="AK94" t="s">
        <v>202</v>
      </c>
      <c r="AL94">
        <f>'[1]Resumen ORG.'!BA80</f>
        <v>0</v>
      </c>
      <c r="AM94" s="1746"/>
      <c r="AN94" s="1746"/>
      <c r="AO94" s="1746">
        <f t="shared" si="0"/>
        <v>0</v>
      </c>
      <c r="AP94" s="1725">
        <f t="shared" si="1"/>
        <v>0</v>
      </c>
      <c r="AQ94" s="1746">
        <f>[1]Julio!AQ82+AO94</f>
        <v>0</v>
      </c>
      <c r="AS94" t="s">
        <v>202</v>
      </c>
      <c r="AT94">
        <v>0</v>
      </c>
      <c r="AU94" s="1746"/>
      <c r="AV94" s="1746"/>
      <c r="AW94" s="1746">
        <v>0</v>
      </c>
      <c r="AX94" s="1725">
        <v>0</v>
      </c>
      <c r="AY94" s="1746">
        <v>0</v>
      </c>
    </row>
    <row r="95" spans="1:51" ht="12.75" customHeight="1">
      <c r="A95" s="1726" t="s">
        <v>882</v>
      </c>
      <c r="B95" s="1725">
        <v>-5168.2783952475784</v>
      </c>
      <c r="C95" s="1725"/>
      <c r="D95" s="1725"/>
      <c r="E95" s="1725">
        <v>0</v>
      </c>
      <c r="F95" s="1725">
        <v>-5168.2783952475784</v>
      </c>
      <c r="G95" s="1725">
        <v>10254</v>
      </c>
      <c r="H95" s="1726" t="s">
        <v>882</v>
      </c>
      <c r="I95" s="1725">
        <v>-5168.2783952475784</v>
      </c>
      <c r="J95" s="2449"/>
      <c r="K95" s="1725"/>
      <c r="L95" s="1725">
        <v>0</v>
      </c>
      <c r="M95" s="1725">
        <v>-5168.2783952475784</v>
      </c>
      <c r="N95" s="1725">
        <v>10254</v>
      </c>
      <c r="O95" s="1726" t="s">
        <v>882</v>
      </c>
      <c r="P95" s="1725">
        <v>-5168.2783952475784</v>
      </c>
      <c r="Q95" s="1725"/>
      <c r="R95" s="1725"/>
      <c r="S95" s="1725">
        <v>0</v>
      </c>
      <c r="T95" s="1725">
        <v>-5168.2783952475784</v>
      </c>
      <c r="U95" s="1725">
        <v>10254</v>
      </c>
      <c r="V95" s="1726" t="s">
        <v>882</v>
      </c>
      <c r="W95" s="1740">
        <v>-5168.2783952475784</v>
      </c>
      <c r="X95" s="1740"/>
      <c r="Y95" s="1740"/>
      <c r="Z95" s="1740">
        <v>0</v>
      </c>
      <c r="AA95" s="1740">
        <v>-5168.2783952475784</v>
      </c>
      <c r="AB95" s="1740">
        <v>10254</v>
      </c>
      <c r="AC95" s="1726" t="s">
        <v>882</v>
      </c>
      <c r="AD95" s="1725">
        <v>-5168.2783952475784</v>
      </c>
      <c r="AE95" s="1746"/>
      <c r="AF95" s="1746"/>
      <c r="AG95" s="1746">
        <v>0</v>
      </c>
      <c r="AH95" s="1725">
        <v>-5168.2783952475784</v>
      </c>
      <c r="AI95" s="1725">
        <v>10254</v>
      </c>
      <c r="AK95" t="s">
        <v>882</v>
      </c>
      <c r="AL95">
        <f>'[1]Resumen ORG.'!BA81</f>
        <v>0</v>
      </c>
      <c r="AM95" s="1746"/>
      <c r="AN95" s="1746"/>
      <c r="AO95" s="1746">
        <f t="shared" si="0"/>
        <v>0</v>
      </c>
      <c r="AP95" s="1725">
        <f t="shared" si="1"/>
        <v>0</v>
      </c>
      <c r="AQ95" s="1746">
        <f>[1]Julio!AQ83+AO95</f>
        <v>0</v>
      </c>
      <c r="AS95" t="s">
        <v>882</v>
      </c>
      <c r="AT95">
        <v>0</v>
      </c>
      <c r="AU95" s="1746"/>
      <c r="AV95" s="1746"/>
      <c r="AW95" s="1746">
        <v>0</v>
      </c>
      <c r="AX95" s="1725">
        <v>0</v>
      </c>
      <c r="AY95" s="1746">
        <v>0</v>
      </c>
    </row>
    <row r="96" spans="1:51" ht="12.75" customHeight="1">
      <c r="A96" s="1726" t="s">
        <v>883</v>
      </c>
      <c r="B96" s="1725">
        <v>42524.561597275482</v>
      </c>
      <c r="C96" s="1725"/>
      <c r="D96" s="1725"/>
      <c r="E96" s="1725">
        <v>0</v>
      </c>
      <c r="F96" s="1725">
        <v>42524.561597275482</v>
      </c>
      <c r="G96" s="1725">
        <v>9039</v>
      </c>
      <c r="H96" s="1726" t="s">
        <v>883</v>
      </c>
      <c r="I96" s="1725">
        <v>42524.561597275482</v>
      </c>
      <c r="J96" s="2449">
        <v>4253</v>
      </c>
      <c r="K96" s="1725"/>
      <c r="L96" s="1725">
        <v>4253</v>
      </c>
      <c r="M96" s="1725">
        <v>38271.561597275482</v>
      </c>
      <c r="N96" s="1725">
        <v>13292</v>
      </c>
      <c r="O96" s="1726" t="s">
        <v>883</v>
      </c>
      <c r="P96" s="1725">
        <v>38271.561597275482</v>
      </c>
      <c r="Q96" s="1729">
        <v>950</v>
      </c>
      <c r="R96" s="1725"/>
      <c r="S96" s="1725">
        <v>950</v>
      </c>
      <c r="T96" s="1725">
        <v>37321.561597275482</v>
      </c>
      <c r="U96" s="1725">
        <v>14242</v>
      </c>
      <c r="V96" s="1726" t="s">
        <v>883</v>
      </c>
      <c r="W96" s="1740">
        <v>37321.561597275482</v>
      </c>
      <c r="X96" s="1740">
        <v>4557</v>
      </c>
      <c r="Y96" s="1740"/>
      <c r="Z96" s="1740">
        <v>4557</v>
      </c>
      <c r="AA96" s="1740">
        <v>32764.561597275482</v>
      </c>
      <c r="AB96" s="1740">
        <v>18799</v>
      </c>
      <c r="AC96" s="1726" t="s">
        <v>883</v>
      </c>
      <c r="AD96" s="1725">
        <v>32764.561597275482</v>
      </c>
      <c r="AE96" s="1746">
        <v>1751</v>
      </c>
      <c r="AF96" s="1746"/>
      <c r="AG96" s="1746">
        <v>1751</v>
      </c>
      <c r="AH96" s="1725">
        <v>31013.561597275482</v>
      </c>
      <c r="AI96" s="1725">
        <v>20550</v>
      </c>
      <c r="AK96" t="s">
        <v>883</v>
      </c>
      <c r="AL96">
        <f>'[1]Resumen ORG.'!BA82</f>
        <v>0</v>
      </c>
      <c r="AM96" s="1746">
        <v>1433</v>
      </c>
      <c r="AN96" s="1746"/>
      <c r="AO96" s="1746">
        <f t="shared" si="0"/>
        <v>1433</v>
      </c>
      <c r="AP96" s="1725">
        <f t="shared" si="1"/>
        <v>-1433</v>
      </c>
      <c r="AQ96" s="1746">
        <f>[1]Julio!AQ84+AO96</f>
        <v>1433</v>
      </c>
      <c r="AS96" t="s">
        <v>883</v>
      </c>
      <c r="AT96">
        <v>-1433</v>
      </c>
      <c r="AU96" s="1746">
        <v>393</v>
      </c>
      <c r="AV96" s="1746"/>
      <c r="AW96" s="1746">
        <v>393</v>
      </c>
      <c r="AX96" s="1725">
        <v>-1826</v>
      </c>
      <c r="AY96" s="1746">
        <v>1826</v>
      </c>
    </row>
    <row r="97" spans="1:51" ht="12.75" customHeight="1">
      <c r="A97" s="1726" t="s">
        <v>884</v>
      </c>
      <c r="B97" s="1725">
        <v>15149.718177185438</v>
      </c>
      <c r="C97" s="1725"/>
      <c r="D97" s="1725"/>
      <c r="E97" s="1725">
        <v>0</v>
      </c>
      <c r="F97" s="1725">
        <v>15149.718177185438</v>
      </c>
      <c r="G97" s="1725">
        <v>2498</v>
      </c>
      <c r="H97" s="1726" t="s">
        <v>884</v>
      </c>
      <c r="I97" s="1725">
        <v>15149.718177185438</v>
      </c>
      <c r="J97" s="2449">
        <v>1012</v>
      </c>
      <c r="K97" s="1725"/>
      <c r="L97" s="1725">
        <v>1012</v>
      </c>
      <c r="M97" s="1725">
        <v>14137.718177185438</v>
      </c>
      <c r="N97" s="1725">
        <v>3510</v>
      </c>
      <c r="O97" s="1726" t="s">
        <v>884</v>
      </c>
      <c r="P97" s="1725">
        <v>14137.718177185438</v>
      </c>
      <c r="Q97" s="1725"/>
      <c r="R97" s="1725"/>
      <c r="S97" s="1725">
        <v>0</v>
      </c>
      <c r="T97" s="1725">
        <v>14137.718177185438</v>
      </c>
      <c r="U97" s="1725">
        <v>3510</v>
      </c>
      <c r="V97" s="1726" t="s">
        <v>884</v>
      </c>
      <c r="W97" s="1740">
        <v>14137.718177185438</v>
      </c>
      <c r="X97" s="1740"/>
      <c r="Y97" s="1740"/>
      <c r="Z97" s="1740">
        <v>0</v>
      </c>
      <c r="AA97" s="1740">
        <v>14137.718177185438</v>
      </c>
      <c r="AB97" s="1740">
        <v>3510</v>
      </c>
      <c r="AC97" s="1726" t="s">
        <v>884</v>
      </c>
      <c r="AD97" s="1725">
        <v>14137.718177185438</v>
      </c>
      <c r="AE97" s="1746"/>
      <c r="AF97" s="1746"/>
      <c r="AG97" s="1746">
        <v>0</v>
      </c>
      <c r="AH97" s="1725">
        <v>14137.718177185438</v>
      </c>
      <c r="AI97" s="1725">
        <v>3510</v>
      </c>
      <c r="AK97" t="s">
        <v>884</v>
      </c>
      <c r="AL97">
        <f>'[1]Resumen ORG.'!BA83</f>
        <v>0</v>
      </c>
      <c r="AM97" s="1746"/>
      <c r="AN97" s="1746"/>
      <c r="AO97" s="1746">
        <f t="shared" si="0"/>
        <v>0</v>
      </c>
      <c r="AP97" s="1725">
        <f t="shared" si="1"/>
        <v>0</v>
      </c>
      <c r="AQ97" s="1746">
        <f>[1]Julio!AQ85+AO97</f>
        <v>0</v>
      </c>
      <c r="AS97" t="s">
        <v>884</v>
      </c>
      <c r="AT97">
        <v>0</v>
      </c>
      <c r="AU97" s="1746"/>
      <c r="AV97" s="1746"/>
      <c r="AW97" s="1746">
        <v>0</v>
      </c>
      <c r="AX97" s="1725">
        <v>0</v>
      </c>
      <c r="AY97" s="1746">
        <v>0</v>
      </c>
    </row>
    <row r="98" spans="1:51" ht="12.75" customHeight="1">
      <c r="A98" s="1726" t="s">
        <v>885</v>
      </c>
      <c r="B98" s="1725">
        <v>39057.235381020451</v>
      </c>
      <c r="C98" s="1725"/>
      <c r="D98" s="1725"/>
      <c r="E98" s="1725">
        <v>0</v>
      </c>
      <c r="F98" s="1725">
        <v>39057.235381020451</v>
      </c>
      <c r="G98" s="1725">
        <v>19459</v>
      </c>
      <c r="H98" s="1726" t="s">
        <v>885</v>
      </c>
      <c r="I98" s="1725">
        <v>39057.235381020451</v>
      </c>
      <c r="J98" s="2449">
        <v>6978</v>
      </c>
      <c r="K98" s="1725"/>
      <c r="L98" s="1725">
        <v>6978</v>
      </c>
      <c r="M98" s="1725">
        <v>32079.235381020451</v>
      </c>
      <c r="N98" s="1725">
        <v>26437</v>
      </c>
      <c r="O98" s="1726" t="s">
        <v>885</v>
      </c>
      <c r="P98" s="1725">
        <v>32079.235381020451</v>
      </c>
      <c r="Q98" s="1729">
        <v>3579</v>
      </c>
      <c r="R98" s="1725"/>
      <c r="S98" s="1725">
        <v>3579</v>
      </c>
      <c r="T98" s="1725">
        <v>28500.235381020451</v>
      </c>
      <c r="U98" s="1725">
        <v>30016</v>
      </c>
      <c r="V98" s="1726" t="s">
        <v>885</v>
      </c>
      <c r="W98" s="1740">
        <v>28500.235381020451</v>
      </c>
      <c r="X98" s="1740"/>
      <c r="Y98" s="1740"/>
      <c r="Z98" s="1740">
        <v>0</v>
      </c>
      <c r="AA98" s="1740">
        <v>28500.235381020451</v>
      </c>
      <c r="AB98" s="1740">
        <v>30016</v>
      </c>
      <c r="AC98" s="1726" t="s">
        <v>885</v>
      </c>
      <c r="AD98" s="1725">
        <v>28500.235381020451</v>
      </c>
      <c r="AE98" s="1746"/>
      <c r="AF98" s="1746"/>
      <c r="AG98" s="1746">
        <v>0</v>
      </c>
      <c r="AH98" s="1725">
        <v>28500.235381020451</v>
      </c>
      <c r="AI98" s="1725">
        <v>30016</v>
      </c>
      <c r="AK98" t="s">
        <v>885</v>
      </c>
      <c r="AL98">
        <f>'[1]Resumen ORG.'!BA84</f>
        <v>0</v>
      </c>
      <c r="AM98" s="1746">
        <v>7356</v>
      </c>
      <c r="AN98" s="1746"/>
      <c r="AO98" s="1746">
        <f t="shared" si="0"/>
        <v>7356</v>
      </c>
      <c r="AP98" s="1725">
        <f t="shared" si="1"/>
        <v>-7356</v>
      </c>
      <c r="AQ98" s="1746">
        <f>[1]Julio!AQ86+AO98</f>
        <v>7356</v>
      </c>
      <c r="AS98" t="s">
        <v>885</v>
      </c>
      <c r="AT98">
        <v>-7356</v>
      </c>
      <c r="AU98" s="1746">
        <v>6580</v>
      </c>
      <c r="AV98" s="1746"/>
      <c r="AW98" s="1746">
        <v>6580</v>
      </c>
      <c r="AX98" s="1725">
        <v>-13936</v>
      </c>
      <c r="AY98" s="1746">
        <v>13936</v>
      </c>
    </row>
    <row r="99" spans="1:51" ht="12.75" customHeight="1">
      <c r="A99" s="1726" t="s">
        <v>886</v>
      </c>
      <c r="B99" s="1725">
        <v>-2755.677096880986</v>
      </c>
      <c r="C99" s="1725"/>
      <c r="D99" s="1725"/>
      <c r="E99" s="1725">
        <v>0</v>
      </c>
      <c r="F99" s="1725">
        <v>-2755.677096880986</v>
      </c>
      <c r="G99" s="1725">
        <v>0</v>
      </c>
      <c r="H99" s="1726" t="s">
        <v>886</v>
      </c>
      <c r="I99" s="1725">
        <v>-2755.677096880986</v>
      </c>
      <c r="J99" s="2449"/>
      <c r="K99" s="1725"/>
      <c r="L99" s="1725">
        <v>0</v>
      </c>
      <c r="M99" s="1725">
        <v>-2755.677096880986</v>
      </c>
      <c r="N99" s="1725">
        <v>0</v>
      </c>
      <c r="O99" s="1726" t="s">
        <v>886</v>
      </c>
      <c r="P99" s="1725">
        <v>-2755.677096880986</v>
      </c>
      <c r="Q99" s="1725"/>
      <c r="R99" s="1725"/>
      <c r="S99" s="1725">
        <v>0</v>
      </c>
      <c r="T99" s="1725">
        <v>-2755.677096880986</v>
      </c>
      <c r="U99" s="1725">
        <v>0</v>
      </c>
      <c r="V99" s="1726" t="s">
        <v>886</v>
      </c>
      <c r="W99" s="1740">
        <v>-2755.677096880986</v>
      </c>
      <c r="X99" s="1485"/>
      <c r="Y99" s="1485"/>
      <c r="Z99" s="1740">
        <v>0</v>
      </c>
      <c r="AA99" s="1740">
        <v>-2755.677096880986</v>
      </c>
      <c r="AB99" s="1740">
        <v>0</v>
      </c>
      <c r="AC99" s="1726" t="s">
        <v>886</v>
      </c>
      <c r="AD99" s="1725">
        <v>-2755.677096880986</v>
      </c>
      <c r="AE99" s="1746"/>
      <c r="AF99" s="1746"/>
      <c r="AG99" s="1746">
        <v>0</v>
      </c>
      <c r="AH99" s="1725">
        <v>-2755.677096880986</v>
      </c>
      <c r="AI99" s="1725">
        <v>0</v>
      </c>
      <c r="AK99" t="s">
        <v>886</v>
      </c>
      <c r="AL99">
        <f>'[1]Resumen ORG.'!BA85</f>
        <v>0</v>
      </c>
      <c r="AM99" s="1746"/>
      <c r="AN99" s="1746"/>
      <c r="AO99" s="1746">
        <f t="shared" si="0"/>
        <v>0</v>
      </c>
      <c r="AP99" s="1725">
        <f t="shared" si="1"/>
        <v>0</v>
      </c>
      <c r="AQ99" s="1746">
        <f>[1]Julio!AQ87+AO99</f>
        <v>0</v>
      </c>
      <c r="AS99" t="s">
        <v>886</v>
      </c>
      <c r="AT99">
        <v>0</v>
      </c>
      <c r="AU99" s="1746"/>
      <c r="AV99" s="1746"/>
      <c r="AW99" s="1746">
        <v>0</v>
      </c>
      <c r="AX99" s="1725">
        <v>0</v>
      </c>
      <c r="AY99" s="1746">
        <v>0</v>
      </c>
    </row>
    <row r="100" spans="1:51" ht="12.75" customHeight="1">
      <c r="A100" s="1727" t="s">
        <v>583</v>
      </c>
      <c r="B100" s="1725">
        <v>25013.300203881281</v>
      </c>
      <c r="C100" s="1725"/>
      <c r="D100" s="1725">
        <v>14439</v>
      </c>
      <c r="E100" s="1725">
        <v>14439</v>
      </c>
      <c r="F100" s="1725">
        <v>10574.300203881281</v>
      </c>
      <c r="G100" s="1725">
        <v>14439</v>
      </c>
      <c r="H100" s="1727" t="s">
        <v>583</v>
      </c>
      <c r="I100" s="1725">
        <v>10574.300203881281</v>
      </c>
      <c r="J100" s="2449"/>
      <c r="K100" s="1725"/>
      <c r="L100" s="1725">
        <v>0</v>
      </c>
      <c r="M100" s="1725">
        <v>10574.300203881281</v>
      </c>
      <c r="N100" s="1725">
        <v>14439</v>
      </c>
      <c r="O100" s="1727" t="s">
        <v>583</v>
      </c>
      <c r="P100" s="1725">
        <v>10574.300203881281</v>
      </c>
      <c r="Q100" s="1725"/>
      <c r="R100" s="1725"/>
      <c r="S100" s="1725">
        <v>0</v>
      </c>
      <c r="T100" s="1725">
        <v>10574.300203881281</v>
      </c>
      <c r="U100" s="1725">
        <v>14439</v>
      </c>
      <c r="V100" s="1727" t="s">
        <v>583</v>
      </c>
      <c r="W100" s="1740">
        <v>10574.300203881281</v>
      </c>
      <c r="X100" s="1485"/>
      <c r="Y100" s="1485"/>
      <c r="Z100" s="1740">
        <v>0</v>
      </c>
      <c r="AA100" s="1740">
        <v>10574.300203881281</v>
      </c>
      <c r="AB100" s="1740">
        <v>14439</v>
      </c>
      <c r="AC100" s="1727" t="s">
        <v>583</v>
      </c>
      <c r="AD100" s="1725">
        <v>10574.300203881281</v>
      </c>
      <c r="AE100" s="1746"/>
      <c r="AF100" s="1746"/>
      <c r="AG100" s="1746">
        <v>0</v>
      </c>
      <c r="AH100" s="1725">
        <v>10574.300203881281</v>
      </c>
      <c r="AI100" s="1725">
        <v>14439</v>
      </c>
      <c r="AK100" t="s">
        <v>583</v>
      </c>
      <c r="AL100">
        <f>'[1]Resumen ORG.'!BA86</f>
        <v>0</v>
      </c>
      <c r="AM100" s="1746"/>
      <c r="AN100" s="1746"/>
      <c r="AO100" s="1746">
        <f t="shared" si="0"/>
        <v>0</v>
      </c>
      <c r="AP100" s="1725">
        <f t="shared" si="1"/>
        <v>0</v>
      </c>
      <c r="AQ100" s="1746">
        <f>[1]Julio!AQ88+AO100</f>
        <v>0</v>
      </c>
      <c r="AS100" t="s">
        <v>583</v>
      </c>
      <c r="AT100">
        <v>0</v>
      </c>
      <c r="AU100" s="1746"/>
      <c r="AV100" s="1746">
        <v>21908</v>
      </c>
      <c r="AW100" s="1746">
        <v>21908</v>
      </c>
      <c r="AX100" s="1725">
        <v>-21908</v>
      </c>
      <c r="AY100" s="1746">
        <v>21908</v>
      </c>
    </row>
    <row r="101" spans="1:51" ht="12.75" customHeight="1">
      <c r="A101" s="1726" t="s">
        <v>887</v>
      </c>
      <c r="B101" s="1725">
        <v>21603.943680183478</v>
      </c>
      <c r="C101" s="1725"/>
      <c r="D101" s="1725"/>
      <c r="E101" s="1725">
        <v>0</v>
      </c>
      <c r="F101" s="1725">
        <v>21603.943680183478</v>
      </c>
      <c r="G101" s="1725">
        <v>4829</v>
      </c>
      <c r="H101" s="1726" t="s">
        <v>887</v>
      </c>
      <c r="I101" s="1725">
        <v>21603.943680183478</v>
      </c>
      <c r="J101" s="2449"/>
      <c r="K101" s="1725"/>
      <c r="L101" s="1725">
        <v>0</v>
      </c>
      <c r="M101" s="1725">
        <v>21603.943680183478</v>
      </c>
      <c r="N101" s="1725">
        <v>4829</v>
      </c>
      <c r="O101" s="1726" t="s">
        <v>887</v>
      </c>
      <c r="P101" s="1725">
        <v>21603.943680183478</v>
      </c>
      <c r="Q101" s="1725"/>
      <c r="R101" s="1725"/>
      <c r="S101" s="1725">
        <v>0</v>
      </c>
      <c r="T101" s="1725">
        <v>21603.943680183478</v>
      </c>
      <c r="U101" s="1725">
        <v>4829</v>
      </c>
      <c r="V101" s="1726" t="s">
        <v>887</v>
      </c>
      <c r="W101" s="1740">
        <v>21603.943680183478</v>
      </c>
      <c r="X101" s="1744"/>
      <c r="Y101" s="1744"/>
      <c r="Z101" s="1740">
        <v>0</v>
      </c>
      <c r="AA101" s="1740">
        <v>21603.943680183478</v>
      </c>
      <c r="AB101" s="1740">
        <v>4829</v>
      </c>
      <c r="AC101" s="1726" t="s">
        <v>887</v>
      </c>
      <c r="AD101" s="1725">
        <v>21603.943680183478</v>
      </c>
      <c r="AE101" s="1746">
        <v>2916</v>
      </c>
      <c r="AF101" s="1746"/>
      <c r="AG101" s="1746">
        <v>2916</v>
      </c>
      <c r="AH101" s="1725">
        <v>18687.943680183478</v>
      </c>
      <c r="AI101" s="1725">
        <v>7745</v>
      </c>
      <c r="AK101" t="s">
        <v>887</v>
      </c>
      <c r="AL101">
        <f>'[1]Resumen ORG.'!BA87</f>
        <v>0</v>
      </c>
      <c r="AM101" s="1746"/>
      <c r="AN101" s="1746"/>
      <c r="AO101" s="1746">
        <f t="shared" si="0"/>
        <v>0</v>
      </c>
      <c r="AP101" s="1725">
        <f t="shared" si="1"/>
        <v>0</v>
      </c>
      <c r="AQ101" s="1746">
        <f>[1]Julio!AQ89+AO101</f>
        <v>0</v>
      </c>
      <c r="AS101" t="s">
        <v>887</v>
      </c>
      <c r="AT101">
        <v>0</v>
      </c>
      <c r="AU101" s="1746">
        <v>838</v>
      </c>
      <c r="AV101" s="1746"/>
      <c r="AW101" s="1746">
        <v>838</v>
      </c>
      <c r="AX101" s="1725">
        <v>-838</v>
      </c>
      <c r="AY101" s="1746">
        <v>838</v>
      </c>
    </row>
    <row r="102" spans="1:51" ht="12.75" customHeight="1">
      <c r="A102" s="1726" t="s">
        <v>888</v>
      </c>
      <c r="B102" s="1725">
        <v>17519.654903242095</v>
      </c>
      <c r="C102" s="1725"/>
      <c r="D102" s="1725"/>
      <c r="E102" s="1725">
        <v>0</v>
      </c>
      <c r="F102" s="1725">
        <v>17519.654903242095</v>
      </c>
      <c r="G102" s="1725">
        <v>0</v>
      </c>
      <c r="H102" s="1726" t="s">
        <v>888</v>
      </c>
      <c r="I102" s="1725">
        <v>17519.654903242095</v>
      </c>
      <c r="J102" s="2449"/>
      <c r="K102" s="1725"/>
      <c r="L102" s="1725">
        <v>0</v>
      </c>
      <c r="M102" s="1725">
        <v>17519.654903242095</v>
      </c>
      <c r="N102" s="1725">
        <v>0</v>
      </c>
      <c r="O102" s="1726" t="s">
        <v>888</v>
      </c>
      <c r="P102" s="1725">
        <v>17519.654903242095</v>
      </c>
      <c r="Q102" s="1725"/>
      <c r="R102" s="1725"/>
      <c r="S102" s="1725">
        <v>0</v>
      </c>
      <c r="T102" s="1725">
        <v>17519.654903242095</v>
      </c>
      <c r="U102" s="1725">
        <v>0</v>
      </c>
      <c r="V102" s="1726" t="s">
        <v>888</v>
      </c>
      <c r="W102" s="1740">
        <v>17519.654903242095</v>
      </c>
      <c r="X102" s="1744"/>
      <c r="Y102" s="1744"/>
      <c r="Z102" s="1740">
        <v>0</v>
      </c>
      <c r="AA102" s="1740">
        <v>17519.654903242095</v>
      </c>
      <c r="AB102" s="1740">
        <v>0</v>
      </c>
      <c r="AC102" s="1726" t="s">
        <v>888</v>
      </c>
      <c r="AD102" s="1725">
        <v>17519.654903242095</v>
      </c>
      <c r="AE102" s="1746"/>
      <c r="AF102" s="1746">
        <v>11750</v>
      </c>
      <c r="AG102" s="1746">
        <v>11750</v>
      </c>
      <c r="AH102" s="1725">
        <v>17519.654903242095</v>
      </c>
      <c r="AI102" s="1725">
        <v>11750</v>
      </c>
      <c r="AK102" t="s">
        <v>888</v>
      </c>
      <c r="AL102">
        <f>'[1]Resumen ORG.'!BA88</f>
        <v>0</v>
      </c>
      <c r="AM102" s="1746"/>
      <c r="AN102" s="1746"/>
      <c r="AO102" s="1746">
        <f t="shared" si="0"/>
        <v>0</v>
      </c>
      <c r="AP102" s="1725">
        <f t="shared" si="1"/>
        <v>0</v>
      </c>
      <c r="AQ102" s="1746">
        <f>[1]Julio!AQ90+AO102</f>
        <v>0</v>
      </c>
      <c r="AS102" t="s">
        <v>888</v>
      </c>
      <c r="AT102">
        <v>0</v>
      </c>
      <c r="AU102" s="1746"/>
      <c r="AV102" s="1746"/>
      <c r="AW102" s="1746">
        <v>0</v>
      </c>
      <c r="AX102" s="1725">
        <v>0</v>
      </c>
      <c r="AY102" s="1746">
        <v>0</v>
      </c>
    </row>
    <row r="103" spans="1:51" ht="12.75" customHeight="1">
      <c r="A103" s="1726" t="s">
        <v>766</v>
      </c>
      <c r="B103" s="1725">
        <v>12865.07454136173</v>
      </c>
      <c r="C103" s="1725"/>
      <c r="D103" s="1725"/>
      <c r="E103" s="1725">
        <v>0</v>
      </c>
      <c r="F103" s="1725">
        <v>12865.07454136173</v>
      </c>
      <c r="G103" s="1725">
        <v>0</v>
      </c>
      <c r="H103" s="1726" t="s">
        <v>766</v>
      </c>
      <c r="I103" s="1725">
        <v>12865.07454136173</v>
      </c>
      <c r="J103" s="2449"/>
      <c r="K103" s="1725"/>
      <c r="L103" s="1725">
        <v>0</v>
      </c>
      <c r="M103" s="1725">
        <v>12865.07454136173</v>
      </c>
      <c r="N103" s="1725">
        <v>0</v>
      </c>
      <c r="O103" s="1726" t="s">
        <v>766</v>
      </c>
      <c r="P103" s="1725">
        <v>12865.07454136173</v>
      </c>
      <c r="Q103" s="1725"/>
      <c r="R103" s="1725">
        <v>6577</v>
      </c>
      <c r="S103" s="1725">
        <v>6577</v>
      </c>
      <c r="T103" s="1725">
        <v>6288.0745413617296</v>
      </c>
      <c r="U103" s="1725">
        <v>6577</v>
      </c>
      <c r="V103" s="1726" t="s">
        <v>766</v>
      </c>
      <c r="W103" s="1740">
        <v>6288.0745413617296</v>
      </c>
      <c r="X103" s="1744"/>
      <c r="Y103" s="1744"/>
      <c r="Z103" s="1740">
        <v>0</v>
      </c>
      <c r="AA103" s="1740">
        <v>6288.0745413617296</v>
      </c>
      <c r="AB103" s="1740">
        <v>6577</v>
      </c>
      <c r="AC103" s="1726" t="s">
        <v>766</v>
      </c>
      <c r="AD103" s="1725">
        <v>6288.0745413617296</v>
      </c>
      <c r="AE103" s="1746"/>
      <c r="AF103" s="1746"/>
      <c r="AG103" s="1746">
        <v>0</v>
      </c>
      <c r="AH103" s="1725">
        <v>6288.0745413617296</v>
      </c>
      <c r="AI103" s="1725">
        <v>6577</v>
      </c>
      <c r="AK103" t="s">
        <v>766</v>
      </c>
      <c r="AL103">
        <f>'[1]Resumen ORG.'!BA89</f>
        <v>0</v>
      </c>
      <c r="AM103" s="1746"/>
      <c r="AN103" s="1746"/>
      <c r="AO103" s="1746">
        <f t="shared" si="0"/>
        <v>0</v>
      </c>
      <c r="AP103" s="1725">
        <f t="shared" si="1"/>
        <v>0</v>
      </c>
      <c r="AQ103" s="1746">
        <f>[1]Julio!AQ91+AO103</f>
        <v>0</v>
      </c>
      <c r="AS103" t="s">
        <v>766</v>
      </c>
      <c r="AT103">
        <v>0</v>
      </c>
      <c r="AU103" s="1746"/>
      <c r="AV103" s="1746"/>
      <c r="AW103" s="1746">
        <v>0</v>
      </c>
      <c r="AX103" s="1725">
        <v>0</v>
      </c>
      <c r="AY103" s="1746">
        <v>0</v>
      </c>
    </row>
    <row r="104" spans="1:51" ht="12.75" customHeight="1">
      <c r="A104" s="1727" t="s">
        <v>889</v>
      </c>
      <c r="B104" s="1725">
        <v>5.4322778262699103</v>
      </c>
      <c r="C104" s="1725"/>
      <c r="D104" s="1725"/>
      <c r="E104" s="1725">
        <v>0</v>
      </c>
      <c r="F104" s="1725">
        <v>5.4322778262699103</v>
      </c>
      <c r="G104" s="1725">
        <v>2994</v>
      </c>
      <c r="H104" s="1727" t="s">
        <v>889</v>
      </c>
      <c r="I104" s="1725">
        <v>5.4322778262699103</v>
      </c>
      <c r="J104" s="2449"/>
      <c r="K104" s="1725"/>
      <c r="L104" s="1725">
        <v>0</v>
      </c>
      <c r="M104" s="1725">
        <v>5.4322778262699103</v>
      </c>
      <c r="N104" s="1725">
        <v>2994</v>
      </c>
      <c r="O104" s="1727" t="s">
        <v>889</v>
      </c>
      <c r="P104" s="1725">
        <v>5.4322778262699103</v>
      </c>
      <c r="Q104" s="1725"/>
      <c r="R104" s="1725"/>
      <c r="S104" s="1725">
        <v>0</v>
      </c>
      <c r="T104" s="1725">
        <v>5.4322778262699103</v>
      </c>
      <c r="U104" s="1725">
        <v>2994</v>
      </c>
      <c r="V104" s="1727" t="s">
        <v>889</v>
      </c>
      <c r="W104" s="1740">
        <v>5.4322778262699103</v>
      </c>
      <c r="X104" s="1744"/>
      <c r="Y104" s="1744"/>
      <c r="Z104" s="1740">
        <v>0</v>
      </c>
      <c r="AA104" s="1740">
        <v>5.4322778262699103</v>
      </c>
      <c r="AB104" s="1740">
        <v>2994</v>
      </c>
      <c r="AC104" s="1727" t="s">
        <v>889</v>
      </c>
      <c r="AD104" s="1725">
        <v>5.4322778262699103</v>
      </c>
      <c r="AE104" s="1746"/>
      <c r="AF104" s="1746"/>
      <c r="AG104" s="1746">
        <v>0</v>
      </c>
      <c r="AH104" s="1725">
        <v>5.4322778262699103</v>
      </c>
      <c r="AI104" s="1725">
        <v>2994</v>
      </c>
      <c r="AK104" t="s">
        <v>889</v>
      </c>
      <c r="AL104">
        <f>'[1]Resumen ORG.'!BA90</f>
        <v>0</v>
      </c>
      <c r="AM104" s="1746"/>
      <c r="AN104" s="1746"/>
      <c r="AO104" s="1746">
        <f t="shared" si="0"/>
        <v>0</v>
      </c>
      <c r="AP104" s="1725">
        <f t="shared" si="1"/>
        <v>0</v>
      </c>
      <c r="AQ104" s="1746">
        <f>[1]Julio!AQ92+AO104</f>
        <v>0</v>
      </c>
      <c r="AS104" t="s">
        <v>889</v>
      </c>
      <c r="AT104">
        <v>0</v>
      </c>
      <c r="AU104" s="1746"/>
      <c r="AV104" s="1746"/>
      <c r="AW104" s="1746">
        <v>0</v>
      </c>
      <c r="AX104" s="1725">
        <v>0</v>
      </c>
      <c r="AY104" s="1746">
        <v>0</v>
      </c>
    </row>
    <row r="105" spans="1:51" ht="12.75" customHeight="1">
      <c r="A105" s="1726" t="s">
        <v>890</v>
      </c>
      <c r="B105" s="1725">
        <v>47163.213090186888</v>
      </c>
      <c r="C105" s="1729"/>
      <c r="D105" s="1729"/>
      <c r="E105" s="1725">
        <v>0</v>
      </c>
      <c r="F105" s="1725">
        <v>47163.213090186888</v>
      </c>
      <c r="G105" s="1725">
        <v>0</v>
      </c>
      <c r="H105" s="1726" t="s">
        <v>890</v>
      </c>
      <c r="I105" s="1725">
        <v>47163.213090186888</v>
      </c>
      <c r="J105" s="2450">
        <v>3257</v>
      </c>
      <c r="K105" s="1729"/>
      <c r="L105" s="1725">
        <v>3257</v>
      </c>
      <c r="M105" s="1725">
        <v>43906.213090186888</v>
      </c>
      <c r="N105" s="1725">
        <v>3257</v>
      </c>
      <c r="O105" s="1726" t="s">
        <v>890</v>
      </c>
      <c r="P105" s="1725">
        <v>43906.213090186888</v>
      </c>
      <c r="Q105" s="1729">
        <v>6496</v>
      </c>
      <c r="R105" s="1725"/>
      <c r="S105" s="1725">
        <v>6496</v>
      </c>
      <c r="T105" s="1725">
        <v>37410.213090186888</v>
      </c>
      <c r="U105" s="1725">
        <v>9753</v>
      </c>
      <c r="V105" s="1726" t="s">
        <v>890</v>
      </c>
      <c r="W105" s="1740">
        <v>37410.213090186888</v>
      </c>
      <c r="X105" s="1744">
        <v>8405</v>
      </c>
      <c r="Y105" s="1744"/>
      <c r="Z105" s="1740">
        <v>8405</v>
      </c>
      <c r="AA105" s="1740">
        <v>29005.213090186888</v>
      </c>
      <c r="AB105" s="1740">
        <v>18158</v>
      </c>
      <c r="AC105" s="1726" t="s">
        <v>890</v>
      </c>
      <c r="AD105" s="1725">
        <v>29005.213090186888</v>
      </c>
      <c r="AE105" s="1746">
        <v>8899</v>
      </c>
      <c r="AF105" s="1746"/>
      <c r="AG105" s="1746">
        <v>8899</v>
      </c>
      <c r="AH105" s="1725">
        <v>20106.213090186888</v>
      </c>
      <c r="AI105" s="1725">
        <v>27057</v>
      </c>
      <c r="AK105" t="s">
        <v>890</v>
      </c>
      <c r="AL105">
        <f>'[1]Resumen ORG.'!BA91</f>
        <v>0</v>
      </c>
      <c r="AM105" s="1746">
        <v>9329</v>
      </c>
      <c r="AN105" s="1746"/>
      <c r="AO105" s="1746">
        <f t="shared" si="0"/>
        <v>9329</v>
      </c>
      <c r="AP105" s="1725">
        <f t="shared" si="1"/>
        <v>-9329</v>
      </c>
      <c r="AQ105" s="1746">
        <f>[1]Julio!AQ93+AO105</f>
        <v>9329</v>
      </c>
      <c r="AS105" t="s">
        <v>890</v>
      </c>
      <c r="AT105">
        <v>-9329</v>
      </c>
      <c r="AU105" s="1746">
        <v>1910</v>
      </c>
      <c r="AV105" s="1746"/>
      <c r="AW105" s="1746">
        <v>1910</v>
      </c>
      <c r="AX105" s="1725">
        <v>-11239</v>
      </c>
      <c r="AY105" s="1746">
        <v>11239</v>
      </c>
    </row>
    <row r="106" spans="1:51" ht="12.75" customHeight="1">
      <c r="A106" s="1727" t="s">
        <v>891</v>
      </c>
      <c r="B106" s="1725">
        <v>43926.251114278988</v>
      </c>
      <c r="C106" s="1725"/>
      <c r="D106" s="1725"/>
      <c r="E106" s="1725">
        <v>0</v>
      </c>
      <c r="F106" s="1725">
        <v>43926.251114278988</v>
      </c>
      <c r="G106" s="1725">
        <v>0</v>
      </c>
      <c r="H106" s="1727" t="s">
        <v>891</v>
      </c>
      <c r="I106" s="1725">
        <v>43926.251114278988</v>
      </c>
      <c r="J106" s="2449"/>
      <c r="K106" s="1725"/>
      <c r="L106" s="1725">
        <v>0</v>
      </c>
      <c r="M106" s="1725">
        <v>43926.251114278988</v>
      </c>
      <c r="N106" s="1725">
        <v>0</v>
      </c>
      <c r="O106" s="1727" t="s">
        <v>891</v>
      </c>
      <c r="P106" s="1725">
        <v>43926.251114278988</v>
      </c>
      <c r="Q106" s="1725"/>
      <c r="R106" s="1725"/>
      <c r="S106" s="1725">
        <v>0</v>
      </c>
      <c r="T106" s="1725">
        <v>43926.251114278988</v>
      </c>
      <c r="U106" s="1725">
        <v>0</v>
      </c>
      <c r="V106" s="1727" t="s">
        <v>891</v>
      </c>
      <c r="W106" s="1740">
        <v>43926.251114278988</v>
      </c>
      <c r="X106" s="1744"/>
      <c r="Y106" s="1744"/>
      <c r="Z106" s="1740">
        <v>0</v>
      </c>
      <c r="AA106" s="1740">
        <v>43926.251114278988</v>
      </c>
      <c r="AB106" s="1740">
        <v>0</v>
      </c>
      <c r="AC106" s="1727" t="s">
        <v>891</v>
      </c>
      <c r="AD106" s="1725">
        <v>43926.251114278988</v>
      </c>
      <c r="AE106" s="1746">
        <v>718</v>
      </c>
      <c r="AF106" s="1746"/>
      <c r="AG106" s="1746">
        <v>718</v>
      </c>
      <c r="AH106" s="1725">
        <v>43208.251114278988</v>
      </c>
      <c r="AI106" s="1725">
        <v>718</v>
      </c>
      <c r="AK106" t="s">
        <v>891</v>
      </c>
      <c r="AL106">
        <f>'[1]Resumen ORG.'!BA92</f>
        <v>0</v>
      </c>
      <c r="AM106" s="1746">
        <v>4979</v>
      </c>
      <c r="AN106" s="1746"/>
      <c r="AO106" s="1746">
        <f t="shared" si="0"/>
        <v>4979</v>
      </c>
      <c r="AP106" s="1725">
        <f t="shared" si="1"/>
        <v>-4979</v>
      </c>
      <c r="AQ106" s="1746">
        <f>[1]Julio!AQ94+AO106</f>
        <v>4979</v>
      </c>
      <c r="AS106" t="s">
        <v>891</v>
      </c>
      <c r="AT106">
        <v>-4979</v>
      </c>
      <c r="AU106" s="1746">
        <v>5440</v>
      </c>
      <c r="AV106" s="1746"/>
      <c r="AW106" s="1746">
        <v>5440</v>
      </c>
      <c r="AX106" s="1725">
        <v>-10419</v>
      </c>
      <c r="AY106" s="1746">
        <v>10419</v>
      </c>
    </row>
    <row r="107" spans="1:51" ht="12.75" customHeight="1">
      <c r="A107" s="1726" t="s">
        <v>892</v>
      </c>
      <c r="B107" s="1725">
        <v>44951.616968791655</v>
      </c>
      <c r="C107" s="1725">
        <v>181</v>
      </c>
      <c r="D107" s="1725"/>
      <c r="E107" s="1725">
        <v>181</v>
      </c>
      <c r="F107" s="1725">
        <v>44770.616968791655</v>
      </c>
      <c r="G107" s="1725">
        <v>6191</v>
      </c>
      <c r="H107" s="1726" t="s">
        <v>892</v>
      </c>
      <c r="I107" s="1725">
        <v>44770.616968791655</v>
      </c>
      <c r="J107" s="2449">
        <v>12796</v>
      </c>
      <c r="K107" s="1725"/>
      <c r="L107" s="1725">
        <v>12796</v>
      </c>
      <c r="M107" s="1725">
        <v>31974.616968791655</v>
      </c>
      <c r="N107" s="1725">
        <v>18987</v>
      </c>
      <c r="O107" s="1726" t="s">
        <v>892</v>
      </c>
      <c r="P107" s="1725">
        <v>31974.616968791655</v>
      </c>
      <c r="Q107" s="1725"/>
      <c r="R107" s="1725"/>
      <c r="S107" s="1725">
        <v>0</v>
      </c>
      <c r="T107" s="1725">
        <v>31974.616968791655</v>
      </c>
      <c r="U107" s="1725">
        <v>18987</v>
      </c>
      <c r="V107" s="1726" t="s">
        <v>892</v>
      </c>
      <c r="W107" s="1740">
        <v>31974.616968791655</v>
      </c>
      <c r="X107" s="1744"/>
      <c r="Y107" s="1744"/>
      <c r="Z107" s="1740">
        <v>0</v>
      </c>
      <c r="AA107" s="1740">
        <v>31974.616968791655</v>
      </c>
      <c r="AB107" s="1740">
        <v>18987</v>
      </c>
      <c r="AC107" s="1726" t="s">
        <v>892</v>
      </c>
      <c r="AD107" s="1725">
        <v>31974.616968791655</v>
      </c>
      <c r="AE107" s="1746">
        <v>7124</v>
      </c>
      <c r="AF107" s="1746"/>
      <c r="AG107" s="1746">
        <v>7124</v>
      </c>
      <c r="AH107" s="1725">
        <v>24850.616968791655</v>
      </c>
      <c r="AI107" s="1725">
        <v>26111</v>
      </c>
      <c r="AK107" t="s">
        <v>892</v>
      </c>
      <c r="AL107">
        <f>'[1]Resumen ORG.'!BA93</f>
        <v>0</v>
      </c>
      <c r="AM107" s="1746">
        <v>7461</v>
      </c>
      <c r="AN107" s="1746"/>
      <c r="AO107" s="1746">
        <f t="shared" si="0"/>
        <v>7461</v>
      </c>
      <c r="AP107" s="1725">
        <f t="shared" si="1"/>
        <v>-7461</v>
      </c>
      <c r="AQ107" s="1746">
        <f>[1]Julio!AQ95+AO107</f>
        <v>7461</v>
      </c>
      <c r="AS107" t="s">
        <v>892</v>
      </c>
      <c r="AT107">
        <v>-7461</v>
      </c>
      <c r="AU107" s="1746">
        <v>14059</v>
      </c>
      <c r="AV107" s="1746"/>
      <c r="AW107" s="1746">
        <v>14059</v>
      </c>
      <c r="AX107" s="1725">
        <v>-21520</v>
      </c>
      <c r="AY107" s="1746">
        <v>21520</v>
      </c>
    </row>
    <row r="108" spans="1:51" ht="12.75" customHeight="1">
      <c r="A108" s="1726" t="s">
        <v>204</v>
      </c>
      <c r="B108" s="1725">
        <v>7132.2063485098734</v>
      </c>
      <c r="C108" s="1725"/>
      <c r="D108" s="1725"/>
      <c r="E108" s="1725">
        <v>0</v>
      </c>
      <c r="F108" s="1725">
        <v>7132.2063485098734</v>
      </c>
      <c r="G108" s="1725">
        <v>4438</v>
      </c>
      <c r="H108" s="1726" t="s">
        <v>204</v>
      </c>
      <c r="I108" s="1725">
        <v>7132.2063485098734</v>
      </c>
      <c r="J108" s="2449"/>
      <c r="K108" s="1725"/>
      <c r="L108" s="1725">
        <v>0</v>
      </c>
      <c r="M108" s="1725">
        <v>7132.2063485098734</v>
      </c>
      <c r="N108" s="1725">
        <v>4438</v>
      </c>
      <c r="O108" s="1726" t="s">
        <v>204</v>
      </c>
      <c r="P108" s="1725">
        <v>7132.2063485098734</v>
      </c>
      <c r="Q108" s="1725"/>
      <c r="R108" s="1725"/>
      <c r="S108" s="1725">
        <v>0</v>
      </c>
      <c r="T108" s="1725">
        <v>7132.2063485098734</v>
      </c>
      <c r="U108" s="1725">
        <v>4438</v>
      </c>
      <c r="V108" s="1726" t="s">
        <v>204</v>
      </c>
      <c r="W108" s="1740">
        <v>7132.2063485098734</v>
      </c>
      <c r="X108" s="1744"/>
      <c r="Y108" s="1744"/>
      <c r="Z108" s="1740">
        <v>0</v>
      </c>
      <c r="AA108" s="1740">
        <v>7132.2063485098734</v>
      </c>
      <c r="AB108" s="1740">
        <v>4438</v>
      </c>
      <c r="AC108" s="1726" t="s">
        <v>204</v>
      </c>
      <c r="AD108" s="1725">
        <v>7132.2063485098734</v>
      </c>
      <c r="AE108" s="1746"/>
      <c r="AF108" s="1746"/>
      <c r="AG108" s="1746">
        <v>0</v>
      </c>
      <c r="AH108" s="1725">
        <v>7132.2063485098734</v>
      </c>
      <c r="AI108" s="1725">
        <v>4438</v>
      </c>
      <c r="AK108" t="s">
        <v>204</v>
      </c>
      <c r="AL108">
        <f>'[1]Resumen ORG.'!BA94</f>
        <v>0</v>
      </c>
      <c r="AM108" s="1746"/>
      <c r="AN108" s="1746"/>
      <c r="AO108" s="1746">
        <f t="shared" si="0"/>
        <v>0</v>
      </c>
      <c r="AP108" s="1725">
        <f t="shared" si="1"/>
        <v>0</v>
      </c>
      <c r="AQ108" s="1746">
        <f>[1]Julio!AQ96+AO108</f>
        <v>0</v>
      </c>
      <c r="AS108" t="s">
        <v>204</v>
      </c>
      <c r="AT108">
        <v>0</v>
      </c>
      <c r="AU108" s="1746"/>
      <c r="AV108" s="1746"/>
      <c r="AW108" s="1746">
        <v>0</v>
      </c>
      <c r="AX108" s="1725">
        <v>0</v>
      </c>
      <c r="AY108" s="1746">
        <v>0</v>
      </c>
    </row>
    <row r="109" spans="1:51" ht="12.75" customHeight="1">
      <c r="A109" s="1726" t="s">
        <v>893</v>
      </c>
      <c r="B109" s="1725">
        <v>37764.409591849093</v>
      </c>
      <c r="C109" s="1725"/>
      <c r="D109" s="1725"/>
      <c r="E109" s="1725">
        <v>0</v>
      </c>
      <c r="F109" s="1725">
        <v>37764.409591849093</v>
      </c>
      <c r="G109" s="1725">
        <v>0</v>
      </c>
      <c r="H109" s="1726" t="s">
        <v>893</v>
      </c>
      <c r="I109" s="1725">
        <v>37764.409591849093</v>
      </c>
      <c r="J109" s="2449">
        <v>522</v>
      </c>
      <c r="K109" s="1725"/>
      <c r="L109" s="1725">
        <v>522</v>
      </c>
      <c r="M109" s="1725">
        <v>37242.409591849093</v>
      </c>
      <c r="N109" s="1725">
        <v>522</v>
      </c>
      <c r="O109" s="1726" t="s">
        <v>893</v>
      </c>
      <c r="P109" s="1725">
        <v>37242.409591849093</v>
      </c>
      <c r="Q109" s="1729">
        <v>591</v>
      </c>
      <c r="R109" s="1725"/>
      <c r="S109" s="1725">
        <v>591</v>
      </c>
      <c r="T109" s="1725">
        <v>36651.409591849093</v>
      </c>
      <c r="U109" s="1725">
        <v>1113</v>
      </c>
      <c r="V109" s="1726" t="s">
        <v>893</v>
      </c>
      <c r="W109" s="1740">
        <v>36651.409591849093</v>
      </c>
      <c r="X109" s="1744"/>
      <c r="Y109" s="1744"/>
      <c r="Z109" s="1740">
        <v>0</v>
      </c>
      <c r="AA109" s="1740">
        <v>36651.409591849093</v>
      </c>
      <c r="AB109" s="1740">
        <v>1113</v>
      </c>
      <c r="AC109" s="1726" t="s">
        <v>893</v>
      </c>
      <c r="AD109" s="1725">
        <v>36651.409591849093</v>
      </c>
      <c r="AE109" s="1746"/>
      <c r="AF109" s="1746"/>
      <c r="AG109" s="1746">
        <v>0</v>
      </c>
      <c r="AH109" s="1725">
        <v>36651.409591849093</v>
      </c>
      <c r="AI109" s="1725">
        <v>1113</v>
      </c>
      <c r="AK109" t="s">
        <v>893</v>
      </c>
      <c r="AL109">
        <f>'[1]Resumen ORG.'!BA95</f>
        <v>0</v>
      </c>
      <c r="AM109" s="1746"/>
      <c r="AN109" s="1746"/>
      <c r="AO109" s="1746">
        <f t="shared" si="0"/>
        <v>0</v>
      </c>
      <c r="AP109" s="1725">
        <f t="shared" si="1"/>
        <v>0</v>
      </c>
      <c r="AQ109" s="1746">
        <f>[1]Julio!AQ97+AO109</f>
        <v>0</v>
      </c>
      <c r="AS109" t="s">
        <v>893</v>
      </c>
      <c r="AT109">
        <v>0</v>
      </c>
      <c r="AU109" s="1746">
        <v>1362</v>
      </c>
      <c r="AV109" s="1746"/>
      <c r="AW109" s="1746">
        <v>1362</v>
      </c>
      <c r="AX109" s="1725">
        <v>-1362</v>
      </c>
      <c r="AY109" s="1746">
        <v>1362</v>
      </c>
    </row>
    <row r="110" spans="1:51" ht="12.75" customHeight="1">
      <c r="A110" s="1726" t="s">
        <v>894</v>
      </c>
      <c r="B110" s="1725">
        <v>11102.282690555548</v>
      </c>
      <c r="C110" s="1729"/>
      <c r="D110" s="1729"/>
      <c r="E110" s="1725">
        <v>0</v>
      </c>
      <c r="F110" s="1725">
        <v>11102.282690555548</v>
      </c>
      <c r="G110" s="1725">
        <v>0</v>
      </c>
      <c r="H110" s="1726" t="s">
        <v>894</v>
      </c>
      <c r="I110" s="1725">
        <v>11102.282690555548</v>
      </c>
      <c r="J110" s="2450"/>
      <c r="K110" s="1729"/>
      <c r="L110" s="1725">
        <v>0</v>
      </c>
      <c r="M110" s="1725">
        <v>11102.282690555548</v>
      </c>
      <c r="N110" s="1725">
        <v>0</v>
      </c>
      <c r="O110" s="1726" t="s">
        <v>894</v>
      </c>
      <c r="P110" s="1725">
        <v>11102.282690555548</v>
      </c>
      <c r="Q110" s="1725"/>
      <c r="R110" s="1725"/>
      <c r="S110" s="1725">
        <v>0</v>
      </c>
      <c r="T110" s="1725">
        <v>11102.282690555548</v>
      </c>
      <c r="U110" s="1725">
        <v>0</v>
      </c>
      <c r="V110" s="1726" t="s">
        <v>894</v>
      </c>
      <c r="W110" s="1740">
        <v>11102.282690555548</v>
      </c>
      <c r="X110" s="1744"/>
      <c r="Y110" s="1744"/>
      <c r="Z110" s="1740">
        <v>0</v>
      </c>
      <c r="AA110" s="1740">
        <v>11102.282690555548</v>
      </c>
      <c r="AB110" s="1740">
        <v>0</v>
      </c>
      <c r="AC110" s="1726" t="s">
        <v>894</v>
      </c>
      <c r="AD110" s="1725">
        <v>11102.282690555548</v>
      </c>
      <c r="AE110" s="1746"/>
      <c r="AF110" s="1746"/>
      <c r="AG110" s="1746">
        <v>0</v>
      </c>
      <c r="AH110" s="1725">
        <v>11102.282690555548</v>
      </c>
      <c r="AI110" s="1725">
        <v>0</v>
      </c>
      <c r="AK110" t="s">
        <v>894</v>
      </c>
      <c r="AL110">
        <f>'[1]Resumen ORG.'!BA96</f>
        <v>0</v>
      </c>
      <c r="AM110" s="1746"/>
      <c r="AN110" s="1746"/>
      <c r="AO110" s="1746">
        <f t="shared" si="0"/>
        <v>0</v>
      </c>
      <c r="AP110" s="1725">
        <f t="shared" si="1"/>
        <v>0</v>
      </c>
      <c r="AQ110" s="1746">
        <f>[1]Julio!AQ98+AO110</f>
        <v>0</v>
      </c>
      <c r="AS110" t="s">
        <v>894</v>
      </c>
      <c r="AT110">
        <v>0</v>
      </c>
      <c r="AU110" s="1746"/>
      <c r="AV110" s="1746"/>
      <c r="AW110" s="1746">
        <v>0</v>
      </c>
      <c r="AX110" s="1725">
        <v>0</v>
      </c>
      <c r="AY110" s="1746">
        <v>0</v>
      </c>
    </row>
    <row r="111" spans="1:51" ht="12.75" customHeight="1">
      <c r="A111" s="1726" t="s">
        <v>895</v>
      </c>
      <c r="B111" s="1725">
        <v>70886.212595951263</v>
      </c>
      <c r="C111" s="1725"/>
      <c r="D111" s="1725"/>
      <c r="E111" s="1725">
        <v>0</v>
      </c>
      <c r="F111" s="1725">
        <v>70886.212595951263</v>
      </c>
      <c r="G111" s="1725">
        <v>0</v>
      </c>
      <c r="H111" s="1726" t="s">
        <v>895</v>
      </c>
      <c r="I111" s="1725">
        <v>70886.212595951263</v>
      </c>
      <c r="J111" s="2449">
        <v>353</v>
      </c>
      <c r="K111" s="1725"/>
      <c r="L111" s="1725">
        <v>353</v>
      </c>
      <c r="M111" s="1725">
        <v>70533.212595951263</v>
      </c>
      <c r="N111" s="1725">
        <v>353</v>
      </c>
      <c r="O111" s="1726" t="s">
        <v>895</v>
      </c>
      <c r="P111" s="1725">
        <v>70533.212595951263</v>
      </c>
      <c r="Q111" s="1729">
        <v>606</v>
      </c>
      <c r="R111" s="1725"/>
      <c r="S111" s="1725">
        <v>606</v>
      </c>
      <c r="T111" s="1725">
        <v>69927.212595951263</v>
      </c>
      <c r="U111" s="1725">
        <v>959</v>
      </c>
      <c r="V111" s="1726" t="s">
        <v>895</v>
      </c>
      <c r="W111" s="1740">
        <v>69927.212595951263</v>
      </c>
      <c r="X111" s="1744"/>
      <c r="Y111" s="1744"/>
      <c r="Z111" s="1740">
        <v>0</v>
      </c>
      <c r="AA111" s="1740">
        <v>69927.212595951263</v>
      </c>
      <c r="AB111" s="1740">
        <v>959</v>
      </c>
      <c r="AC111" s="1726" t="s">
        <v>895</v>
      </c>
      <c r="AD111" s="1725">
        <v>69927.212595951263</v>
      </c>
      <c r="AE111" s="1746"/>
      <c r="AF111" s="1746"/>
      <c r="AG111" s="1746">
        <v>0</v>
      </c>
      <c r="AH111" s="1725">
        <v>69927.212595951263</v>
      </c>
      <c r="AI111" s="1725">
        <v>959</v>
      </c>
      <c r="AK111" t="s">
        <v>895</v>
      </c>
      <c r="AL111">
        <f>'[1]Resumen ORG.'!BA97</f>
        <v>0</v>
      </c>
      <c r="AM111" s="1746">
        <v>1022</v>
      </c>
      <c r="AN111" s="1746"/>
      <c r="AO111" s="1746">
        <f t="shared" si="0"/>
        <v>1022</v>
      </c>
      <c r="AP111" s="1725">
        <f t="shared" si="1"/>
        <v>-1022</v>
      </c>
      <c r="AQ111" s="1746">
        <f>[1]Julio!AQ99+AO111</f>
        <v>1022</v>
      </c>
      <c r="AS111" t="s">
        <v>895</v>
      </c>
      <c r="AT111">
        <v>-1022</v>
      </c>
      <c r="AU111" s="1746">
        <v>898</v>
      </c>
      <c r="AV111" s="1746">
        <v>71868</v>
      </c>
      <c r="AW111" s="1746">
        <v>72766</v>
      </c>
      <c r="AX111" s="1725">
        <v>-73788</v>
      </c>
      <c r="AY111" s="1746">
        <v>73788</v>
      </c>
    </row>
    <row r="112" spans="1:51" ht="12.75" customHeight="1">
      <c r="A112" s="1726" t="s">
        <v>896</v>
      </c>
      <c r="B112" s="1725">
        <v>54989.269595106372</v>
      </c>
      <c r="C112" s="1729"/>
      <c r="D112" s="1729"/>
      <c r="E112" s="1725">
        <v>0</v>
      </c>
      <c r="F112" s="1725">
        <v>54989.269595106372</v>
      </c>
      <c r="G112" s="1725">
        <v>0</v>
      </c>
      <c r="H112" s="1726" t="s">
        <v>896</v>
      </c>
      <c r="I112" s="1725">
        <v>54989.269595106372</v>
      </c>
      <c r="J112" s="2450">
        <v>3865</v>
      </c>
      <c r="K112" s="1729"/>
      <c r="L112" s="1725">
        <v>3865</v>
      </c>
      <c r="M112" s="1725">
        <v>51124.269595106372</v>
      </c>
      <c r="N112" s="1725">
        <v>3865</v>
      </c>
      <c r="O112" s="1726" t="s">
        <v>896</v>
      </c>
      <c r="P112" s="1725">
        <v>51124.269595106372</v>
      </c>
      <c r="Q112" s="1729">
        <v>1807</v>
      </c>
      <c r="R112" s="1725"/>
      <c r="S112" s="1725">
        <v>1807</v>
      </c>
      <c r="T112" s="1725">
        <v>49317.269595106372</v>
      </c>
      <c r="U112" s="1725">
        <v>5672</v>
      </c>
      <c r="V112" s="1726" t="s">
        <v>896</v>
      </c>
      <c r="W112" s="1740">
        <v>49317.269595106372</v>
      </c>
      <c r="X112" s="1744">
        <v>6001</v>
      </c>
      <c r="Y112" s="1744"/>
      <c r="Z112" s="1740">
        <v>6001</v>
      </c>
      <c r="AA112" s="1740">
        <v>43316.269595106372</v>
      </c>
      <c r="AB112" s="1740">
        <v>11673</v>
      </c>
      <c r="AC112" s="1726" t="s">
        <v>896</v>
      </c>
      <c r="AD112" s="1725">
        <v>43316.269595106372</v>
      </c>
      <c r="AE112" s="1746">
        <v>2981</v>
      </c>
      <c r="AF112" s="1746"/>
      <c r="AG112" s="1746">
        <v>2981</v>
      </c>
      <c r="AH112" s="1725">
        <v>40335.269595106372</v>
      </c>
      <c r="AI112" s="1725">
        <v>14654</v>
      </c>
      <c r="AK112" t="s">
        <v>896</v>
      </c>
      <c r="AL112">
        <f>'[1]Resumen ORG.'!BA98</f>
        <v>0</v>
      </c>
      <c r="AM112" s="1746">
        <v>3177</v>
      </c>
      <c r="AN112" s="1746"/>
      <c r="AO112" s="1746">
        <f t="shared" si="0"/>
        <v>3177</v>
      </c>
      <c r="AP112" s="1725">
        <f t="shared" si="1"/>
        <v>-3177</v>
      </c>
      <c r="AQ112" s="1746">
        <f>[1]Julio!AQ100+AO112</f>
        <v>3177</v>
      </c>
      <c r="AS112" t="s">
        <v>896</v>
      </c>
      <c r="AT112">
        <v>-3177</v>
      </c>
      <c r="AU112" s="1746">
        <v>3322</v>
      </c>
      <c r="AV112" s="1746"/>
      <c r="AW112" s="1746">
        <v>3322</v>
      </c>
      <c r="AX112" s="1725">
        <v>-6499</v>
      </c>
      <c r="AY112" s="1746">
        <v>6499</v>
      </c>
    </row>
    <row r="113" spans="1:51" ht="12.75" customHeight="1">
      <c r="A113" s="1726" t="s">
        <v>897</v>
      </c>
      <c r="B113" s="1725">
        <v>26097.228808731059</v>
      </c>
      <c r="C113" s="1725"/>
      <c r="D113" s="1725"/>
      <c r="E113" s="1725">
        <v>0</v>
      </c>
      <c r="F113" s="1725">
        <v>26097.228808731059</v>
      </c>
      <c r="G113" s="1725">
        <v>1333</v>
      </c>
      <c r="H113" s="1726" t="s">
        <v>897</v>
      </c>
      <c r="I113" s="1725">
        <v>26097.228808731059</v>
      </c>
      <c r="J113" s="2449"/>
      <c r="K113" s="1725"/>
      <c r="L113" s="1725">
        <v>0</v>
      </c>
      <c r="M113" s="1725">
        <v>26097.228808731059</v>
      </c>
      <c r="N113" s="1725">
        <v>1333</v>
      </c>
      <c r="O113" s="1726" t="s">
        <v>897</v>
      </c>
      <c r="P113" s="1725">
        <v>26097.228808731059</v>
      </c>
      <c r="Q113" s="1725"/>
      <c r="R113" s="1725"/>
      <c r="S113" s="1725">
        <v>0</v>
      </c>
      <c r="T113" s="1725">
        <v>26097.228808731059</v>
      </c>
      <c r="U113" s="1725">
        <v>1333</v>
      </c>
      <c r="V113" s="1726" t="s">
        <v>897</v>
      </c>
      <c r="W113" s="1740">
        <v>26097.228808731059</v>
      </c>
      <c r="X113" s="1744"/>
      <c r="Y113" s="1744"/>
      <c r="Z113" s="1740">
        <v>0</v>
      </c>
      <c r="AA113" s="1740">
        <v>26097.228808731059</v>
      </c>
      <c r="AB113" s="1740">
        <v>1333</v>
      </c>
      <c r="AC113" s="1726" t="s">
        <v>897</v>
      </c>
      <c r="AD113" s="1725">
        <v>26097.228808731059</v>
      </c>
      <c r="AE113" s="1746"/>
      <c r="AF113" s="1746"/>
      <c r="AG113" s="1746">
        <v>0</v>
      </c>
      <c r="AH113" s="1725">
        <v>26097.228808731059</v>
      </c>
      <c r="AI113" s="1725">
        <v>1333</v>
      </c>
      <c r="AK113" t="s">
        <v>897</v>
      </c>
      <c r="AL113">
        <f>'[1]Resumen ORG.'!BA99</f>
        <v>0</v>
      </c>
      <c r="AM113" s="1746"/>
      <c r="AN113" s="1746"/>
      <c r="AO113" s="1746">
        <f t="shared" si="0"/>
        <v>0</v>
      </c>
      <c r="AP113" s="1725">
        <f t="shared" si="1"/>
        <v>0</v>
      </c>
      <c r="AQ113" s="1746">
        <f>[1]Julio!AQ101+AO113</f>
        <v>0</v>
      </c>
      <c r="AS113" t="s">
        <v>897</v>
      </c>
      <c r="AT113">
        <v>0</v>
      </c>
      <c r="AU113" s="1746">
        <v>344</v>
      </c>
      <c r="AV113" s="1746">
        <v>28296</v>
      </c>
      <c r="AW113" s="1746">
        <v>28640</v>
      </c>
      <c r="AX113" s="1725">
        <v>-28640</v>
      </c>
      <c r="AY113" s="1746">
        <v>28640</v>
      </c>
    </row>
    <row r="114" spans="1:51" ht="12.75" customHeight="1">
      <c r="A114" s="1727" t="s">
        <v>898</v>
      </c>
      <c r="B114" s="1725">
        <v>14853.692929431552</v>
      </c>
      <c r="C114" s="1725"/>
      <c r="D114" s="1725"/>
      <c r="E114" s="1725">
        <v>0</v>
      </c>
      <c r="F114" s="1725">
        <v>14853.692929431552</v>
      </c>
      <c r="G114" s="1725">
        <v>0</v>
      </c>
      <c r="H114" s="1727" t="s">
        <v>898</v>
      </c>
      <c r="I114" s="1725">
        <v>14853.692929431552</v>
      </c>
      <c r="J114" s="2449">
        <v>6304</v>
      </c>
      <c r="K114" s="1725"/>
      <c r="L114" s="1725">
        <v>6304</v>
      </c>
      <c r="M114" s="1725">
        <v>8549.6929294315523</v>
      </c>
      <c r="N114" s="1725">
        <v>6304</v>
      </c>
      <c r="O114" s="1727" t="s">
        <v>898</v>
      </c>
      <c r="P114" s="1725">
        <v>8549.6929294315523</v>
      </c>
      <c r="Q114" s="1729">
        <v>1111</v>
      </c>
      <c r="R114" s="1725"/>
      <c r="S114" s="1725">
        <v>1111</v>
      </c>
      <c r="T114" s="1725">
        <v>7438.6929294315523</v>
      </c>
      <c r="U114" s="1725">
        <v>7415</v>
      </c>
      <c r="V114" s="1727" t="s">
        <v>898</v>
      </c>
      <c r="W114" s="1740">
        <v>7438.6929294315523</v>
      </c>
      <c r="X114" s="1744">
        <v>7900</v>
      </c>
      <c r="Y114" s="1744"/>
      <c r="Z114" s="1740">
        <v>7900</v>
      </c>
      <c r="AA114" s="1740">
        <v>-461.30707056844767</v>
      </c>
      <c r="AB114" s="1740">
        <v>15315</v>
      </c>
      <c r="AC114" s="1727" t="s">
        <v>898</v>
      </c>
      <c r="AD114" s="1725">
        <v>-461.30707056844767</v>
      </c>
      <c r="AE114" s="1746"/>
      <c r="AF114" s="1746"/>
      <c r="AG114" s="1746">
        <v>0</v>
      </c>
      <c r="AH114" s="1725">
        <v>-461.30707056844767</v>
      </c>
      <c r="AI114" s="1725">
        <v>15315</v>
      </c>
      <c r="AK114" t="s">
        <v>898</v>
      </c>
      <c r="AL114">
        <f>'[1]Resumen ORG.'!BA100</f>
        <v>0</v>
      </c>
      <c r="AM114" s="1746"/>
      <c r="AN114" s="1746"/>
      <c r="AO114" s="1746">
        <f t="shared" si="0"/>
        <v>0</v>
      </c>
      <c r="AP114" s="1725">
        <f t="shared" si="1"/>
        <v>0</v>
      </c>
      <c r="AQ114" s="1746">
        <f>[1]Julio!AQ102+AO114</f>
        <v>0</v>
      </c>
      <c r="AS114" t="s">
        <v>898</v>
      </c>
      <c r="AT114">
        <v>0</v>
      </c>
      <c r="AU114" s="1746">
        <v>622</v>
      </c>
      <c r="AV114" s="1746"/>
      <c r="AW114" s="1746">
        <v>622</v>
      </c>
      <c r="AX114" s="1725">
        <v>-622</v>
      </c>
      <c r="AY114" s="1746">
        <v>622</v>
      </c>
    </row>
    <row r="115" spans="1:51" ht="12.75" customHeight="1">
      <c r="A115" s="1727" t="s">
        <v>899</v>
      </c>
      <c r="B115" s="1725">
        <v>16048.721087133208</v>
      </c>
      <c r="C115" s="1725"/>
      <c r="D115" s="1725"/>
      <c r="E115" s="1725">
        <v>0</v>
      </c>
      <c r="F115" s="1725">
        <v>16048.721087133208</v>
      </c>
      <c r="G115" s="1725">
        <v>0</v>
      </c>
      <c r="H115" s="1727" t="s">
        <v>899</v>
      </c>
      <c r="I115" s="1725">
        <v>16048.721087133208</v>
      </c>
      <c r="J115" s="2449"/>
      <c r="K115" s="1725"/>
      <c r="L115" s="1725">
        <v>0</v>
      </c>
      <c r="M115" s="1725">
        <v>16048.721087133208</v>
      </c>
      <c r="N115" s="1725">
        <v>0</v>
      </c>
      <c r="O115" s="1727" t="s">
        <v>899</v>
      </c>
      <c r="P115" s="1725">
        <v>16048.721087133208</v>
      </c>
      <c r="Q115" s="1725"/>
      <c r="R115" s="1725"/>
      <c r="S115" s="1725">
        <v>0</v>
      </c>
      <c r="T115" s="1725">
        <v>16048.721087133208</v>
      </c>
      <c r="U115" s="1725">
        <v>0</v>
      </c>
      <c r="V115" s="1727" t="s">
        <v>899</v>
      </c>
      <c r="W115" s="1740">
        <v>16048.721087133208</v>
      </c>
      <c r="X115" s="1744"/>
      <c r="Y115" s="1744"/>
      <c r="Z115" s="1740">
        <v>0</v>
      </c>
      <c r="AA115" s="1740">
        <v>16048.721087133208</v>
      </c>
      <c r="AB115" s="1740">
        <v>0</v>
      </c>
      <c r="AC115" s="1727" t="s">
        <v>899</v>
      </c>
      <c r="AD115" s="1725">
        <v>16048.721087133208</v>
      </c>
      <c r="AE115" s="1746"/>
      <c r="AF115" s="1746"/>
      <c r="AG115" s="1746">
        <v>0</v>
      </c>
      <c r="AH115" s="1725">
        <v>16048.721087133208</v>
      </c>
      <c r="AI115" s="1725">
        <v>0</v>
      </c>
      <c r="AK115" t="s">
        <v>899</v>
      </c>
      <c r="AL115">
        <f>'[1]Resumen ORG.'!BA101</f>
        <v>0</v>
      </c>
      <c r="AM115" s="1746">
        <v>2522</v>
      </c>
      <c r="AN115" s="1746"/>
      <c r="AO115" s="1746">
        <f t="shared" si="0"/>
        <v>2522</v>
      </c>
      <c r="AP115" s="1725">
        <f t="shared" si="1"/>
        <v>-2522</v>
      </c>
      <c r="AQ115" s="1746">
        <f>[1]Julio!AQ103+AO115</f>
        <v>2522</v>
      </c>
      <c r="AS115" t="s">
        <v>899</v>
      </c>
      <c r="AT115">
        <v>-2522</v>
      </c>
      <c r="AU115" s="1746"/>
      <c r="AV115" s="1746"/>
      <c r="AW115" s="1746">
        <v>0</v>
      </c>
      <c r="AX115" s="1725">
        <v>-2522</v>
      </c>
      <c r="AY115" s="1746">
        <v>2522</v>
      </c>
    </row>
    <row r="116" spans="1:51" ht="12.75" customHeight="1" thickBot="1">
      <c r="A116" s="1730" t="s">
        <v>144</v>
      </c>
      <c r="B116" s="1731">
        <v>957387.50497162715</v>
      </c>
      <c r="C116" s="1731">
        <v>14935</v>
      </c>
      <c r="D116" s="1731">
        <v>72029</v>
      </c>
      <c r="E116" s="1731">
        <v>86964</v>
      </c>
      <c r="F116" s="1731">
        <v>870423.50497162703</v>
      </c>
      <c r="G116" s="1731">
        <v>219795</v>
      </c>
      <c r="H116" s="1730" t="s">
        <v>144</v>
      </c>
      <c r="I116" s="1731">
        <v>870423.50497162703</v>
      </c>
      <c r="J116" s="2451">
        <v>83993</v>
      </c>
      <c r="K116" s="1731">
        <v>0</v>
      </c>
      <c r="L116" s="1731">
        <v>83993</v>
      </c>
      <c r="M116" s="1731">
        <v>786430.50497162691</v>
      </c>
      <c r="N116" s="1731">
        <v>303788</v>
      </c>
      <c r="O116" s="1730" t="s">
        <v>144</v>
      </c>
      <c r="P116" s="1739">
        <v>786430.50497162691</v>
      </c>
      <c r="Q116" s="1739">
        <v>16733</v>
      </c>
      <c r="R116" s="1739">
        <v>50175</v>
      </c>
      <c r="S116" s="1739">
        <v>66908</v>
      </c>
      <c r="T116" s="1739">
        <v>719522.50497162691</v>
      </c>
      <c r="U116" s="1739">
        <v>370696</v>
      </c>
      <c r="V116" s="1730" t="s">
        <v>144</v>
      </c>
      <c r="W116" s="1745">
        <v>719522.50497162691</v>
      </c>
      <c r="X116" s="1745">
        <v>42202</v>
      </c>
      <c r="Y116" s="1745">
        <v>2999</v>
      </c>
      <c r="Z116" s="1745">
        <v>45201</v>
      </c>
      <c r="AA116" s="1745">
        <v>674321.5049716268</v>
      </c>
      <c r="AB116" s="1745">
        <v>415897</v>
      </c>
      <c r="AC116" s="1730" t="s">
        <v>144</v>
      </c>
      <c r="AD116" s="1749">
        <v>674321.5049716268</v>
      </c>
      <c r="AE116" s="1749">
        <v>32389</v>
      </c>
      <c r="AF116" s="1749">
        <v>49859</v>
      </c>
      <c r="AG116" s="1749">
        <v>82248</v>
      </c>
      <c r="AH116" s="1749">
        <v>641932.5049716268</v>
      </c>
      <c r="AI116" s="1749">
        <v>498145</v>
      </c>
      <c r="AK116" t="s">
        <v>1153</v>
      </c>
      <c r="AL116">
        <f>'[1]Resumen ORG.'!BA102</f>
        <v>0</v>
      </c>
      <c r="AM116" s="1746"/>
      <c r="AN116" s="1746"/>
      <c r="AO116" s="1746">
        <f>AM116+AN116</f>
        <v>0</v>
      </c>
      <c r="AP116" s="1725">
        <f>AL116-AO116</f>
        <v>0</v>
      </c>
      <c r="AQ116" s="1746">
        <f>[1]Julio!AQ104+AO116</f>
        <v>0</v>
      </c>
      <c r="AS116" t="s">
        <v>1153</v>
      </c>
      <c r="AT116">
        <v>0</v>
      </c>
      <c r="AU116" s="1746"/>
      <c r="AV116" s="1746"/>
      <c r="AW116" s="1746">
        <v>0</v>
      </c>
      <c r="AX116" s="1725">
        <v>0</v>
      </c>
      <c r="AY116" s="1746">
        <v>0</v>
      </c>
    </row>
    <row r="117" spans="1:51" ht="12.75" customHeight="1" thickBot="1">
      <c r="A117" s="510"/>
      <c r="B117" s="510"/>
      <c r="C117" s="510"/>
      <c r="D117" s="510"/>
      <c r="E117" s="510"/>
      <c r="F117" s="510"/>
      <c r="G117" s="510"/>
      <c r="H117" s="510"/>
      <c r="I117" s="510"/>
      <c r="J117" s="994"/>
      <c r="K117" s="510"/>
      <c r="L117" s="510"/>
      <c r="M117" s="510"/>
      <c r="N117" s="510"/>
      <c r="O117" s="510"/>
      <c r="P117" s="510"/>
      <c r="Q117" s="510"/>
      <c r="R117" s="510"/>
      <c r="S117" s="510"/>
      <c r="T117" s="510"/>
      <c r="U117" s="510"/>
      <c r="V117" s="510"/>
      <c r="W117" s="510"/>
      <c r="X117" s="510"/>
      <c r="Y117" s="510"/>
      <c r="Z117" s="510"/>
      <c r="AA117" s="510"/>
      <c r="AB117" s="510"/>
      <c r="AC117" s="510"/>
      <c r="AD117" s="510"/>
      <c r="AE117" s="510"/>
      <c r="AF117" s="510"/>
      <c r="AG117" s="510"/>
      <c r="AH117" s="510"/>
      <c r="AI117" s="510"/>
      <c r="AK117" t="s">
        <v>1154</v>
      </c>
      <c r="AL117">
        <f>'[1]Resumen ORG.'!BA103</f>
        <v>0</v>
      </c>
      <c r="AM117" s="1746"/>
      <c r="AN117" s="1746"/>
      <c r="AO117" s="1746">
        <f>AM117+AN117</f>
        <v>0</v>
      </c>
      <c r="AP117" s="1725">
        <f>AL117-AO117</f>
        <v>0</v>
      </c>
      <c r="AQ117" s="1746">
        <f>[1]Julio!AQ105+AO117</f>
        <v>0</v>
      </c>
      <c r="AS117" t="s">
        <v>1154</v>
      </c>
      <c r="AT117">
        <v>0</v>
      </c>
      <c r="AU117" s="1746">
        <v>3456</v>
      </c>
      <c r="AV117" s="1746"/>
      <c r="AW117" s="1746">
        <v>3456</v>
      </c>
      <c r="AX117" s="1725">
        <v>-3456</v>
      </c>
      <c r="AY117" s="1746">
        <v>3456</v>
      </c>
    </row>
    <row r="118" spans="1:51" ht="12.75" customHeight="1" thickBot="1">
      <c r="A118" s="510"/>
      <c r="B118" s="510"/>
      <c r="C118" s="510"/>
      <c r="D118" s="510"/>
      <c r="E118" s="510"/>
      <c r="F118" s="510"/>
      <c r="G118" s="510"/>
      <c r="H118" s="510"/>
      <c r="I118" s="510"/>
      <c r="J118" s="994"/>
      <c r="K118" s="510"/>
      <c r="L118" s="510"/>
      <c r="M118" s="510"/>
      <c r="N118" s="510"/>
      <c r="O118" s="510"/>
      <c r="P118" s="510"/>
      <c r="Q118" s="510"/>
      <c r="R118" s="510"/>
      <c r="S118" s="510"/>
      <c r="T118" s="510"/>
      <c r="U118" s="510"/>
      <c r="V118" s="510"/>
      <c r="W118" s="510"/>
      <c r="X118" s="510"/>
      <c r="Y118" s="510"/>
      <c r="Z118" s="510"/>
      <c r="AA118" s="510"/>
      <c r="AB118" s="510"/>
      <c r="AC118" s="510"/>
      <c r="AD118" s="510"/>
      <c r="AE118" s="510"/>
      <c r="AF118" s="510"/>
      <c r="AG118" s="510"/>
      <c r="AH118" s="510"/>
      <c r="AI118" s="510"/>
      <c r="AK118" t="s">
        <v>144</v>
      </c>
      <c r="AL118">
        <f t="shared" ref="AL118:AQ118" si="2">SUM(AL79:AL117)</f>
        <v>0</v>
      </c>
      <c r="AM118">
        <f t="shared" si="2"/>
        <v>63805</v>
      </c>
      <c r="AN118">
        <f t="shared" si="2"/>
        <v>0</v>
      </c>
      <c r="AO118">
        <f t="shared" si="2"/>
        <v>63805</v>
      </c>
      <c r="AP118">
        <f t="shared" si="2"/>
        <v>-63805</v>
      </c>
      <c r="AQ118">
        <f t="shared" si="2"/>
        <v>63805</v>
      </c>
      <c r="AS118" t="s">
        <v>144</v>
      </c>
      <c r="AT118">
        <v>-63805</v>
      </c>
      <c r="AU118">
        <v>60371</v>
      </c>
      <c r="AV118">
        <v>228971</v>
      </c>
      <c r="AW118">
        <v>289342</v>
      </c>
      <c r="AX118">
        <v>-353147</v>
      </c>
      <c r="AY118">
        <v>353147</v>
      </c>
    </row>
    <row r="119" spans="1:51" ht="12.75" customHeight="1" thickBot="1">
      <c r="A119" s="510"/>
      <c r="B119" s="998" t="s">
        <v>128</v>
      </c>
      <c r="C119" s="998" t="s">
        <v>574</v>
      </c>
      <c r="D119" s="998" t="s">
        <v>575</v>
      </c>
      <c r="E119" s="998" t="s">
        <v>576</v>
      </c>
      <c r="F119" s="998" t="s">
        <v>128</v>
      </c>
      <c r="G119" s="999" t="s">
        <v>576</v>
      </c>
      <c r="H119" s="510"/>
      <c r="I119" s="998" t="s">
        <v>128</v>
      </c>
      <c r="J119" s="998" t="s">
        <v>574</v>
      </c>
      <c r="K119" s="998" t="s">
        <v>575</v>
      </c>
      <c r="L119" s="998" t="s">
        <v>576</v>
      </c>
      <c r="M119" s="998" t="s">
        <v>128</v>
      </c>
      <c r="N119" s="999" t="s">
        <v>576</v>
      </c>
      <c r="O119" s="510"/>
      <c r="P119" s="998" t="s">
        <v>128</v>
      </c>
      <c r="Q119" s="998" t="s">
        <v>574</v>
      </c>
      <c r="R119" s="998" t="s">
        <v>575</v>
      </c>
      <c r="S119" s="998" t="s">
        <v>576</v>
      </c>
      <c r="T119" s="998" t="s">
        <v>128</v>
      </c>
      <c r="U119" s="999" t="s">
        <v>576</v>
      </c>
      <c r="V119" s="510"/>
      <c r="W119" s="998" t="s">
        <v>128</v>
      </c>
      <c r="X119" s="998" t="s">
        <v>574</v>
      </c>
      <c r="Y119" s="998" t="s">
        <v>575</v>
      </c>
      <c r="Z119" s="998" t="s">
        <v>576</v>
      </c>
      <c r="AA119" s="998" t="s">
        <v>128</v>
      </c>
      <c r="AB119" s="999" t="s">
        <v>576</v>
      </c>
      <c r="AC119" s="510"/>
      <c r="AD119" s="998" t="s">
        <v>128</v>
      </c>
      <c r="AE119" s="998" t="s">
        <v>574</v>
      </c>
      <c r="AF119" s="998" t="s">
        <v>575</v>
      </c>
      <c r="AG119" s="998" t="s">
        <v>576</v>
      </c>
      <c r="AH119" s="998" t="s">
        <v>128</v>
      </c>
      <c r="AI119" s="1737" t="s">
        <v>576</v>
      </c>
      <c r="AK119" s="510"/>
      <c r="AL119" s="510"/>
      <c r="AM119" s="510"/>
      <c r="AN119" s="510"/>
      <c r="AO119" s="510"/>
      <c r="AP119" s="510"/>
      <c r="AQ119" s="510"/>
      <c r="AS119" s="510"/>
      <c r="AT119" s="510"/>
      <c r="AU119" s="510"/>
      <c r="AV119" s="510"/>
      <c r="AW119" s="510"/>
      <c r="AX119" s="510"/>
      <c r="AY119" s="510"/>
    </row>
    <row r="120" spans="1:51" ht="12.75" customHeight="1" thickBot="1">
      <c r="A120" s="1732" t="s">
        <v>584</v>
      </c>
      <c r="B120" s="1001" t="s">
        <v>146</v>
      </c>
      <c r="C120" s="1001" t="s">
        <v>147</v>
      </c>
      <c r="D120" s="1001" t="s">
        <v>147</v>
      </c>
      <c r="E120" s="1001" t="s">
        <v>147</v>
      </c>
      <c r="F120" s="1001" t="s">
        <v>147</v>
      </c>
      <c r="G120" s="1002" t="s">
        <v>983</v>
      </c>
      <c r="H120" s="1732" t="s">
        <v>584</v>
      </c>
      <c r="I120" s="1737" t="s">
        <v>147</v>
      </c>
      <c r="J120" s="1737" t="s">
        <v>148</v>
      </c>
      <c r="K120" s="1737" t="s">
        <v>148</v>
      </c>
      <c r="L120" s="1737" t="s">
        <v>148</v>
      </c>
      <c r="M120" s="1737" t="s">
        <v>148</v>
      </c>
      <c r="N120" s="1737" t="s">
        <v>983</v>
      </c>
      <c r="O120" s="1732" t="s">
        <v>584</v>
      </c>
      <c r="P120" s="1737" t="s">
        <v>148</v>
      </c>
      <c r="Q120" s="1737" t="s">
        <v>149</v>
      </c>
      <c r="R120" s="1737" t="s">
        <v>149</v>
      </c>
      <c r="S120" s="1737" t="s">
        <v>149</v>
      </c>
      <c r="T120" s="1737" t="s">
        <v>149</v>
      </c>
      <c r="U120" s="1737" t="s">
        <v>983</v>
      </c>
      <c r="V120" s="1732" t="s">
        <v>584</v>
      </c>
      <c r="W120" s="1737" t="s">
        <v>149</v>
      </c>
      <c r="X120" s="1737" t="s">
        <v>150</v>
      </c>
      <c r="Y120" s="1737" t="s">
        <v>150</v>
      </c>
      <c r="Z120" s="1737" t="s">
        <v>150</v>
      </c>
      <c r="AA120" s="1737" t="s">
        <v>150</v>
      </c>
      <c r="AB120" s="1737" t="s">
        <v>983</v>
      </c>
      <c r="AC120" s="1732" t="s">
        <v>584</v>
      </c>
      <c r="AD120" s="1737" t="s">
        <v>150</v>
      </c>
      <c r="AE120" s="1737" t="s">
        <v>151</v>
      </c>
      <c r="AF120" s="1737" t="s">
        <v>151</v>
      </c>
      <c r="AG120" s="1737" t="s">
        <v>151</v>
      </c>
      <c r="AH120" s="1737" t="s">
        <v>151</v>
      </c>
      <c r="AI120" s="1737" t="s">
        <v>983</v>
      </c>
      <c r="AK120" s="510"/>
      <c r="AL120" s="510"/>
      <c r="AM120" s="510"/>
      <c r="AN120" s="510"/>
      <c r="AO120" s="510"/>
      <c r="AP120" s="510"/>
      <c r="AQ120" s="510"/>
      <c r="AS120" s="510"/>
      <c r="AT120" s="510"/>
      <c r="AU120" s="510"/>
      <c r="AV120" s="510"/>
      <c r="AW120" s="510"/>
      <c r="AX120" s="510"/>
      <c r="AY120" s="510"/>
    </row>
    <row r="121" spans="1:51" ht="12.75" customHeight="1" thickBot="1">
      <c r="A121" s="1726" t="s">
        <v>900</v>
      </c>
      <c r="B121" s="1725">
        <v>4073.1734999026071</v>
      </c>
      <c r="C121" s="1725"/>
      <c r="D121" s="1725"/>
      <c r="E121" s="1725">
        <v>0</v>
      </c>
      <c r="F121" s="1725">
        <v>4073.1734999026071</v>
      </c>
      <c r="G121" s="1725">
        <v>0</v>
      </c>
      <c r="H121" s="1726" t="s">
        <v>900</v>
      </c>
      <c r="I121" s="1725">
        <v>4073.1734999026071</v>
      </c>
      <c r="J121" s="2449"/>
      <c r="K121" s="1725"/>
      <c r="L121" s="1725">
        <v>0</v>
      </c>
      <c r="M121" s="1725">
        <v>4073.1734999026071</v>
      </c>
      <c r="N121" s="1725">
        <v>0</v>
      </c>
      <c r="O121" s="1726" t="s">
        <v>900</v>
      </c>
      <c r="P121" s="1740">
        <v>4073.1734999026071</v>
      </c>
      <c r="Q121" s="1740"/>
      <c r="R121" s="1740"/>
      <c r="S121" s="1740">
        <v>0</v>
      </c>
      <c r="T121" s="1740">
        <v>4073.1734999026071</v>
      </c>
      <c r="U121" s="1740">
        <v>0</v>
      </c>
      <c r="V121" s="1726" t="s">
        <v>900</v>
      </c>
      <c r="W121" s="1725">
        <v>4073.1734999026071</v>
      </c>
      <c r="X121" s="1746"/>
      <c r="Y121" s="1746"/>
      <c r="Z121" s="1746">
        <v>0</v>
      </c>
      <c r="AA121" s="1725">
        <v>4073.1734999026071</v>
      </c>
      <c r="AB121" s="1725">
        <v>0</v>
      </c>
      <c r="AC121" s="1726" t="s">
        <v>900</v>
      </c>
      <c r="AD121" s="1725">
        <v>4073.1734999026071</v>
      </c>
      <c r="AE121" s="1746"/>
      <c r="AF121" s="1746"/>
      <c r="AG121" s="1746">
        <v>0</v>
      </c>
      <c r="AH121" s="1725">
        <v>4073.1734999026071</v>
      </c>
      <c r="AI121" s="1725">
        <v>0</v>
      </c>
      <c r="AK121" s="510"/>
      <c r="AL121" s="2176" t="s">
        <v>128</v>
      </c>
      <c r="AM121" s="2177" t="s">
        <v>574</v>
      </c>
      <c r="AN121" s="2178" t="s">
        <v>575</v>
      </c>
      <c r="AO121" s="2177" t="s">
        <v>987</v>
      </c>
      <c r="AP121" s="2176" t="s">
        <v>128</v>
      </c>
      <c r="AQ121" s="2179" t="s">
        <v>576</v>
      </c>
      <c r="AS121" s="510"/>
      <c r="AT121" s="2176" t="s">
        <v>128</v>
      </c>
      <c r="AU121" s="2177" t="s">
        <v>574</v>
      </c>
      <c r="AV121" s="2178" t="s">
        <v>575</v>
      </c>
      <c r="AW121" s="2177" t="s">
        <v>987</v>
      </c>
      <c r="AX121" s="2176" t="s">
        <v>128</v>
      </c>
      <c r="AY121" s="2179" t="s">
        <v>576</v>
      </c>
    </row>
    <row r="122" spans="1:51" ht="12.75" customHeight="1" thickBot="1">
      <c r="A122" s="1726" t="s">
        <v>901</v>
      </c>
      <c r="B122" s="1725">
        <v>127917.77097419417</v>
      </c>
      <c r="C122" s="1725">
        <v>15753</v>
      </c>
      <c r="D122" s="1725"/>
      <c r="E122" s="1725">
        <v>15753</v>
      </c>
      <c r="F122" s="1725">
        <v>112164.77097419417</v>
      </c>
      <c r="G122" s="1725">
        <v>29832</v>
      </c>
      <c r="H122" s="1726" t="s">
        <v>901</v>
      </c>
      <c r="I122" s="1725">
        <v>112164.77097419417</v>
      </c>
      <c r="J122" s="2449">
        <v>2624</v>
      </c>
      <c r="K122" s="1725"/>
      <c r="L122" s="1725">
        <v>2624</v>
      </c>
      <c r="M122" s="1725">
        <v>109540.77097419417</v>
      </c>
      <c r="N122" s="1725">
        <v>32456</v>
      </c>
      <c r="O122" s="1726" t="s">
        <v>901</v>
      </c>
      <c r="P122" s="1740">
        <v>109540.77097419417</v>
      </c>
      <c r="Q122" s="1741">
        <v>2767</v>
      </c>
      <c r="R122" s="1740"/>
      <c r="S122" s="1740">
        <v>2767</v>
      </c>
      <c r="T122" s="1740">
        <v>106773.77097419417</v>
      </c>
      <c r="U122" s="1740">
        <v>35223</v>
      </c>
      <c r="V122" s="1726" t="s">
        <v>901</v>
      </c>
      <c r="W122" s="1725">
        <v>106773.77097419417</v>
      </c>
      <c r="X122" s="1746">
        <v>1218</v>
      </c>
      <c r="Y122" s="1746"/>
      <c r="Z122" s="1746">
        <v>1218</v>
      </c>
      <c r="AA122" s="1725">
        <v>105555.77097419417</v>
      </c>
      <c r="AB122" s="1725">
        <v>36441</v>
      </c>
      <c r="AC122" s="1726" t="s">
        <v>901</v>
      </c>
      <c r="AD122" s="1725">
        <v>105555.77097419417</v>
      </c>
      <c r="AE122" s="1746">
        <v>8419</v>
      </c>
      <c r="AF122" s="1746"/>
      <c r="AG122" s="1746">
        <v>8419</v>
      </c>
      <c r="AH122" s="1725">
        <v>97136.770974194165</v>
      </c>
      <c r="AI122" s="1725">
        <v>44860</v>
      </c>
      <c r="AK122" s="1732" t="s">
        <v>584</v>
      </c>
      <c r="AL122" s="2359" t="s">
        <v>151</v>
      </c>
      <c r="AM122" s="2178" t="s">
        <v>153</v>
      </c>
      <c r="AN122" s="2178" t="s">
        <v>153</v>
      </c>
      <c r="AO122" s="2178" t="s">
        <v>153</v>
      </c>
      <c r="AP122" s="2178" t="s">
        <v>153</v>
      </c>
      <c r="AQ122" s="2180" t="s">
        <v>983</v>
      </c>
      <c r="AS122" s="1732" t="s">
        <v>584</v>
      </c>
      <c r="AT122" s="2358" t="s">
        <v>153</v>
      </c>
      <c r="AU122" s="2359" t="s">
        <v>154</v>
      </c>
      <c r="AV122" s="2360" t="s">
        <v>154</v>
      </c>
      <c r="AW122" s="2359" t="s">
        <v>154</v>
      </c>
      <c r="AX122" s="2360" t="s">
        <v>154</v>
      </c>
      <c r="AY122" s="2180" t="s">
        <v>983</v>
      </c>
    </row>
    <row r="123" spans="1:51" ht="12.75" customHeight="1">
      <c r="A123" s="1727" t="s">
        <v>902</v>
      </c>
      <c r="B123" s="1725">
        <v>30951.691375244016</v>
      </c>
      <c r="C123" s="1725"/>
      <c r="D123" s="1725"/>
      <c r="E123" s="1725">
        <v>0</v>
      </c>
      <c r="F123" s="1725">
        <v>30951.691375244016</v>
      </c>
      <c r="G123" s="1725">
        <v>0</v>
      </c>
      <c r="H123" s="1727" t="s">
        <v>902</v>
      </c>
      <c r="I123" s="1725">
        <v>30951.691375244016</v>
      </c>
      <c r="J123" s="2449"/>
      <c r="K123" s="1725"/>
      <c r="L123" s="1725">
        <v>0</v>
      </c>
      <c r="M123" s="1725">
        <v>30951.691375244016</v>
      </c>
      <c r="N123" s="1725">
        <v>0</v>
      </c>
      <c r="O123" s="1727" t="s">
        <v>902</v>
      </c>
      <c r="P123" s="1740">
        <v>30951.691375244016</v>
      </c>
      <c r="Q123" s="1740"/>
      <c r="R123" s="1740"/>
      <c r="S123" s="1740">
        <v>0</v>
      </c>
      <c r="T123" s="1740">
        <v>30951.691375244016</v>
      </c>
      <c r="U123" s="1740">
        <v>0</v>
      </c>
      <c r="V123" s="1727" t="s">
        <v>902</v>
      </c>
      <c r="W123" s="1725">
        <v>30951.691375244016</v>
      </c>
      <c r="X123" s="1746"/>
      <c r="Y123" s="1746"/>
      <c r="Z123" s="1746">
        <v>0</v>
      </c>
      <c r="AA123" s="1725">
        <v>30951.691375244016</v>
      </c>
      <c r="AB123" s="1725">
        <v>0</v>
      </c>
      <c r="AC123" s="1727" t="s">
        <v>902</v>
      </c>
      <c r="AD123" s="1725">
        <v>30951.691375244016</v>
      </c>
      <c r="AE123" s="1746"/>
      <c r="AF123" s="1746">
        <v>20494</v>
      </c>
      <c r="AG123" s="1746">
        <v>20494</v>
      </c>
      <c r="AH123" s="1725">
        <v>30951.691375244016</v>
      </c>
      <c r="AI123" s="1725">
        <v>20494</v>
      </c>
      <c r="AK123" t="s">
        <v>900</v>
      </c>
      <c r="AL123">
        <v>6413.2309714228813</v>
      </c>
      <c r="AM123" s="2182"/>
      <c r="AN123" s="2182"/>
      <c r="AO123" s="2182">
        <v>0</v>
      </c>
      <c r="AP123" s="2181">
        <v>6413.2309714228813</v>
      </c>
      <c r="AQ123" s="2182">
        <v>0</v>
      </c>
      <c r="AS123" t="s">
        <v>900</v>
      </c>
      <c r="AT123">
        <v>6413.2309714228813</v>
      </c>
      <c r="AU123" s="1746">
        <v>1638</v>
      </c>
      <c r="AV123" s="1746"/>
      <c r="AW123" s="1746">
        <v>1638</v>
      </c>
      <c r="AX123" s="1725">
        <v>4775.2309714228813</v>
      </c>
      <c r="AY123" s="1746">
        <v>1638</v>
      </c>
    </row>
    <row r="124" spans="1:51" ht="12.75" customHeight="1">
      <c r="A124" s="1726" t="s">
        <v>903</v>
      </c>
      <c r="B124" s="1725">
        <v>-8196.4014481630966</v>
      </c>
      <c r="C124" s="1725"/>
      <c r="D124" s="1725"/>
      <c r="E124" s="1725">
        <v>0</v>
      </c>
      <c r="F124" s="1725">
        <v>-8196.4014481630966</v>
      </c>
      <c r="G124" s="1725">
        <v>0</v>
      </c>
      <c r="H124" s="1726" t="s">
        <v>903</v>
      </c>
      <c r="I124" s="1725">
        <v>-8196.4014481630966</v>
      </c>
      <c r="J124" s="2449"/>
      <c r="K124" s="1725"/>
      <c r="L124" s="1725">
        <v>0</v>
      </c>
      <c r="M124" s="1725">
        <v>-8196.4014481630966</v>
      </c>
      <c r="N124" s="1725">
        <v>0</v>
      </c>
      <c r="O124" s="1726" t="s">
        <v>903</v>
      </c>
      <c r="P124" s="1740">
        <v>-8196.4014481630966</v>
      </c>
      <c r="Q124" s="1740"/>
      <c r="R124" s="1740"/>
      <c r="S124" s="1740">
        <v>0</v>
      </c>
      <c r="T124" s="1740">
        <v>-8196.4014481630966</v>
      </c>
      <c r="U124" s="1740">
        <v>0</v>
      </c>
      <c r="V124" s="1726" t="s">
        <v>903</v>
      </c>
      <c r="W124" s="1725">
        <v>-8196.4014481630966</v>
      </c>
      <c r="X124" s="1746"/>
      <c r="Y124" s="1746"/>
      <c r="Z124" s="1746">
        <v>0</v>
      </c>
      <c r="AA124" s="1725">
        <v>-8196.4014481630966</v>
      </c>
      <c r="AB124" s="1725">
        <v>0</v>
      </c>
      <c r="AC124" s="1726" t="s">
        <v>903</v>
      </c>
      <c r="AD124" s="1725">
        <v>-8196.4014481630966</v>
      </c>
      <c r="AE124" s="1746"/>
      <c r="AF124" s="1746"/>
      <c r="AG124" s="1746">
        <v>0</v>
      </c>
      <c r="AH124" s="1725">
        <v>-8196.4014481630966</v>
      </c>
      <c r="AI124" s="1725">
        <v>0</v>
      </c>
      <c r="AK124" t="s">
        <v>901</v>
      </c>
      <c r="AL124">
        <v>178607.20253301202</v>
      </c>
      <c r="AM124" s="2182">
        <v>16060</v>
      </c>
      <c r="AN124" s="2182"/>
      <c r="AO124" s="2182">
        <v>16060</v>
      </c>
      <c r="AP124" s="2181">
        <v>162547.20253301202</v>
      </c>
      <c r="AQ124" s="2182">
        <v>60920</v>
      </c>
      <c r="AS124" t="s">
        <v>901</v>
      </c>
      <c r="AT124">
        <v>162547.20253301202</v>
      </c>
      <c r="AU124" s="1746">
        <v>24619</v>
      </c>
      <c r="AV124" s="1746"/>
      <c r="AW124" s="1746">
        <v>24619</v>
      </c>
      <c r="AX124" s="1725">
        <v>137928.20253301202</v>
      </c>
      <c r="AY124" s="1746">
        <v>85539</v>
      </c>
    </row>
    <row r="125" spans="1:51" ht="12.75" customHeight="1">
      <c r="A125" s="1727" t="s">
        <v>904</v>
      </c>
      <c r="B125" s="1725">
        <v>30339.760932038247</v>
      </c>
      <c r="C125" s="1725">
        <v>4394</v>
      </c>
      <c r="D125" s="1725"/>
      <c r="E125" s="1725">
        <v>4394</v>
      </c>
      <c r="F125" s="1725">
        <v>25945.760932038247</v>
      </c>
      <c r="G125" s="1725">
        <v>7030</v>
      </c>
      <c r="H125" s="1727" t="s">
        <v>904</v>
      </c>
      <c r="I125" s="1725">
        <v>25945.760932038247</v>
      </c>
      <c r="J125" s="2449">
        <v>3489</v>
      </c>
      <c r="K125" s="1725"/>
      <c r="L125" s="1725">
        <v>3489</v>
      </c>
      <c r="M125" s="1725">
        <v>22456.760932038247</v>
      </c>
      <c r="N125" s="1725">
        <v>10519</v>
      </c>
      <c r="O125" s="1727" t="s">
        <v>904</v>
      </c>
      <c r="P125" s="1740">
        <v>22456.760932038247</v>
      </c>
      <c r="Q125" s="1741">
        <v>2367</v>
      </c>
      <c r="R125" s="1740"/>
      <c r="S125" s="1740">
        <v>2367</v>
      </c>
      <c r="T125" s="1740">
        <v>20089.760932038247</v>
      </c>
      <c r="U125" s="1740">
        <v>12886</v>
      </c>
      <c r="V125" s="1727" t="s">
        <v>904</v>
      </c>
      <c r="W125" s="1725">
        <v>20089.760932038247</v>
      </c>
      <c r="X125" s="1746">
        <v>4098</v>
      </c>
      <c r="Y125" s="1746"/>
      <c r="Z125" s="1746">
        <v>4098</v>
      </c>
      <c r="AA125" s="1725">
        <v>15991.760932038247</v>
      </c>
      <c r="AB125" s="1725">
        <v>16984</v>
      </c>
      <c r="AC125" s="1727" t="s">
        <v>904</v>
      </c>
      <c r="AD125" s="1725">
        <v>15991.760932038247</v>
      </c>
      <c r="AE125" s="1746">
        <v>1357</v>
      </c>
      <c r="AF125" s="1746">
        <v>8983</v>
      </c>
      <c r="AG125" s="1746">
        <v>10340</v>
      </c>
      <c r="AH125" s="1725">
        <v>14634.760932038247</v>
      </c>
      <c r="AI125" s="1725">
        <v>27324</v>
      </c>
      <c r="AK125" t="s">
        <v>902</v>
      </c>
      <c r="AL125">
        <v>28162.052294527184</v>
      </c>
      <c r="AM125" s="2182">
        <v>248</v>
      </c>
      <c r="AN125" s="2182"/>
      <c r="AO125" s="2182">
        <v>248</v>
      </c>
      <c r="AP125" s="2181">
        <v>27914.052294527184</v>
      </c>
      <c r="AQ125" s="2182">
        <v>20742</v>
      </c>
      <c r="AS125" t="s">
        <v>902</v>
      </c>
      <c r="AT125">
        <v>27914.052294527184</v>
      </c>
      <c r="AU125" s="1746"/>
      <c r="AV125" s="1746">
        <v>26331</v>
      </c>
      <c r="AW125" s="1746">
        <v>26331</v>
      </c>
      <c r="AX125" s="1725">
        <v>1583.0522945271841</v>
      </c>
      <c r="AY125" s="1746">
        <v>47073</v>
      </c>
    </row>
    <row r="126" spans="1:51" ht="12.75" customHeight="1">
      <c r="A126" s="1726" t="s">
        <v>201</v>
      </c>
      <c r="B126" s="1725">
        <v>40262.320996703289</v>
      </c>
      <c r="C126" s="1725">
        <v>3993</v>
      </c>
      <c r="D126" s="1725"/>
      <c r="E126" s="1725">
        <v>3993</v>
      </c>
      <c r="F126" s="1725">
        <v>36269.320996703289</v>
      </c>
      <c r="G126" s="1725">
        <v>7696</v>
      </c>
      <c r="H126" s="1726" t="s">
        <v>201</v>
      </c>
      <c r="I126" s="1725">
        <v>36269.320996703289</v>
      </c>
      <c r="J126" s="2449">
        <v>1570</v>
      </c>
      <c r="K126" s="1725"/>
      <c r="L126" s="1725">
        <v>1570</v>
      </c>
      <c r="M126" s="1725">
        <v>34699.320996703289</v>
      </c>
      <c r="N126" s="1725">
        <v>9266</v>
      </c>
      <c r="O126" s="1726" t="s">
        <v>201</v>
      </c>
      <c r="P126" s="1740">
        <v>34699.320996703289</v>
      </c>
      <c r="Q126" s="1740"/>
      <c r="R126" s="1741">
        <v>20336</v>
      </c>
      <c r="S126" s="1740">
        <v>20336</v>
      </c>
      <c r="T126" s="1740">
        <v>14363.320996703289</v>
      </c>
      <c r="U126" s="1740">
        <v>29602</v>
      </c>
      <c r="V126" s="1726" t="s">
        <v>201</v>
      </c>
      <c r="W126" s="1725">
        <v>14363.320996703289</v>
      </c>
      <c r="X126" s="1746">
        <v>522</v>
      </c>
      <c r="Y126" s="1746"/>
      <c r="Z126" s="1746">
        <v>522</v>
      </c>
      <c r="AA126" s="1725">
        <v>13841.320996703289</v>
      </c>
      <c r="AB126" s="1725">
        <v>30124</v>
      </c>
      <c r="AC126" s="1726" t="s">
        <v>201</v>
      </c>
      <c r="AD126" s="1725">
        <v>13841.320996703289</v>
      </c>
      <c r="AE126" s="1746">
        <v>2665</v>
      </c>
      <c r="AF126" s="1746"/>
      <c r="AG126" s="1746">
        <v>2665</v>
      </c>
      <c r="AH126" s="1725">
        <v>11176.320996703289</v>
      </c>
      <c r="AI126" s="1725">
        <v>32789</v>
      </c>
      <c r="AK126" t="s">
        <v>903</v>
      </c>
      <c r="AL126">
        <v>-19924.882282459846</v>
      </c>
      <c r="AM126" s="2182"/>
      <c r="AN126" s="2182"/>
      <c r="AO126" s="2182">
        <v>0</v>
      </c>
      <c r="AP126" s="2181">
        <v>-19924.882282459846</v>
      </c>
      <c r="AQ126" s="2182">
        <v>0</v>
      </c>
      <c r="AS126" t="s">
        <v>903</v>
      </c>
      <c r="AT126">
        <v>-19924.882282459846</v>
      </c>
      <c r="AU126" s="1746"/>
      <c r="AV126" s="1746"/>
      <c r="AW126" s="1746">
        <v>0</v>
      </c>
      <c r="AX126" s="1725">
        <v>-19924.882282459846</v>
      </c>
      <c r="AY126" s="1746">
        <v>0</v>
      </c>
    </row>
    <row r="127" spans="1:51" ht="12.75" customHeight="1">
      <c r="A127" s="1726" t="s">
        <v>905</v>
      </c>
      <c r="B127" s="1725">
        <v>28738.096014498824</v>
      </c>
      <c r="C127" s="1725"/>
      <c r="D127" s="1725"/>
      <c r="E127" s="1725">
        <v>0</v>
      </c>
      <c r="F127" s="1725">
        <v>28738.096014498824</v>
      </c>
      <c r="G127" s="1725">
        <v>1026</v>
      </c>
      <c r="H127" s="1726" t="s">
        <v>905</v>
      </c>
      <c r="I127" s="1725">
        <v>28738.096014498824</v>
      </c>
      <c r="J127" s="2449"/>
      <c r="K127" s="1725"/>
      <c r="L127" s="1725">
        <v>0</v>
      </c>
      <c r="M127" s="1725">
        <v>28738.096014498824</v>
      </c>
      <c r="N127" s="1725">
        <v>1026</v>
      </c>
      <c r="O127" s="1726" t="s">
        <v>905</v>
      </c>
      <c r="P127" s="1740">
        <v>28738.096014498824</v>
      </c>
      <c r="Q127" s="1740"/>
      <c r="R127" s="1740"/>
      <c r="S127" s="1740">
        <v>0</v>
      </c>
      <c r="T127" s="1740">
        <v>28738.096014498824</v>
      </c>
      <c r="U127" s="1740">
        <v>1026</v>
      </c>
      <c r="V127" s="1726" t="s">
        <v>905</v>
      </c>
      <c r="W127" s="1725">
        <v>28738.096014498824</v>
      </c>
      <c r="X127" s="1746"/>
      <c r="Y127" s="1746"/>
      <c r="Z127" s="1746">
        <v>0</v>
      </c>
      <c r="AA127" s="1725">
        <v>28738.096014498824</v>
      </c>
      <c r="AB127" s="1725">
        <v>1026</v>
      </c>
      <c r="AC127" s="1726" t="s">
        <v>905</v>
      </c>
      <c r="AD127" s="1725">
        <v>28738.096014498824</v>
      </c>
      <c r="AE127" s="1746"/>
      <c r="AF127" s="1746">
        <v>22804</v>
      </c>
      <c r="AG127" s="1746">
        <v>22804</v>
      </c>
      <c r="AH127" s="1725">
        <v>28738.096014498824</v>
      </c>
      <c r="AI127" s="1725">
        <v>23830</v>
      </c>
      <c r="AK127" t="s">
        <v>904</v>
      </c>
      <c r="AL127">
        <v>24596.491803415945</v>
      </c>
      <c r="AM127" s="2182">
        <v>570</v>
      </c>
      <c r="AN127" s="2182"/>
      <c r="AO127" s="2182">
        <v>570</v>
      </c>
      <c r="AP127" s="2181">
        <v>24026.491803415945</v>
      </c>
      <c r="AQ127" s="2182">
        <v>27894</v>
      </c>
      <c r="AS127" t="s">
        <v>904</v>
      </c>
      <c r="AT127">
        <v>24026.491803415945</v>
      </c>
      <c r="AU127" s="1746">
        <v>4914</v>
      </c>
      <c r="AV127" s="1746"/>
      <c r="AW127" s="1746">
        <v>4914</v>
      </c>
      <c r="AX127" s="1725">
        <v>19112.491803415945</v>
      </c>
      <c r="AY127" s="1746">
        <v>32808</v>
      </c>
    </row>
    <row r="128" spans="1:51" ht="12.75" customHeight="1">
      <c r="A128" s="1726" t="s">
        <v>906</v>
      </c>
      <c r="B128" s="1725">
        <v>4385.2887982049251</v>
      </c>
      <c r="C128" s="1725"/>
      <c r="D128" s="1725"/>
      <c r="E128" s="1725">
        <v>0</v>
      </c>
      <c r="F128" s="1725">
        <v>4385.2887982049251</v>
      </c>
      <c r="G128" s="1725">
        <v>0</v>
      </c>
      <c r="H128" s="1726" t="s">
        <v>906</v>
      </c>
      <c r="I128" s="1725">
        <v>4385.2887982049251</v>
      </c>
      <c r="J128" s="2449"/>
      <c r="K128" s="1725"/>
      <c r="L128" s="1725">
        <v>0</v>
      </c>
      <c r="M128" s="1725">
        <v>4385.2887982049251</v>
      </c>
      <c r="N128" s="1725">
        <v>0</v>
      </c>
      <c r="O128" s="1726" t="s">
        <v>906</v>
      </c>
      <c r="P128" s="1740">
        <v>4385.2887982049251</v>
      </c>
      <c r="Q128" s="1740"/>
      <c r="R128" s="1740"/>
      <c r="S128" s="1740">
        <v>0</v>
      </c>
      <c r="T128" s="1740">
        <v>4385.2887982049251</v>
      </c>
      <c r="U128" s="1740">
        <v>0</v>
      </c>
      <c r="V128" s="1726" t="s">
        <v>906</v>
      </c>
      <c r="W128" s="1725">
        <v>4385.2887982049251</v>
      </c>
      <c r="X128" s="1746"/>
      <c r="Y128" s="1746"/>
      <c r="Z128" s="1746">
        <v>0</v>
      </c>
      <c r="AA128" s="1725">
        <v>4385.2887982049251</v>
      </c>
      <c r="AB128" s="1725">
        <v>0</v>
      </c>
      <c r="AC128" s="1726" t="s">
        <v>906</v>
      </c>
      <c r="AD128" s="1725">
        <v>4385.2887982049251</v>
      </c>
      <c r="AE128" s="1746"/>
      <c r="AF128" s="1746"/>
      <c r="AG128" s="1746">
        <v>0</v>
      </c>
      <c r="AH128" s="1725">
        <v>4385.2887982049251</v>
      </c>
      <c r="AI128" s="1725">
        <v>0</v>
      </c>
      <c r="AK128" t="s">
        <v>201</v>
      </c>
      <c r="AL128">
        <v>36429.301379822238</v>
      </c>
      <c r="AM128" s="2182">
        <v>2674</v>
      </c>
      <c r="AN128" s="2182"/>
      <c r="AO128" s="2182">
        <v>2674</v>
      </c>
      <c r="AP128" s="2181">
        <v>33755.301379822238</v>
      </c>
      <c r="AQ128" s="2182">
        <v>35463</v>
      </c>
      <c r="AS128" t="s">
        <v>201</v>
      </c>
      <c r="AT128">
        <v>33755.301379822238</v>
      </c>
      <c r="AU128" s="1746">
        <v>4787</v>
      </c>
      <c r="AV128" s="1746"/>
      <c r="AW128" s="1746">
        <v>4787</v>
      </c>
      <c r="AX128" s="1725">
        <v>28968.301379822238</v>
      </c>
      <c r="AY128" s="1746">
        <v>40250</v>
      </c>
    </row>
    <row r="129" spans="1:51" ht="12.75" customHeight="1">
      <c r="A129" s="1727" t="s">
        <v>907</v>
      </c>
      <c r="B129" s="1725">
        <v>47175.311760912373</v>
      </c>
      <c r="C129" s="1725">
        <v>1445</v>
      </c>
      <c r="D129" s="1725"/>
      <c r="E129" s="1725">
        <v>1445</v>
      </c>
      <c r="F129" s="1725">
        <v>45730.311760912373</v>
      </c>
      <c r="G129" s="1725">
        <v>1926</v>
      </c>
      <c r="H129" s="1727" t="s">
        <v>907</v>
      </c>
      <c r="I129" s="1725">
        <v>45730.311760912373</v>
      </c>
      <c r="J129" s="2449">
        <v>9190</v>
      </c>
      <c r="K129" s="1725"/>
      <c r="L129" s="1725">
        <v>9190</v>
      </c>
      <c r="M129" s="1725">
        <v>36540.311760912373</v>
      </c>
      <c r="N129" s="1725">
        <v>11116</v>
      </c>
      <c r="O129" s="1727" t="s">
        <v>907</v>
      </c>
      <c r="P129" s="1740">
        <v>36540.311760912373</v>
      </c>
      <c r="Q129" s="1740"/>
      <c r="R129" s="1740"/>
      <c r="S129" s="1740">
        <v>0</v>
      </c>
      <c r="T129" s="1740">
        <v>36540.311760912373</v>
      </c>
      <c r="U129" s="1740">
        <v>11116</v>
      </c>
      <c r="V129" s="1727" t="s">
        <v>907</v>
      </c>
      <c r="W129" s="1725">
        <v>36540.311760912373</v>
      </c>
      <c r="X129" s="1746">
        <v>1272</v>
      </c>
      <c r="Y129" s="1746"/>
      <c r="Z129" s="1746">
        <v>1272</v>
      </c>
      <c r="AA129" s="1725">
        <v>35268.311760912373</v>
      </c>
      <c r="AB129" s="1725">
        <v>12388</v>
      </c>
      <c r="AC129" s="1727" t="s">
        <v>907</v>
      </c>
      <c r="AD129" s="1725">
        <v>35268.311760912373</v>
      </c>
      <c r="AE129" s="1746"/>
      <c r="AF129" s="1746"/>
      <c r="AG129" s="1746">
        <v>0</v>
      </c>
      <c r="AH129" s="1725">
        <v>35268.311760912373</v>
      </c>
      <c r="AI129" s="1725">
        <v>12388</v>
      </c>
      <c r="AK129" t="s">
        <v>905</v>
      </c>
      <c r="AL129">
        <v>23028.72785056318</v>
      </c>
      <c r="AM129" s="2182"/>
      <c r="AN129" s="2182"/>
      <c r="AO129" s="2182">
        <v>0</v>
      </c>
      <c r="AP129" s="2181">
        <v>23028.72785056318</v>
      </c>
      <c r="AQ129" s="2182">
        <v>23830</v>
      </c>
      <c r="AS129" t="s">
        <v>905</v>
      </c>
      <c r="AT129">
        <v>23028.72785056318</v>
      </c>
      <c r="AU129" s="1746">
        <v>266</v>
      </c>
      <c r="AV129" s="1746"/>
      <c r="AW129" s="1746">
        <v>266</v>
      </c>
      <c r="AX129" s="1725">
        <v>22762.72785056318</v>
      </c>
      <c r="AY129" s="1746">
        <v>24096</v>
      </c>
    </row>
    <row r="130" spans="1:51" ht="12.75" customHeight="1">
      <c r="A130" s="1726" t="s">
        <v>908</v>
      </c>
      <c r="B130" s="1725">
        <v>9494.1992460763213</v>
      </c>
      <c r="C130" s="1725"/>
      <c r="D130" s="1725"/>
      <c r="E130" s="1725">
        <v>0</v>
      </c>
      <c r="F130" s="1725">
        <v>9494.1992460763213</v>
      </c>
      <c r="G130" s="1725">
        <v>0</v>
      </c>
      <c r="H130" s="1726" t="s">
        <v>908</v>
      </c>
      <c r="I130" s="1725">
        <v>9494.1992460763213</v>
      </c>
      <c r="J130" s="2449"/>
      <c r="K130" s="1725"/>
      <c r="L130" s="1725">
        <v>0</v>
      </c>
      <c r="M130" s="1725">
        <v>9494.1992460763213</v>
      </c>
      <c r="N130" s="1725">
        <v>0</v>
      </c>
      <c r="O130" s="1726" t="s">
        <v>908</v>
      </c>
      <c r="P130" s="1740">
        <v>9494.1992460763213</v>
      </c>
      <c r="Q130" s="1740"/>
      <c r="R130" s="1740"/>
      <c r="S130" s="1740">
        <v>0</v>
      </c>
      <c r="T130" s="1740">
        <v>9494.1992460763213</v>
      </c>
      <c r="U130" s="1740">
        <v>0</v>
      </c>
      <c r="V130" s="1726" t="s">
        <v>908</v>
      </c>
      <c r="W130" s="1725">
        <v>9494.1992460763213</v>
      </c>
      <c r="X130" s="1746"/>
      <c r="Y130" s="1746"/>
      <c r="Z130" s="1746">
        <v>0</v>
      </c>
      <c r="AA130" s="1725">
        <v>9494.1992460763213</v>
      </c>
      <c r="AB130" s="1725">
        <v>0</v>
      </c>
      <c r="AC130" s="1726" t="s">
        <v>908</v>
      </c>
      <c r="AD130" s="1725">
        <v>9494.1992460763213</v>
      </c>
      <c r="AE130" s="1746"/>
      <c r="AF130" s="1746"/>
      <c r="AG130" s="1746">
        <v>0</v>
      </c>
      <c r="AH130" s="1725">
        <v>9494.1992460763213</v>
      </c>
      <c r="AI130" s="1725">
        <v>0</v>
      </c>
      <c r="AK130" t="s">
        <v>906</v>
      </c>
      <c r="AL130">
        <v>6889.9931809807094</v>
      </c>
      <c r="AM130" s="2182"/>
      <c r="AN130" s="2182"/>
      <c r="AO130" s="2182">
        <v>0</v>
      </c>
      <c r="AP130" s="2181">
        <v>6889.9931809807094</v>
      </c>
      <c r="AQ130" s="2182">
        <v>0</v>
      </c>
      <c r="AS130" t="s">
        <v>906</v>
      </c>
      <c r="AT130">
        <v>6889.9931809807094</v>
      </c>
      <c r="AU130" s="1746"/>
      <c r="AV130" s="1746"/>
      <c r="AW130" s="1746">
        <v>0</v>
      </c>
      <c r="AX130" s="1725">
        <v>6889.9931809807094</v>
      </c>
      <c r="AY130" s="1746">
        <v>0</v>
      </c>
    </row>
    <row r="131" spans="1:51" ht="12.75" customHeight="1">
      <c r="A131" s="1726" t="s">
        <v>909</v>
      </c>
      <c r="B131" s="1725">
        <v>38827.558843733146</v>
      </c>
      <c r="C131" s="1725"/>
      <c r="D131" s="1725"/>
      <c r="E131" s="1725">
        <v>0</v>
      </c>
      <c r="F131" s="1725">
        <v>38827.558843733146</v>
      </c>
      <c r="G131" s="1725">
        <v>0</v>
      </c>
      <c r="H131" s="1726" t="s">
        <v>909</v>
      </c>
      <c r="I131" s="1725">
        <v>38827.558843733146</v>
      </c>
      <c r="J131" s="2449"/>
      <c r="K131" s="1725"/>
      <c r="L131" s="1725">
        <v>0</v>
      </c>
      <c r="M131" s="1725">
        <v>38827.558843733146</v>
      </c>
      <c r="N131" s="1725">
        <v>0</v>
      </c>
      <c r="O131" s="1726" t="s">
        <v>909</v>
      </c>
      <c r="P131" s="1740">
        <v>38827.558843733146</v>
      </c>
      <c r="Q131" s="1740"/>
      <c r="R131" s="1740"/>
      <c r="S131" s="1740">
        <v>0</v>
      </c>
      <c r="T131" s="1740">
        <v>38827.558843733146</v>
      </c>
      <c r="U131" s="1740">
        <v>0</v>
      </c>
      <c r="V131" s="1726" t="s">
        <v>909</v>
      </c>
      <c r="W131" s="1725">
        <v>38827.558843733146</v>
      </c>
      <c r="X131" s="1746">
        <v>1627</v>
      </c>
      <c r="Y131" s="1746"/>
      <c r="Z131" s="1746">
        <v>1627</v>
      </c>
      <c r="AA131" s="1725">
        <v>37200.558843733146</v>
      </c>
      <c r="AB131" s="1725">
        <v>1627</v>
      </c>
      <c r="AC131" s="1726" t="s">
        <v>909</v>
      </c>
      <c r="AD131" s="1725">
        <v>37200.558843733146</v>
      </c>
      <c r="AE131" s="1746">
        <v>2801</v>
      </c>
      <c r="AF131" s="1746">
        <v>18376</v>
      </c>
      <c r="AG131" s="1746">
        <v>21177</v>
      </c>
      <c r="AH131" s="1725">
        <v>34399.558843733146</v>
      </c>
      <c r="AI131" s="1725">
        <v>22804</v>
      </c>
      <c r="AK131" t="s">
        <v>907</v>
      </c>
      <c r="AL131">
        <v>62562.11498617383</v>
      </c>
      <c r="AM131" s="2182">
        <v>7207</v>
      </c>
      <c r="AN131" s="2182"/>
      <c r="AO131" s="2182">
        <v>7207</v>
      </c>
      <c r="AP131" s="2181">
        <v>55355.11498617383</v>
      </c>
      <c r="AQ131" s="2182">
        <v>19595</v>
      </c>
      <c r="AS131" t="s">
        <v>907</v>
      </c>
      <c r="AT131">
        <v>55355.11498617383</v>
      </c>
      <c r="AU131" s="1746">
        <v>4713</v>
      </c>
      <c r="AV131" s="1746"/>
      <c r="AW131" s="1746">
        <v>4713</v>
      </c>
      <c r="AX131" s="1725">
        <v>50642.11498617383</v>
      </c>
      <c r="AY131" s="1746">
        <v>24308</v>
      </c>
    </row>
    <row r="132" spans="1:51" ht="12.75" customHeight="1">
      <c r="A132" s="1726" t="s">
        <v>910</v>
      </c>
      <c r="B132" s="1725">
        <v>3372.0816970977771</v>
      </c>
      <c r="C132" s="1725"/>
      <c r="D132" s="1725"/>
      <c r="E132" s="1725">
        <v>0</v>
      </c>
      <c r="F132" s="1725">
        <v>3372.0816970977771</v>
      </c>
      <c r="G132" s="1725">
        <v>0</v>
      </c>
      <c r="H132" s="1726" t="s">
        <v>910</v>
      </c>
      <c r="I132" s="1725">
        <v>3372.0816970977771</v>
      </c>
      <c r="J132" s="2449"/>
      <c r="K132" s="1725"/>
      <c r="L132" s="1725">
        <v>0</v>
      </c>
      <c r="M132" s="1725">
        <v>3372.0816970977771</v>
      </c>
      <c r="N132" s="1725">
        <v>0</v>
      </c>
      <c r="O132" s="1726" t="s">
        <v>910</v>
      </c>
      <c r="P132" s="1740">
        <v>3372.0816970977771</v>
      </c>
      <c r="Q132" s="1740"/>
      <c r="R132" s="1740"/>
      <c r="S132" s="1740">
        <v>0</v>
      </c>
      <c r="T132" s="1740">
        <v>3372.0816970977771</v>
      </c>
      <c r="U132" s="1740">
        <v>0</v>
      </c>
      <c r="V132" s="1726" t="s">
        <v>910</v>
      </c>
      <c r="W132" s="1725">
        <v>3372.0816970977771</v>
      </c>
      <c r="X132" s="1746"/>
      <c r="Y132" s="1746"/>
      <c r="Z132" s="1746">
        <v>0</v>
      </c>
      <c r="AA132" s="1725">
        <v>3372.0816970977771</v>
      </c>
      <c r="AB132" s="1725">
        <v>0</v>
      </c>
      <c r="AC132" s="1726" t="s">
        <v>910</v>
      </c>
      <c r="AD132" s="1725">
        <v>3372.0816970977771</v>
      </c>
      <c r="AE132" s="1746"/>
      <c r="AF132" s="1746"/>
      <c r="AG132" s="1746">
        <v>0</v>
      </c>
      <c r="AH132" s="1725">
        <v>3372.0816970977771</v>
      </c>
      <c r="AI132" s="1725">
        <v>0</v>
      </c>
      <c r="AK132" t="s">
        <v>908</v>
      </c>
      <c r="AL132">
        <v>14940.599674270041</v>
      </c>
      <c r="AM132" s="2182">
        <v>1444</v>
      </c>
      <c r="AN132" s="2182"/>
      <c r="AO132" s="2182">
        <v>1444</v>
      </c>
      <c r="AP132" s="2181">
        <v>13496.599674270041</v>
      </c>
      <c r="AQ132" s="2182">
        <v>1444</v>
      </c>
      <c r="AS132" t="s">
        <v>908</v>
      </c>
      <c r="AT132">
        <v>13496.599674270041</v>
      </c>
      <c r="AU132" s="1746">
        <v>818</v>
      </c>
      <c r="AV132" s="1746"/>
      <c r="AW132" s="1746">
        <v>818</v>
      </c>
      <c r="AX132" s="1725">
        <v>12678.599674270041</v>
      </c>
      <c r="AY132" s="1746">
        <v>2262</v>
      </c>
    </row>
    <row r="133" spans="1:51" ht="12.75" customHeight="1">
      <c r="A133" s="1724" t="s">
        <v>911</v>
      </c>
      <c r="B133" s="1725">
        <v>29539.892446670339</v>
      </c>
      <c r="C133" s="1725">
        <v>5430</v>
      </c>
      <c r="D133" s="1725"/>
      <c r="E133" s="1725">
        <v>5430</v>
      </c>
      <c r="F133" s="1725">
        <v>24109.892446670339</v>
      </c>
      <c r="G133" s="1725">
        <v>19369</v>
      </c>
      <c r="H133" s="1724" t="s">
        <v>911</v>
      </c>
      <c r="I133" s="1725">
        <v>24109.892446670339</v>
      </c>
      <c r="J133" s="2449">
        <v>5957</v>
      </c>
      <c r="K133" s="1725"/>
      <c r="L133" s="1725">
        <v>5957</v>
      </c>
      <c r="M133" s="1725">
        <v>18152.892446670339</v>
      </c>
      <c r="N133" s="1725">
        <v>25326</v>
      </c>
      <c r="O133" s="1724" t="s">
        <v>911</v>
      </c>
      <c r="P133" s="1740">
        <v>18152.892446670339</v>
      </c>
      <c r="Q133" s="1741">
        <v>469</v>
      </c>
      <c r="R133" s="1740"/>
      <c r="S133" s="1740">
        <v>469</v>
      </c>
      <c r="T133" s="1740">
        <v>17683.892446670339</v>
      </c>
      <c r="U133" s="1740">
        <v>25795</v>
      </c>
      <c r="V133" s="1724" t="s">
        <v>911</v>
      </c>
      <c r="W133" s="1725">
        <v>17683.892446670339</v>
      </c>
      <c r="X133" s="1746"/>
      <c r="Y133" s="1746"/>
      <c r="Z133" s="1746">
        <v>0</v>
      </c>
      <c r="AA133" s="1725">
        <v>17683.892446670339</v>
      </c>
      <c r="AB133" s="1725">
        <v>25795</v>
      </c>
      <c r="AC133" s="1724" t="s">
        <v>911</v>
      </c>
      <c r="AD133" s="1725">
        <v>17683.892446670339</v>
      </c>
      <c r="AE133" s="1746">
        <v>4093</v>
      </c>
      <c r="AF133" s="1746"/>
      <c r="AG133" s="1746">
        <v>4093</v>
      </c>
      <c r="AH133" s="1725">
        <v>13590.892446670339</v>
      </c>
      <c r="AI133" s="1725">
        <v>29888</v>
      </c>
      <c r="AK133" t="s">
        <v>909</v>
      </c>
      <c r="AL133">
        <v>38287.422468858043</v>
      </c>
      <c r="AM133" s="2182">
        <v>2176</v>
      </c>
      <c r="AN133" s="2182"/>
      <c r="AO133" s="2182">
        <v>2176</v>
      </c>
      <c r="AP133" s="2181">
        <v>36111.422468858043</v>
      </c>
      <c r="AQ133" s="2182">
        <v>24980</v>
      </c>
      <c r="AS133" t="s">
        <v>909</v>
      </c>
      <c r="AT133">
        <v>36111.422468858043</v>
      </c>
      <c r="AU133" s="1746"/>
      <c r="AV133" s="1746"/>
      <c r="AW133" s="1746">
        <v>0</v>
      </c>
      <c r="AX133" s="1725">
        <v>36111.422468858043</v>
      </c>
      <c r="AY133" s="1746">
        <v>24980</v>
      </c>
    </row>
    <row r="134" spans="1:51" ht="12.75" customHeight="1">
      <c r="A134" s="1726" t="s">
        <v>912</v>
      </c>
      <c r="B134" s="1725">
        <v>3258.6444480617647</v>
      </c>
      <c r="C134" s="1725">
        <v>1838</v>
      </c>
      <c r="D134" s="1725"/>
      <c r="E134" s="1725">
        <v>1838</v>
      </c>
      <c r="F134" s="1725">
        <v>1420.6444480617647</v>
      </c>
      <c r="G134" s="1725">
        <v>5115</v>
      </c>
      <c r="H134" s="1726" t="s">
        <v>912</v>
      </c>
      <c r="I134" s="1725">
        <v>1420.6444480617647</v>
      </c>
      <c r="J134" s="2449"/>
      <c r="K134" s="1725"/>
      <c r="L134" s="1725">
        <v>0</v>
      </c>
      <c r="M134" s="1725">
        <v>1420.6444480617647</v>
      </c>
      <c r="N134" s="1725">
        <v>5115</v>
      </c>
      <c r="O134" s="1726" t="s">
        <v>912</v>
      </c>
      <c r="P134" s="1740">
        <v>1420.6444480617647</v>
      </c>
      <c r="Q134" s="1740"/>
      <c r="R134" s="1740"/>
      <c r="S134" s="1740">
        <v>0</v>
      </c>
      <c r="T134" s="1740">
        <v>1420.6444480617647</v>
      </c>
      <c r="U134" s="1740">
        <v>5115</v>
      </c>
      <c r="V134" s="1726" t="s">
        <v>912</v>
      </c>
      <c r="W134" s="1725">
        <v>1420.6444480617647</v>
      </c>
      <c r="X134" s="1746"/>
      <c r="Y134" s="1746"/>
      <c r="Z134" s="1746">
        <v>0</v>
      </c>
      <c r="AA134" s="1725">
        <v>1420.6444480617647</v>
      </c>
      <c r="AB134" s="1725">
        <v>5115</v>
      </c>
      <c r="AC134" s="1726" t="s">
        <v>912</v>
      </c>
      <c r="AD134" s="1725">
        <v>1420.6444480617647</v>
      </c>
      <c r="AE134" s="1746"/>
      <c r="AF134" s="1746"/>
      <c r="AG134" s="1746">
        <v>0</v>
      </c>
      <c r="AH134" s="1725">
        <v>1420.6444480617647</v>
      </c>
      <c r="AI134" s="1725">
        <v>5115</v>
      </c>
      <c r="AK134" t="s">
        <v>910</v>
      </c>
      <c r="AL134">
        <v>5309.3586066276803</v>
      </c>
      <c r="AM134" s="2182"/>
      <c r="AN134" s="2182"/>
      <c r="AO134" s="2182">
        <v>0</v>
      </c>
      <c r="AP134" s="2181">
        <v>5309.3586066276803</v>
      </c>
      <c r="AQ134" s="2182">
        <v>0</v>
      </c>
      <c r="AS134" t="s">
        <v>910</v>
      </c>
      <c r="AT134">
        <v>5309.3586066276803</v>
      </c>
      <c r="AU134" s="1746"/>
      <c r="AV134" s="1746"/>
      <c r="AW134" s="1746">
        <v>0</v>
      </c>
      <c r="AX134" s="1725">
        <v>5309.3586066276803</v>
      </c>
      <c r="AY134" s="1746">
        <v>0</v>
      </c>
    </row>
    <row r="135" spans="1:51" ht="12.75" customHeight="1">
      <c r="A135" s="1726" t="s">
        <v>913</v>
      </c>
      <c r="B135" s="1725">
        <v>100961.12093959685</v>
      </c>
      <c r="C135" s="1725">
        <v>13518</v>
      </c>
      <c r="D135" s="1725"/>
      <c r="E135" s="1725">
        <v>13518</v>
      </c>
      <c r="F135" s="1725">
        <v>87443.120939596847</v>
      </c>
      <c r="G135" s="1725">
        <v>15735</v>
      </c>
      <c r="H135" s="1726" t="s">
        <v>913</v>
      </c>
      <c r="I135" s="1725">
        <v>87443.120939596847</v>
      </c>
      <c r="J135" s="2449">
        <v>8366</v>
      </c>
      <c r="K135" s="1725"/>
      <c r="L135" s="1725">
        <v>8366</v>
      </c>
      <c r="M135" s="1725">
        <v>79077.120939596847</v>
      </c>
      <c r="N135" s="1725">
        <v>24101</v>
      </c>
      <c r="O135" s="1726" t="s">
        <v>913</v>
      </c>
      <c r="P135" s="1740">
        <v>79077.120939596847</v>
      </c>
      <c r="Q135" s="1741">
        <v>1679</v>
      </c>
      <c r="R135" s="1740"/>
      <c r="S135" s="1740">
        <v>1679</v>
      </c>
      <c r="T135" s="1740">
        <v>77398.120939596847</v>
      </c>
      <c r="U135" s="1740">
        <v>25780</v>
      </c>
      <c r="V135" s="1726" t="s">
        <v>913</v>
      </c>
      <c r="W135" s="1725">
        <v>77398.120939596847</v>
      </c>
      <c r="X135" s="1746">
        <v>1037</v>
      </c>
      <c r="Y135" s="1746"/>
      <c r="Z135" s="1746">
        <v>1037</v>
      </c>
      <c r="AA135" s="1725">
        <v>76361.120939596847</v>
      </c>
      <c r="AB135" s="1725">
        <v>26817</v>
      </c>
      <c r="AC135" s="1726" t="s">
        <v>913</v>
      </c>
      <c r="AD135" s="1725">
        <v>76361.120939596847</v>
      </c>
      <c r="AE135" s="1746">
        <v>9110</v>
      </c>
      <c r="AF135" s="1746"/>
      <c r="AG135" s="1746">
        <v>9110</v>
      </c>
      <c r="AH135" s="1725">
        <v>67251.120939596847</v>
      </c>
      <c r="AI135" s="1725">
        <v>35927</v>
      </c>
      <c r="AK135" t="s">
        <v>911</v>
      </c>
      <c r="AL135">
        <v>38569.722129641152</v>
      </c>
      <c r="AM135" s="2182">
        <v>2988</v>
      </c>
      <c r="AN135" s="2182"/>
      <c r="AO135" s="2182">
        <v>2988</v>
      </c>
      <c r="AP135" s="2181">
        <v>35581.722129641152</v>
      </c>
      <c r="AQ135" s="2182">
        <v>32876</v>
      </c>
      <c r="AS135" t="s">
        <v>911</v>
      </c>
      <c r="AT135">
        <v>35581.722129641152</v>
      </c>
      <c r="AU135" s="1746">
        <v>3724</v>
      </c>
      <c r="AV135" s="1746"/>
      <c r="AW135" s="1746">
        <v>3724</v>
      </c>
      <c r="AX135" s="1725">
        <v>31857.722129641152</v>
      </c>
      <c r="AY135" s="1746">
        <v>36600</v>
      </c>
    </row>
    <row r="136" spans="1:51" ht="12.75" customHeight="1">
      <c r="A136" s="1726" t="s">
        <v>585</v>
      </c>
      <c r="B136" s="1725">
        <v>19560.189322510225</v>
      </c>
      <c r="C136" s="1725"/>
      <c r="D136" s="1725">
        <v>7372</v>
      </c>
      <c r="E136" s="1725">
        <v>7372</v>
      </c>
      <c r="F136" s="1725">
        <v>12188.189322510225</v>
      </c>
      <c r="G136" s="1725">
        <v>7372</v>
      </c>
      <c r="H136" s="1726" t="s">
        <v>585</v>
      </c>
      <c r="I136" s="1725">
        <v>12188.189322510225</v>
      </c>
      <c r="J136" s="2449"/>
      <c r="K136" s="1738">
        <v>2773</v>
      </c>
      <c r="L136" s="1725">
        <v>2773</v>
      </c>
      <c r="M136" s="1725">
        <v>9415.1893225102249</v>
      </c>
      <c r="N136" s="1725">
        <v>10145</v>
      </c>
      <c r="O136" s="1726" t="s">
        <v>585</v>
      </c>
      <c r="P136" s="1740">
        <v>9415.1893225102249</v>
      </c>
      <c r="Q136" s="1740"/>
      <c r="R136" s="1740"/>
      <c r="S136" s="1740">
        <v>0</v>
      </c>
      <c r="T136" s="1740">
        <v>9415.1893225102249</v>
      </c>
      <c r="U136" s="1740">
        <v>10145</v>
      </c>
      <c r="V136" s="1726" t="s">
        <v>585</v>
      </c>
      <c r="W136" s="1725">
        <v>9415.1893225102249</v>
      </c>
      <c r="X136" s="1746"/>
      <c r="Y136" s="1746"/>
      <c r="Z136" s="1746">
        <v>0</v>
      </c>
      <c r="AA136" s="1725">
        <v>9415.1893225102249</v>
      </c>
      <c r="AB136" s="1725">
        <v>10145</v>
      </c>
      <c r="AC136" s="1726" t="s">
        <v>585</v>
      </c>
      <c r="AD136" s="1725">
        <v>9415.1893225102249</v>
      </c>
      <c r="AE136" s="1746"/>
      <c r="AF136" s="1746">
        <v>997</v>
      </c>
      <c r="AG136" s="1746">
        <v>997</v>
      </c>
      <c r="AH136" s="1725">
        <v>9415.1893225102249</v>
      </c>
      <c r="AI136" s="1725">
        <v>11142</v>
      </c>
      <c r="AK136" t="s">
        <v>912</v>
      </c>
      <c r="AL136">
        <v>5175.4031447518573</v>
      </c>
      <c r="AM136" s="2182"/>
      <c r="AN136" s="2182"/>
      <c r="AO136" s="2182">
        <v>0</v>
      </c>
      <c r="AP136" s="2181">
        <v>5175.4031447518573</v>
      </c>
      <c r="AQ136" s="2182">
        <v>5115</v>
      </c>
      <c r="AS136" t="s">
        <v>912</v>
      </c>
      <c r="AT136">
        <v>5175.4031447518573</v>
      </c>
      <c r="AU136" s="1746"/>
      <c r="AV136" s="1746"/>
      <c r="AW136" s="1746">
        <v>0</v>
      </c>
      <c r="AX136" s="1725">
        <v>5175.4031447518573</v>
      </c>
      <c r="AY136" s="1746">
        <v>5115</v>
      </c>
    </row>
    <row r="137" spans="1:51" ht="12.75" customHeight="1">
      <c r="A137" s="1726" t="s">
        <v>586</v>
      </c>
      <c r="B137" s="1725">
        <v>35272.319228821187</v>
      </c>
      <c r="C137" s="1725"/>
      <c r="D137" s="1725">
        <v>24457</v>
      </c>
      <c r="E137" s="1725">
        <v>24457</v>
      </c>
      <c r="F137" s="1725">
        <v>10815.319228821187</v>
      </c>
      <c r="G137" s="1725">
        <v>24457</v>
      </c>
      <c r="H137" s="1726" t="s">
        <v>586</v>
      </c>
      <c r="I137" s="1725">
        <v>10815.319228821187</v>
      </c>
      <c r="J137" s="2449">
        <v>1111</v>
      </c>
      <c r="K137" s="1725"/>
      <c r="L137" s="1725">
        <v>1111</v>
      </c>
      <c r="M137" s="1725">
        <v>9704.3192288211867</v>
      </c>
      <c r="N137" s="1725">
        <v>25568</v>
      </c>
      <c r="O137" s="1726" t="s">
        <v>586</v>
      </c>
      <c r="P137" s="1740">
        <v>9704.3192288211867</v>
      </c>
      <c r="Q137" s="1740"/>
      <c r="R137" s="1740"/>
      <c r="S137" s="1740">
        <v>0</v>
      </c>
      <c r="T137" s="1740">
        <v>9704.3192288211867</v>
      </c>
      <c r="U137" s="1740">
        <v>25568</v>
      </c>
      <c r="V137" s="1726" t="s">
        <v>586</v>
      </c>
      <c r="W137" s="1725">
        <v>9704.3192288211867</v>
      </c>
      <c r="X137" s="1746"/>
      <c r="Y137" s="1746"/>
      <c r="Z137" s="1746">
        <v>0</v>
      </c>
      <c r="AA137" s="1725">
        <v>9704.3192288211867</v>
      </c>
      <c r="AB137" s="1725">
        <v>25568</v>
      </c>
      <c r="AC137" s="1726" t="s">
        <v>586</v>
      </c>
      <c r="AD137" s="1725">
        <v>9704.3192288211867</v>
      </c>
      <c r="AE137" s="1746"/>
      <c r="AF137" s="1746"/>
      <c r="AG137" s="1746">
        <v>0</v>
      </c>
      <c r="AH137" s="1725">
        <v>9704.3192288211867</v>
      </c>
      <c r="AI137" s="1725">
        <v>25568</v>
      </c>
      <c r="AK137" t="s">
        <v>913</v>
      </c>
      <c r="AL137">
        <v>126442.55524339624</v>
      </c>
      <c r="AM137" s="2182">
        <v>6814</v>
      </c>
      <c r="AN137" s="2182"/>
      <c r="AO137" s="2182">
        <v>6814</v>
      </c>
      <c r="AP137" s="2181">
        <v>119628.55524339624</v>
      </c>
      <c r="AQ137" s="2182">
        <v>42741</v>
      </c>
      <c r="AS137" t="s">
        <v>913</v>
      </c>
      <c r="AT137">
        <v>119628.55524339624</v>
      </c>
      <c r="AU137" s="1746">
        <v>27528</v>
      </c>
      <c r="AV137" s="1746"/>
      <c r="AW137" s="1746">
        <v>27528</v>
      </c>
      <c r="AX137" s="1725">
        <v>92100.555243396244</v>
      </c>
      <c r="AY137" s="1746">
        <v>70269</v>
      </c>
    </row>
    <row r="138" spans="1:51" ht="12.75" customHeight="1">
      <c r="A138" s="1727" t="s">
        <v>647</v>
      </c>
      <c r="B138" s="1725">
        <v>76354.465723621979</v>
      </c>
      <c r="C138" s="1725">
        <v>670</v>
      </c>
      <c r="D138" s="1725">
        <v>449</v>
      </c>
      <c r="E138" s="1725">
        <v>1119</v>
      </c>
      <c r="F138" s="1725">
        <v>75235.465723621979</v>
      </c>
      <c r="G138" s="1725">
        <v>6979</v>
      </c>
      <c r="H138" s="1727" t="s">
        <v>647</v>
      </c>
      <c r="I138" s="1725">
        <v>75235.465723621979</v>
      </c>
      <c r="J138" s="2449">
        <v>22930</v>
      </c>
      <c r="K138" s="1725"/>
      <c r="L138" s="1725">
        <v>22930</v>
      </c>
      <c r="M138" s="1725">
        <v>52305.465723621979</v>
      </c>
      <c r="N138" s="1725">
        <v>29909</v>
      </c>
      <c r="O138" s="1727" t="s">
        <v>647</v>
      </c>
      <c r="P138" s="1740">
        <v>52305.465723621979</v>
      </c>
      <c r="Q138" s="1740"/>
      <c r="R138" s="1740"/>
      <c r="S138" s="1740">
        <v>0</v>
      </c>
      <c r="T138" s="1740">
        <v>52305.465723621979</v>
      </c>
      <c r="U138" s="1740">
        <v>29909</v>
      </c>
      <c r="V138" s="1727" t="s">
        <v>647</v>
      </c>
      <c r="W138" s="1725">
        <v>52305.465723621979</v>
      </c>
      <c r="X138" s="1746"/>
      <c r="Y138" s="1746"/>
      <c r="Z138" s="1746">
        <v>0</v>
      </c>
      <c r="AA138" s="1725">
        <v>52305.465723621979</v>
      </c>
      <c r="AB138" s="1725">
        <v>29909</v>
      </c>
      <c r="AC138" s="1727" t="s">
        <v>647</v>
      </c>
      <c r="AD138" s="1725">
        <v>52305.465723621979</v>
      </c>
      <c r="AE138" s="1746">
        <v>1111</v>
      </c>
      <c r="AF138" s="1746">
        <v>49446</v>
      </c>
      <c r="AG138" s="1746">
        <v>50557</v>
      </c>
      <c r="AH138" s="1725">
        <v>51194.465723621979</v>
      </c>
      <c r="AI138" s="1725">
        <v>80466</v>
      </c>
      <c r="AK138" t="s">
        <v>585</v>
      </c>
      <c r="AL138">
        <v>19614.478347587159</v>
      </c>
      <c r="AM138" s="2182"/>
      <c r="AN138" s="2182"/>
      <c r="AO138" s="2182">
        <v>0</v>
      </c>
      <c r="AP138" s="2181">
        <v>19614.478347587159</v>
      </c>
      <c r="AQ138" s="2182">
        <v>11142</v>
      </c>
      <c r="AS138" t="s">
        <v>585</v>
      </c>
      <c r="AT138">
        <v>19614.478347587159</v>
      </c>
      <c r="AU138" s="1746"/>
      <c r="AV138" s="1746"/>
      <c r="AW138" s="1746">
        <v>0</v>
      </c>
      <c r="AX138" s="1725">
        <v>19614.478347587159</v>
      </c>
      <c r="AY138" s="1746">
        <v>11142</v>
      </c>
    </row>
    <row r="139" spans="1:51" ht="12.75" customHeight="1">
      <c r="A139" s="1726" t="s">
        <v>914</v>
      </c>
      <c r="B139" s="1725">
        <v>-10779.042176015213</v>
      </c>
      <c r="C139" s="1725"/>
      <c r="D139" s="1725"/>
      <c r="E139" s="1725">
        <v>0</v>
      </c>
      <c r="F139" s="1725">
        <v>-10779.042176015213</v>
      </c>
      <c r="G139" s="1725">
        <v>0</v>
      </c>
      <c r="H139" s="1726" t="s">
        <v>914</v>
      </c>
      <c r="I139" s="1725">
        <v>-10779.042176015213</v>
      </c>
      <c r="J139" s="2449"/>
      <c r="K139" s="1725"/>
      <c r="L139" s="1725">
        <v>0</v>
      </c>
      <c r="M139" s="1725">
        <v>-10779.042176015213</v>
      </c>
      <c r="N139" s="1725">
        <v>0</v>
      </c>
      <c r="O139" s="1726" t="s">
        <v>914</v>
      </c>
      <c r="P139" s="1740">
        <v>-10779.042176015213</v>
      </c>
      <c r="Q139" s="1740"/>
      <c r="R139" s="1740"/>
      <c r="S139" s="1740">
        <v>0</v>
      </c>
      <c r="T139" s="1740">
        <v>-10779.042176015213</v>
      </c>
      <c r="U139" s="1740">
        <v>0</v>
      </c>
      <c r="V139" s="1726" t="s">
        <v>914</v>
      </c>
      <c r="W139" s="1725">
        <v>-10779.042176015213</v>
      </c>
      <c r="X139" s="1746"/>
      <c r="Y139" s="1746"/>
      <c r="Z139" s="1746">
        <v>0</v>
      </c>
      <c r="AA139" s="1725">
        <v>-10779.042176015213</v>
      </c>
      <c r="AB139" s="1725">
        <v>0</v>
      </c>
      <c r="AC139" s="1726" t="s">
        <v>914</v>
      </c>
      <c r="AD139" s="1725">
        <v>-10779.042176015213</v>
      </c>
      <c r="AE139" s="1746"/>
      <c r="AF139" s="1746"/>
      <c r="AG139" s="1746">
        <v>0</v>
      </c>
      <c r="AH139" s="1725">
        <v>-10779.042176015213</v>
      </c>
      <c r="AI139" s="1725">
        <v>0</v>
      </c>
      <c r="AK139" t="s">
        <v>586</v>
      </c>
      <c r="AL139">
        <v>29842.496976989773</v>
      </c>
      <c r="AM139" s="2182"/>
      <c r="AN139" s="2182"/>
      <c r="AO139" s="2182">
        <v>0</v>
      </c>
      <c r="AP139" s="2181">
        <v>29842.496976989773</v>
      </c>
      <c r="AQ139" s="2182">
        <v>25568</v>
      </c>
      <c r="AS139" t="s">
        <v>586</v>
      </c>
      <c r="AT139">
        <v>29842.496976989773</v>
      </c>
      <c r="AU139" s="1746"/>
      <c r="AV139" s="1746">
        <v>29312</v>
      </c>
      <c r="AW139" s="1746">
        <v>29312</v>
      </c>
      <c r="AX139" s="1725">
        <v>530.49697698977252</v>
      </c>
      <c r="AY139" s="1746">
        <v>54880</v>
      </c>
    </row>
    <row r="140" spans="1:51" ht="12.75" customHeight="1">
      <c r="A140" s="1726" t="s">
        <v>915</v>
      </c>
      <c r="B140" s="1725">
        <v>35963.556272662907</v>
      </c>
      <c r="C140" s="1725"/>
      <c r="D140" s="1725"/>
      <c r="E140" s="1725">
        <v>0</v>
      </c>
      <c r="F140" s="1725">
        <v>35963.556272662907</v>
      </c>
      <c r="G140" s="1725">
        <v>0</v>
      </c>
      <c r="H140" s="1726" t="s">
        <v>915</v>
      </c>
      <c r="I140" s="1725">
        <v>35963.556272662907</v>
      </c>
      <c r="J140" s="2449"/>
      <c r="K140" s="1725"/>
      <c r="L140" s="1725">
        <v>0</v>
      </c>
      <c r="M140" s="1725">
        <v>35963.556272662907</v>
      </c>
      <c r="N140" s="1725">
        <v>0</v>
      </c>
      <c r="O140" s="1726" t="s">
        <v>915</v>
      </c>
      <c r="P140" s="1740">
        <v>35963.556272662907</v>
      </c>
      <c r="Q140" s="1740"/>
      <c r="R140" s="1740"/>
      <c r="S140" s="1740">
        <v>0</v>
      </c>
      <c r="T140" s="1740">
        <v>35963.556272662907</v>
      </c>
      <c r="U140" s="1740">
        <v>0</v>
      </c>
      <c r="V140" s="1726" t="s">
        <v>915</v>
      </c>
      <c r="W140" s="1725">
        <v>35963.556272662907</v>
      </c>
      <c r="X140" s="1746"/>
      <c r="Y140" s="1746"/>
      <c r="Z140" s="1746">
        <v>0</v>
      </c>
      <c r="AA140" s="1725">
        <v>35963.556272662907</v>
      </c>
      <c r="AB140" s="1725">
        <v>0</v>
      </c>
      <c r="AC140" s="1726" t="s">
        <v>915</v>
      </c>
      <c r="AD140" s="1725">
        <v>35963.556272662907</v>
      </c>
      <c r="AE140" s="1746"/>
      <c r="AF140" s="1746"/>
      <c r="AG140" s="1746">
        <v>0</v>
      </c>
      <c r="AH140" s="1725">
        <v>35963.556272662907</v>
      </c>
      <c r="AI140" s="1725">
        <v>0</v>
      </c>
      <c r="AK140" t="s">
        <v>647</v>
      </c>
      <c r="AL140">
        <v>48941.449011869918</v>
      </c>
      <c r="AM140" s="2182"/>
      <c r="AN140" s="2182"/>
      <c r="AO140" s="2182">
        <v>0</v>
      </c>
      <c r="AP140" s="2181">
        <v>48941.449011869918</v>
      </c>
      <c r="AQ140" s="2182">
        <v>80466</v>
      </c>
      <c r="AS140" t="s">
        <v>647</v>
      </c>
      <c r="AT140">
        <v>48941.449011869918</v>
      </c>
      <c r="AU140" s="1746">
        <v>1051</v>
      </c>
      <c r="AV140" s="1746"/>
      <c r="AW140" s="1746">
        <v>1051</v>
      </c>
      <c r="AX140" s="1725">
        <v>47890.449011869918</v>
      </c>
      <c r="AY140" s="1746">
        <v>81517</v>
      </c>
    </row>
    <row r="141" spans="1:51" ht="12.75" customHeight="1">
      <c r="A141" s="1237" t="s">
        <v>767</v>
      </c>
      <c r="B141" s="1725">
        <v>29496.804272142155</v>
      </c>
      <c r="C141" s="1725">
        <v>2389</v>
      </c>
      <c r="D141" s="1725"/>
      <c r="E141" s="1725">
        <v>2389</v>
      </c>
      <c r="F141" s="1725">
        <v>27107.804272142155</v>
      </c>
      <c r="G141" s="1725">
        <v>2389</v>
      </c>
      <c r="H141" s="1237" t="s">
        <v>767</v>
      </c>
      <c r="I141" s="1725">
        <v>27107.804272142155</v>
      </c>
      <c r="J141" s="2449"/>
      <c r="K141" s="1725"/>
      <c r="L141" s="1725">
        <v>0</v>
      </c>
      <c r="M141" s="1725">
        <v>27107.804272142155</v>
      </c>
      <c r="N141" s="1725">
        <v>2389</v>
      </c>
      <c r="O141" s="1237" t="s">
        <v>767</v>
      </c>
      <c r="P141" s="1740">
        <v>27107.804272142155</v>
      </c>
      <c r="Q141" s="1740"/>
      <c r="R141" s="1741">
        <v>19075</v>
      </c>
      <c r="S141" s="1740">
        <v>19075</v>
      </c>
      <c r="T141" s="1740">
        <v>8032.8042721421552</v>
      </c>
      <c r="U141" s="1740">
        <v>21464</v>
      </c>
      <c r="V141" s="1237" t="s">
        <v>767</v>
      </c>
      <c r="W141" s="1725">
        <v>8032.8042721421552</v>
      </c>
      <c r="X141" s="1746">
        <v>504</v>
      </c>
      <c r="Y141" s="1746"/>
      <c r="Z141" s="1746">
        <v>504</v>
      </c>
      <c r="AA141" s="1725">
        <v>7528.8042721421552</v>
      </c>
      <c r="AB141" s="1725">
        <v>21968</v>
      </c>
      <c r="AC141" s="1237" t="s">
        <v>767</v>
      </c>
      <c r="AD141" s="1725">
        <v>7528.8042721421552</v>
      </c>
      <c r="AE141" s="1746">
        <v>903</v>
      </c>
      <c r="AF141" s="1746"/>
      <c r="AG141" s="1746">
        <v>903</v>
      </c>
      <c r="AH141" s="1725">
        <v>6625.8042721421552</v>
      </c>
      <c r="AI141" s="1725">
        <v>22871</v>
      </c>
      <c r="AK141" t="s">
        <v>914</v>
      </c>
      <c r="AL141">
        <v>-17180.475295224642</v>
      </c>
      <c r="AM141" s="2182"/>
      <c r="AN141" s="2182"/>
      <c r="AO141" s="2182">
        <v>0</v>
      </c>
      <c r="AP141" s="2181">
        <v>-17180.475295224642</v>
      </c>
      <c r="AQ141" s="2182">
        <v>0</v>
      </c>
      <c r="AS141" t="s">
        <v>914</v>
      </c>
      <c r="AT141">
        <v>-17180.475295224642</v>
      </c>
      <c r="AU141" s="1746"/>
      <c r="AV141" s="1746"/>
      <c r="AW141" s="1746">
        <v>0</v>
      </c>
      <c r="AX141" s="1725">
        <v>-17180.475295224642</v>
      </c>
      <c r="AY141" s="1746">
        <v>0</v>
      </c>
    </row>
    <row r="142" spans="1:51" ht="12.75" customHeight="1">
      <c r="A142" s="1726" t="s">
        <v>916</v>
      </c>
      <c r="B142" s="1725">
        <v>-15184.679209816737</v>
      </c>
      <c r="C142" s="1725"/>
      <c r="D142" s="1725"/>
      <c r="E142" s="1725">
        <v>0</v>
      </c>
      <c r="F142" s="1725">
        <v>-15184.679209816737</v>
      </c>
      <c r="G142" s="1725">
        <v>0</v>
      </c>
      <c r="H142" s="1726" t="s">
        <v>916</v>
      </c>
      <c r="I142" s="1725">
        <v>-15184.679209816737</v>
      </c>
      <c r="J142" s="2449"/>
      <c r="K142" s="1725"/>
      <c r="L142" s="1725">
        <v>0</v>
      </c>
      <c r="M142" s="1725">
        <v>-15184.679209816737</v>
      </c>
      <c r="N142" s="1725">
        <v>0</v>
      </c>
      <c r="O142" s="1726" t="s">
        <v>916</v>
      </c>
      <c r="P142" s="1740">
        <v>-15184.679209816737</v>
      </c>
      <c r="Q142" s="1740"/>
      <c r="R142" s="1740"/>
      <c r="S142" s="1740">
        <v>0</v>
      </c>
      <c r="T142" s="1740">
        <v>-15184.679209816737</v>
      </c>
      <c r="U142" s="1740">
        <v>0</v>
      </c>
      <c r="V142" s="1726" t="s">
        <v>916</v>
      </c>
      <c r="W142" s="1725">
        <v>-15184.679209816737</v>
      </c>
      <c r="X142" s="1746"/>
      <c r="Y142" s="1746"/>
      <c r="Z142" s="1746">
        <v>0</v>
      </c>
      <c r="AA142" s="1725">
        <v>-15184.679209816737</v>
      </c>
      <c r="AB142" s="1725">
        <v>0</v>
      </c>
      <c r="AC142" s="1726" t="s">
        <v>916</v>
      </c>
      <c r="AD142" s="1725">
        <v>-15184.679209816737</v>
      </c>
      <c r="AE142" s="1746"/>
      <c r="AF142" s="1746"/>
      <c r="AG142" s="1746">
        <v>0</v>
      </c>
      <c r="AH142" s="1725">
        <v>-15184.679209816737</v>
      </c>
      <c r="AI142" s="1725">
        <v>0</v>
      </c>
      <c r="AK142" t="s">
        <v>915</v>
      </c>
      <c r="AL142">
        <v>56617.75158176382</v>
      </c>
      <c r="AM142" s="2182">
        <v>927</v>
      </c>
      <c r="AN142" s="2182"/>
      <c r="AO142" s="2182">
        <v>927</v>
      </c>
      <c r="AP142" s="2181">
        <v>55690.75158176382</v>
      </c>
      <c r="AQ142" s="2182">
        <v>927</v>
      </c>
      <c r="AS142" t="s">
        <v>915</v>
      </c>
      <c r="AT142">
        <v>55690.75158176382</v>
      </c>
      <c r="AU142" s="1746">
        <v>710</v>
      </c>
      <c r="AV142" s="1746"/>
      <c r="AW142" s="1746">
        <v>710</v>
      </c>
      <c r="AX142" s="1725">
        <v>54980.75158176382</v>
      </c>
      <c r="AY142" s="1746">
        <v>1637</v>
      </c>
    </row>
    <row r="143" spans="1:51" ht="12.75" customHeight="1">
      <c r="A143" s="1726" t="s">
        <v>917</v>
      </c>
      <c r="B143" s="1725">
        <v>7426.8338422630277</v>
      </c>
      <c r="C143" s="1725"/>
      <c r="D143" s="1725"/>
      <c r="E143" s="1725">
        <v>0</v>
      </c>
      <c r="F143" s="1725">
        <v>7426.8338422630277</v>
      </c>
      <c r="G143" s="1725">
        <v>4094</v>
      </c>
      <c r="H143" s="1726" t="s">
        <v>917</v>
      </c>
      <c r="I143" s="1725">
        <v>7426.8338422630277</v>
      </c>
      <c r="J143" s="2449"/>
      <c r="K143" s="1725"/>
      <c r="L143" s="1725">
        <v>0</v>
      </c>
      <c r="M143" s="1725">
        <v>7426.8338422630277</v>
      </c>
      <c r="N143" s="1725">
        <v>4094</v>
      </c>
      <c r="O143" s="1726" t="s">
        <v>917</v>
      </c>
      <c r="P143" s="1740">
        <v>7426.8338422630277</v>
      </c>
      <c r="Q143" s="1740"/>
      <c r="R143" s="1740"/>
      <c r="S143" s="1740">
        <v>0</v>
      </c>
      <c r="T143" s="1740">
        <v>7426.8338422630277</v>
      </c>
      <c r="U143" s="1740">
        <v>4094</v>
      </c>
      <c r="V143" s="1726" t="s">
        <v>917</v>
      </c>
      <c r="W143" s="1725">
        <v>7426.8338422630277</v>
      </c>
      <c r="X143" s="1746"/>
      <c r="Y143" s="1746"/>
      <c r="Z143" s="1746">
        <v>0</v>
      </c>
      <c r="AA143" s="1725">
        <v>7426.8338422630277</v>
      </c>
      <c r="AB143" s="1725">
        <v>4094</v>
      </c>
      <c r="AC143" s="1726" t="s">
        <v>917</v>
      </c>
      <c r="AD143" s="1725">
        <v>7426.8338422630277</v>
      </c>
      <c r="AE143" s="1746"/>
      <c r="AF143" s="1746"/>
      <c r="AG143" s="1746">
        <v>0</v>
      </c>
      <c r="AH143" s="1725">
        <v>7426.8338422630277</v>
      </c>
      <c r="AI143" s="1725">
        <v>4094</v>
      </c>
      <c r="AK143" t="s">
        <v>767</v>
      </c>
      <c r="AL143">
        <v>23571.858061564049</v>
      </c>
      <c r="AM143" s="2182">
        <v>342</v>
      </c>
      <c r="AN143" s="2182"/>
      <c r="AO143" s="2182">
        <v>342</v>
      </c>
      <c r="AP143" s="2181">
        <v>23229.858061564049</v>
      </c>
      <c r="AQ143" s="2182">
        <v>23213</v>
      </c>
      <c r="AS143" t="s">
        <v>767</v>
      </c>
      <c r="AT143">
        <v>23229.858061564049</v>
      </c>
      <c r="AU143" s="1746">
        <v>2658</v>
      </c>
      <c r="AV143" s="1746"/>
      <c r="AW143" s="1746">
        <v>2658</v>
      </c>
      <c r="AX143" s="1725">
        <v>20571.858061564049</v>
      </c>
      <c r="AY143" s="1746">
        <v>25871</v>
      </c>
    </row>
    <row r="144" spans="1:51" s="391" customFormat="1" ht="12.75" customHeight="1">
      <c r="A144" s="1726" t="s">
        <v>648</v>
      </c>
      <c r="B144" s="1725">
        <v>43150.743489548659</v>
      </c>
      <c r="C144" s="1725"/>
      <c r="D144" s="1725">
        <v>26754</v>
      </c>
      <c r="E144" s="1725">
        <v>26754</v>
      </c>
      <c r="F144" s="1725">
        <v>16396.743489548659</v>
      </c>
      <c r="G144" s="1725">
        <v>26754</v>
      </c>
      <c r="H144" s="1726" t="s">
        <v>648</v>
      </c>
      <c r="I144" s="1725">
        <v>16396.743489548659</v>
      </c>
      <c r="J144" s="2449"/>
      <c r="K144" s="1725"/>
      <c r="L144" s="1725">
        <v>0</v>
      </c>
      <c r="M144" s="1725">
        <v>16396.743489548659</v>
      </c>
      <c r="N144" s="1725">
        <v>26754</v>
      </c>
      <c r="O144" s="1726" t="s">
        <v>648</v>
      </c>
      <c r="P144" s="1740">
        <v>16396.743489548659</v>
      </c>
      <c r="Q144" s="1740"/>
      <c r="R144" s="1740"/>
      <c r="S144" s="1740">
        <v>0</v>
      </c>
      <c r="T144" s="1740">
        <v>16396.743489548659</v>
      </c>
      <c r="U144" s="1740">
        <v>26754</v>
      </c>
      <c r="V144" s="1726" t="s">
        <v>648</v>
      </c>
      <c r="W144" s="1725">
        <v>16396.743489548659</v>
      </c>
      <c r="X144" s="1746"/>
      <c r="Y144" s="1746"/>
      <c r="Z144" s="1746">
        <v>0</v>
      </c>
      <c r="AA144" s="1725">
        <v>16396.743489548659</v>
      </c>
      <c r="AB144" s="1725">
        <v>26754</v>
      </c>
      <c r="AC144" s="1726" t="s">
        <v>648</v>
      </c>
      <c r="AD144" s="1725">
        <v>16396.743489548659</v>
      </c>
      <c r="AE144" s="1746"/>
      <c r="AF144" s="1746"/>
      <c r="AG144" s="1746">
        <v>0</v>
      </c>
      <c r="AH144" s="1725">
        <v>16396.743489548659</v>
      </c>
      <c r="AI144" s="1725">
        <v>26754</v>
      </c>
      <c r="AK144" t="s">
        <v>916</v>
      </c>
      <c r="AL144">
        <v>-24231.418497454775</v>
      </c>
      <c r="AM144" s="2182"/>
      <c r="AN144" s="2182"/>
      <c r="AO144" s="2182">
        <v>0</v>
      </c>
      <c r="AP144" s="2181">
        <v>-24231.418497454775</v>
      </c>
      <c r="AQ144" s="2182">
        <v>0</v>
      </c>
      <c r="AS144" t="s">
        <v>916</v>
      </c>
      <c r="AT144">
        <v>-24231.418497454775</v>
      </c>
      <c r="AU144" s="1746"/>
      <c r="AV144" s="1746"/>
      <c r="AW144" s="1746">
        <v>0</v>
      </c>
      <c r="AX144" s="1725">
        <v>-24231.418497454775</v>
      </c>
      <c r="AY144" s="1746">
        <v>0</v>
      </c>
    </row>
    <row r="145" spans="1:51" s="391" customFormat="1" ht="12.75" customHeight="1">
      <c r="A145" s="1726" t="s">
        <v>768</v>
      </c>
      <c r="B145" s="1725">
        <v>64995.777247536695</v>
      </c>
      <c r="C145" s="1725"/>
      <c r="D145" s="1725"/>
      <c r="E145" s="1725">
        <v>0</v>
      </c>
      <c r="F145" s="1725">
        <v>64995.777247536695</v>
      </c>
      <c r="G145" s="1725">
        <v>0</v>
      </c>
      <c r="H145" s="1726" t="s">
        <v>768</v>
      </c>
      <c r="I145" s="1725">
        <v>64995.777247536695</v>
      </c>
      <c r="J145" s="2449">
        <v>637</v>
      </c>
      <c r="K145" s="1725"/>
      <c r="L145" s="1725">
        <v>637</v>
      </c>
      <c r="M145" s="1725">
        <v>64358.777247536695</v>
      </c>
      <c r="N145" s="1725">
        <v>637</v>
      </c>
      <c r="O145" s="1726" t="s">
        <v>768</v>
      </c>
      <c r="P145" s="1740">
        <v>64358.777247536695</v>
      </c>
      <c r="Q145" s="1740"/>
      <c r="R145" s="1741">
        <v>35020</v>
      </c>
      <c r="S145" s="1740">
        <v>35020</v>
      </c>
      <c r="T145" s="1740">
        <v>29338.777247536695</v>
      </c>
      <c r="U145" s="1740">
        <v>35657</v>
      </c>
      <c r="V145" s="1726" t="s">
        <v>768</v>
      </c>
      <c r="W145" s="1725">
        <v>29338.777247536695</v>
      </c>
      <c r="X145" s="1746"/>
      <c r="Y145" s="1746"/>
      <c r="Z145" s="1746">
        <v>0</v>
      </c>
      <c r="AA145" s="1725">
        <v>29338.777247536695</v>
      </c>
      <c r="AB145" s="1725">
        <v>35657</v>
      </c>
      <c r="AC145" s="1726" t="s">
        <v>768</v>
      </c>
      <c r="AD145" s="1725">
        <v>29338.777247536695</v>
      </c>
      <c r="AE145" s="1746">
        <v>551</v>
      </c>
      <c r="AF145" s="1746"/>
      <c r="AG145" s="1746">
        <v>551</v>
      </c>
      <c r="AH145" s="1725">
        <v>28787.777247536695</v>
      </c>
      <c r="AI145" s="1725">
        <v>36208</v>
      </c>
      <c r="AK145" t="s">
        <v>917</v>
      </c>
      <c r="AL145">
        <v>14002.096764562288</v>
      </c>
      <c r="AM145" s="2182"/>
      <c r="AN145" s="2182"/>
      <c r="AO145" s="2182">
        <v>0</v>
      </c>
      <c r="AP145" s="2181">
        <v>14002.096764562288</v>
      </c>
      <c r="AQ145" s="2182">
        <v>4094</v>
      </c>
      <c r="AS145" t="s">
        <v>917</v>
      </c>
      <c r="AT145">
        <v>14002.096764562288</v>
      </c>
      <c r="AU145" s="1746"/>
      <c r="AV145" s="1746"/>
      <c r="AW145" s="1746">
        <v>0</v>
      </c>
      <c r="AX145" s="1725">
        <v>14002.096764562288</v>
      </c>
      <c r="AY145" s="1746">
        <v>4094</v>
      </c>
    </row>
    <row r="146" spans="1:51" s="391" customFormat="1" ht="12.75" customHeight="1">
      <c r="A146" s="1726" t="s">
        <v>918</v>
      </c>
      <c r="B146" s="1725">
        <v>26498.023008059525</v>
      </c>
      <c r="C146" s="1725">
        <v>343</v>
      </c>
      <c r="D146" s="1725"/>
      <c r="E146" s="1725">
        <v>343</v>
      </c>
      <c r="F146" s="1725">
        <v>26155.023008059525</v>
      </c>
      <c r="G146" s="1725">
        <v>343</v>
      </c>
      <c r="H146" s="1726" t="s">
        <v>918</v>
      </c>
      <c r="I146" s="1725">
        <v>26155.023008059525</v>
      </c>
      <c r="J146" s="2449">
        <v>84</v>
      </c>
      <c r="K146" s="1725"/>
      <c r="L146" s="1725">
        <v>84</v>
      </c>
      <c r="M146" s="1725">
        <v>26071.023008059525</v>
      </c>
      <c r="N146" s="1725">
        <v>427</v>
      </c>
      <c r="O146" s="1726" t="s">
        <v>918</v>
      </c>
      <c r="P146" s="1740">
        <v>26071.023008059525</v>
      </c>
      <c r="Q146" s="1740"/>
      <c r="R146" s="1740"/>
      <c r="S146" s="1740">
        <v>0</v>
      </c>
      <c r="T146" s="1740">
        <v>26071.023008059525</v>
      </c>
      <c r="U146" s="1740">
        <v>427</v>
      </c>
      <c r="V146" s="1726" t="s">
        <v>918</v>
      </c>
      <c r="W146" s="1725">
        <v>26071.023008059525</v>
      </c>
      <c r="X146" s="1746">
        <v>1128</v>
      </c>
      <c r="Y146" s="1746"/>
      <c r="Z146" s="1746">
        <v>1128</v>
      </c>
      <c r="AA146" s="1725">
        <v>24943.023008059525</v>
      </c>
      <c r="AB146" s="1725">
        <v>1555</v>
      </c>
      <c r="AC146" s="1726" t="s">
        <v>918</v>
      </c>
      <c r="AD146" s="1725">
        <v>24943.023008059525</v>
      </c>
      <c r="AE146" s="1746">
        <v>1191</v>
      </c>
      <c r="AF146" s="1746"/>
      <c r="AG146" s="1746">
        <v>1191</v>
      </c>
      <c r="AH146" s="1725">
        <v>23752.023008059525</v>
      </c>
      <c r="AI146" s="1725">
        <v>2746</v>
      </c>
      <c r="AK146" t="s">
        <v>648</v>
      </c>
      <c r="AL146">
        <v>41182.793297928467</v>
      </c>
      <c r="AM146" s="2182"/>
      <c r="AN146" s="2182"/>
      <c r="AO146" s="2182">
        <v>0</v>
      </c>
      <c r="AP146" s="2181">
        <v>41182.793297928467</v>
      </c>
      <c r="AQ146" s="2182">
        <v>26754</v>
      </c>
      <c r="AS146" t="s">
        <v>648</v>
      </c>
      <c r="AT146">
        <v>41182.793297928467</v>
      </c>
      <c r="AU146" s="1746"/>
      <c r="AV146" s="1746">
        <v>27870</v>
      </c>
      <c r="AW146" s="1746">
        <v>27870</v>
      </c>
      <c r="AX146" s="1725">
        <v>13312.793297928467</v>
      </c>
      <c r="AY146" s="1746">
        <v>54624</v>
      </c>
    </row>
    <row r="147" spans="1:51" s="391" customFormat="1" ht="12.75" customHeight="1">
      <c r="A147" s="1726" t="s">
        <v>919</v>
      </c>
      <c r="B147" s="1725">
        <v>47670.351359098015</v>
      </c>
      <c r="C147" s="1725">
        <v>11376</v>
      </c>
      <c r="D147" s="1725"/>
      <c r="E147" s="1725">
        <v>11376</v>
      </c>
      <c r="F147" s="1725">
        <v>36294.351359098015</v>
      </c>
      <c r="G147" s="1725">
        <v>11376</v>
      </c>
      <c r="H147" s="1726" t="s">
        <v>919</v>
      </c>
      <c r="I147" s="1725">
        <v>36294.351359098015</v>
      </c>
      <c r="J147" s="2449">
        <v>6163</v>
      </c>
      <c r="K147" s="1725"/>
      <c r="L147" s="1725">
        <v>6163</v>
      </c>
      <c r="M147" s="1725">
        <v>30131.351359098015</v>
      </c>
      <c r="N147" s="1725">
        <v>17539</v>
      </c>
      <c r="O147" s="1726" t="s">
        <v>919</v>
      </c>
      <c r="P147" s="1740">
        <v>30131.351359098015</v>
      </c>
      <c r="Q147" s="1740">
        <v>334</v>
      </c>
      <c r="R147" s="1740"/>
      <c r="S147" s="1740">
        <v>334</v>
      </c>
      <c r="T147" s="1740">
        <v>29797.351359098015</v>
      </c>
      <c r="U147" s="1740">
        <v>17873</v>
      </c>
      <c r="V147" s="1726" t="s">
        <v>919</v>
      </c>
      <c r="W147" s="1725">
        <v>29797.351359098015</v>
      </c>
      <c r="X147" s="1746">
        <v>2672</v>
      </c>
      <c r="Y147" s="1746"/>
      <c r="Z147" s="1746">
        <v>2672</v>
      </c>
      <c r="AA147" s="1725">
        <v>27125.351359098015</v>
      </c>
      <c r="AB147" s="1725">
        <v>20545</v>
      </c>
      <c r="AC147" s="1726" t="s">
        <v>919</v>
      </c>
      <c r="AD147" s="1725">
        <v>27125.351359098015</v>
      </c>
      <c r="AE147" s="1746">
        <v>2225</v>
      </c>
      <c r="AF147" s="1746"/>
      <c r="AG147" s="1746">
        <v>2225</v>
      </c>
      <c r="AH147" s="1725">
        <v>24900.351359098015</v>
      </c>
      <c r="AI147" s="1725">
        <v>22770</v>
      </c>
      <c r="AK147" t="s">
        <v>768</v>
      </c>
      <c r="AL147">
        <v>66057.036079670186</v>
      </c>
      <c r="AM147" s="2182">
        <v>2165</v>
      </c>
      <c r="AN147" s="2182"/>
      <c r="AO147" s="2182">
        <v>2165</v>
      </c>
      <c r="AP147" s="2181">
        <v>63892.036079670186</v>
      </c>
      <c r="AQ147" s="2182">
        <v>38373</v>
      </c>
      <c r="AS147" t="s">
        <v>768</v>
      </c>
      <c r="AT147">
        <v>63892.036079670186</v>
      </c>
      <c r="AU147" s="1746">
        <v>263</v>
      </c>
      <c r="AV147" s="1746">
        <v>47000</v>
      </c>
      <c r="AW147" s="1746">
        <v>47263</v>
      </c>
      <c r="AX147" s="1725">
        <v>16629.036079670186</v>
      </c>
      <c r="AY147" s="1746">
        <v>85636</v>
      </c>
    </row>
    <row r="148" spans="1:51" s="391" customFormat="1" ht="12.75" customHeight="1">
      <c r="A148" s="1726" t="s">
        <v>649</v>
      </c>
      <c r="B148" s="1725">
        <v>34724.51771363023</v>
      </c>
      <c r="C148" s="1725">
        <v>1472</v>
      </c>
      <c r="D148" s="1725">
        <v>23333</v>
      </c>
      <c r="E148" s="1725">
        <v>24805</v>
      </c>
      <c r="F148" s="1725">
        <v>9919.51771363023</v>
      </c>
      <c r="G148" s="1725">
        <v>24805</v>
      </c>
      <c r="H148" s="1726" t="s">
        <v>649</v>
      </c>
      <c r="I148" s="1725">
        <v>9919.51771363023</v>
      </c>
      <c r="J148" s="2449"/>
      <c r="K148" s="1725"/>
      <c r="L148" s="1725">
        <v>0</v>
      </c>
      <c r="M148" s="1725">
        <v>9919.51771363023</v>
      </c>
      <c r="N148" s="1725">
        <v>24805</v>
      </c>
      <c r="O148" s="1726" t="s">
        <v>649</v>
      </c>
      <c r="P148" s="1740">
        <v>9919.51771363023</v>
      </c>
      <c r="Q148" s="1740">
        <v>381</v>
      </c>
      <c r="R148" s="1740"/>
      <c r="S148" s="1740">
        <v>381</v>
      </c>
      <c r="T148" s="1740">
        <v>9538.51771363023</v>
      </c>
      <c r="U148" s="1740">
        <v>25186</v>
      </c>
      <c r="V148" s="1726" t="s">
        <v>649</v>
      </c>
      <c r="W148" s="1725">
        <v>9538.51771363023</v>
      </c>
      <c r="X148" s="1746">
        <v>1156</v>
      </c>
      <c r="Y148" s="1746"/>
      <c r="Z148" s="1746">
        <v>1156</v>
      </c>
      <c r="AA148" s="1725">
        <v>8382.51771363023</v>
      </c>
      <c r="AB148" s="1725">
        <v>26342</v>
      </c>
      <c r="AC148" s="1726" t="s">
        <v>649</v>
      </c>
      <c r="AD148" s="1725">
        <v>8382.51771363023</v>
      </c>
      <c r="AE148" s="1746">
        <v>403</v>
      </c>
      <c r="AF148" s="1746"/>
      <c r="AG148" s="1746">
        <v>403</v>
      </c>
      <c r="AH148" s="1725">
        <v>7979.51771363023</v>
      </c>
      <c r="AI148" s="1725">
        <v>26745</v>
      </c>
      <c r="AK148" t="s">
        <v>918</v>
      </c>
      <c r="AL148">
        <v>38927.527561354698</v>
      </c>
      <c r="AM148" s="2182">
        <v>807</v>
      </c>
      <c r="AN148" s="2182"/>
      <c r="AO148" s="2182">
        <v>807</v>
      </c>
      <c r="AP148" s="2181">
        <v>38120.527561354698</v>
      </c>
      <c r="AQ148" s="2182">
        <v>3553</v>
      </c>
      <c r="AS148" t="s">
        <v>918</v>
      </c>
      <c r="AT148">
        <v>38120.527561354698</v>
      </c>
      <c r="AU148" s="1746">
        <v>2541</v>
      </c>
      <c r="AV148" s="1746">
        <v>17342</v>
      </c>
      <c r="AW148" s="1746">
        <v>19883</v>
      </c>
      <c r="AX148" s="1725">
        <v>18237.527561354698</v>
      </c>
      <c r="AY148" s="1746">
        <v>23436</v>
      </c>
    </row>
    <row r="149" spans="1:51" s="391" customFormat="1" ht="12.75" customHeight="1">
      <c r="A149" s="1727" t="s">
        <v>920</v>
      </c>
      <c r="B149" s="1725">
        <v>26409.161405865856</v>
      </c>
      <c r="C149" s="1725"/>
      <c r="D149" s="1725"/>
      <c r="E149" s="1725">
        <v>0</v>
      </c>
      <c r="F149" s="1725">
        <v>26409.161405865856</v>
      </c>
      <c r="G149" s="1725">
        <v>0</v>
      </c>
      <c r="H149" s="1727" t="s">
        <v>920</v>
      </c>
      <c r="I149" s="1725">
        <v>26409.161405865856</v>
      </c>
      <c r="J149" s="2449"/>
      <c r="K149" s="1725"/>
      <c r="L149" s="1725">
        <v>0</v>
      </c>
      <c r="M149" s="1725">
        <v>26409.161405865856</v>
      </c>
      <c r="N149" s="1725">
        <v>0</v>
      </c>
      <c r="O149" s="1727" t="s">
        <v>920</v>
      </c>
      <c r="P149" s="1740">
        <v>26409.161405865856</v>
      </c>
      <c r="Q149" s="1740"/>
      <c r="R149" s="1740"/>
      <c r="S149" s="1740">
        <v>0</v>
      </c>
      <c r="T149" s="1740">
        <v>26409.161405865856</v>
      </c>
      <c r="U149" s="1740">
        <v>0</v>
      </c>
      <c r="V149" s="1727" t="s">
        <v>920</v>
      </c>
      <c r="W149" s="1725">
        <v>26409.161405865856</v>
      </c>
      <c r="X149" s="1746"/>
      <c r="Y149" s="1746"/>
      <c r="Z149" s="1746">
        <v>0</v>
      </c>
      <c r="AA149" s="1725">
        <v>26409.161405865856</v>
      </c>
      <c r="AB149" s="1725">
        <v>0</v>
      </c>
      <c r="AC149" s="1727" t="s">
        <v>920</v>
      </c>
      <c r="AD149" s="1725">
        <v>26409.161405865856</v>
      </c>
      <c r="AE149" s="1746"/>
      <c r="AF149" s="1746"/>
      <c r="AG149" s="1746">
        <v>0</v>
      </c>
      <c r="AH149" s="1725">
        <v>26409.161405865856</v>
      </c>
      <c r="AI149" s="1725">
        <v>0</v>
      </c>
      <c r="AK149" t="s">
        <v>919</v>
      </c>
      <c r="AL149">
        <v>52259.565516305913</v>
      </c>
      <c r="AM149" s="2182">
        <v>9353</v>
      </c>
      <c r="AN149" s="2182"/>
      <c r="AO149" s="2182">
        <v>9353</v>
      </c>
      <c r="AP149" s="2181">
        <v>42906.565516305913</v>
      </c>
      <c r="AQ149" s="2182">
        <v>32123</v>
      </c>
      <c r="AS149" t="s">
        <v>919</v>
      </c>
      <c r="AT149">
        <v>42906.565516305913</v>
      </c>
      <c r="AU149" s="1746">
        <v>13836</v>
      </c>
      <c r="AV149" s="1746"/>
      <c r="AW149" s="1746">
        <v>13836</v>
      </c>
      <c r="AX149" s="1725">
        <v>29070.565516305913</v>
      </c>
      <c r="AY149" s="1746">
        <v>45959</v>
      </c>
    </row>
    <row r="150" spans="1:51" s="391" customFormat="1" ht="12.75" customHeight="1" thickBot="1">
      <c r="A150" s="1726" t="s">
        <v>921</v>
      </c>
      <c r="B150" s="1725">
        <v>42792.863003673454</v>
      </c>
      <c r="C150" s="1725"/>
      <c r="D150" s="1725"/>
      <c r="E150" s="1725">
        <v>0</v>
      </c>
      <c r="F150" s="1725">
        <v>42792.863003673454</v>
      </c>
      <c r="G150" s="1725">
        <v>0</v>
      </c>
      <c r="H150" s="1726" t="s">
        <v>921</v>
      </c>
      <c r="I150" s="1725">
        <v>42792.863003673454</v>
      </c>
      <c r="J150" s="2449">
        <v>117</v>
      </c>
      <c r="K150" s="1725"/>
      <c r="L150" s="1725">
        <v>117</v>
      </c>
      <c r="M150" s="1725">
        <v>42675.863003673454</v>
      </c>
      <c r="N150" s="1725">
        <v>117</v>
      </c>
      <c r="O150" s="1726" t="s">
        <v>921</v>
      </c>
      <c r="P150" s="1740">
        <v>42675.863003673454</v>
      </c>
      <c r="Q150" s="1740"/>
      <c r="R150" s="1740"/>
      <c r="S150" s="1740">
        <v>0</v>
      </c>
      <c r="T150" s="1740">
        <v>42675.863003673454</v>
      </c>
      <c r="U150" s="1740">
        <v>117</v>
      </c>
      <c r="V150" s="1726" t="s">
        <v>921</v>
      </c>
      <c r="W150" s="1725">
        <v>42675.863003673454</v>
      </c>
      <c r="X150" s="1746">
        <v>647</v>
      </c>
      <c r="Y150" s="1746"/>
      <c r="Z150" s="1746">
        <v>647</v>
      </c>
      <c r="AA150" s="1725">
        <v>42028.863003673454</v>
      </c>
      <c r="AB150" s="1725">
        <v>764</v>
      </c>
      <c r="AC150" s="1726" t="s">
        <v>921</v>
      </c>
      <c r="AD150" s="1725">
        <v>42028.863003673454</v>
      </c>
      <c r="AE150" s="1746">
        <v>11012</v>
      </c>
      <c r="AF150" s="1746"/>
      <c r="AG150" s="1746">
        <v>11012</v>
      </c>
      <c r="AH150" s="1725">
        <v>31016.863003673454</v>
      </c>
      <c r="AI150" s="1725">
        <v>11776</v>
      </c>
      <c r="AK150" t="s">
        <v>649</v>
      </c>
      <c r="AL150">
        <v>27928.917640410044</v>
      </c>
      <c r="AM150" s="2182">
        <v>5043</v>
      </c>
      <c r="AN150" s="2182"/>
      <c r="AO150" s="2182">
        <v>5043</v>
      </c>
      <c r="AP150" s="2181">
        <v>22885.917640410044</v>
      </c>
      <c r="AQ150" s="2182">
        <v>31788</v>
      </c>
      <c r="AS150" t="s">
        <v>649</v>
      </c>
      <c r="AT150">
        <v>22885.917640410044</v>
      </c>
      <c r="AU150" s="1746">
        <v>3197</v>
      </c>
      <c r="AV150" s="1746"/>
      <c r="AW150" s="1746">
        <v>3197</v>
      </c>
      <c r="AX150" s="1725">
        <v>19688.917640410044</v>
      </c>
      <c r="AY150" s="1746">
        <v>34985</v>
      </c>
    </row>
    <row r="151" spans="1:51" s="391" customFormat="1" ht="12.75" customHeight="1" thickBot="1">
      <c r="A151" s="1733" t="s">
        <v>144</v>
      </c>
      <c r="B151" s="1731">
        <v>955452.39502837346</v>
      </c>
      <c r="C151" s="1731">
        <v>62621</v>
      </c>
      <c r="D151" s="1731">
        <v>82365</v>
      </c>
      <c r="E151" s="1731">
        <v>144986</v>
      </c>
      <c r="F151" s="1731">
        <v>810466.39502837346</v>
      </c>
      <c r="G151" s="1731">
        <v>196298</v>
      </c>
      <c r="H151" s="1733" t="s">
        <v>144</v>
      </c>
      <c r="I151" s="1731">
        <v>810466.39502837346</v>
      </c>
      <c r="J151" s="2451">
        <v>62238</v>
      </c>
      <c r="K151" s="1731">
        <v>2773</v>
      </c>
      <c r="L151" s="1731">
        <v>65011</v>
      </c>
      <c r="M151" s="1731">
        <v>745455.39502837346</v>
      </c>
      <c r="N151" s="1731">
        <v>261309</v>
      </c>
      <c r="O151" s="1733" t="s">
        <v>144</v>
      </c>
      <c r="P151" s="1739">
        <v>745455.39502837346</v>
      </c>
      <c r="Q151" s="1739">
        <v>7997</v>
      </c>
      <c r="R151" s="1739">
        <v>74431</v>
      </c>
      <c r="S151" s="1739">
        <v>82428</v>
      </c>
      <c r="T151" s="1739">
        <v>663027.39502837334</v>
      </c>
      <c r="U151" s="1739">
        <v>343737</v>
      </c>
      <c r="V151" s="1733" t="s">
        <v>144</v>
      </c>
      <c r="W151" s="1747">
        <v>663027.39502837334</v>
      </c>
      <c r="X151" s="1747">
        <v>15881</v>
      </c>
      <c r="Y151" s="1747">
        <v>0</v>
      </c>
      <c r="Z151" s="1747">
        <v>15881</v>
      </c>
      <c r="AA151" s="1747">
        <v>647146.39502837346</v>
      </c>
      <c r="AB151" s="1747">
        <v>359618</v>
      </c>
      <c r="AC151" s="1733" t="s">
        <v>144</v>
      </c>
      <c r="AD151" s="1750">
        <v>647146.39502837346</v>
      </c>
      <c r="AE151" s="1750">
        <v>45841</v>
      </c>
      <c r="AF151" s="1750">
        <v>121100</v>
      </c>
      <c r="AG151" s="1750">
        <v>166941</v>
      </c>
      <c r="AH151" s="1750">
        <v>601305.39502837346</v>
      </c>
      <c r="AI151" s="1750">
        <v>526559</v>
      </c>
      <c r="AK151" t="s">
        <v>920</v>
      </c>
      <c r="AL151">
        <v>41577.359043861143</v>
      </c>
      <c r="AM151" s="2182"/>
      <c r="AN151" s="2182"/>
      <c r="AO151" s="2182">
        <v>0</v>
      </c>
      <c r="AP151" s="2181">
        <v>41577.359043861143</v>
      </c>
      <c r="AQ151" s="2182">
        <v>0</v>
      </c>
      <c r="AS151" t="s">
        <v>920</v>
      </c>
      <c r="AT151">
        <v>41577.359043861143</v>
      </c>
      <c r="AU151" s="1746"/>
      <c r="AV151" s="1746"/>
      <c r="AW151" s="1746">
        <v>0</v>
      </c>
      <c r="AX151" s="1725">
        <v>41577.359043861143</v>
      </c>
      <c r="AY151" s="1746">
        <v>0</v>
      </c>
    </row>
    <row r="152" spans="1:51" s="391" customFormat="1" ht="12.75" customHeight="1" thickBot="1">
      <c r="A152" s="510"/>
      <c r="B152" s="1734"/>
      <c r="C152" s="1734"/>
      <c r="D152" s="1734"/>
      <c r="E152" s="1734"/>
      <c r="F152" s="1734"/>
      <c r="G152" s="1734"/>
      <c r="H152" s="510"/>
      <c r="I152" s="1734"/>
      <c r="J152" s="994"/>
      <c r="K152" s="1734"/>
      <c r="L152" s="1734"/>
      <c r="M152" s="1734"/>
      <c r="N152" s="1734"/>
      <c r="O152" s="510"/>
      <c r="P152" s="1742"/>
      <c r="Q152" s="1742"/>
      <c r="R152" s="1742"/>
      <c r="S152" s="1742"/>
      <c r="T152" s="1742"/>
      <c r="U152" s="1742"/>
      <c r="V152" s="510"/>
      <c r="W152" s="1734"/>
      <c r="X152" s="1734"/>
      <c r="Y152" s="1734"/>
      <c r="Z152" s="1734"/>
      <c r="AA152" s="1734"/>
      <c r="AB152" s="1734"/>
      <c r="AC152" s="510"/>
      <c r="AD152" s="1751"/>
      <c r="AE152" s="1752"/>
      <c r="AF152" s="1752"/>
      <c r="AG152" s="1752"/>
      <c r="AH152" s="1751"/>
      <c r="AI152" s="1751"/>
      <c r="AK152" t="s">
        <v>921</v>
      </c>
      <c r="AL152">
        <v>55601.484901563374</v>
      </c>
      <c r="AM152" s="2182">
        <v>4040</v>
      </c>
      <c r="AN152" s="2182"/>
      <c r="AO152" s="2182">
        <v>4040</v>
      </c>
      <c r="AP152" s="2181">
        <v>51561.484901563374</v>
      </c>
      <c r="AQ152" s="2182">
        <v>15816</v>
      </c>
      <c r="AS152" t="s">
        <v>921</v>
      </c>
      <c r="AT152">
        <v>51561.484901563374</v>
      </c>
      <c r="AU152" s="1746">
        <v>2843</v>
      </c>
      <c r="AV152" s="1746"/>
      <c r="AW152" s="1746">
        <v>2843</v>
      </c>
      <c r="AX152" s="1725">
        <v>48718.484901563374</v>
      </c>
      <c r="AY152" s="1746">
        <v>18659</v>
      </c>
    </row>
    <row r="153" spans="1:51" s="391" customFormat="1" ht="12.75" customHeight="1" thickBot="1">
      <c r="A153" s="1735" t="s">
        <v>587</v>
      </c>
      <c r="B153" s="1736">
        <v>1912839.9000000006</v>
      </c>
      <c r="C153" s="1736">
        <v>77556</v>
      </c>
      <c r="D153" s="1736">
        <v>154394</v>
      </c>
      <c r="E153" s="1736">
        <v>231950</v>
      </c>
      <c r="F153" s="1736">
        <v>1680889.9000000004</v>
      </c>
      <c r="G153" s="1736">
        <v>416093</v>
      </c>
      <c r="H153" s="1735" t="s">
        <v>587</v>
      </c>
      <c r="I153" s="1736">
        <v>1680889.9000000004</v>
      </c>
      <c r="J153" s="2452">
        <v>146231</v>
      </c>
      <c r="K153" s="1736">
        <v>2773</v>
      </c>
      <c r="L153" s="1736">
        <v>149004</v>
      </c>
      <c r="M153" s="1736">
        <v>1531885.9000000004</v>
      </c>
      <c r="N153" s="1736">
        <v>565097</v>
      </c>
      <c r="O153" s="1735" t="s">
        <v>587</v>
      </c>
      <c r="P153" s="1743">
        <v>1531885.9000000004</v>
      </c>
      <c r="Q153" s="1743">
        <v>24730</v>
      </c>
      <c r="R153" s="1743">
        <v>124606</v>
      </c>
      <c r="S153" s="1743">
        <v>149336</v>
      </c>
      <c r="T153" s="1743">
        <v>1382549.9000000004</v>
      </c>
      <c r="U153" s="1743">
        <v>714433</v>
      </c>
      <c r="V153" s="1735" t="s">
        <v>587</v>
      </c>
      <c r="W153" s="1748">
        <v>1382549.9000000004</v>
      </c>
      <c r="X153" s="1748">
        <v>58083</v>
      </c>
      <c r="Y153" s="1748">
        <v>2999</v>
      </c>
      <c r="Z153" s="1748">
        <v>61082</v>
      </c>
      <c r="AA153" s="1748">
        <v>1321467.9000000004</v>
      </c>
      <c r="AB153" s="1748">
        <v>775515</v>
      </c>
      <c r="AC153" s="1735" t="s">
        <v>587</v>
      </c>
      <c r="AD153" s="1753">
        <v>1321467.9000000004</v>
      </c>
      <c r="AE153" s="1753">
        <v>78230</v>
      </c>
      <c r="AF153" s="1753">
        <v>170959</v>
      </c>
      <c r="AG153" s="1753">
        <v>249189</v>
      </c>
      <c r="AH153" s="1753">
        <v>1243237.9000000004</v>
      </c>
      <c r="AI153" s="1753">
        <v>1024704</v>
      </c>
      <c r="AK153" t="s">
        <v>144</v>
      </c>
      <c r="AL153">
        <v>1050202.2149777545</v>
      </c>
      <c r="AM153">
        <v>62858</v>
      </c>
      <c r="AN153">
        <v>0</v>
      </c>
      <c r="AO153">
        <v>62858</v>
      </c>
      <c r="AP153">
        <v>987344.21497775463</v>
      </c>
      <c r="AQ153">
        <v>589417</v>
      </c>
      <c r="AS153" t="s">
        <v>144</v>
      </c>
      <c r="AT153">
        <v>987344.21497775463</v>
      </c>
      <c r="AU153">
        <v>100106</v>
      </c>
      <c r="AV153">
        <v>147855</v>
      </c>
      <c r="AW153">
        <v>247961</v>
      </c>
      <c r="AX153">
        <v>739383.21497775463</v>
      </c>
      <c r="AY153">
        <v>837378</v>
      </c>
    </row>
    <row r="154" spans="1:51" s="391" customFormat="1" ht="12.75" customHeight="1" thickBot="1">
      <c r="A154" s="986"/>
      <c r="B154" s="1722"/>
      <c r="C154" s="1722"/>
      <c r="D154" s="1722"/>
      <c r="E154" s="1722"/>
      <c r="F154" s="1722"/>
      <c r="G154" s="1722"/>
      <c r="H154" s="1699"/>
      <c r="I154" s="947"/>
      <c r="J154" s="1699"/>
      <c r="K154" s="947"/>
      <c r="L154" s="947"/>
      <c r="M154" s="947"/>
      <c r="N154" s="947"/>
      <c r="O154" s="947"/>
      <c r="AC154"/>
      <c r="AD154"/>
      <c r="AE154"/>
      <c r="AF154"/>
      <c r="AG154"/>
      <c r="AH154"/>
      <c r="AI154"/>
      <c r="AK154" s="510"/>
      <c r="AL154" s="1751"/>
      <c r="AM154" s="1734"/>
      <c r="AN154" s="1734"/>
      <c r="AO154" s="1734"/>
      <c r="AP154" s="1734"/>
      <c r="AQ154" s="1734"/>
      <c r="AS154" s="510"/>
      <c r="AT154" s="2361"/>
      <c r="AU154" s="510"/>
      <c r="AV154" s="510"/>
      <c r="AW154" s="510"/>
      <c r="AX154" s="510"/>
      <c r="AY154" s="510"/>
    </row>
    <row r="155" spans="1:51" s="391" customFormat="1" ht="12.75" customHeight="1" thickBot="1">
      <c r="A155" s="986"/>
      <c r="B155" s="1722"/>
      <c r="C155" s="1722"/>
      <c r="D155" s="1722"/>
      <c r="E155" s="1722"/>
      <c r="F155" s="1722"/>
      <c r="G155" s="1722"/>
      <c r="H155" s="1699"/>
      <c r="I155" s="947"/>
      <c r="J155" s="1699"/>
      <c r="K155" s="947"/>
      <c r="L155" s="947"/>
      <c r="M155" s="947"/>
      <c r="N155" s="947"/>
      <c r="O155" s="947"/>
      <c r="AC155"/>
      <c r="AD155"/>
      <c r="AE155"/>
      <c r="AF155"/>
      <c r="AG155"/>
      <c r="AH155"/>
      <c r="AI155"/>
      <c r="AK155" t="s">
        <v>587</v>
      </c>
      <c r="AL155">
        <f t="shared" ref="AL155:AQ155" si="3">AL118+AL153</f>
        <v>1050202.2149777545</v>
      </c>
      <c r="AM155">
        <f t="shared" si="3"/>
        <v>126663</v>
      </c>
      <c r="AN155">
        <f t="shared" si="3"/>
        <v>0</v>
      </c>
      <c r="AO155">
        <f t="shared" si="3"/>
        <v>126663</v>
      </c>
      <c r="AP155">
        <f t="shared" si="3"/>
        <v>923539.21497775463</v>
      </c>
      <c r="AQ155">
        <f t="shared" si="3"/>
        <v>653222</v>
      </c>
      <c r="AS155" t="s">
        <v>587</v>
      </c>
      <c r="AT155">
        <f t="shared" ref="AT155:AY155" si="4">AT118+AT153</f>
        <v>923539.21497775463</v>
      </c>
      <c r="AU155">
        <f t="shared" si="4"/>
        <v>160477</v>
      </c>
      <c r="AV155">
        <f t="shared" si="4"/>
        <v>376826</v>
      </c>
      <c r="AW155">
        <f t="shared" si="4"/>
        <v>537303</v>
      </c>
      <c r="AX155">
        <f t="shared" si="4"/>
        <v>386236.21497775463</v>
      </c>
      <c r="AY155">
        <f t="shared" si="4"/>
        <v>1190525</v>
      </c>
    </row>
    <row r="156" spans="1:51" ht="15.6" thickBot="1">
      <c r="A156" s="510"/>
      <c r="B156" s="510"/>
      <c r="C156" s="510"/>
      <c r="D156" s="510"/>
      <c r="E156" s="510"/>
      <c r="F156" s="510"/>
      <c r="G156" s="1004"/>
      <c r="H156" s="946"/>
      <c r="I156" s="945"/>
      <c r="J156" s="946"/>
      <c r="K156" s="945"/>
      <c r="L156" s="945"/>
      <c r="M156" s="945"/>
      <c r="N156" s="945"/>
      <c r="O156" s="945"/>
    </row>
    <row r="157" spans="1:51" ht="15.6" thickBot="1">
      <c r="A157" s="4211" t="s">
        <v>976</v>
      </c>
      <c r="B157" s="4212"/>
      <c r="C157" s="4212"/>
      <c r="D157" s="4212"/>
      <c r="E157" s="4212"/>
      <c r="F157" s="4212"/>
      <c r="G157" s="4213"/>
      <c r="H157" s="2560">
        <v>41261</v>
      </c>
      <c r="I157" s="945"/>
      <c r="J157" s="946"/>
      <c r="K157" s="945"/>
      <c r="L157" s="945"/>
      <c r="M157" s="945"/>
      <c r="N157" s="945"/>
      <c r="O157" s="945"/>
    </row>
    <row r="158" spans="1:51" ht="15.6" thickBot="1">
      <c r="A158" s="1005"/>
      <c r="B158" s="1006"/>
      <c r="C158" s="1005" t="s">
        <v>592</v>
      </c>
      <c r="D158" s="1007" t="s">
        <v>591</v>
      </c>
      <c r="E158" s="1008" t="s">
        <v>127</v>
      </c>
      <c r="F158" s="1008" t="s">
        <v>310</v>
      </c>
      <c r="G158" s="1008" t="s">
        <v>539</v>
      </c>
      <c r="H158" s="994"/>
      <c r="I158" s="945"/>
      <c r="J158" s="946"/>
      <c r="K158" s="945"/>
      <c r="L158" s="945"/>
      <c r="M158" s="945"/>
      <c r="N158" s="945"/>
      <c r="O158" s="945"/>
    </row>
    <row r="159" spans="1:51" ht="15">
      <c r="A159" s="1009" t="s">
        <v>936</v>
      </c>
      <c r="B159" s="1010"/>
      <c r="C159" s="4220">
        <v>356</v>
      </c>
      <c r="D159" s="4221"/>
      <c r="E159" s="2312">
        <f>+SUM('Planillas diarias trapasos'!B138:B147)</f>
        <v>339.78299999999996</v>
      </c>
      <c r="F159" s="2312">
        <f>+C159-E159</f>
        <v>16.217000000000041</v>
      </c>
      <c r="G159" s="2313"/>
      <c r="H159" s="2017" t="s">
        <v>644</v>
      </c>
      <c r="I159" s="945"/>
      <c r="J159" s="946"/>
      <c r="K159" s="945"/>
      <c r="L159" s="945"/>
      <c r="M159" s="945"/>
      <c r="N159" s="945"/>
      <c r="O159" s="945"/>
    </row>
    <row r="160" spans="1:51" ht="15">
      <c r="A160" s="1012" t="s">
        <v>597</v>
      </c>
      <c r="B160" s="865"/>
      <c r="C160" s="4227">
        <v>44</v>
      </c>
      <c r="D160" s="4228"/>
      <c r="E160" s="1013">
        <f>+SUM('Planillas diarias trapasos'!B154:B163)</f>
        <v>42.3</v>
      </c>
      <c r="F160" s="1013">
        <f>+C160-E160</f>
        <v>1.7000000000000028</v>
      </c>
      <c r="G160" s="1754"/>
      <c r="H160" s="1856"/>
      <c r="I160" s="945"/>
      <c r="J160" s="946"/>
      <c r="K160" s="945"/>
      <c r="L160" s="945"/>
      <c r="M160" s="945"/>
      <c r="N160" s="945"/>
      <c r="O160" s="945"/>
    </row>
    <row r="161" spans="1:15" ht="15">
      <c r="A161" s="1014" t="s">
        <v>593</v>
      </c>
      <c r="B161" s="1015"/>
      <c r="C161" s="4227">
        <v>50</v>
      </c>
      <c r="D161" s="4228"/>
      <c r="E161" s="1013">
        <f>+SUM('Planillas diarias trapasos'!B170:B179)</f>
        <v>34.555</v>
      </c>
      <c r="F161" s="1013">
        <f>+C161-E161</f>
        <v>15.445</v>
      </c>
      <c r="G161" s="1754"/>
      <c r="H161" s="2321" t="s">
        <v>1016</v>
      </c>
      <c r="I161" s="945"/>
      <c r="J161" s="946"/>
      <c r="K161" s="945"/>
      <c r="L161" s="945"/>
      <c r="M161" s="945"/>
      <c r="N161" s="945"/>
      <c r="O161" s="945"/>
    </row>
    <row r="162" spans="1:15" ht="16.2" thickBot="1">
      <c r="A162" s="1016" t="s">
        <v>594</v>
      </c>
      <c r="B162" s="1017"/>
      <c r="C162" s="4231">
        <v>50</v>
      </c>
      <c r="D162" s="4232"/>
      <c r="E162" s="980">
        <f>+SUM('Planillas diarias trapasos'!B186:B195)</f>
        <v>51.100999999999999</v>
      </c>
      <c r="F162" s="2320">
        <f>+C162-E162</f>
        <v>-1.1009999999999991</v>
      </c>
      <c r="G162" s="1756">
        <v>41109</v>
      </c>
      <c r="H162" s="1854"/>
      <c r="I162" s="2980">
        <f>+E163+E180</f>
        <v>559.49900000000002</v>
      </c>
      <c r="J162" s="2453"/>
      <c r="K162" s="945"/>
      <c r="L162" s="945"/>
      <c r="M162" s="945"/>
      <c r="N162" s="945"/>
      <c r="O162" s="945"/>
    </row>
    <row r="163" spans="1:15" ht="15.6" thickBot="1">
      <c r="A163" s="1018"/>
      <c r="B163" s="1019" t="s">
        <v>111</v>
      </c>
      <c r="C163" s="4200">
        <f>SUM(C159:C162)</f>
        <v>500</v>
      </c>
      <c r="D163" s="4201"/>
      <c r="E163" s="2711">
        <f>SUM(E159:E162)</f>
        <v>467.73899999999998</v>
      </c>
      <c r="F163" s="1020">
        <f>SUM(F159:F162)</f>
        <v>32.261000000000045</v>
      </c>
      <c r="G163" s="1755"/>
      <c r="H163" s="1856"/>
      <c r="I163" s="2979"/>
      <c r="J163" s="946"/>
      <c r="K163" s="945"/>
      <c r="L163" s="945"/>
      <c r="M163" s="945"/>
      <c r="N163" s="945"/>
      <c r="O163" s="945"/>
    </row>
    <row r="164" spans="1:15" s="3284" customFormat="1" ht="15.6" thickBot="1">
      <c r="A164" s="1018"/>
      <c r="B164" s="511"/>
      <c r="C164" s="962"/>
      <c r="D164" s="962"/>
      <c r="E164" s="3287"/>
      <c r="F164" s="962"/>
      <c r="G164" s="963"/>
      <c r="H164" s="1856"/>
      <c r="I164" s="2979"/>
      <c r="J164" s="946"/>
      <c r="K164" s="945"/>
      <c r="L164" s="945"/>
      <c r="M164" s="945"/>
      <c r="N164" s="945"/>
      <c r="O164" s="945"/>
    </row>
    <row r="165" spans="1:15" ht="15.6" thickBot="1">
      <c r="A165" s="1092" t="s">
        <v>977</v>
      </c>
      <c r="B165" s="1932"/>
      <c r="C165" s="511"/>
      <c r="D165" s="511"/>
      <c r="E165" s="511"/>
      <c r="F165" s="511"/>
      <c r="G165" s="1022"/>
      <c r="H165" s="1856"/>
      <c r="J165" s="946"/>
      <c r="K165" s="945"/>
      <c r="L165" s="945"/>
      <c r="M165" s="945"/>
      <c r="N165" s="945"/>
      <c r="O165" s="945"/>
    </row>
    <row r="166" spans="1:15" ht="15.6" thickBot="1">
      <c r="A166" s="4222" t="s">
        <v>590</v>
      </c>
      <c r="B166" s="4223"/>
      <c r="C166" s="4223"/>
      <c r="D166" s="4223"/>
      <c r="E166" s="4223"/>
      <c r="F166" s="4223"/>
      <c r="G166" s="4224"/>
      <c r="H166" s="2560">
        <v>41229</v>
      </c>
      <c r="I166" s="945"/>
      <c r="J166" s="946">
        <f>500+100+480+200</f>
        <v>1280</v>
      </c>
      <c r="K166" s="945">
        <f>425.44+91.76</f>
        <v>517.20000000000005</v>
      </c>
      <c r="L166" s="945"/>
      <c r="M166" s="945"/>
      <c r="N166" s="945"/>
      <c r="O166" s="945"/>
    </row>
    <row r="167" spans="1:15" ht="15.6" thickBot="1">
      <c r="A167" s="1480" t="s">
        <v>323</v>
      </c>
      <c r="B167" s="1914" t="s">
        <v>11</v>
      </c>
      <c r="C167" s="1023" t="s">
        <v>592</v>
      </c>
      <c r="D167" s="1024" t="s">
        <v>627</v>
      </c>
      <c r="E167" s="1024" t="s">
        <v>127</v>
      </c>
      <c r="F167" s="1024" t="s">
        <v>310</v>
      </c>
      <c r="G167" s="1024" t="s">
        <v>539</v>
      </c>
      <c r="H167" s="1896"/>
      <c r="I167" s="945"/>
      <c r="J167" s="946"/>
      <c r="K167" s="945"/>
      <c r="L167" s="945"/>
      <c r="M167" s="945"/>
      <c r="N167" s="945"/>
      <c r="O167" s="945"/>
    </row>
    <row r="168" spans="1:15">
      <c r="A168" s="1540" t="s">
        <v>763</v>
      </c>
      <c r="B168" s="1541"/>
      <c r="C168" s="4225">
        <v>11652.727000000001</v>
      </c>
      <c r="D168" s="4226"/>
      <c r="E168" s="1912">
        <f>+SUM('Planillas diarias trapasos'!B214)</f>
        <v>12266.308999999999</v>
      </c>
      <c r="F168" s="1908">
        <f>C168-E168</f>
        <v>-613.58199999999852</v>
      </c>
      <c r="G168" s="1531"/>
      <c r="H168" s="1855"/>
      <c r="I168" s="486"/>
      <c r="J168" s="2454"/>
      <c r="K168" s="391"/>
    </row>
    <row r="169" spans="1:15">
      <c r="A169" s="1532"/>
      <c r="B169" s="1533"/>
      <c r="C169" s="4214" t="s">
        <v>757</v>
      </c>
      <c r="D169" s="4215"/>
      <c r="E169" s="1534"/>
      <c r="F169" s="1909"/>
      <c r="G169" s="1535"/>
      <c r="H169" s="1856"/>
      <c r="I169" s="391"/>
    </row>
    <row r="170" spans="1:15" ht="13.8" thickBot="1">
      <c r="A170" s="1536"/>
      <c r="B170" s="1537"/>
      <c r="C170" s="4229">
        <v>613.524</v>
      </c>
      <c r="D170" s="4230"/>
      <c r="E170" s="1538">
        <v>0</v>
      </c>
      <c r="F170" s="1910">
        <f>+C170+F168</f>
        <v>-5.7999999998514795E-2</v>
      </c>
      <c r="G170" s="1539">
        <v>41102</v>
      </c>
      <c r="H170" s="1857"/>
      <c r="I170" s="391"/>
    </row>
    <row r="171" spans="1:15" ht="13.8" thickBot="1">
      <c r="A171" s="1905" t="s">
        <v>323</v>
      </c>
      <c r="B171" s="1913" t="s">
        <v>604</v>
      </c>
      <c r="C171" s="1481"/>
      <c r="D171" s="1024" t="s">
        <v>627</v>
      </c>
      <c r="E171" s="1025"/>
      <c r="F171" s="1098"/>
      <c r="G171" s="2447"/>
      <c r="H171" s="2448" t="s">
        <v>1052</v>
      </c>
      <c r="I171" s="2291"/>
    </row>
    <row r="172" spans="1:15" ht="13.8" thickBot="1">
      <c r="A172" s="1911" t="s">
        <v>763</v>
      </c>
      <c r="B172" s="1096"/>
      <c r="C172" s="4218">
        <v>143.76400000000001</v>
      </c>
      <c r="D172" s="4219"/>
      <c r="E172" s="1025">
        <v>0</v>
      </c>
      <c r="F172" s="1099">
        <f>C172-E172</f>
        <v>143.76400000000001</v>
      </c>
      <c r="G172" s="1025"/>
      <c r="H172" s="2996">
        <v>41239</v>
      </c>
    </row>
    <row r="173" spans="1:15" ht="13.8" thickBot="1">
      <c r="A173" s="1169"/>
      <c r="B173" s="1097"/>
      <c r="C173" s="4238" t="s">
        <v>757</v>
      </c>
      <c r="D173" s="4239"/>
      <c r="E173" s="1025"/>
      <c r="F173" s="1099"/>
      <c r="G173" s="1025"/>
      <c r="H173" s="1856"/>
    </row>
    <row r="174" spans="1:15" ht="13.8" thickBot="1">
      <c r="A174" s="1027"/>
      <c r="B174" s="1907"/>
      <c r="C174" s="4218">
        <v>15.832000000000001</v>
      </c>
      <c r="D174" s="4219"/>
      <c r="E174" s="1902">
        <v>0</v>
      </c>
      <c r="F174" s="1906">
        <f>C174-E174</f>
        <v>15.832000000000001</v>
      </c>
      <c r="G174" s="1902"/>
      <c r="H174" s="1856"/>
    </row>
    <row r="175" spans="1:15" ht="13.8" thickBot="1">
      <c r="A175" s="1027"/>
      <c r="B175" s="1026" t="s">
        <v>111</v>
      </c>
      <c r="C175" s="4218"/>
      <c r="D175" s="4219"/>
      <c r="E175" s="1025">
        <f>SUM(E168:E172)</f>
        <v>12266.308999999999</v>
      </c>
      <c r="F175" s="1025"/>
      <c r="G175" s="1025"/>
      <c r="H175" s="1856"/>
    </row>
    <row r="176" spans="1:15" ht="13.8" thickBot="1">
      <c r="A176" s="1027"/>
      <c r="B176" s="1027"/>
      <c r="C176" s="1028"/>
      <c r="D176" s="1028"/>
      <c r="E176" s="1028"/>
      <c r="F176" s="1028"/>
      <c r="G176" s="1028"/>
      <c r="H176" s="1856"/>
    </row>
    <row r="177" spans="1:10" ht="15.6" thickBot="1">
      <c r="A177" s="4211" t="s">
        <v>979</v>
      </c>
      <c r="B177" s="4212"/>
      <c r="C177" s="4212"/>
      <c r="D177" s="4212"/>
      <c r="E177" s="4212"/>
      <c r="F177" s="4212"/>
      <c r="G177" s="4213"/>
      <c r="H177" s="2560">
        <v>41261</v>
      </c>
    </row>
    <row r="178" spans="1:10" ht="13.8" thickBot="1">
      <c r="A178" s="1005"/>
      <c r="B178" s="1006"/>
      <c r="C178" s="1005" t="s">
        <v>592</v>
      </c>
      <c r="D178" s="1007" t="s">
        <v>591</v>
      </c>
      <c r="E178" s="1008" t="s">
        <v>127</v>
      </c>
      <c r="F178" s="1008" t="s">
        <v>310</v>
      </c>
      <c r="G178" s="1008" t="s">
        <v>539</v>
      </c>
      <c r="H178" s="1856"/>
    </row>
    <row r="179" spans="1:10" ht="13.8" thickBot="1">
      <c r="A179" s="1009" t="s">
        <v>834</v>
      </c>
      <c r="B179" s="1010"/>
      <c r="C179" s="4194">
        <v>100</v>
      </c>
      <c r="D179" s="4195"/>
      <c r="E179" s="975">
        <f>+SUM('Planillas diarias trapasos'!B262)</f>
        <v>91.76</v>
      </c>
      <c r="F179" s="975">
        <f>+C179-E179</f>
        <v>8.2399999999999949</v>
      </c>
      <c r="G179" s="1011"/>
      <c r="H179" s="3314" t="s">
        <v>975</v>
      </c>
      <c r="I179" s="2322" t="s">
        <v>1017</v>
      </c>
      <c r="J179" s="2455"/>
    </row>
    <row r="180" spans="1:10" ht="13.8" thickBot="1">
      <c r="A180" s="1018"/>
      <c r="B180" s="1019" t="s">
        <v>111</v>
      </c>
      <c r="C180" s="4200">
        <f>SUM(C179:C179)</f>
        <v>100</v>
      </c>
      <c r="D180" s="4201"/>
      <c r="E180" s="2711">
        <f>SUM(E179)</f>
        <v>91.76</v>
      </c>
      <c r="F180" s="1020">
        <f>SUM(F179:F179)</f>
        <v>8.2399999999999949</v>
      </c>
      <c r="G180" s="1021"/>
      <c r="H180" s="1856"/>
    </row>
    <row r="181" spans="1:10" s="3284" customFormat="1" ht="13.8" thickBot="1">
      <c r="A181" s="511"/>
      <c r="B181" s="511"/>
      <c r="C181" s="962"/>
      <c r="D181" s="962"/>
      <c r="E181" s="3287"/>
      <c r="F181" s="962"/>
      <c r="G181" s="963"/>
      <c r="H181" s="1856"/>
      <c r="J181" s="169"/>
    </row>
    <row r="182" spans="1:10" s="3284" customFormat="1" ht="13.8" thickBot="1">
      <c r="A182" s="4211" t="s">
        <v>1285</v>
      </c>
      <c r="B182" s="4212"/>
      <c r="C182" s="4212"/>
      <c r="D182" s="4212"/>
      <c r="E182" s="4212"/>
      <c r="F182" s="4212"/>
      <c r="G182" s="4213"/>
      <c r="H182" s="2996">
        <v>40915</v>
      </c>
      <c r="J182" s="169"/>
    </row>
    <row r="183" spans="1:10" s="3284" customFormat="1" ht="13.8" thickBot="1">
      <c r="A183" s="1005"/>
      <c r="B183" s="3283"/>
      <c r="C183" s="1005" t="s">
        <v>592</v>
      </c>
      <c r="D183" s="1007" t="s">
        <v>591</v>
      </c>
      <c r="E183" s="1008" t="s">
        <v>127</v>
      </c>
      <c r="F183" s="1008" t="s">
        <v>310</v>
      </c>
      <c r="G183" s="1008" t="s">
        <v>539</v>
      </c>
      <c r="H183" s="1856"/>
      <c r="J183" s="169"/>
    </row>
    <row r="184" spans="1:10" s="3284" customFormat="1" ht="13.8" thickBot="1">
      <c r="A184" s="3288" t="s">
        <v>1287</v>
      </c>
      <c r="B184" s="1010"/>
      <c r="C184" s="4194">
        <v>480</v>
      </c>
      <c r="D184" s="4195"/>
      <c r="E184" s="975">
        <f>+SUM('Planillas diarias trapasos'!B267)</f>
        <v>0</v>
      </c>
      <c r="F184" s="975">
        <f>+C184-E184</f>
        <v>480</v>
      </c>
      <c r="G184" s="1011"/>
      <c r="H184" s="1856"/>
      <c r="J184" s="169"/>
    </row>
    <row r="185" spans="1:10" s="3284" customFormat="1" ht="13.8" thickBot="1">
      <c r="A185" s="1018"/>
      <c r="B185" s="1019" t="s">
        <v>111</v>
      </c>
      <c r="C185" s="4200">
        <f>SUM(C184:C184)</f>
        <v>480</v>
      </c>
      <c r="D185" s="4201"/>
      <c r="E185" s="2711">
        <f>SUM(E184)</f>
        <v>0</v>
      </c>
      <c r="F185" s="1020">
        <f>SUM(F184:F184)</f>
        <v>480</v>
      </c>
      <c r="G185" s="1021"/>
      <c r="H185" s="1856"/>
      <c r="J185" s="169"/>
    </row>
    <row r="186" spans="1:10" s="3284" customFormat="1" ht="13.8" thickBot="1">
      <c r="A186" s="511"/>
      <c r="B186" s="511"/>
      <c r="C186" s="962"/>
      <c r="D186" s="962"/>
      <c r="E186" s="3287"/>
      <c r="F186" s="962"/>
      <c r="G186" s="963"/>
      <c r="H186" s="1856"/>
      <c r="J186" s="169"/>
    </row>
    <row r="187" spans="1:10" s="3284" customFormat="1" ht="13.8" thickBot="1">
      <c r="A187" s="4211" t="s">
        <v>1285</v>
      </c>
      <c r="B187" s="4212"/>
      <c r="C187" s="4212"/>
      <c r="D187" s="4212"/>
      <c r="E187" s="4212"/>
      <c r="F187" s="4212"/>
      <c r="G187" s="4213"/>
      <c r="H187" s="2996">
        <v>41269</v>
      </c>
      <c r="J187" s="169"/>
    </row>
    <row r="188" spans="1:10" s="3284" customFormat="1" ht="13.8" thickBot="1">
      <c r="A188" s="1005" t="s">
        <v>1286</v>
      </c>
      <c r="B188" s="3283"/>
      <c r="C188" s="1005" t="s">
        <v>592</v>
      </c>
      <c r="D188" s="1007" t="s">
        <v>591</v>
      </c>
      <c r="E188" s="1008" t="s">
        <v>127</v>
      </c>
      <c r="F188" s="1008" t="s">
        <v>310</v>
      </c>
      <c r="G188" s="1008" t="s">
        <v>539</v>
      </c>
      <c r="H188" s="1856"/>
      <c r="J188" s="169"/>
    </row>
    <row r="189" spans="1:10" s="3284" customFormat="1" ht="13.8" thickBot="1">
      <c r="A189" s="1009" t="s">
        <v>1284</v>
      </c>
      <c r="B189" s="1010"/>
      <c r="C189" s="4194">
        <v>200</v>
      </c>
      <c r="D189" s="4195"/>
      <c r="E189" s="975">
        <f>+SUM('Planillas diarias trapasos'!B272)</f>
        <v>0</v>
      </c>
      <c r="F189" s="975">
        <f>+C189-E189</f>
        <v>200</v>
      </c>
      <c r="G189" s="1011"/>
      <c r="H189" s="1856"/>
      <c r="J189" s="169"/>
    </row>
    <row r="190" spans="1:10" s="3284" customFormat="1" ht="13.8" thickBot="1">
      <c r="A190" s="1018"/>
      <c r="B190" s="1019" t="s">
        <v>111</v>
      </c>
      <c r="C190" s="4200">
        <f>SUM(C189:C189)</f>
        <v>200</v>
      </c>
      <c r="D190" s="4201"/>
      <c r="E190" s="2711">
        <f>SUM(E189)</f>
        <v>0</v>
      </c>
      <c r="F190" s="1020">
        <f>SUM(F189:F189)</f>
        <v>200</v>
      </c>
      <c r="G190" s="1021"/>
      <c r="H190" s="1856"/>
      <c r="J190" s="169"/>
    </row>
    <row r="191" spans="1:10" s="3284" customFormat="1">
      <c r="A191" s="511"/>
      <c r="B191" s="511"/>
      <c r="C191" s="962"/>
      <c r="D191" s="962"/>
      <c r="E191" s="3287"/>
      <c r="F191" s="962"/>
      <c r="G191" s="963"/>
      <c r="H191" s="1856"/>
      <c r="J191" s="169"/>
    </row>
    <row r="192" spans="1:10" ht="13.8" thickBot="1">
      <c r="A192" s="511"/>
      <c r="B192" s="511"/>
      <c r="C192" s="962"/>
      <c r="D192" s="962"/>
      <c r="E192" s="962"/>
      <c r="F192" s="962"/>
      <c r="G192" s="963"/>
      <c r="H192" s="1856"/>
    </row>
    <row r="193" spans="1:10" ht="16.2" thickBot="1">
      <c r="A193" s="4211" t="s">
        <v>978</v>
      </c>
      <c r="B193" s="4212"/>
      <c r="C193" s="4212"/>
      <c r="D193" s="4212"/>
      <c r="E193" s="4212"/>
      <c r="F193" s="4212"/>
      <c r="G193" s="4213"/>
      <c r="H193" s="2997">
        <v>41239</v>
      </c>
      <c r="I193" s="2998"/>
    </row>
    <row r="194" spans="1:10" ht="13.8" thickBot="1">
      <c r="A194" s="1005"/>
      <c r="B194" s="1006"/>
      <c r="C194" s="1005" t="s">
        <v>592</v>
      </c>
      <c r="D194" s="1007" t="s">
        <v>591</v>
      </c>
      <c r="E194" s="1008" t="s">
        <v>127</v>
      </c>
      <c r="F194" s="1008" t="s">
        <v>310</v>
      </c>
      <c r="G194" s="1008" t="s">
        <v>539</v>
      </c>
      <c r="H194" s="1896"/>
    </row>
    <row r="195" spans="1:10" ht="16.2" thickBot="1">
      <c r="A195" s="1009" t="s">
        <v>855</v>
      </c>
      <c r="B195" s="1010"/>
      <c r="C195" s="4194">
        <v>1400</v>
      </c>
      <c r="D195" s="4195"/>
      <c r="E195" s="975">
        <f>+SUM('Planillas diarias trapasos'!B246)</f>
        <v>1400</v>
      </c>
      <c r="F195" s="975">
        <f>+C195-E195</f>
        <v>0</v>
      </c>
      <c r="G195" s="2535">
        <v>41211</v>
      </c>
      <c r="H195" s="2453"/>
    </row>
    <row r="196" spans="1:10" ht="15.6" thickBot="1">
      <c r="A196" s="1018"/>
      <c r="B196" s="1019" t="s">
        <v>111</v>
      </c>
      <c r="C196" s="4200">
        <f>SUM(C195:C195)</f>
        <v>1400</v>
      </c>
      <c r="D196" s="4201"/>
      <c r="E196" s="1020">
        <v>0</v>
      </c>
      <c r="F196" s="1020">
        <f>SUM(F195:F195)</f>
        <v>0</v>
      </c>
      <c r="G196" s="1021"/>
      <c r="H196" s="946"/>
    </row>
    <row r="197" spans="1:10" ht="15.6" thickBot="1">
      <c r="A197" s="511"/>
      <c r="B197" s="511"/>
      <c r="C197" s="962"/>
      <c r="D197" s="962"/>
      <c r="E197" s="962"/>
      <c r="F197" s="962"/>
      <c r="G197" s="963"/>
      <c r="H197" s="946"/>
    </row>
    <row r="198" spans="1:10" ht="15.6" thickBot="1">
      <c r="A198" s="4211" t="s">
        <v>1076</v>
      </c>
      <c r="B198" s="4212"/>
      <c r="C198" s="4212"/>
      <c r="D198" s="4212"/>
      <c r="E198" s="4212"/>
      <c r="F198" s="4212"/>
      <c r="G198" s="4213"/>
      <c r="H198" s="946"/>
    </row>
    <row r="199" spans="1:10" ht="13.8" thickBot="1">
      <c r="A199" s="1005"/>
      <c r="B199" s="1006"/>
      <c r="C199" s="1005" t="s">
        <v>592</v>
      </c>
      <c r="D199" s="1007" t="s">
        <v>591</v>
      </c>
      <c r="E199" s="1008" t="s">
        <v>127</v>
      </c>
      <c r="F199" s="1008" t="s">
        <v>310</v>
      </c>
      <c r="G199" s="1008" t="s">
        <v>539</v>
      </c>
      <c r="H199" s="2977">
        <v>41239</v>
      </c>
    </row>
    <row r="200" spans="1:10" ht="13.8" thickBot="1">
      <c r="A200" s="1009" t="s">
        <v>855</v>
      </c>
      <c r="B200" s="1010"/>
      <c r="C200" s="4194">
        <v>533.54</v>
      </c>
      <c r="D200" s="4195"/>
      <c r="E200" s="975">
        <f>+SUM('Planillas diarias trapasos'!B278)</f>
        <v>533.54600000000005</v>
      </c>
      <c r="F200" s="975">
        <f>+C200-E200</f>
        <v>-6.0000000000854925E-3</v>
      </c>
      <c r="G200" s="1011"/>
      <c r="H200" s="2978" t="s">
        <v>1210</v>
      </c>
    </row>
    <row r="201" spans="1:10" ht="13.8" thickBot="1">
      <c r="A201" s="1018"/>
      <c r="B201" s="1019" t="s">
        <v>111</v>
      </c>
      <c r="C201" s="4200">
        <f>SUM(C200:C200)</f>
        <v>533.54</v>
      </c>
      <c r="D201" s="4201"/>
      <c r="E201" s="1020">
        <v>0</v>
      </c>
      <c r="F201" s="1020">
        <f>SUM(F200:F200)</f>
        <v>-6.0000000000854925E-3</v>
      </c>
      <c r="G201" s="1021"/>
      <c r="H201" s="2976"/>
    </row>
    <row r="202" spans="1:10" s="2987" customFormat="1">
      <c r="A202" s="511"/>
      <c r="B202" s="511"/>
      <c r="C202" s="962"/>
      <c r="D202" s="962"/>
      <c r="E202" s="962"/>
      <c r="F202" s="962"/>
      <c r="G202" s="963"/>
      <c r="H202" s="2976"/>
      <c r="J202" s="169"/>
    </row>
    <row r="203" spans="1:10" s="2987" customFormat="1" ht="13.8" thickBot="1">
      <c r="A203" s="511"/>
      <c r="B203" s="511"/>
      <c r="C203" s="962"/>
      <c r="D203" s="962"/>
      <c r="E203" s="962"/>
      <c r="F203" s="962"/>
      <c r="G203" s="963"/>
      <c r="H203" s="2976"/>
      <c r="J203" s="169"/>
    </row>
    <row r="204" spans="1:10" s="2987" customFormat="1" ht="13.8" thickBot="1">
      <c r="A204" s="4211" t="s">
        <v>1180</v>
      </c>
      <c r="B204" s="4212"/>
      <c r="C204" s="4212"/>
      <c r="D204" s="4212"/>
      <c r="E204" s="4212"/>
      <c r="F204" s="4212"/>
      <c r="G204" s="4213"/>
      <c r="H204" s="2977">
        <v>40915</v>
      </c>
      <c r="J204" s="169"/>
    </row>
    <row r="205" spans="1:10" s="2987" customFormat="1" ht="13.8" thickBot="1">
      <c r="A205" s="1005"/>
      <c r="B205" s="2986"/>
      <c r="C205" s="1005" t="s">
        <v>592</v>
      </c>
      <c r="D205" s="1007" t="s">
        <v>591</v>
      </c>
      <c r="E205" s="1008" t="s">
        <v>127</v>
      </c>
      <c r="F205" s="1008" t="s">
        <v>310</v>
      </c>
      <c r="G205" s="1008" t="s">
        <v>539</v>
      </c>
      <c r="H205" s="2976"/>
      <c r="J205" s="169"/>
    </row>
    <row r="206" spans="1:10" s="2987" customFormat="1" ht="13.8" thickBot="1">
      <c r="A206" s="1009" t="s">
        <v>855</v>
      </c>
      <c r="B206" s="1010"/>
      <c r="C206" s="4194">
        <v>330.77699999999999</v>
      </c>
      <c r="D206" s="4195"/>
      <c r="E206" s="975">
        <v>220.721</v>
      </c>
      <c r="F206" s="975">
        <f>+C206-E206</f>
        <v>110.05599999999998</v>
      </c>
      <c r="G206" s="1011"/>
      <c r="H206" s="2976"/>
      <c r="J206" s="169"/>
    </row>
    <row r="207" spans="1:10" s="2987" customFormat="1" ht="13.8" thickBot="1">
      <c r="A207" s="1018"/>
      <c r="B207" s="1019" t="s">
        <v>111</v>
      </c>
      <c r="C207" s="4200">
        <f>SUM(C206:C206)</f>
        <v>330.77699999999999</v>
      </c>
      <c r="D207" s="4201"/>
      <c r="E207" s="1020">
        <v>0</v>
      </c>
      <c r="F207" s="1020">
        <f>SUM(F206:F206)</f>
        <v>110.05599999999998</v>
      </c>
      <c r="G207" s="1021"/>
      <c r="H207" s="2976"/>
      <c r="J207" s="169"/>
    </row>
    <row r="208" spans="1:10" s="2987" customFormat="1">
      <c r="A208" s="511"/>
      <c r="B208" s="511"/>
      <c r="C208" s="962"/>
      <c r="D208" s="962"/>
      <c r="E208" s="962"/>
      <c r="F208" s="962"/>
      <c r="G208" s="963"/>
      <c r="H208" s="2976"/>
      <c r="J208" s="169"/>
    </row>
    <row r="209" spans="1:10" ht="13.8" thickBot="1">
      <c r="A209" s="511"/>
      <c r="B209" s="511"/>
      <c r="C209" s="962"/>
      <c r="D209" s="962"/>
      <c r="E209" s="962"/>
      <c r="F209" s="962"/>
      <c r="G209" s="963"/>
      <c r="H209" s="2976"/>
    </row>
    <row r="210" spans="1:10" ht="13.8" thickBot="1">
      <c r="A210" s="4240" t="s">
        <v>1144</v>
      </c>
      <c r="B210" s="4241"/>
      <c r="C210" s="4241"/>
      <c r="D210" s="4241"/>
      <c r="E210" s="4241"/>
      <c r="F210" s="4241"/>
      <c r="G210" s="4242"/>
      <c r="H210" s="2977">
        <v>41242</v>
      </c>
    </row>
    <row r="211" spans="1:10" s="3087" customFormat="1" ht="13.8" thickBot="1">
      <c r="A211" s="3084"/>
      <c r="B211" s="3085"/>
      <c r="C211" s="3085" t="s">
        <v>1012</v>
      </c>
      <c r="D211" s="3085"/>
      <c r="E211" s="3085"/>
      <c r="F211" s="3085"/>
      <c r="G211" s="3086"/>
      <c r="H211" s="2977"/>
      <c r="J211" s="169"/>
    </row>
    <row r="212" spans="1:10" ht="13.8" thickBot="1">
      <c r="A212" s="2246" t="s">
        <v>540</v>
      </c>
      <c r="B212" s="2971" t="s">
        <v>744</v>
      </c>
      <c r="C212" s="2971" t="s">
        <v>1145</v>
      </c>
      <c r="D212" s="2971" t="s">
        <v>1146</v>
      </c>
      <c r="E212" s="2971" t="s">
        <v>310</v>
      </c>
      <c r="F212" s="2971" t="s">
        <v>754</v>
      </c>
      <c r="G212" s="2972"/>
      <c r="H212" s="2978" t="s">
        <v>1177</v>
      </c>
    </row>
    <row r="213" spans="1:10">
      <c r="A213" s="974">
        <v>923204</v>
      </c>
      <c r="B213" s="991" t="s">
        <v>1147</v>
      </c>
      <c r="C213" s="991">
        <v>35</v>
      </c>
      <c r="D213" s="991">
        <v>34.779000000000003</v>
      </c>
      <c r="E213" s="991">
        <f>+C213-D213</f>
        <v>0.22099999999999653</v>
      </c>
      <c r="F213" s="991"/>
      <c r="G213" s="3194">
        <v>41253</v>
      </c>
      <c r="H213" s="2976"/>
    </row>
    <row r="214" spans="1:10">
      <c r="A214" s="2973">
        <v>955658</v>
      </c>
      <c r="B214" s="3111" t="s">
        <v>1148</v>
      </c>
      <c r="C214" s="1754">
        <v>35</v>
      </c>
      <c r="D214" s="1754">
        <v>34.987000000000002</v>
      </c>
      <c r="E214" s="1754">
        <f>+C214-D214</f>
        <v>1.2999999999998124E-2</v>
      </c>
      <c r="F214" s="1754"/>
      <c r="G214" s="3193">
        <v>41243</v>
      </c>
      <c r="H214" s="2976"/>
    </row>
    <row r="215" spans="1:10">
      <c r="A215" s="2973">
        <v>913399</v>
      </c>
      <c r="B215" s="1754" t="s">
        <v>1149</v>
      </c>
      <c r="C215" s="1754">
        <v>35</v>
      </c>
      <c r="D215" s="1754">
        <v>35.045000000000002</v>
      </c>
      <c r="E215" s="1754">
        <f>+C215-D215</f>
        <v>-4.5000000000001705E-2</v>
      </c>
      <c r="F215" s="1754"/>
      <c r="G215" s="3194">
        <v>41253</v>
      </c>
      <c r="H215" s="2976"/>
    </row>
    <row r="216" spans="1:10" ht="13.8" thickBot="1">
      <c r="A216" s="2974">
        <v>920731</v>
      </c>
      <c r="B216" s="2975" t="s">
        <v>1150</v>
      </c>
      <c r="C216" s="2975">
        <v>35</v>
      </c>
      <c r="D216" s="2975">
        <v>35.054000000000002</v>
      </c>
      <c r="E216" s="2975">
        <f>+C216-D216</f>
        <v>-5.4000000000002046E-2</v>
      </c>
      <c r="F216" s="2975"/>
      <c r="G216" s="3195">
        <v>41242</v>
      </c>
      <c r="H216" s="2976"/>
    </row>
    <row r="217" spans="1:10" ht="13.8" thickBot="1">
      <c r="A217" s="2246"/>
      <c r="B217" s="2971" t="s">
        <v>144</v>
      </c>
      <c r="C217" s="966">
        <f>SUM(C213:C216)</f>
        <v>140</v>
      </c>
      <c r="D217" s="2971">
        <f>SUM(D213:D216)</f>
        <v>139.86500000000001</v>
      </c>
      <c r="E217" s="966">
        <f>SUM(E213:E216)</f>
        <v>0.13499999999999091</v>
      </c>
      <c r="F217" s="2971"/>
      <c r="G217" s="2972"/>
      <c r="H217" s="2978" t="s">
        <v>1177</v>
      </c>
    </row>
    <row r="218" spans="1:10" ht="13.8" thickBot="1">
      <c r="A218" s="994"/>
      <c r="B218" s="994"/>
      <c r="C218" s="994"/>
      <c r="D218" s="994"/>
      <c r="E218" s="994"/>
      <c r="F218" s="994"/>
      <c r="G218" s="963"/>
      <c r="H218" s="2976"/>
    </row>
    <row r="219" spans="1:10" ht="13.8" thickBot="1">
      <c r="A219" s="4240" t="s">
        <v>1151</v>
      </c>
      <c r="B219" s="4241"/>
      <c r="C219" s="4241"/>
      <c r="D219" s="4241"/>
      <c r="E219" s="4241"/>
      <c r="F219" s="4241"/>
      <c r="G219" s="4242"/>
      <c r="H219" s="2977">
        <v>41242</v>
      </c>
    </row>
    <row r="220" spans="1:10" ht="13.8" thickBot="1">
      <c r="C220" s="3110" t="s">
        <v>1012</v>
      </c>
      <c r="H220" s="2976"/>
    </row>
    <row r="221" spans="1:10">
      <c r="A221" s="1754" t="s">
        <v>540</v>
      </c>
      <c r="B221" s="1754" t="s">
        <v>744</v>
      </c>
      <c r="C221" s="3109" t="s">
        <v>1145</v>
      </c>
      <c r="D221" s="1754" t="s">
        <v>1146</v>
      </c>
      <c r="E221" s="1754" t="s">
        <v>310</v>
      </c>
      <c r="F221" s="1754" t="s">
        <v>754</v>
      </c>
      <c r="G221" s="1754"/>
      <c r="H221" s="2976"/>
    </row>
    <row r="222" spans="1:10">
      <c r="A222" s="1754">
        <v>913399</v>
      </c>
      <c r="B222" s="1754" t="s">
        <v>1149</v>
      </c>
      <c r="C222" s="1754">
        <v>35</v>
      </c>
      <c r="D222" s="1754">
        <v>0</v>
      </c>
      <c r="E222" s="1754">
        <f>+C222-D222</f>
        <v>35</v>
      </c>
      <c r="F222" s="1754"/>
      <c r="G222" s="1754"/>
      <c r="H222" s="3108" t="s">
        <v>1198</v>
      </c>
    </row>
    <row r="223" spans="1:10">
      <c r="A223" s="1754"/>
      <c r="B223" s="1754" t="s">
        <v>144</v>
      </c>
      <c r="C223" s="988">
        <f>SUM(C222)</f>
        <v>35</v>
      </c>
      <c r="D223" s="988">
        <v>0</v>
      </c>
      <c r="E223" s="988">
        <f>SUM(E222)</f>
        <v>35</v>
      </c>
      <c r="F223" s="1754"/>
      <c r="G223" s="1754"/>
      <c r="H223" s="2976"/>
    </row>
    <row r="224" spans="1:10" s="2894" customFormat="1" ht="13.8" thickBot="1">
      <c r="A224" s="963"/>
      <c r="B224" s="963"/>
      <c r="C224" s="963"/>
      <c r="D224" s="963"/>
      <c r="E224" s="963"/>
      <c r="F224" s="963"/>
      <c r="G224" s="963"/>
      <c r="H224" s="2976"/>
      <c r="J224" s="169"/>
    </row>
    <row r="225" spans="1:10" s="2894" customFormat="1" ht="13.8" thickBot="1">
      <c r="A225" s="4211" t="s">
        <v>1174</v>
      </c>
      <c r="B225" s="4212"/>
      <c r="C225" s="4212"/>
      <c r="D225" s="4212"/>
      <c r="E225" s="4212"/>
      <c r="F225" s="4212"/>
      <c r="G225" s="4213"/>
      <c r="H225" s="2976"/>
      <c r="J225" s="169"/>
    </row>
    <row r="226" spans="1:10" s="2894" customFormat="1" ht="13.8" thickBot="1">
      <c r="A226" s="1005" t="s">
        <v>1175</v>
      </c>
      <c r="B226" s="2893"/>
      <c r="C226" s="2297" t="s">
        <v>592</v>
      </c>
      <c r="D226" s="1007" t="s">
        <v>591</v>
      </c>
      <c r="E226" s="1008" t="s">
        <v>127</v>
      </c>
      <c r="F226" s="1008" t="s">
        <v>310</v>
      </c>
      <c r="G226" s="1008" t="s">
        <v>539</v>
      </c>
      <c r="H226" s="2977">
        <v>41242</v>
      </c>
      <c r="J226" s="169"/>
    </row>
    <row r="227" spans="1:10" s="2894" customFormat="1" ht="15.6" thickBot="1">
      <c r="A227" s="1003" t="s">
        <v>1173</v>
      </c>
      <c r="B227" s="1003" t="s">
        <v>1173</v>
      </c>
      <c r="C227" s="4194">
        <v>50</v>
      </c>
      <c r="D227" s="4195"/>
      <c r="E227" s="3078">
        <v>49.118000000000002</v>
      </c>
      <c r="F227" s="975">
        <f>+C227-E227</f>
        <v>0.8819999999999979</v>
      </c>
      <c r="G227" s="1011"/>
      <c r="H227" s="946"/>
      <c r="J227" s="169"/>
    </row>
    <row r="228" spans="1:10" s="2894" customFormat="1" ht="15.6" thickBot="1">
      <c r="A228" s="1018"/>
      <c r="B228" s="1019" t="s">
        <v>111</v>
      </c>
      <c r="C228" s="4200">
        <f>SUM(C227:C227)</f>
        <v>50</v>
      </c>
      <c r="D228" s="4201"/>
      <c r="E228" s="1020">
        <v>0</v>
      </c>
      <c r="F228" s="1020">
        <f>SUM(F227:F227)</f>
        <v>0.8819999999999979</v>
      </c>
      <c r="G228" s="3192" t="s">
        <v>1228</v>
      </c>
      <c r="H228" s="946"/>
      <c r="J228" s="169"/>
    </row>
    <row r="229" spans="1:10" s="2894" customFormat="1" ht="15.6" thickBot="1">
      <c r="A229" s="963"/>
      <c r="B229" s="963"/>
      <c r="C229" s="963"/>
      <c r="D229" s="963"/>
      <c r="E229" s="963"/>
      <c r="F229" s="963"/>
      <c r="G229" s="963"/>
      <c r="H229" s="946"/>
      <c r="J229" s="169"/>
    </row>
    <row r="230" spans="1:10" s="2987" customFormat="1" ht="15.6" thickBot="1">
      <c r="A230" s="4240" t="s">
        <v>1179</v>
      </c>
      <c r="B230" s="4241"/>
      <c r="C230" s="4241"/>
      <c r="D230" s="4241"/>
      <c r="E230" s="4241"/>
      <c r="F230" s="4241"/>
      <c r="G230" s="4242"/>
      <c r="H230" s="946"/>
      <c r="J230" s="169"/>
    </row>
    <row r="231" spans="1:10" s="2987" customFormat="1" ht="15">
      <c r="C231" s="3083" t="s">
        <v>1012</v>
      </c>
      <c r="H231" s="946"/>
      <c r="J231" s="169"/>
    </row>
    <row r="232" spans="1:10" s="2987" customFormat="1" ht="13.8" thickBot="1">
      <c r="A232" s="988" t="s">
        <v>540</v>
      </c>
      <c r="B232" s="988" t="s">
        <v>744</v>
      </c>
      <c r="C232" s="988" t="s">
        <v>1145</v>
      </c>
      <c r="D232" s="988" t="s">
        <v>1146</v>
      </c>
      <c r="E232" s="988" t="s">
        <v>310</v>
      </c>
      <c r="F232" s="988" t="s">
        <v>754</v>
      </c>
      <c r="G232" s="1754"/>
      <c r="H232" s="2977">
        <v>40915</v>
      </c>
      <c r="J232" s="169"/>
    </row>
    <row r="233" spans="1:10" s="2987" customFormat="1" ht="15">
      <c r="A233" s="1754">
        <v>913399</v>
      </c>
      <c r="B233" s="1754" t="s">
        <v>1149</v>
      </c>
      <c r="C233" s="1754">
        <v>55</v>
      </c>
      <c r="D233" s="3078">
        <v>32.302</v>
      </c>
      <c r="E233" s="1754">
        <f>+C233-D233</f>
        <v>22.698</v>
      </c>
      <c r="F233" s="1754"/>
      <c r="G233" s="1754"/>
      <c r="H233" s="946"/>
      <c r="J233" s="169"/>
    </row>
    <row r="234" spans="1:10" s="2987" customFormat="1" ht="15">
      <c r="A234" s="1754" t="s">
        <v>1036</v>
      </c>
      <c r="B234" s="1754" t="s">
        <v>144</v>
      </c>
      <c r="C234" s="988">
        <f>SUM(C233)</f>
        <v>55</v>
      </c>
      <c r="D234" s="988">
        <v>0</v>
      </c>
      <c r="E234" s="988">
        <f>SUM(E233)</f>
        <v>22.698</v>
      </c>
      <c r="F234" s="1754"/>
      <c r="G234" s="1754"/>
      <c r="H234" s="946"/>
      <c r="J234" s="169"/>
    </row>
    <row r="235" spans="1:10" s="2987" customFormat="1" ht="15">
      <c r="A235" s="963"/>
      <c r="B235" s="963"/>
      <c r="C235" s="963"/>
      <c r="D235" s="963"/>
      <c r="E235" s="963"/>
      <c r="F235" s="963"/>
      <c r="G235" s="963"/>
      <c r="H235" s="946"/>
      <c r="J235" s="169"/>
    </row>
    <row r="236" spans="1:10" ht="15.6" thickBot="1">
      <c r="A236" s="1027"/>
      <c r="B236" s="1027"/>
      <c r="C236" s="1028"/>
      <c r="D236" s="1028"/>
      <c r="E236" s="1028"/>
      <c r="F236" s="1028"/>
      <c r="G236" s="1028"/>
      <c r="H236" s="946"/>
    </row>
    <row r="237" spans="1:10" ht="15" thickBot="1">
      <c r="A237" s="1046" t="s">
        <v>843</v>
      </c>
      <c r="B237" s="1047"/>
      <c r="C237" s="1047"/>
      <c r="D237" s="1047"/>
      <c r="E237" s="1047"/>
      <c r="F237" s="1047"/>
      <c r="G237" s="1048"/>
      <c r="H237" s="1064"/>
      <c r="I237" s="169"/>
    </row>
    <row r="238" spans="1:10" ht="13.8" thickBot="1">
      <c r="A238" s="1075"/>
      <c r="B238" s="1076"/>
      <c r="C238" s="4206" t="s">
        <v>781</v>
      </c>
      <c r="D238" s="4207"/>
      <c r="E238" s="4206" t="s">
        <v>752</v>
      </c>
      <c r="F238" s="4208"/>
      <c r="G238" s="4206" t="s">
        <v>600</v>
      </c>
      <c r="H238" s="4207"/>
      <c r="I238" s="1062"/>
      <c r="J238" s="1853">
        <v>41148</v>
      </c>
    </row>
    <row r="239" spans="1:10" ht="21.6" thickBot="1">
      <c r="A239" s="1029" t="s">
        <v>540</v>
      </c>
      <c r="B239" s="1030" t="s">
        <v>744</v>
      </c>
      <c r="C239" s="1031" t="s">
        <v>745</v>
      </c>
      <c r="D239" s="1054" t="s">
        <v>753</v>
      </c>
      <c r="E239" s="1031" t="s">
        <v>745</v>
      </c>
      <c r="F239" s="1031" t="s">
        <v>753</v>
      </c>
      <c r="G239" s="1031" t="s">
        <v>745</v>
      </c>
      <c r="H239" s="1032" t="s">
        <v>753</v>
      </c>
      <c r="I239" s="1053" t="s">
        <v>754</v>
      </c>
      <c r="J239" s="994"/>
    </row>
    <row r="240" spans="1:10" ht="13.8" thickBot="1">
      <c r="A240" s="1033">
        <v>957995</v>
      </c>
      <c r="B240" s="1034" t="s">
        <v>711</v>
      </c>
      <c r="C240" s="1035"/>
      <c r="D240" s="1035">
        <v>200</v>
      </c>
      <c r="E240" s="1063">
        <f>+SUM('Planillas diarias trapasos'!B443)</f>
        <v>0</v>
      </c>
      <c r="F240" s="1080">
        <f>+SUM('Planillas diarias trapasos'!B444)</f>
        <v>171.744</v>
      </c>
      <c r="G240" s="1068">
        <f>+C240-E240</f>
        <v>0</v>
      </c>
      <c r="H240" s="1650">
        <f>+D240-F240</f>
        <v>28.256</v>
      </c>
      <c r="I240" s="1142"/>
      <c r="J240" s="2302" t="s">
        <v>820</v>
      </c>
    </row>
    <row r="241" spans="1:10" ht="13.8" thickBot="1">
      <c r="B241" s="1065" t="s">
        <v>144</v>
      </c>
      <c r="C241" s="1065"/>
      <c r="D241" s="1066">
        <f>+D240</f>
        <v>200</v>
      </c>
      <c r="E241" s="1067">
        <f>SUM(E240)</f>
        <v>0</v>
      </c>
      <c r="F241" s="1067">
        <f>SUM(F240)</f>
        <v>171.744</v>
      </c>
      <c r="G241" s="1067">
        <f>SUM(G236:G240)</f>
        <v>0</v>
      </c>
      <c r="H241" s="1182">
        <f>SUM(H236:H240)</f>
        <v>28.256</v>
      </c>
      <c r="I241" s="1154"/>
      <c r="J241" s="994"/>
    </row>
    <row r="242" spans="1:10" ht="15.6" thickBot="1">
      <c r="A242" s="1027"/>
      <c r="B242" s="1027"/>
      <c r="C242" s="1028"/>
      <c r="D242" s="1028"/>
      <c r="E242" s="1028"/>
      <c r="F242" s="1028"/>
      <c r="G242" s="1028"/>
      <c r="H242" s="946"/>
      <c r="J242" s="994"/>
    </row>
    <row r="243" spans="1:10" ht="15" thickBot="1">
      <c r="A243" s="1046" t="s">
        <v>755</v>
      </c>
      <c r="B243" s="1047"/>
      <c r="C243" s="1047"/>
      <c r="D243" s="1047"/>
      <c r="E243" s="1047"/>
      <c r="F243" s="1047"/>
      <c r="G243" s="1048"/>
      <c r="H243" s="1064"/>
      <c r="I243" s="169"/>
      <c r="J243" s="994"/>
    </row>
    <row r="244" spans="1:10" ht="13.8" thickBot="1">
      <c r="A244" s="1075"/>
      <c r="B244" s="1076"/>
      <c r="C244" s="4206" t="s">
        <v>781</v>
      </c>
      <c r="D244" s="4207"/>
      <c r="E244" s="4206" t="s">
        <v>752</v>
      </c>
      <c r="F244" s="4208"/>
      <c r="G244" s="4206" t="s">
        <v>600</v>
      </c>
      <c r="H244" s="4207"/>
      <c r="I244" s="1062"/>
      <c r="J244" s="1853">
        <v>41236</v>
      </c>
    </row>
    <row r="245" spans="1:10" ht="21.6" thickBot="1">
      <c r="A245" s="1029" t="s">
        <v>540</v>
      </c>
      <c r="B245" s="1030" t="s">
        <v>744</v>
      </c>
      <c r="C245" s="1031" t="s">
        <v>745</v>
      </c>
      <c r="D245" s="1054" t="s">
        <v>753</v>
      </c>
      <c r="E245" s="1031" t="s">
        <v>745</v>
      </c>
      <c r="F245" s="1031" t="s">
        <v>753</v>
      </c>
      <c r="G245" s="1031" t="s">
        <v>745</v>
      </c>
      <c r="H245" s="1032" t="s">
        <v>753</v>
      </c>
      <c r="I245" s="1053" t="s">
        <v>754</v>
      </c>
      <c r="J245" s="994"/>
    </row>
    <row r="246" spans="1:10" ht="13.8" thickBot="1">
      <c r="A246" s="1033">
        <v>957995</v>
      </c>
      <c r="B246" s="1034" t="s">
        <v>711</v>
      </c>
      <c r="C246" s="1035">
        <v>84</v>
      </c>
      <c r="D246" s="1035">
        <v>600</v>
      </c>
      <c r="E246" s="1063">
        <f>+SUM('Planillas diarias trapasos'!B460)</f>
        <v>83.995999999999995</v>
      </c>
      <c r="F246" s="1080">
        <f>+SUM('Planillas diarias trapasos'!B476)</f>
        <v>312.60399999999998</v>
      </c>
      <c r="G246" s="2690">
        <f>+C246-E246</f>
        <v>4.0000000000048885E-3</v>
      </c>
      <c r="H246" s="1650">
        <f>+D246-F246</f>
        <v>287.39600000000002</v>
      </c>
      <c r="I246" s="1142"/>
      <c r="J246" s="2744" t="s">
        <v>644</v>
      </c>
    </row>
    <row r="247" spans="1:10" ht="13.8" thickBot="1">
      <c r="B247" s="1065" t="s">
        <v>144</v>
      </c>
      <c r="C247" s="1065">
        <v>30</v>
      </c>
      <c r="D247" s="1066">
        <v>2600</v>
      </c>
      <c r="E247" s="1067">
        <f>SUM(E246)</f>
        <v>83.995999999999995</v>
      </c>
      <c r="F247" s="1067">
        <f>SUM(F246)</f>
        <v>312.60399999999998</v>
      </c>
      <c r="G247" s="1067">
        <f>SUM(G242:G246)</f>
        <v>4.0000000000048885E-3</v>
      </c>
      <c r="H247" s="1182">
        <f>SUM(H242:H246)</f>
        <v>287.39600000000002</v>
      </c>
      <c r="I247" s="1154"/>
      <c r="J247" s="994"/>
    </row>
    <row r="248" spans="1:10" s="2890" customFormat="1" ht="13.8" thickBot="1">
      <c r="B248" s="1077"/>
      <c r="C248" s="1077"/>
      <c r="D248" s="1078"/>
      <c r="E248" s="1079"/>
      <c r="F248" s="1079"/>
      <c r="G248" s="1079"/>
      <c r="H248" s="1079"/>
      <c r="I248" s="513"/>
      <c r="J248" s="994"/>
    </row>
    <row r="249" spans="1:10" s="2890" customFormat="1" ht="15" thickBot="1">
      <c r="A249" s="2931" t="s">
        <v>1170</v>
      </c>
      <c r="B249" s="1047"/>
      <c r="C249" s="1047"/>
      <c r="D249" s="1047"/>
      <c r="E249" s="1047"/>
      <c r="F249" s="1047"/>
      <c r="G249" s="1048"/>
      <c r="H249" s="1064"/>
      <c r="I249" s="169"/>
      <c r="J249" s="994"/>
    </row>
    <row r="250" spans="1:10" s="2890" customFormat="1" ht="13.8" thickBot="1">
      <c r="A250" s="1075"/>
      <c r="B250" s="1076"/>
      <c r="C250" s="4206" t="s">
        <v>781</v>
      </c>
      <c r="D250" s="4207"/>
      <c r="E250" s="4206" t="s">
        <v>752</v>
      </c>
      <c r="F250" s="4208"/>
      <c r="G250" s="4206" t="s">
        <v>600</v>
      </c>
      <c r="H250" s="4207"/>
      <c r="I250" s="1062"/>
      <c r="J250" s="994"/>
    </row>
    <row r="251" spans="1:10" s="2890" customFormat="1" ht="13.8" thickBot="1">
      <c r="A251" s="1029" t="s">
        <v>540</v>
      </c>
      <c r="B251" s="1030" t="s">
        <v>744</v>
      </c>
      <c r="C251" s="1031"/>
      <c r="D251" s="1054" t="s">
        <v>865</v>
      </c>
      <c r="E251" s="1031"/>
      <c r="F251" s="1031" t="s">
        <v>1171</v>
      </c>
      <c r="G251" s="1031"/>
      <c r="H251" s="1032" t="s">
        <v>1171</v>
      </c>
      <c r="I251" s="1053" t="s">
        <v>754</v>
      </c>
      <c r="J251" s="994"/>
    </row>
    <row r="252" spans="1:10" s="2890" customFormat="1" ht="13.8" thickBot="1">
      <c r="A252" s="1034" t="s">
        <v>1172</v>
      </c>
      <c r="B252" s="1049" t="s">
        <v>1169</v>
      </c>
      <c r="C252" s="1035">
        <v>0</v>
      </c>
      <c r="D252" s="1035">
        <v>100</v>
      </c>
      <c r="E252" s="1063">
        <f>+SUM('Planillas diarias trapasos'!B466)</f>
        <v>0</v>
      </c>
      <c r="F252" s="1080">
        <f>+SUM('Planillas diarias trapasos'!B482)</f>
        <v>0</v>
      </c>
      <c r="G252" s="2690">
        <f>+C252-E252</f>
        <v>0</v>
      </c>
      <c r="H252" s="1650">
        <f>+D252-F252</f>
        <v>100</v>
      </c>
      <c r="I252" s="1142"/>
      <c r="J252" s="994"/>
    </row>
    <row r="253" spans="1:10" s="2890" customFormat="1" ht="13.8" thickBot="1">
      <c r="B253" s="2680" t="s">
        <v>144</v>
      </c>
      <c r="C253" s="1180"/>
      <c r="D253" s="3247"/>
      <c r="E253" s="1067">
        <f>SUM(E252)</f>
        <v>0</v>
      </c>
      <c r="F253" s="1067">
        <f>SUM(F252)</f>
        <v>0</v>
      </c>
      <c r="G253" s="1067">
        <f>SUM(G248:G252)</f>
        <v>0</v>
      </c>
      <c r="H253" s="1182">
        <f>SUM(H248:H252)</f>
        <v>100</v>
      </c>
      <c r="I253" s="2892"/>
      <c r="J253" s="994"/>
    </row>
    <row r="254" spans="1:10" s="3226" customFormat="1">
      <c r="B254" s="1077"/>
      <c r="C254" s="1077"/>
      <c r="D254" s="1078"/>
      <c r="E254" s="1079"/>
      <c r="F254" s="1079"/>
      <c r="G254" s="1079"/>
      <c r="H254" s="1079"/>
      <c r="I254" s="513"/>
      <c r="J254" s="994"/>
    </row>
    <row r="255" spans="1:10" s="3226" customFormat="1" ht="13.8" thickBot="1">
      <c r="A255" s="3083" t="s">
        <v>1264</v>
      </c>
      <c r="B255" s="1077"/>
      <c r="C255" s="1077"/>
      <c r="D255" s="1078"/>
      <c r="E255" s="1079"/>
      <c r="F255" s="1079"/>
      <c r="G255" s="1079"/>
      <c r="H255" s="1079"/>
      <c r="I255" s="513"/>
      <c r="J255" s="994"/>
    </row>
    <row r="256" spans="1:10" s="3226" customFormat="1" ht="15" thickBot="1">
      <c r="A256" s="2931" t="s">
        <v>1265</v>
      </c>
      <c r="B256" s="1047"/>
      <c r="C256" s="1047"/>
      <c r="D256" s="1047"/>
      <c r="E256" s="1047"/>
      <c r="F256" s="1047"/>
      <c r="G256" s="1048"/>
      <c r="H256" s="1064"/>
      <c r="I256" s="169"/>
      <c r="J256" s="994"/>
    </row>
    <row r="257" spans="1:10" s="3226" customFormat="1" ht="13.8" thickBot="1">
      <c r="A257" s="1075"/>
      <c r="B257" s="1076"/>
      <c r="C257" s="4206" t="s">
        <v>781</v>
      </c>
      <c r="D257" s="4207"/>
      <c r="E257" s="4206" t="s">
        <v>752</v>
      </c>
      <c r="F257" s="4208"/>
      <c r="G257" s="4206" t="s">
        <v>600</v>
      </c>
      <c r="H257" s="4207"/>
      <c r="I257" s="1062"/>
      <c r="J257" s="994"/>
    </row>
    <row r="258" spans="1:10" s="3226" customFormat="1" ht="13.8" thickBot="1">
      <c r="A258" s="1030" t="s">
        <v>540</v>
      </c>
      <c r="B258" s="3213" t="s">
        <v>744</v>
      </c>
      <c r="C258" s="1031"/>
      <c r="D258" s="3244" t="s">
        <v>865</v>
      </c>
      <c r="E258" s="1031"/>
      <c r="F258" s="1031" t="s">
        <v>1171</v>
      </c>
      <c r="G258" s="1031"/>
      <c r="H258" s="1166" t="s">
        <v>1171</v>
      </c>
      <c r="I258" s="1031" t="s">
        <v>754</v>
      </c>
      <c r="J258" s="994"/>
    </row>
    <row r="259" spans="1:10" s="3226" customFormat="1" ht="13.8" thickBot="1">
      <c r="A259" s="3249">
        <v>958575</v>
      </c>
      <c r="B259" s="3251" t="s">
        <v>1266</v>
      </c>
      <c r="C259" s="1033"/>
      <c r="D259" s="1033">
        <v>1.35</v>
      </c>
      <c r="E259" s="1033"/>
      <c r="F259" s="1033"/>
      <c r="G259" s="3252"/>
      <c r="H259" s="3255">
        <f t="shared" ref="H259:H260" si="5">+D259-F259</f>
        <v>1.35</v>
      </c>
      <c r="I259" s="3252"/>
      <c r="J259" s="994"/>
    </row>
    <row r="260" spans="1:10" s="3226" customFormat="1" ht="13.8" thickBot="1">
      <c r="A260" s="3249">
        <v>956906</v>
      </c>
      <c r="B260" s="3253" t="s">
        <v>1267</v>
      </c>
      <c r="C260" s="1040"/>
      <c r="D260" s="1040">
        <v>1.35</v>
      </c>
      <c r="E260" s="1040"/>
      <c r="F260" s="1040"/>
      <c r="G260" s="3254"/>
      <c r="H260" s="3250">
        <f t="shared" si="5"/>
        <v>1.35</v>
      </c>
      <c r="I260" s="3254"/>
      <c r="J260" s="994"/>
    </row>
    <row r="261" spans="1:10" s="3226" customFormat="1" ht="13.8" thickBot="1">
      <c r="A261" s="2705">
        <v>956945</v>
      </c>
      <c r="B261" s="3256" t="s">
        <v>1268</v>
      </c>
      <c r="C261" s="1162"/>
      <c r="D261" s="1162">
        <v>1.35</v>
      </c>
      <c r="E261" s="3257"/>
      <c r="F261" s="3258"/>
      <c r="G261" s="3259"/>
      <c r="H261" s="3260">
        <f>+D261-F261</f>
        <v>1.35</v>
      </c>
      <c r="I261" s="3261"/>
      <c r="J261" s="994"/>
    </row>
    <row r="262" spans="1:10" s="3226" customFormat="1" ht="13.8" thickBot="1">
      <c r="B262" s="1179" t="s">
        <v>144</v>
      </c>
      <c r="C262" s="3262"/>
      <c r="D262" s="3263"/>
      <c r="E262" s="1067">
        <f>SUM(E261)</f>
        <v>0</v>
      </c>
      <c r="F262" s="1067">
        <f>SUM(F261)</f>
        <v>0</v>
      </c>
      <c r="G262" s="1067">
        <f>SUM(G255:G261)</f>
        <v>0</v>
      </c>
      <c r="H262" s="3264">
        <f>SUM(H255:H261)</f>
        <v>4.0500000000000007</v>
      </c>
      <c r="I262" s="2747"/>
      <c r="J262" s="994"/>
    </row>
    <row r="263" spans="1:10" s="3226" customFormat="1" ht="13.8" thickBot="1">
      <c r="B263" s="1077"/>
      <c r="C263" s="1077"/>
      <c r="D263" s="1078"/>
      <c r="E263" s="1079"/>
      <c r="F263" s="1079"/>
      <c r="G263" s="1079"/>
      <c r="H263" s="1079"/>
      <c r="I263" s="513"/>
      <c r="J263" s="994"/>
    </row>
    <row r="264" spans="1:10" s="3226" customFormat="1" ht="15" thickBot="1">
      <c r="A264" s="2931" t="s">
        <v>1280</v>
      </c>
      <c r="B264" s="1047"/>
      <c r="C264" s="1047"/>
      <c r="D264" s="1047"/>
      <c r="E264" s="1047"/>
      <c r="F264" s="1047"/>
      <c r="G264" s="1048"/>
      <c r="H264" s="1064"/>
      <c r="I264" s="169"/>
      <c r="J264" s="994"/>
    </row>
    <row r="265" spans="1:10" s="3226" customFormat="1" ht="13.8" thickBot="1">
      <c r="A265" s="1075"/>
      <c r="B265" s="1076"/>
      <c r="C265" s="4206" t="s">
        <v>781</v>
      </c>
      <c r="D265" s="4207"/>
      <c r="E265" s="4206" t="s">
        <v>752</v>
      </c>
      <c r="F265" s="4208"/>
      <c r="G265" s="4206" t="s">
        <v>600</v>
      </c>
      <c r="H265" s="4207"/>
      <c r="I265" s="1062"/>
      <c r="J265" s="994"/>
    </row>
    <row r="266" spans="1:10" s="3226" customFormat="1">
      <c r="A266" s="1157" t="s">
        <v>540</v>
      </c>
      <c r="B266" s="2691" t="s">
        <v>744</v>
      </c>
      <c r="C266" s="1053"/>
      <c r="D266" s="1054" t="s">
        <v>865</v>
      </c>
      <c r="E266" s="1053"/>
      <c r="F266" s="1053" t="s">
        <v>1171</v>
      </c>
      <c r="G266" s="1053"/>
      <c r="H266" s="1054" t="s">
        <v>1171</v>
      </c>
      <c r="I266" s="1053" t="s">
        <v>754</v>
      </c>
      <c r="J266" s="994"/>
    </row>
    <row r="267" spans="1:10" s="3226" customFormat="1">
      <c r="A267" s="1040">
        <v>957214</v>
      </c>
      <c r="B267" s="1040" t="s">
        <v>1269</v>
      </c>
      <c r="C267" s="1040"/>
      <c r="D267" s="1040">
        <v>2</v>
      </c>
      <c r="E267" s="1040"/>
      <c r="F267" s="1040"/>
      <c r="G267" s="1040"/>
      <c r="H267" s="3265">
        <f t="shared" ref="H267:H268" si="6">+D267-F267</f>
        <v>2</v>
      </c>
      <c r="I267" s="1039"/>
      <c r="J267" s="994"/>
    </row>
    <row r="268" spans="1:10" s="3226" customFormat="1">
      <c r="A268" s="1040">
        <v>957938</v>
      </c>
      <c r="B268" s="1040" t="s">
        <v>1270</v>
      </c>
      <c r="C268" s="1040"/>
      <c r="D268" s="1040">
        <v>1.35</v>
      </c>
      <c r="E268" s="1040"/>
      <c r="F268" s="1040"/>
      <c r="G268" s="1040"/>
      <c r="H268" s="3265">
        <f t="shared" si="6"/>
        <v>1.35</v>
      </c>
      <c r="I268" s="1039"/>
      <c r="J268" s="994"/>
    </row>
    <row r="269" spans="1:10" s="3226" customFormat="1">
      <c r="A269" s="1040">
        <v>951260</v>
      </c>
      <c r="B269" s="1040" t="s">
        <v>1271</v>
      </c>
      <c r="C269" s="1040"/>
      <c r="D269" s="1040">
        <v>1.35</v>
      </c>
      <c r="E269" s="3245"/>
      <c r="F269" s="3246"/>
      <c r="G269" s="3248"/>
      <c r="H269" s="3265">
        <f>+D269-F269</f>
        <v>1.35</v>
      </c>
      <c r="I269" s="3266"/>
      <c r="J269" s="994"/>
    </row>
    <row r="270" spans="1:10" s="3226" customFormat="1">
      <c r="A270" s="1040">
        <v>955341</v>
      </c>
      <c r="B270" s="1040" t="s">
        <v>1272</v>
      </c>
      <c r="C270" s="1040"/>
      <c r="D270" s="1040">
        <v>1.35</v>
      </c>
      <c r="E270" s="1040"/>
      <c r="F270" s="1040"/>
      <c r="G270" s="1040"/>
      <c r="H270" s="3265">
        <f t="shared" ref="H270:H271" si="7">+D270-F270</f>
        <v>1.35</v>
      </c>
      <c r="I270" s="1039"/>
      <c r="J270" s="994"/>
    </row>
    <row r="271" spans="1:10" s="3226" customFormat="1">
      <c r="A271" s="1040">
        <v>956004</v>
      </c>
      <c r="B271" s="1040" t="s">
        <v>1273</v>
      </c>
      <c r="C271" s="1040"/>
      <c r="D271" s="1040">
        <v>1.35</v>
      </c>
      <c r="E271" s="1040"/>
      <c r="F271" s="1040"/>
      <c r="G271" s="1040"/>
      <c r="H271" s="3265">
        <f t="shared" si="7"/>
        <v>1.35</v>
      </c>
      <c r="I271" s="1039"/>
      <c r="J271" s="994"/>
    </row>
    <row r="272" spans="1:10" s="3226" customFormat="1">
      <c r="A272" s="1040">
        <v>957210</v>
      </c>
      <c r="B272" s="1040" t="s">
        <v>1274</v>
      </c>
      <c r="C272" s="1040"/>
      <c r="D272" s="1040">
        <v>1.35</v>
      </c>
      <c r="E272" s="3245"/>
      <c r="F272" s="3246"/>
      <c r="G272" s="3248"/>
      <c r="H272" s="3265">
        <f>+D272-F272</f>
        <v>1.35</v>
      </c>
      <c r="I272" s="3266"/>
      <c r="J272" s="994"/>
    </row>
    <row r="273" spans="1:11" s="3226" customFormat="1">
      <c r="A273" s="1040">
        <v>955936</v>
      </c>
      <c r="B273" s="1040" t="s">
        <v>1275</v>
      </c>
      <c r="C273" s="1040"/>
      <c r="D273" s="1040">
        <v>1.35</v>
      </c>
      <c r="E273" s="1040"/>
      <c r="F273" s="1040"/>
      <c r="G273" s="1040"/>
      <c r="H273" s="3265">
        <f t="shared" ref="H273:H274" si="8">+D273-F273</f>
        <v>1.35</v>
      </c>
      <c r="I273" s="1039"/>
      <c r="J273" s="994"/>
    </row>
    <row r="274" spans="1:11" s="2890" customFormat="1">
      <c r="A274" s="1040">
        <v>958565</v>
      </c>
      <c r="B274" s="1040" t="s">
        <v>1276</v>
      </c>
      <c r="C274" s="1040"/>
      <c r="D274" s="1040">
        <v>1.35</v>
      </c>
      <c r="E274" s="1040"/>
      <c r="F274" s="1040"/>
      <c r="G274" s="1040"/>
      <c r="H274" s="3265">
        <f t="shared" si="8"/>
        <v>1.35</v>
      </c>
      <c r="I274" s="1039"/>
      <c r="J274" s="994"/>
    </row>
    <row r="275" spans="1:11" s="2890" customFormat="1">
      <c r="A275" s="1040">
        <v>959505</v>
      </c>
      <c r="B275" s="1040" t="s">
        <v>1277</v>
      </c>
      <c r="C275" s="1040"/>
      <c r="D275" s="1040">
        <v>1.35</v>
      </c>
      <c r="E275" s="3245"/>
      <c r="F275" s="3246"/>
      <c r="G275" s="3248"/>
      <c r="H275" s="3265">
        <f>+D275-F275</f>
        <v>1.35</v>
      </c>
      <c r="I275" s="3266"/>
      <c r="J275" s="994"/>
    </row>
    <row r="276" spans="1:11" s="3226" customFormat="1">
      <c r="A276" s="1040">
        <v>952507</v>
      </c>
      <c r="B276" s="1040" t="s">
        <v>1278</v>
      </c>
      <c r="C276" s="1040"/>
      <c r="D276" s="1040">
        <v>1.35</v>
      </c>
      <c r="E276" s="3245"/>
      <c r="F276" s="3246"/>
      <c r="G276" s="3248"/>
      <c r="H276" s="3265">
        <f t="shared" ref="H276:H277" si="9">+D276-F276</f>
        <v>1.35</v>
      </c>
      <c r="I276" s="3266"/>
      <c r="J276" s="994"/>
    </row>
    <row r="277" spans="1:11" s="3226" customFormat="1" ht="13.8" thickBot="1">
      <c r="A277" s="1162">
        <v>956539</v>
      </c>
      <c r="B277" s="1162" t="s">
        <v>1279</v>
      </c>
      <c r="C277" s="1162"/>
      <c r="D277" s="1040">
        <v>1.35</v>
      </c>
      <c r="E277" s="3257"/>
      <c r="F277" s="3258"/>
      <c r="G277" s="3267"/>
      <c r="H277" s="3265">
        <f t="shared" si="9"/>
        <v>1.35</v>
      </c>
      <c r="I277" s="3268"/>
      <c r="J277" s="994"/>
    </row>
    <row r="278" spans="1:11" ht="13.8" thickBot="1">
      <c r="A278" s="3269"/>
      <c r="B278" s="3270"/>
      <c r="C278" s="3270"/>
      <c r="D278" s="1164">
        <f>SUM(D267:D277)</f>
        <v>15.499999999999998</v>
      </c>
      <c r="E278" s="3271"/>
      <c r="F278" s="3271">
        <f>SUM(F262)</f>
        <v>0</v>
      </c>
      <c r="G278" s="3271">
        <f t="shared" ref="G278:H278" si="10">SUM(G262)</f>
        <v>0</v>
      </c>
      <c r="H278" s="3271">
        <f t="shared" si="10"/>
        <v>4.0500000000000007</v>
      </c>
      <c r="I278" s="3272"/>
    </row>
    <row r="279" spans="1:11" s="3226" customFormat="1" ht="14.4">
      <c r="A279" s="513"/>
      <c r="B279" s="1077"/>
      <c r="C279" s="1077"/>
      <c r="D279" s="1078"/>
      <c r="E279" s="1079"/>
      <c r="F279" s="1079"/>
      <c r="G279" s="1079"/>
      <c r="H279" s="1070"/>
      <c r="I279" s="513"/>
      <c r="J279" s="169"/>
    </row>
    <row r="280" spans="1:11" ht="15" thickBot="1">
      <c r="B280" s="1077"/>
      <c r="C280" s="1077"/>
      <c r="D280" s="1078"/>
      <c r="E280" s="1079"/>
      <c r="F280" s="1079"/>
      <c r="G280" s="1079"/>
      <c r="H280" s="1070"/>
    </row>
    <row r="281" spans="1:11" ht="21.6" thickBot="1">
      <c r="A281" s="1057" t="s">
        <v>778</v>
      </c>
      <c r="B281" s="3211" t="s">
        <v>1250</v>
      </c>
      <c r="C281" s="1056"/>
      <c r="D281" s="1056"/>
      <c r="E281" s="1709"/>
      <c r="F281" s="1709"/>
      <c r="G281" s="1056"/>
      <c r="H281" s="1700"/>
      <c r="I281" s="1058"/>
    </row>
    <row r="282" spans="1:11" ht="13.8" thickBot="1">
      <c r="A282" s="1059"/>
      <c r="B282" s="1060"/>
      <c r="C282" s="4206" t="s">
        <v>781</v>
      </c>
      <c r="D282" s="4207"/>
      <c r="E282" s="4206" t="s">
        <v>752</v>
      </c>
      <c r="F282" s="4207"/>
      <c r="G282" s="4206" t="s">
        <v>600</v>
      </c>
      <c r="H282" s="4207"/>
      <c r="I282" s="1062"/>
    </row>
    <row r="283" spans="1:11" ht="21.6" thickBot="1">
      <c r="A283" s="1158" t="s">
        <v>540</v>
      </c>
      <c r="B283" s="1157" t="s">
        <v>744</v>
      </c>
      <c r="C283" s="1053" t="s">
        <v>745</v>
      </c>
      <c r="D283" s="1054" t="s">
        <v>753</v>
      </c>
      <c r="E283" s="1031" t="s">
        <v>745</v>
      </c>
      <c r="F283" s="1031" t="s">
        <v>753</v>
      </c>
      <c r="G283" s="1031" t="s">
        <v>745</v>
      </c>
      <c r="H283" s="1166" t="s">
        <v>753</v>
      </c>
      <c r="I283" s="1031" t="s">
        <v>754</v>
      </c>
      <c r="J283" s="2456">
        <v>41262</v>
      </c>
    </row>
    <row r="284" spans="1:11">
      <c r="A284" s="1167"/>
      <c r="B284" s="1170" t="s">
        <v>779</v>
      </c>
      <c r="C284" s="1040">
        <v>100</v>
      </c>
      <c r="D284" s="1041">
        <v>1000</v>
      </c>
      <c r="E284" s="1040">
        <v>3</v>
      </c>
      <c r="F284" s="1040">
        <v>931.14300000000003</v>
      </c>
      <c r="G284" s="1040">
        <f>+C284-E284</f>
        <v>97</v>
      </c>
      <c r="H284" s="1040">
        <f>+D284-F284</f>
        <v>68.856999999999971</v>
      </c>
      <c r="I284" s="1159"/>
    </row>
    <row r="285" spans="1:11" ht="13.8" thickBot="1">
      <c r="A285" s="1168"/>
      <c r="B285" s="1171" t="s">
        <v>780</v>
      </c>
      <c r="C285" s="1042">
        <v>100</v>
      </c>
      <c r="D285" s="1161">
        <v>1000</v>
      </c>
      <c r="E285" s="1162">
        <v>0</v>
      </c>
      <c r="F285" s="1162">
        <v>1034.0549999999998</v>
      </c>
      <c r="G285" s="1162">
        <f>+C285-E285</f>
        <v>100</v>
      </c>
      <c r="H285" s="1162">
        <f>+D285-F285</f>
        <v>-34.054999999999836</v>
      </c>
      <c r="I285" s="1172"/>
    </row>
    <row r="286" spans="1:11" ht="13.8" thickBot="1">
      <c r="A286" s="1169"/>
      <c r="B286" s="1173" t="s">
        <v>692</v>
      </c>
      <c r="C286" s="1160">
        <f t="shared" ref="C286:H286" si="11">SUM(C284:C285)</f>
        <v>200</v>
      </c>
      <c r="D286" s="1163">
        <f t="shared" si="11"/>
        <v>2000</v>
      </c>
      <c r="E286" s="1164">
        <f t="shared" si="11"/>
        <v>3</v>
      </c>
      <c r="F286" s="1164">
        <f t="shared" si="11"/>
        <v>1965.1979999999999</v>
      </c>
      <c r="G286" s="1164">
        <f t="shared" si="11"/>
        <v>197</v>
      </c>
      <c r="H286" s="1164">
        <f t="shared" si="11"/>
        <v>34.802000000000135</v>
      </c>
      <c r="I286" s="1165"/>
    </row>
    <row r="287" spans="1:11" ht="14.4">
      <c r="A287" s="513"/>
      <c r="B287" s="1077"/>
      <c r="C287" s="1077"/>
      <c r="D287" s="1078"/>
      <c r="E287" s="1079"/>
      <c r="F287" s="1079"/>
      <c r="G287" s="1079"/>
      <c r="H287" s="1070"/>
      <c r="I287" s="513"/>
    </row>
    <row r="288" spans="1:11" s="2933" customFormat="1" ht="13.8" thickBot="1">
      <c r="A288" s="1264"/>
      <c r="B288" s="1265"/>
      <c r="C288" s="1264"/>
      <c r="D288" s="1264"/>
      <c r="E288" s="1264"/>
      <c r="F288" s="1264"/>
      <c r="G288" s="1264"/>
      <c r="H288" s="1264"/>
      <c r="I288" s="1264"/>
      <c r="J288" s="2877"/>
      <c r="K288" s="1264"/>
    </row>
    <row r="289" spans="1:11" s="2933" customFormat="1" ht="21.6" thickBot="1">
      <c r="A289" s="2745" t="s">
        <v>1178</v>
      </c>
      <c r="B289" s="3211" t="s">
        <v>1250</v>
      </c>
      <c r="C289" s="1056"/>
      <c r="D289" s="1056"/>
      <c r="E289" s="2932"/>
      <c r="F289" s="2932"/>
      <c r="G289" s="1056"/>
      <c r="H289" s="1706"/>
      <c r="I289" s="1058"/>
      <c r="J289" s="2966">
        <v>41262</v>
      </c>
      <c r="K289" s="1264"/>
    </row>
    <row r="290" spans="1:11" s="2933" customFormat="1" ht="13.8" thickBot="1">
      <c r="A290" s="1059"/>
      <c r="B290" s="1060"/>
      <c r="C290" s="4206" t="s">
        <v>781</v>
      </c>
      <c r="D290" s="4207"/>
      <c r="E290" s="4206" t="s">
        <v>752</v>
      </c>
      <c r="F290" s="4207"/>
      <c r="G290" s="4206" t="s">
        <v>600</v>
      </c>
      <c r="H290" s="4207"/>
      <c r="I290" s="1062"/>
      <c r="J290" s="2877"/>
      <c r="K290" s="1264"/>
    </row>
    <row r="291" spans="1:11" s="2933" customFormat="1" ht="21.6" thickBot="1">
      <c r="A291" s="1158" t="s">
        <v>540</v>
      </c>
      <c r="B291" s="1157" t="s">
        <v>744</v>
      </c>
      <c r="C291" s="1053" t="s">
        <v>745</v>
      </c>
      <c r="D291" s="1054" t="s">
        <v>753</v>
      </c>
      <c r="E291" s="1031" t="s">
        <v>745</v>
      </c>
      <c r="F291" s="1031" t="s">
        <v>753</v>
      </c>
      <c r="G291" s="1031" t="s">
        <v>745</v>
      </c>
      <c r="H291" s="1166" t="s">
        <v>753</v>
      </c>
      <c r="I291" s="1031" t="s">
        <v>754</v>
      </c>
      <c r="J291" s="2877"/>
      <c r="K291" s="1264"/>
    </row>
    <row r="292" spans="1:11" s="2933" customFormat="1" ht="13.8" thickBot="1">
      <c r="A292" s="2988">
        <v>901835</v>
      </c>
      <c r="B292" s="2989" t="s">
        <v>795</v>
      </c>
      <c r="C292" s="1162">
        <v>0</v>
      </c>
      <c r="D292" s="1161">
        <f>620+367</f>
        <v>987</v>
      </c>
      <c r="E292" s="1162">
        <v>0</v>
      </c>
      <c r="F292" s="1162">
        <v>769.81</v>
      </c>
      <c r="G292" s="1162">
        <f>+C292-E292</f>
        <v>0</v>
      </c>
      <c r="H292" s="1162">
        <f>+D292-F292</f>
        <v>217.19000000000005</v>
      </c>
      <c r="I292" s="1172"/>
      <c r="J292" s="2877"/>
      <c r="K292" s="1264"/>
    </row>
    <row r="293" spans="1:11" s="2933" customFormat="1" ht="19.5" customHeight="1" thickBot="1">
      <c r="A293" s="2990"/>
      <c r="B293" s="2991" t="s">
        <v>692</v>
      </c>
      <c r="C293" s="2992">
        <f t="shared" ref="C293:H293" si="12">SUM(C292:C292)</f>
        <v>0</v>
      </c>
      <c r="D293" s="1163">
        <f t="shared" si="12"/>
        <v>987</v>
      </c>
      <c r="E293" s="1164">
        <f t="shared" si="12"/>
        <v>0</v>
      </c>
      <c r="F293" s="1164">
        <f t="shared" si="12"/>
        <v>769.81</v>
      </c>
      <c r="G293" s="1164">
        <f t="shared" si="12"/>
        <v>0</v>
      </c>
      <c r="H293" s="1164">
        <f t="shared" si="12"/>
        <v>217.19000000000005</v>
      </c>
      <c r="I293" s="1165"/>
      <c r="J293" s="2877"/>
      <c r="K293" s="1264"/>
    </row>
    <row r="294" spans="1:11" s="2933" customFormat="1" ht="15" thickBot="1">
      <c r="A294" s="513"/>
      <c r="B294" s="1077"/>
      <c r="C294" s="1077"/>
      <c r="D294" s="1078"/>
      <c r="E294" s="1079"/>
      <c r="F294" s="1079"/>
      <c r="G294" s="1079"/>
      <c r="H294" s="1070"/>
      <c r="I294" s="513"/>
      <c r="J294" s="169"/>
    </row>
    <row r="295" spans="1:11" s="3291" customFormat="1" ht="15" thickBot="1">
      <c r="A295" s="3242" t="s">
        <v>1254</v>
      </c>
      <c r="B295" s="3294" t="s">
        <v>753</v>
      </c>
      <c r="C295" s="3239"/>
      <c r="D295" s="3239"/>
      <c r="E295" s="4210"/>
      <c r="F295" s="4210"/>
      <c r="G295" s="3239"/>
      <c r="H295" s="3240"/>
      <c r="I295" s="3241"/>
      <c r="J295" s="2965">
        <v>41262</v>
      </c>
      <c r="K295" s="3520" t="s">
        <v>1295</v>
      </c>
    </row>
    <row r="296" spans="1:11" s="3291" customFormat="1" ht="13.8" thickBot="1">
      <c r="A296" s="1059"/>
      <c r="B296" s="1060"/>
      <c r="C296" s="1060"/>
      <c r="D296" s="3189" t="s">
        <v>1012</v>
      </c>
      <c r="E296" s="4203" t="s">
        <v>752</v>
      </c>
      <c r="F296" s="4204"/>
      <c r="G296" s="4203" t="s">
        <v>600</v>
      </c>
      <c r="H296" s="4205"/>
      <c r="I296" s="3277"/>
      <c r="J296" s="169"/>
    </row>
    <row r="297" spans="1:11" s="3291" customFormat="1" ht="21.6" thickBot="1">
      <c r="A297" s="1031" t="s">
        <v>540</v>
      </c>
      <c r="B297" s="1054"/>
      <c r="C297" s="1053"/>
      <c r="D297" s="1054" t="s">
        <v>753</v>
      </c>
      <c r="E297" s="1053"/>
      <c r="F297" s="1054" t="s">
        <v>753</v>
      </c>
      <c r="G297" s="1053"/>
      <c r="H297" s="1054" t="s">
        <v>753</v>
      </c>
      <c r="I297" s="1053" t="s">
        <v>754</v>
      </c>
      <c r="J297" s="169"/>
    </row>
    <row r="298" spans="1:11" s="3291" customFormat="1" ht="13.8" thickBot="1">
      <c r="A298" s="3213">
        <v>957485</v>
      </c>
      <c r="B298" s="3214" t="s">
        <v>1252</v>
      </c>
      <c r="C298" s="1053"/>
      <c r="D298" s="1054">
        <v>100</v>
      </c>
      <c r="E298" s="1053"/>
      <c r="F298" s="1054"/>
      <c r="G298" s="1053"/>
      <c r="H298" s="2709">
        <f>+D298-F298</f>
        <v>100</v>
      </c>
      <c r="I298" s="1053"/>
      <c r="J298" s="169"/>
    </row>
    <row r="299" spans="1:11" s="3291" customFormat="1" ht="15" thickBot="1">
      <c r="A299" s="2705">
        <v>955414</v>
      </c>
      <c r="B299" s="3215" t="s">
        <v>1253</v>
      </c>
      <c r="C299" s="2707"/>
      <c r="D299" s="2708">
        <v>400</v>
      </c>
      <c r="E299" s="2709"/>
      <c r="F299" s="2710"/>
      <c r="G299" s="2296"/>
      <c r="H299" s="2709">
        <f>+D299-F299</f>
        <v>400</v>
      </c>
      <c r="I299" s="2734"/>
      <c r="J299" s="169"/>
    </row>
    <row r="300" spans="1:11" s="3291" customFormat="1" ht="15" thickBot="1">
      <c r="A300" s="1055"/>
      <c r="B300" s="2680" t="s">
        <v>144</v>
      </c>
      <c r="C300" s="1180"/>
      <c r="D300" s="2708">
        <v>500</v>
      </c>
      <c r="E300" s="1182"/>
      <c r="F300" s="1182">
        <f>SUM(F298:F299)</f>
        <v>0</v>
      </c>
      <c r="G300" s="1182"/>
      <c r="H300" s="1182">
        <f>SUM(H298:H299)</f>
        <v>500</v>
      </c>
      <c r="I300" s="3290"/>
      <c r="J300" s="169"/>
    </row>
    <row r="301" spans="1:11" s="3291" customFormat="1" ht="14.4">
      <c r="A301" s="513"/>
      <c r="B301" s="1077"/>
      <c r="C301" s="1077"/>
      <c r="D301" s="1078"/>
      <c r="E301" s="1079"/>
      <c r="F301" s="1079"/>
      <c r="G301" s="1079"/>
      <c r="H301" s="1070"/>
      <c r="I301" s="513"/>
      <c r="J301" s="169"/>
    </row>
    <row r="302" spans="1:11" ht="15.6" thickBot="1">
      <c r="A302" s="510"/>
      <c r="B302" s="510"/>
      <c r="C302" s="510"/>
      <c r="D302" s="510"/>
      <c r="E302" s="994"/>
      <c r="F302" s="510"/>
      <c r="G302" s="510"/>
      <c r="H302" s="946"/>
    </row>
    <row r="303" spans="1:11" ht="15" thickBot="1">
      <c r="A303" s="2803" t="s">
        <v>751</v>
      </c>
      <c r="B303" s="2804"/>
      <c r="C303" s="2804"/>
      <c r="D303" s="2804"/>
      <c r="E303" s="4209"/>
      <c r="F303" s="4209"/>
      <c r="G303" s="2804"/>
      <c r="H303" s="2805"/>
      <c r="I303" s="2806"/>
    </row>
    <row r="304" spans="1:11" ht="13.8" thickBot="1">
      <c r="A304" s="1059"/>
      <c r="B304" s="1060"/>
      <c r="C304" s="1060"/>
      <c r="D304" s="1061"/>
      <c r="E304" s="4203" t="s">
        <v>752</v>
      </c>
      <c r="F304" s="4204"/>
      <c r="G304" s="4203" t="s">
        <v>600</v>
      </c>
      <c r="H304" s="4205"/>
      <c r="I304" s="1062"/>
    </row>
    <row r="305" spans="1:11" ht="21.6" thickBot="1">
      <c r="A305" s="1029" t="s">
        <v>540</v>
      </c>
      <c r="B305" s="1030" t="s">
        <v>744</v>
      </c>
      <c r="C305" s="1031" t="s">
        <v>745</v>
      </c>
      <c r="D305" s="1054" t="s">
        <v>753</v>
      </c>
      <c r="E305" s="1031" t="s">
        <v>745</v>
      </c>
      <c r="F305" s="1031" t="s">
        <v>753</v>
      </c>
      <c r="G305" s="1031" t="s">
        <v>745</v>
      </c>
      <c r="H305" s="1032" t="s">
        <v>753</v>
      </c>
      <c r="I305" s="1053" t="s">
        <v>754</v>
      </c>
      <c r="J305" s="2456">
        <v>41262</v>
      </c>
    </row>
    <row r="306" spans="1:11" ht="14.4">
      <c r="A306" s="1033">
        <v>916009</v>
      </c>
      <c r="B306" s="1034" t="s">
        <v>718</v>
      </c>
      <c r="C306" s="1035">
        <v>5</v>
      </c>
      <c r="D306" s="1049">
        <v>500</v>
      </c>
      <c r="E306" s="1080">
        <v>0</v>
      </c>
      <c r="F306" s="1080">
        <v>433.49</v>
      </c>
      <c r="G306" s="1068">
        <f t="shared" ref="G306:G311" si="13">+C306-E306</f>
        <v>5</v>
      </c>
      <c r="H306" s="1071">
        <f t="shared" ref="H306:H311" si="14">+D306-F306</f>
        <v>66.509999999999991</v>
      </c>
      <c r="I306" s="1142"/>
      <c r="J306" s="1786"/>
    </row>
    <row r="307" spans="1:11" ht="14.4">
      <c r="A307" s="1036">
        <v>916010</v>
      </c>
      <c r="B307" s="1037" t="s">
        <v>746</v>
      </c>
      <c r="C307" s="1038">
        <v>5</v>
      </c>
      <c r="D307" s="1050">
        <v>350</v>
      </c>
      <c r="E307" s="1176">
        <v>0</v>
      </c>
      <c r="F307" s="1176">
        <v>0</v>
      </c>
      <c r="G307" s="1068">
        <f t="shared" si="13"/>
        <v>5</v>
      </c>
      <c r="H307" s="1072">
        <f t="shared" si="14"/>
        <v>350</v>
      </c>
      <c r="I307" s="2308"/>
      <c r="J307" s="1786"/>
    </row>
    <row r="308" spans="1:11" ht="14.4">
      <c r="A308" s="1040">
        <v>953048</v>
      </c>
      <c r="B308" s="1041" t="s">
        <v>747</v>
      </c>
      <c r="C308" s="1039">
        <v>5</v>
      </c>
      <c r="D308" s="1050">
        <v>450</v>
      </c>
      <c r="E308" s="1176">
        <v>0</v>
      </c>
      <c r="F308" s="1176">
        <v>61.16</v>
      </c>
      <c r="G308" s="1068">
        <f t="shared" si="13"/>
        <v>5</v>
      </c>
      <c r="H308" s="1072">
        <f t="shared" si="14"/>
        <v>388.84000000000003</v>
      </c>
      <c r="I308" s="2308"/>
      <c r="J308" s="2457"/>
    </row>
    <row r="309" spans="1:11" ht="15" thickBot="1">
      <c r="A309" s="1040">
        <v>954700</v>
      </c>
      <c r="B309" s="1041" t="s">
        <v>748</v>
      </c>
      <c r="C309" s="1039">
        <v>5</v>
      </c>
      <c r="D309" s="1051">
        <v>400</v>
      </c>
      <c r="E309" s="1176">
        <v>0</v>
      </c>
      <c r="F309" s="1176">
        <v>0</v>
      </c>
      <c r="G309" s="1068">
        <f t="shared" si="13"/>
        <v>5</v>
      </c>
      <c r="H309" s="1072">
        <f t="shared" si="14"/>
        <v>400</v>
      </c>
      <c r="I309" s="2308"/>
      <c r="J309" s="1786"/>
    </row>
    <row r="310" spans="1:11" ht="15" thickBot="1">
      <c r="A310" s="1144">
        <v>902835</v>
      </c>
      <c r="B310" s="1145" t="s">
        <v>749</v>
      </c>
      <c r="C310" s="1146">
        <v>5</v>
      </c>
      <c r="D310" s="1147">
        <v>500</v>
      </c>
      <c r="E310" s="1074">
        <v>0</v>
      </c>
      <c r="F310" s="2719">
        <v>494.34600000000006</v>
      </c>
      <c r="G310" s="1148">
        <f t="shared" si="13"/>
        <v>5</v>
      </c>
      <c r="H310" s="1149">
        <f t="shared" si="14"/>
        <v>5.6539999999999395</v>
      </c>
      <c r="I310" s="2309"/>
      <c r="J310" s="2458" t="s">
        <v>750</v>
      </c>
      <c r="K310" s="2917" t="s">
        <v>644</v>
      </c>
    </row>
    <row r="311" spans="1:11" ht="15" thickBot="1">
      <c r="A311" s="1042">
        <v>953646</v>
      </c>
      <c r="B311" s="1043" t="s">
        <v>724</v>
      </c>
      <c r="C311" s="1044">
        <v>5</v>
      </c>
      <c r="D311" s="1052">
        <v>400</v>
      </c>
      <c r="E311" s="2674">
        <v>0</v>
      </c>
      <c r="F311" s="2674">
        <v>69.64</v>
      </c>
      <c r="G311" s="1068">
        <f t="shared" si="13"/>
        <v>5</v>
      </c>
      <c r="H311" s="1073">
        <f t="shared" si="14"/>
        <v>330.36</v>
      </c>
      <c r="I311" s="2310"/>
    </row>
    <row r="312" spans="1:11" ht="15" thickBot="1">
      <c r="A312" s="1045"/>
      <c r="B312" s="1065" t="s">
        <v>144</v>
      </c>
      <c r="C312" s="1065">
        <v>30</v>
      </c>
      <c r="D312" s="1066">
        <v>2600</v>
      </c>
      <c r="E312" s="1067">
        <v>0</v>
      </c>
      <c r="F312" s="1067">
        <v>0</v>
      </c>
      <c r="G312" s="1067">
        <f>SUM(G306:G311)</f>
        <v>30</v>
      </c>
      <c r="H312" s="1069">
        <f>SUM(H306:H311)</f>
        <v>1541.364</v>
      </c>
      <c r="I312" s="169"/>
    </row>
    <row r="313" spans="1:11" ht="14.4">
      <c r="A313" s="1055"/>
      <c r="B313" s="1077"/>
      <c r="C313" s="1077"/>
      <c r="D313" s="1078"/>
      <c r="E313" s="1079"/>
      <c r="F313" s="1079"/>
      <c r="G313" s="1079"/>
      <c r="H313" s="1070"/>
      <c r="I313" s="169"/>
    </row>
    <row r="314" spans="1:11" ht="15" thickBot="1">
      <c r="A314" s="1055"/>
      <c r="B314" s="1077"/>
      <c r="C314" s="1077"/>
      <c r="D314" s="1078"/>
      <c r="E314" s="1079"/>
      <c r="F314" s="1079"/>
      <c r="G314" s="1079"/>
      <c r="H314" s="1070"/>
      <c r="I314" s="1786"/>
    </row>
    <row r="315" spans="1:11" ht="15" thickBot="1">
      <c r="A315" s="2803" t="s">
        <v>1003</v>
      </c>
      <c r="B315" s="2804"/>
      <c r="C315" s="2804"/>
      <c r="D315" s="2804"/>
      <c r="E315" s="4209"/>
      <c r="F315" s="4209"/>
      <c r="G315" s="2804"/>
      <c r="H315" s="2805"/>
      <c r="I315" s="2806"/>
    </row>
    <row r="316" spans="1:11" ht="13.8" thickBot="1">
      <c r="A316" s="1059"/>
      <c r="B316" s="1060"/>
      <c r="C316" s="1060"/>
      <c r="D316" s="1061"/>
      <c r="E316" s="4203" t="s">
        <v>752</v>
      </c>
      <c r="F316" s="4204"/>
      <c r="G316" s="4203" t="s">
        <v>600</v>
      </c>
      <c r="H316" s="4205"/>
      <c r="I316" s="1062"/>
      <c r="J316" s="2456">
        <v>41262</v>
      </c>
    </row>
    <row r="317" spans="1:11" ht="21.6" thickBot="1">
      <c r="A317" s="1029" t="s">
        <v>540</v>
      </c>
      <c r="B317" s="1030" t="s">
        <v>744</v>
      </c>
      <c r="C317" s="1031" t="s">
        <v>745</v>
      </c>
      <c r="D317" s="1054" t="s">
        <v>753</v>
      </c>
      <c r="E317" s="1031" t="s">
        <v>745</v>
      </c>
      <c r="F317" s="1031" t="s">
        <v>753</v>
      </c>
      <c r="G317" s="1031" t="s">
        <v>745</v>
      </c>
      <c r="H317" s="1032" t="s">
        <v>753</v>
      </c>
      <c r="I317" s="1053" t="s">
        <v>754</v>
      </c>
    </row>
    <row r="318" spans="1:11" ht="15" thickBot="1">
      <c r="A318" s="1156" t="s">
        <v>1004</v>
      </c>
      <c r="B318" s="3307"/>
      <c r="C318" s="3307"/>
      <c r="D318" s="3249">
        <v>614</v>
      </c>
      <c r="E318" s="3308">
        <v>0</v>
      </c>
      <c r="F318" s="3309">
        <f>+SUM('Planillas diarias trapasos'!B127)</f>
        <v>204.14</v>
      </c>
      <c r="G318" s="3310">
        <f>+C318-E318</f>
        <v>0</v>
      </c>
      <c r="H318" s="3311">
        <f>+D318-F318</f>
        <v>409.86</v>
      </c>
      <c r="I318" s="3289"/>
    </row>
    <row r="319" spans="1:11" ht="15" thickBot="1">
      <c r="A319" s="1155"/>
      <c r="B319" s="1179" t="s">
        <v>144</v>
      </c>
      <c r="C319" s="3262">
        <v>0</v>
      </c>
      <c r="D319" s="3263"/>
      <c r="E319" s="1067">
        <v>0</v>
      </c>
      <c r="F319" s="1067">
        <f>SUM(F318)</f>
        <v>204.14</v>
      </c>
      <c r="G319" s="1067">
        <f>SUM(G318:G318)</f>
        <v>0</v>
      </c>
      <c r="H319" s="3312">
        <f>SUM(H318:H318)</f>
        <v>409.86</v>
      </c>
      <c r="I319" s="2296"/>
    </row>
    <row r="320" spans="1:11" ht="14.4">
      <c r="A320" s="1055"/>
      <c r="B320" s="1077"/>
      <c r="C320" s="1077"/>
      <c r="D320" s="1078"/>
      <c r="E320" s="1079"/>
      <c r="F320" s="1079"/>
      <c r="G320" s="1079"/>
      <c r="H320" s="1070"/>
      <c r="I320" s="1786"/>
    </row>
    <row r="321" spans="1:11" ht="13.8" thickBot="1">
      <c r="E321" s="169"/>
    </row>
    <row r="322" spans="1:11" ht="15" thickBot="1">
      <c r="A322" s="2803" t="s">
        <v>793</v>
      </c>
      <c r="B322" s="2804"/>
      <c r="C322" s="2804"/>
      <c r="D322" s="2804"/>
      <c r="E322" s="4209"/>
      <c r="F322" s="4209"/>
      <c r="G322" s="2804"/>
      <c r="H322" s="2805"/>
      <c r="I322" s="2806"/>
    </row>
    <row r="323" spans="1:11" ht="13.8" thickBot="1">
      <c r="A323" s="1059"/>
      <c r="B323" s="1060"/>
      <c r="C323" s="1060"/>
      <c r="D323" s="1061"/>
      <c r="E323" s="4203" t="s">
        <v>752</v>
      </c>
      <c r="F323" s="4204"/>
      <c r="G323" s="4203" t="s">
        <v>600</v>
      </c>
      <c r="H323" s="4205"/>
      <c r="I323" s="1062"/>
    </row>
    <row r="324" spans="1:11" ht="21.6" thickBot="1">
      <c r="A324" s="1031" t="s">
        <v>540</v>
      </c>
      <c r="B324" s="1054" t="s">
        <v>744</v>
      </c>
      <c r="C324" s="1053" t="s">
        <v>745</v>
      </c>
      <c r="D324" s="1054" t="s">
        <v>753</v>
      </c>
      <c r="E324" s="1053" t="s">
        <v>745</v>
      </c>
      <c r="F324" s="1053" t="s">
        <v>753</v>
      </c>
      <c r="G324" s="1053" t="s">
        <v>745</v>
      </c>
      <c r="H324" s="1032" t="s">
        <v>753</v>
      </c>
      <c r="I324" s="1053" t="s">
        <v>754</v>
      </c>
      <c r="J324" s="2456">
        <v>41262</v>
      </c>
    </row>
    <row r="325" spans="1:11" ht="14.4">
      <c r="A325" s="1049"/>
      <c r="B325" s="1757" t="s">
        <v>782</v>
      </c>
      <c r="C325" s="1191">
        <v>120</v>
      </c>
      <c r="D325" s="1192">
        <v>1000</v>
      </c>
      <c r="E325" s="1188">
        <v>0</v>
      </c>
      <c r="F325" s="1184">
        <v>1000</v>
      </c>
      <c r="G325" s="1184">
        <f>+C325-E325</f>
        <v>120</v>
      </c>
      <c r="H325" s="1183">
        <f>+D325-F325</f>
        <v>0</v>
      </c>
      <c r="I325" s="1175"/>
    </row>
    <row r="326" spans="1:11" ht="14.4">
      <c r="A326" s="1177"/>
      <c r="B326" s="1758" t="s">
        <v>783</v>
      </c>
      <c r="C326" s="1193">
        <v>100</v>
      </c>
      <c r="D326" s="1194">
        <v>1000</v>
      </c>
      <c r="E326" s="1189">
        <v>3.9119999999999999</v>
      </c>
      <c r="F326" s="1174">
        <v>999.99999999999989</v>
      </c>
      <c r="G326" s="1197">
        <f t="shared" ref="G326:G335" si="15">+C326-E326</f>
        <v>96.087999999999994</v>
      </c>
      <c r="H326" s="1176">
        <f t="shared" ref="H326:H335" si="16">+D326-F326</f>
        <v>0</v>
      </c>
      <c r="I326" s="1178"/>
    </row>
    <row r="327" spans="1:11" ht="14.4">
      <c r="A327" s="1177"/>
      <c r="B327" s="2964" t="s">
        <v>784</v>
      </c>
      <c r="C327" s="1193">
        <v>40</v>
      </c>
      <c r="D327" s="1194">
        <v>400</v>
      </c>
      <c r="E327" s="1189">
        <v>1.2689999999999999</v>
      </c>
      <c r="F327" s="2690">
        <v>388.24599999999998</v>
      </c>
      <c r="G327" s="1197">
        <f t="shared" si="15"/>
        <v>38.731000000000002</v>
      </c>
      <c r="H327" s="1074">
        <f t="shared" si="16"/>
        <v>11.754000000000019</v>
      </c>
      <c r="I327" s="1178"/>
      <c r="J327" s="2720" t="s">
        <v>1133</v>
      </c>
    </row>
    <row r="328" spans="1:11" ht="14.4">
      <c r="A328" s="1177"/>
      <c r="B328" s="1758" t="s">
        <v>785</v>
      </c>
      <c r="C328" s="1193">
        <v>50</v>
      </c>
      <c r="D328" s="1194">
        <v>500</v>
      </c>
      <c r="E328" s="1189">
        <v>0</v>
      </c>
      <c r="F328" s="1174">
        <v>481.86500000000001</v>
      </c>
      <c r="G328" s="1197">
        <f t="shared" si="15"/>
        <v>50</v>
      </c>
      <c r="H328" s="1176">
        <f t="shared" si="16"/>
        <v>18.134999999999991</v>
      </c>
      <c r="I328" s="1178"/>
    </row>
    <row r="329" spans="1:11" ht="14.4">
      <c r="A329" s="1177"/>
      <c r="B329" s="1758" t="s">
        <v>786</v>
      </c>
      <c r="C329" s="1193">
        <v>70</v>
      </c>
      <c r="D329" s="1194">
        <v>700</v>
      </c>
      <c r="E329" s="1189">
        <v>0</v>
      </c>
      <c r="F329" s="1174">
        <v>644.40899999999988</v>
      </c>
      <c r="G329" s="1197">
        <f t="shared" si="15"/>
        <v>70</v>
      </c>
      <c r="H329" s="1176">
        <f t="shared" si="16"/>
        <v>55.591000000000122</v>
      </c>
      <c r="I329" s="1178"/>
    </row>
    <row r="330" spans="1:11" ht="14.4">
      <c r="A330" s="1177"/>
      <c r="B330" s="1758" t="s">
        <v>787</v>
      </c>
      <c r="C330" s="1193">
        <v>30</v>
      </c>
      <c r="D330" s="1194">
        <v>300</v>
      </c>
      <c r="E330" s="1189">
        <v>3.673</v>
      </c>
      <c r="F330" s="1174">
        <v>300</v>
      </c>
      <c r="G330" s="1197">
        <f t="shared" si="15"/>
        <v>26.326999999999998</v>
      </c>
      <c r="H330" s="1176">
        <f t="shared" si="16"/>
        <v>0</v>
      </c>
      <c r="I330" s="1178"/>
    </row>
    <row r="331" spans="1:11" ht="14.4">
      <c r="A331" s="1177"/>
      <c r="B331" s="1758" t="s">
        <v>788</v>
      </c>
      <c r="C331" s="1193">
        <v>50</v>
      </c>
      <c r="D331" s="1194">
        <v>500</v>
      </c>
      <c r="E331" s="1189">
        <v>12.98</v>
      </c>
      <c r="F331" s="1174">
        <v>500.00000000000006</v>
      </c>
      <c r="G331" s="1197">
        <f t="shared" si="15"/>
        <v>37.019999999999996</v>
      </c>
      <c r="H331" s="1176">
        <f t="shared" si="16"/>
        <v>0</v>
      </c>
      <c r="I331" s="1178"/>
      <c r="K331" s="1391"/>
    </row>
    <row r="332" spans="1:11" ht="14.4">
      <c r="A332" s="1177"/>
      <c r="B332" s="2689" t="s">
        <v>789</v>
      </c>
      <c r="C332" s="1193">
        <v>50</v>
      </c>
      <c r="D332" s="1194">
        <v>500</v>
      </c>
      <c r="E332" s="1189">
        <v>1.0920000000000001</v>
      </c>
      <c r="F332" s="2690">
        <v>500.47300000000007</v>
      </c>
      <c r="G332" s="1197">
        <f t="shared" si="15"/>
        <v>48.908000000000001</v>
      </c>
      <c r="H332" s="2721">
        <f t="shared" si="16"/>
        <v>-0.47300000000007003</v>
      </c>
      <c r="I332" s="1178"/>
      <c r="J332" s="2720" t="s">
        <v>1002</v>
      </c>
    </row>
    <row r="333" spans="1:11" ht="14.4">
      <c r="A333" s="1177"/>
      <c r="B333" s="1758" t="s">
        <v>790</v>
      </c>
      <c r="C333" s="1193">
        <v>100</v>
      </c>
      <c r="D333" s="1194">
        <v>900</v>
      </c>
      <c r="E333" s="1189">
        <v>1.246</v>
      </c>
      <c r="F333" s="1174">
        <v>899.97299999999996</v>
      </c>
      <c r="G333" s="1197">
        <f t="shared" si="15"/>
        <v>98.754000000000005</v>
      </c>
      <c r="H333" s="1176">
        <f t="shared" si="16"/>
        <v>2.7000000000043656E-2</v>
      </c>
      <c r="I333" s="1178"/>
    </row>
    <row r="334" spans="1:11" ht="14.4">
      <c r="A334" s="1177"/>
      <c r="B334" s="1758" t="s">
        <v>791</v>
      </c>
      <c r="C334" s="1193">
        <v>50</v>
      </c>
      <c r="D334" s="1194">
        <v>400</v>
      </c>
      <c r="E334" s="1189">
        <v>0.35799999999999998</v>
      </c>
      <c r="F334" s="1174">
        <v>399.964</v>
      </c>
      <c r="G334" s="1197">
        <f t="shared" si="15"/>
        <v>49.642000000000003</v>
      </c>
      <c r="H334" s="1176">
        <f t="shared" si="16"/>
        <v>3.6000000000001364E-2</v>
      </c>
      <c r="I334" s="1178"/>
    </row>
    <row r="335" spans="1:11" ht="15" thickBot="1">
      <c r="A335" s="1185"/>
      <c r="B335" s="1759" t="s">
        <v>792</v>
      </c>
      <c r="C335" s="1195">
        <v>50</v>
      </c>
      <c r="D335" s="1196">
        <v>400</v>
      </c>
      <c r="E335" s="1190">
        <v>0.85399999999999998</v>
      </c>
      <c r="F335" s="1186">
        <v>102.09099999999998</v>
      </c>
      <c r="G335" s="1198">
        <f t="shared" si="15"/>
        <v>49.146000000000001</v>
      </c>
      <c r="H335" s="1199">
        <f t="shared" si="16"/>
        <v>297.90899999999999</v>
      </c>
      <c r="I335" s="1187"/>
    </row>
    <row r="336" spans="1:11" ht="13.8" thickBot="1">
      <c r="A336" s="1055"/>
      <c r="B336" s="1179" t="s">
        <v>144</v>
      </c>
      <c r="C336" s="1180">
        <f t="shared" ref="C336:H336" si="17">SUM(C325:C335)</f>
        <v>710</v>
      </c>
      <c r="D336" s="1181">
        <f t="shared" si="17"/>
        <v>6600</v>
      </c>
      <c r="E336" s="1067">
        <f t="shared" si="17"/>
        <v>25.383999999999997</v>
      </c>
      <c r="F336" s="1067">
        <f t="shared" si="17"/>
        <v>6217.0209999999997</v>
      </c>
      <c r="G336" s="1182">
        <f t="shared" si="17"/>
        <v>684.61599999999999</v>
      </c>
      <c r="H336" s="1182">
        <f t="shared" si="17"/>
        <v>382.9790000000001</v>
      </c>
      <c r="I336" s="169"/>
    </row>
    <row r="337" spans="1:11">
      <c r="A337" s="1055"/>
      <c r="B337" s="1077"/>
      <c r="C337" s="1077"/>
      <c r="D337" s="1078"/>
      <c r="E337" s="1079"/>
      <c r="F337" s="1079"/>
      <c r="G337" s="1079"/>
      <c r="H337" s="1079"/>
      <c r="I337" s="169"/>
    </row>
    <row r="338" spans="1:11" ht="13.8" thickBot="1"/>
    <row r="339" spans="1:11" ht="15" thickBot="1">
      <c r="A339" s="2803" t="s">
        <v>1107</v>
      </c>
      <c r="B339" s="2804"/>
      <c r="C339" s="2804"/>
      <c r="D339" s="2804"/>
      <c r="E339" s="4209"/>
      <c r="F339" s="4209"/>
      <c r="G339" s="2804"/>
      <c r="H339" s="2805"/>
      <c r="I339" s="2806"/>
    </row>
    <row r="340" spans="1:11" ht="13.8" thickBot="1">
      <c r="A340" s="1059"/>
      <c r="B340" s="1060"/>
      <c r="C340" s="1060"/>
      <c r="D340" s="1061"/>
      <c r="E340" s="4203" t="s">
        <v>752</v>
      </c>
      <c r="F340" s="4204"/>
      <c r="G340" s="4203" t="s">
        <v>600</v>
      </c>
      <c r="H340" s="4205"/>
      <c r="I340" s="1062"/>
    </row>
    <row r="341" spans="1:11" ht="21.6" thickBot="1">
      <c r="A341" s="1031" t="s">
        <v>540</v>
      </c>
      <c r="B341" s="1054" t="s">
        <v>744</v>
      </c>
      <c r="C341" s="1053" t="s">
        <v>745</v>
      </c>
      <c r="D341" s="1054" t="s">
        <v>753</v>
      </c>
      <c r="E341" s="1053" t="s">
        <v>745</v>
      </c>
      <c r="F341" s="1053" t="s">
        <v>753</v>
      </c>
      <c r="G341" s="1053" t="s">
        <v>745</v>
      </c>
      <c r="H341" s="1032" t="s">
        <v>753</v>
      </c>
      <c r="I341" s="2691" t="s">
        <v>754</v>
      </c>
      <c r="J341" s="3523">
        <v>41262</v>
      </c>
      <c r="K341" s="3524"/>
    </row>
    <row r="342" spans="1:11" ht="14.4">
      <c r="A342" s="1049">
        <v>956882</v>
      </c>
      <c r="B342" s="1757" t="s">
        <v>1109</v>
      </c>
      <c r="C342" s="1191">
        <v>0.5</v>
      </c>
      <c r="D342" s="1192">
        <v>2.5</v>
      </c>
      <c r="E342" s="1188">
        <v>0</v>
      </c>
      <c r="F342" s="1184">
        <v>0</v>
      </c>
      <c r="G342" s="1184">
        <f>+C342-E342</f>
        <v>0.5</v>
      </c>
      <c r="H342" s="1183">
        <f>+D342-F342</f>
        <v>2.5</v>
      </c>
      <c r="I342" s="1175"/>
    </row>
    <row r="343" spans="1:11" ht="15" thickBot="1">
      <c r="A343" s="1177">
        <v>953446</v>
      </c>
      <c r="B343" s="3299" t="s">
        <v>1108</v>
      </c>
      <c r="C343" s="3300">
        <v>0.1</v>
      </c>
      <c r="D343" s="3301">
        <v>2.5</v>
      </c>
      <c r="E343" s="3302">
        <v>0</v>
      </c>
      <c r="F343" s="3303">
        <v>0</v>
      </c>
      <c r="G343" s="3304">
        <f>+C343-E343</f>
        <v>0.1</v>
      </c>
      <c r="H343" s="2674">
        <f>+D343-F343</f>
        <v>2.5</v>
      </c>
      <c r="I343" s="1178"/>
    </row>
    <row r="344" spans="1:11" ht="13.8" thickBot="1">
      <c r="A344" s="1055"/>
      <c r="B344" s="3297" t="s">
        <v>144</v>
      </c>
      <c r="C344" s="3305">
        <f t="shared" ref="C344:H344" si="18">SUM(C342:C343)</f>
        <v>0.6</v>
      </c>
      <c r="D344" s="3306">
        <f t="shared" si="18"/>
        <v>5</v>
      </c>
      <c r="E344" s="3298">
        <f t="shared" si="18"/>
        <v>0</v>
      </c>
      <c r="F344" s="3298">
        <f t="shared" si="18"/>
        <v>0</v>
      </c>
      <c r="G344" s="3298">
        <f t="shared" si="18"/>
        <v>0.6</v>
      </c>
      <c r="H344" s="3298">
        <f t="shared" si="18"/>
        <v>5</v>
      </c>
      <c r="I344" s="169"/>
    </row>
    <row r="345" spans="1:11">
      <c r="A345" s="1055"/>
      <c r="B345" s="1077"/>
      <c r="C345" s="1077"/>
      <c r="D345" s="1078"/>
      <c r="E345" s="1079"/>
      <c r="F345" s="1079"/>
      <c r="G345" s="1079"/>
      <c r="H345" s="1079"/>
      <c r="I345" s="169"/>
    </row>
    <row r="346" spans="1:11" ht="13.8" thickBot="1">
      <c r="A346" s="1055"/>
      <c r="B346" s="1077"/>
      <c r="C346" s="1077"/>
      <c r="D346" s="1078"/>
      <c r="E346" s="1079"/>
      <c r="F346" s="1079"/>
      <c r="G346" s="1079"/>
      <c r="H346" s="1079"/>
      <c r="I346" s="169"/>
    </row>
    <row r="347" spans="1:11" ht="15" thickBot="1">
      <c r="A347" s="2803" t="s">
        <v>1110</v>
      </c>
      <c r="B347" s="2804"/>
      <c r="C347" s="2804"/>
      <c r="D347" s="2804"/>
      <c r="E347" s="4209"/>
      <c r="F347" s="4209"/>
      <c r="G347" s="2804"/>
      <c r="H347" s="2805"/>
      <c r="I347" s="2806"/>
    </row>
    <row r="348" spans="1:11" ht="13.8" thickBot="1">
      <c r="A348" s="1059"/>
      <c r="B348" s="1060"/>
      <c r="C348" s="1060"/>
      <c r="D348" s="1061"/>
      <c r="E348" s="4203" t="s">
        <v>752</v>
      </c>
      <c r="F348" s="4204"/>
      <c r="G348" s="4203" t="s">
        <v>600</v>
      </c>
      <c r="H348" s="4205"/>
      <c r="I348" s="1062"/>
    </row>
    <row r="349" spans="1:11" ht="21.6" thickBot="1">
      <c r="A349" s="1031" t="s">
        <v>540</v>
      </c>
      <c r="B349" s="1054" t="s">
        <v>744</v>
      </c>
      <c r="C349" s="1053" t="s">
        <v>745</v>
      </c>
      <c r="D349" s="1054" t="s">
        <v>753</v>
      </c>
      <c r="E349" s="1053" t="s">
        <v>745</v>
      </c>
      <c r="F349" s="1053" t="s">
        <v>753</v>
      </c>
      <c r="G349" s="1053" t="s">
        <v>745</v>
      </c>
      <c r="H349" s="1032" t="s">
        <v>753</v>
      </c>
      <c r="I349" s="1053" t="s">
        <v>754</v>
      </c>
      <c r="J349" s="2688">
        <v>41262</v>
      </c>
    </row>
    <row r="350" spans="1:11" ht="14.4">
      <c r="A350" s="1049">
        <v>957377</v>
      </c>
      <c r="B350" s="2694" t="s">
        <v>1114</v>
      </c>
      <c r="C350" s="2698"/>
      <c r="D350" s="2695">
        <v>496</v>
      </c>
      <c r="E350" s="1183"/>
      <c r="F350" s="1188">
        <v>112.49299999999999</v>
      </c>
      <c r="G350" s="2677">
        <f>+C350-E350</f>
        <v>0</v>
      </c>
      <c r="H350" s="1183">
        <f>+D350-F350</f>
        <v>383.50700000000001</v>
      </c>
      <c r="I350" s="1175"/>
    </row>
    <row r="351" spans="1:11" ht="14.4">
      <c r="A351" s="1177">
        <v>11718</v>
      </c>
      <c r="B351" s="2692" t="s">
        <v>783</v>
      </c>
      <c r="C351" s="2699"/>
      <c r="D351" s="2696">
        <v>20</v>
      </c>
      <c r="E351" s="1080"/>
      <c r="F351" s="1189">
        <v>0</v>
      </c>
      <c r="G351" s="2676">
        <f t="shared" ref="G351:G362" si="19">+C351-E351</f>
        <v>0</v>
      </c>
      <c r="H351" s="1176">
        <f t="shared" ref="H351:H362" si="20">+D351-F351</f>
        <v>20</v>
      </c>
      <c r="I351" s="1178"/>
    </row>
    <row r="352" spans="1:11" ht="14.4">
      <c r="A352" s="2725">
        <v>916067</v>
      </c>
      <c r="B352" s="2726" t="s">
        <v>784</v>
      </c>
      <c r="C352" s="2727"/>
      <c r="D352" s="2728">
        <v>500</v>
      </c>
      <c r="E352" s="2729"/>
      <c r="F352" s="2730">
        <v>499.99999999999994</v>
      </c>
      <c r="G352" s="2731">
        <f t="shared" si="19"/>
        <v>0</v>
      </c>
      <c r="H352" s="1074">
        <f t="shared" si="20"/>
        <v>0</v>
      </c>
      <c r="I352" s="1178"/>
      <c r="J352" s="3522" t="s">
        <v>1035</v>
      </c>
    </row>
    <row r="353" spans="1:10" ht="14.4">
      <c r="A353" s="1177">
        <v>925404</v>
      </c>
      <c r="B353" s="2692" t="s">
        <v>1112</v>
      </c>
      <c r="C353" s="2699"/>
      <c r="D353" s="2696">
        <v>411</v>
      </c>
      <c r="E353" s="1080"/>
      <c r="F353" s="1189">
        <v>364.596</v>
      </c>
      <c r="G353" s="2676">
        <f t="shared" si="19"/>
        <v>0</v>
      </c>
      <c r="H353" s="1176">
        <f t="shared" si="20"/>
        <v>46.403999999999996</v>
      </c>
      <c r="I353" s="1178"/>
    </row>
    <row r="354" spans="1:10" ht="14.4">
      <c r="A354" s="1177">
        <v>951206</v>
      </c>
      <c r="B354" s="2692" t="s">
        <v>785</v>
      </c>
      <c r="C354" s="2699"/>
      <c r="D354" s="2696">
        <v>300</v>
      </c>
      <c r="E354" s="1080"/>
      <c r="F354" s="1189">
        <v>0</v>
      </c>
      <c r="G354" s="2676">
        <f t="shared" si="19"/>
        <v>0</v>
      </c>
      <c r="H354" s="1176">
        <f t="shared" si="20"/>
        <v>300</v>
      </c>
      <c r="I354" s="1178"/>
    </row>
    <row r="355" spans="1:10" ht="14.4">
      <c r="A355" s="1177">
        <v>950656</v>
      </c>
      <c r="B355" s="2692" t="s">
        <v>1111</v>
      </c>
      <c r="C355" s="2699"/>
      <c r="D355" s="2696">
        <v>835</v>
      </c>
      <c r="E355" s="1080"/>
      <c r="F355" s="1189">
        <v>257.22800000000001</v>
      </c>
      <c r="G355" s="2676">
        <f t="shared" si="19"/>
        <v>0</v>
      </c>
      <c r="H355" s="1176">
        <f t="shared" si="20"/>
        <v>577.77199999999993</v>
      </c>
      <c r="I355" s="1178"/>
    </row>
    <row r="356" spans="1:10" ht="14.4">
      <c r="A356" s="1177">
        <v>956926</v>
      </c>
      <c r="B356" s="2692" t="s">
        <v>786</v>
      </c>
      <c r="C356" s="2699"/>
      <c r="D356" s="2696">
        <v>700</v>
      </c>
      <c r="E356" s="1080"/>
      <c r="F356" s="1189">
        <v>655.33699999999999</v>
      </c>
      <c r="G356" s="2676">
        <f t="shared" si="19"/>
        <v>0</v>
      </c>
      <c r="H356" s="1176">
        <f t="shared" si="20"/>
        <v>44.663000000000011</v>
      </c>
      <c r="I356" s="1178"/>
    </row>
    <row r="357" spans="1:10" ht="14.4">
      <c r="A357" s="1177">
        <v>951254</v>
      </c>
      <c r="B357" s="2692" t="s">
        <v>1113</v>
      </c>
      <c r="C357" s="2699"/>
      <c r="D357" s="2696">
        <v>770</v>
      </c>
      <c r="E357" s="1080"/>
      <c r="F357" s="1189">
        <v>769.99999999999989</v>
      </c>
      <c r="G357" s="2676">
        <f t="shared" si="19"/>
        <v>0</v>
      </c>
      <c r="H357" s="1176">
        <f t="shared" si="20"/>
        <v>0</v>
      </c>
      <c r="I357" s="1178"/>
    </row>
    <row r="358" spans="1:10" ht="14.4">
      <c r="A358" s="1177">
        <v>953746</v>
      </c>
      <c r="B358" s="2692" t="s">
        <v>1127</v>
      </c>
      <c r="C358" s="2699"/>
      <c r="D358" s="2696">
        <v>614</v>
      </c>
      <c r="E358" s="1080"/>
      <c r="F358" s="1189">
        <v>614</v>
      </c>
      <c r="G358" s="2676">
        <f t="shared" si="19"/>
        <v>0</v>
      </c>
      <c r="H358" s="1176">
        <f t="shared" si="20"/>
        <v>0</v>
      </c>
      <c r="I358" s="1178"/>
    </row>
    <row r="359" spans="1:10" ht="14.4">
      <c r="A359" s="1177">
        <v>953053</v>
      </c>
      <c r="B359" s="2692" t="s">
        <v>787</v>
      </c>
      <c r="C359" s="2699"/>
      <c r="D359" s="2696">
        <v>200</v>
      </c>
      <c r="E359" s="1080"/>
      <c r="F359" s="1189">
        <v>200</v>
      </c>
      <c r="G359" s="2676">
        <f t="shared" si="19"/>
        <v>0</v>
      </c>
      <c r="H359" s="1176">
        <f t="shared" si="20"/>
        <v>0</v>
      </c>
      <c r="I359" s="1178"/>
    </row>
    <row r="360" spans="1:10" ht="14.4">
      <c r="A360" s="1177">
        <v>951220</v>
      </c>
      <c r="B360" s="2692" t="s">
        <v>788</v>
      </c>
      <c r="C360" s="2699"/>
      <c r="D360" s="2696">
        <v>709</v>
      </c>
      <c r="E360" s="1080"/>
      <c r="F360" s="1189">
        <v>680.95699999999999</v>
      </c>
      <c r="G360" s="2676">
        <f t="shared" si="19"/>
        <v>0</v>
      </c>
      <c r="H360" s="1176">
        <f t="shared" si="20"/>
        <v>28.043000000000006</v>
      </c>
      <c r="I360" s="1178"/>
    </row>
    <row r="361" spans="1:10" ht="14.4">
      <c r="A361" s="2732">
        <v>958703</v>
      </c>
      <c r="B361" s="2726" t="s">
        <v>789</v>
      </c>
      <c r="C361" s="2727"/>
      <c r="D361" s="2728">
        <v>500</v>
      </c>
      <c r="E361" s="1074"/>
      <c r="F361" s="2733">
        <v>500</v>
      </c>
      <c r="G361" s="2731">
        <f t="shared" si="19"/>
        <v>0</v>
      </c>
      <c r="H361" s="1074">
        <f t="shared" si="20"/>
        <v>0</v>
      </c>
      <c r="I361" s="2675"/>
      <c r="J361" s="3522" t="s">
        <v>1035</v>
      </c>
    </row>
    <row r="362" spans="1:10" ht="15" thickBot="1">
      <c r="A362" s="1185">
        <v>956970</v>
      </c>
      <c r="B362" s="2693" t="s">
        <v>1128</v>
      </c>
      <c r="C362" s="2700"/>
      <c r="D362" s="2697">
        <v>300</v>
      </c>
      <c r="E362" s="2678"/>
      <c r="F362" s="1190">
        <v>0</v>
      </c>
      <c r="G362" s="2679">
        <f t="shared" si="19"/>
        <v>0</v>
      </c>
      <c r="H362" s="2674">
        <f t="shared" si="20"/>
        <v>300</v>
      </c>
      <c r="I362" s="1187"/>
    </row>
    <row r="363" spans="1:10" ht="13.8" thickBot="1">
      <c r="A363" s="1055"/>
      <c r="B363" s="2680" t="s">
        <v>144</v>
      </c>
      <c r="C363" s="1180">
        <f t="shared" ref="C363:H363" si="21">SUM(C350:C362)</f>
        <v>0</v>
      </c>
      <c r="D363" s="1181">
        <f t="shared" si="21"/>
        <v>6355</v>
      </c>
      <c r="E363" s="1067">
        <f t="shared" si="21"/>
        <v>0</v>
      </c>
      <c r="F363" s="1067">
        <f t="shared" si="21"/>
        <v>4654.6109999999999</v>
      </c>
      <c r="G363" s="1067">
        <f t="shared" si="21"/>
        <v>0</v>
      </c>
      <c r="H363" s="1067">
        <f t="shared" si="21"/>
        <v>1700.3890000000001</v>
      </c>
      <c r="I363" s="169"/>
    </row>
    <row r="364" spans="1:10">
      <c r="A364" s="1055"/>
      <c r="B364" s="1077"/>
      <c r="C364" s="1077"/>
      <c r="D364" s="1078"/>
      <c r="E364" s="1079"/>
      <c r="F364" s="1079"/>
      <c r="G364" s="1079"/>
      <c r="H364" s="1079"/>
      <c r="I364" s="169"/>
    </row>
    <row r="365" spans="1:10" ht="13.8" thickBot="1">
      <c r="A365" s="1055"/>
      <c r="B365" s="1077"/>
      <c r="C365" s="1077"/>
      <c r="D365" s="1078"/>
      <c r="E365" s="1079"/>
      <c r="F365" s="1079"/>
      <c r="G365" s="1079"/>
      <c r="H365" s="1079"/>
      <c r="I365" s="169"/>
    </row>
    <row r="366" spans="1:10" ht="15" thickBot="1">
      <c r="A366" s="2803" t="s">
        <v>1131</v>
      </c>
      <c r="B366" s="2804"/>
      <c r="C366" s="2804"/>
      <c r="D366" s="2804"/>
      <c r="E366" s="4209"/>
      <c r="F366" s="4209"/>
      <c r="G366" s="2804"/>
      <c r="H366" s="2805"/>
      <c r="I366" s="2806"/>
      <c r="J366" s="2965">
        <v>41262</v>
      </c>
    </row>
    <row r="367" spans="1:10" ht="13.8" thickBot="1">
      <c r="A367" s="1059"/>
      <c r="B367" s="1060"/>
      <c r="C367" s="1060"/>
      <c r="D367" s="1061"/>
      <c r="E367" s="4203" t="s">
        <v>752</v>
      </c>
      <c r="F367" s="4204"/>
      <c r="G367" s="4203" t="s">
        <v>600</v>
      </c>
      <c r="H367" s="4205"/>
      <c r="I367" s="1062"/>
    </row>
    <row r="368" spans="1:10" ht="21.6" thickBot="1">
      <c r="A368" s="1031" t="s">
        <v>540</v>
      </c>
      <c r="B368" s="1054" t="s">
        <v>744</v>
      </c>
      <c r="C368" s="1053" t="s">
        <v>745</v>
      </c>
      <c r="D368" s="1054" t="s">
        <v>753</v>
      </c>
      <c r="E368" s="1053" t="s">
        <v>745</v>
      </c>
      <c r="F368" s="1053" t="s">
        <v>753</v>
      </c>
      <c r="G368" s="1053" t="s">
        <v>745</v>
      </c>
      <c r="H368" s="1032" t="s">
        <v>753</v>
      </c>
      <c r="I368" s="1053" t="s">
        <v>754</v>
      </c>
    </row>
    <row r="369" spans="1:10" ht="15" thickBot="1">
      <c r="A369" s="2705">
        <v>957377</v>
      </c>
      <c r="B369" s="2706" t="s">
        <v>1132</v>
      </c>
      <c r="C369" s="2707">
        <v>0</v>
      </c>
      <c r="D369" s="2708">
        <v>1297</v>
      </c>
      <c r="E369" s="2709">
        <v>0</v>
      </c>
      <c r="F369" s="2710">
        <v>0</v>
      </c>
      <c r="G369" s="2296">
        <f>+C369-E369</f>
        <v>0</v>
      </c>
      <c r="H369" s="2709">
        <f>+D369-F369</f>
        <v>1297</v>
      </c>
      <c r="I369" s="2734"/>
    </row>
    <row r="370" spans="1:10" ht="13.8" thickBot="1">
      <c r="A370" s="1055"/>
      <c r="B370" s="2680" t="s">
        <v>144</v>
      </c>
      <c r="C370" s="1180">
        <f t="shared" ref="C370:H370" si="22">SUM(C369:C369)</f>
        <v>0</v>
      </c>
      <c r="D370" s="1181">
        <f t="shared" si="22"/>
        <v>1297</v>
      </c>
      <c r="E370" s="1182">
        <f t="shared" si="22"/>
        <v>0</v>
      </c>
      <c r="F370" s="1182">
        <f t="shared" si="22"/>
        <v>0</v>
      </c>
      <c r="G370" s="1182">
        <f t="shared" si="22"/>
        <v>0</v>
      </c>
      <c r="H370" s="1182">
        <f t="shared" si="22"/>
        <v>1297</v>
      </c>
      <c r="I370" s="1143"/>
    </row>
    <row r="371" spans="1:10">
      <c r="A371" s="1055"/>
      <c r="B371" s="1077"/>
      <c r="C371" s="1077"/>
      <c r="D371" s="1078"/>
      <c r="E371" s="1079"/>
      <c r="F371" s="1079"/>
      <c r="G371" s="1079"/>
      <c r="H371" s="1079"/>
      <c r="I371" s="169"/>
    </row>
    <row r="372" spans="1:10" s="2802" customFormat="1" ht="13.8" thickBot="1">
      <c r="A372" s="1055"/>
      <c r="B372" s="1077"/>
      <c r="C372" s="1077"/>
      <c r="D372" s="1078"/>
      <c r="E372" s="1079"/>
      <c r="F372" s="1079"/>
      <c r="G372" s="1079"/>
      <c r="H372" s="1079"/>
      <c r="I372" s="169"/>
      <c r="J372" s="169"/>
    </row>
    <row r="373" spans="1:10" s="2802" customFormat="1" ht="15" thickBot="1">
      <c r="A373" s="2808" t="s">
        <v>1167</v>
      </c>
      <c r="B373" s="2804"/>
      <c r="C373" s="2804"/>
      <c r="D373" s="2804"/>
      <c r="E373" s="4209"/>
      <c r="F373" s="4209"/>
      <c r="G373" s="2804"/>
      <c r="H373" s="2805"/>
      <c r="I373" s="2806"/>
      <c r="J373" s="2965">
        <v>41262</v>
      </c>
    </row>
    <row r="374" spans="1:10" s="2802" customFormat="1" ht="13.8" thickBot="1">
      <c r="A374" s="1059"/>
      <c r="B374" s="1060"/>
      <c r="C374" s="1060"/>
      <c r="D374" s="1061"/>
      <c r="E374" s="4203" t="s">
        <v>752</v>
      </c>
      <c r="F374" s="4204"/>
      <c r="G374" s="4203" t="s">
        <v>600</v>
      </c>
      <c r="H374" s="4205"/>
      <c r="I374" s="1062"/>
      <c r="J374" s="169"/>
    </row>
    <row r="375" spans="1:10" s="2802" customFormat="1" ht="21.6" thickBot="1">
      <c r="A375" s="1031" t="s">
        <v>540</v>
      </c>
      <c r="B375" s="1054" t="s">
        <v>744</v>
      </c>
      <c r="C375" s="1053" t="s">
        <v>745</v>
      </c>
      <c r="D375" s="1054" t="s">
        <v>753</v>
      </c>
      <c r="E375" s="1053" t="s">
        <v>745</v>
      </c>
      <c r="F375" s="1053" t="s">
        <v>753</v>
      </c>
      <c r="G375" s="1053" t="s">
        <v>745</v>
      </c>
      <c r="H375" s="1032" t="s">
        <v>753</v>
      </c>
      <c r="I375" s="1053" t="s">
        <v>754</v>
      </c>
      <c r="J375" s="169"/>
    </row>
    <row r="376" spans="1:10" s="2802" customFormat="1" ht="14.4">
      <c r="A376" s="2809">
        <v>953746</v>
      </c>
      <c r="B376" s="2810" t="s">
        <v>784</v>
      </c>
      <c r="C376" s="2811">
        <v>0</v>
      </c>
      <c r="D376" s="2812">
        <v>1000</v>
      </c>
      <c r="E376" s="2813"/>
      <c r="F376" s="2814">
        <v>693.18500000000006</v>
      </c>
      <c r="G376" s="2815">
        <f>+C376-E376</f>
        <v>0</v>
      </c>
      <c r="H376" s="2813">
        <f>+D376-F376</f>
        <v>306.81499999999994</v>
      </c>
      <c r="I376" s="1175"/>
      <c r="J376" s="169"/>
    </row>
    <row r="377" spans="1:10" s="2802" customFormat="1" ht="14.4">
      <c r="A377" s="2816">
        <v>950656</v>
      </c>
      <c r="B377" s="2810" t="s">
        <v>789</v>
      </c>
      <c r="C377" s="2817">
        <v>0</v>
      </c>
      <c r="D377" s="2818">
        <v>1000</v>
      </c>
      <c r="E377" s="2819"/>
      <c r="F377" s="2820">
        <v>710.82400000000007</v>
      </c>
      <c r="G377" s="2821">
        <f t="shared" ref="G377:G387" si="23">+C377-E377</f>
        <v>0</v>
      </c>
      <c r="H377" s="2822">
        <f t="shared" ref="H377:H387" si="24">+D377-F377</f>
        <v>289.17599999999993</v>
      </c>
      <c r="I377" s="1178"/>
      <c r="J377" s="169"/>
    </row>
    <row r="378" spans="1:10" s="2802" customFormat="1" ht="14.4">
      <c r="A378" s="2809">
        <v>952178</v>
      </c>
      <c r="B378" s="2823" t="s">
        <v>790</v>
      </c>
      <c r="C378" s="2817">
        <v>0</v>
      </c>
      <c r="D378" s="2818">
        <v>1000</v>
      </c>
      <c r="E378" s="2819"/>
      <c r="F378" s="2820">
        <v>233.15299999999999</v>
      </c>
      <c r="G378" s="2821">
        <f t="shared" si="23"/>
        <v>0</v>
      </c>
      <c r="H378" s="2822">
        <f t="shared" si="24"/>
        <v>766.84699999999998</v>
      </c>
      <c r="I378" s="1178"/>
      <c r="J378" s="169"/>
    </row>
    <row r="379" spans="1:10" s="2802" customFormat="1" ht="14.4">
      <c r="A379" s="2809">
        <v>957495</v>
      </c>
      <c r="B379" s="2823" t="s">
        <v>1163</v>
      </c>
      <c r="C379" s="2817">
        <v>0</v>
      </c>
      <c r="D379" s="2818">
        <v>1200</v>
      </c>
      <c r="E379" s="2819"/>
      <c r="F379" s="2820">
        <v>989.68000000000006</v>
      </c>
      <c r="G379" s="2821">
        <f t="shared" si="23"/>
        <v>0</v>
      </c>
      <c r="H379" s="2822">
        <f t="shared" si="24"/>
        <v>210.31999999999994</v>
      </c>
      <c r="I379" s="1178"/>
      <c r="J379" s="169"/>
    </row>
    <row r="380" spans="1:10" s="2802" customFormat="1" ht="14.4">
      <c r="A380" s="2809">
        <v>951254</v>
      </c>
      <c r="B380" s="2823" t="s">
        <v>783</v>
      </c>
      <c r="C380" s="2817">
        <v>0</v>
      </c>
      <c r="D380" s="2818">
        <v>1000</v>
      </c>
      <c r="E380" s="2819"/>
      <c r="F380" s="2820">
        <v>623.04</v>
      </c>
      <c r="G380" s="2821">
        <f t="shared" si="23"/>
        <v>0</v>
      </c>
      <c r="H380" s="2822">
        <f t="shared" si="24"/>
        <v>376.96000000000004</v>
      </c>
      <c r="I380" s="1178"/>
      <c r="J380" s="169"/>
    </row>
    <row r="381" spans="1:10" s="2802" customFormat="1" ht="14.4">
      <c r="A381" s="2809">
        <v>95122</v>
      </c>
      <c r="B381" s="2823" t="s">
        <v>787</v>
      </c>
      <c r="C381" s="2817">
        <v>0</v>
      </c>
      <c r="D381" s="2818">
        <v>600</v>
      </c>
      <c r="E381" s="2819"/>
      <c r="F381" s="2820">
        <v>21.096</v>
      </c>
      <c r="G381" s="2821">
        <f t="shared" si="23"/>
        <v>0</v>
      </c>
      <c r="H381" s="2822">
        <f t="shared" si="24"/>
        <v>578.904</v>
      </c>
      <c r="I381" s="1178"/>
      <c r="J381" s="169"/>
    </row>
    <row r="382" spans="1:10" s="2802" customFormat="1" ht="14.4">
      <c r="A382" s="2809">
        <v>11698</v>
      </c>
      <c r="B382" s="2823" t="s">
        <v>1164</v>
      </c>
      <c r="C382" s="2817">
        <v>0</v>
      </c>
      <c r="D382" s="2818">
        <v>400</v>
      </c>
      <c r="E382" s="2819"/>
      <c r="F382" s="2820">
        <v>38.012999999999998</v>
      </c>
      <c r="G382" s="2821">
        <f t="shared" si="23"/>
        <v>0</v>
      </c>
      <c r="H382" s="2822">
        <f t="shared" si="24"/>
        <v>361.98700000000002</v>
      </c>
      <c r="I382" s="1178"/>
      <c r="J382" s="169"/>
    </row>
    <row r="383" spans="1:10" s="2802" customFormat="1" ht="14.4">
      <c r="A383" s="2809">
        <v>958703</v>
      </c>
      <c r="B383" s="2823" t="s">
        <v>1165</v>
      </c>
      <c r="C383" s="2817">
        <v>0</v>
      </c>
      <c r="D383" s="2818">
        <v>200</v>
      </c>
      <c r="E383" s="2819"/>
      <c r="F383" s="2820">
        <v>0</v>
      </c>
      <c r="G383" s="2821">
        <f t="shared" si="23"/>
        <v>0</v>
      </c>
      <c r="H383" s="2822">
        <f t="shared" si="24"/>
        <v>200</v>
      </c>
      <c r="I383" s="1178"/>
      <c r="J383" s="169"/>
    </row>
    <row r="384" spans="1:10" s="2802" customFormat="1" ht="14.4">
      <c r="A384" s="2809">
        <v>11718</v>
      </c>
      <c r="B384" s="2823" t="s">
        <v>1166</v>
      </c>
      <c r="C384" s="2817">
        <v>0</v>
      </c>
      <c r="D384" s="2818">
        <v>600</v>
      </c>
      <c r="E384" s="2819"/>
      <c r="F384" s="2820">
        <v>8.5950000000000006</v>
      </c>
      <c r="G384" s="2821">
        <f t="shared" si="23"/>
        <v>0</v>
      </c>
      <c r="H384" s="2822">
        <f t="shared" si="24"/>
        <v>591.40499999999997</v>
      </c>
      <c r="I384" s="1178"/>
      <c r="J384" s="169"/>
    </row>
    <row r="385" spans="1:10" s="2802" customFormat="1" ht="14.4">
      <c r="A385" s="2809">
        <v>925451</v>
      </c>
      <c r="B385" s="2823" t="s">
        <v>782</v>
      </c>
      <c r="C385" s="2817">
        <v>0</v>
      </c>
      <c r="D385" s="2818">
        <v>800</v>
      </c>
      <c r="E385" s="2819"/>
      <c r="F385" s="2820">
        <v>54.334000000000003</v>
      </c>
      <c r="G385" s="2821">
        <f t="shared" si="23"/>
        <v>0</v>
      </c>
      <c r="H385" s="2822">
        <f t="shared" si="24"/>
        <v>745.66599999999994</v>
      </c>
      <c r="I385" s="1178"/>
      <c r="J385" s="169"/>
    </row>
    <row r="386" spans="1:10" s="2802" customFormat="1" ht="14.4">
      <c r="A386" s="2809">
        <v>951206</v>
      </c>
      <c r="B386" s="2823" t="s">
        <v>1113</v>
      </c>
      <c r="C386" s="2817">
        <v>0</v>
      </c>
      <c r="D386" s="2818">
        <v>1500</v>
      </c>
      <c r="E386" s="2819"/>
      <c r="F386" s="2820">
        <v>580.85000000000014</v>
      </c>
      <c r="G386" s="2821">
        <f t="shared" si="23"/>
        <v>0</v>
      </c>
      <c r="H386" s="2822">
        <f t="shared" si="24"/>
        <v>919.14999999999986</v>
      </c>
      <c r="I386" s="1178"/>
      <c r="J386" s="169"/>
    </row>
    <row r="387" spans="1:10" s="2802" customFormat="1" ht="15" thickBot="1">
      <c r="A387" s="2816">
        <v>925404</v>
      </c>
      <c r="B387" s="2823" t="s">
        <v>1112</v>
      </c>
      <c r="C387" s="2817">
        <v>0</v>
      </c>
      <c r="D387" s="2818">
        <v>600</v>
      </c>
      <c r="E387" s="2822"/>
      <c r="F387" s="2824">
        <v>0</v>
      </c>
      <c r="G387" s="2821">
        <f t="shared" si="23"/>
        <v>0</v>
      </c>
      <c r="H387" s="2822">
        <f t="shared" si="24"/>
        <v>600</v>
      </c>
      <c r="I387" s="2825"/>
      <c r="J387" s="169"/>
    </row>
    <row r="388" spans="1:10" s="2802" customFormat="1" ht="13.8" thickBot="1">
      <c r="A388" s="1055"/>
      <c r="B388" s="2680" t="s">
        <v>144</v>
      </c>
      <c r="C388" s="1180">
        <f t="shared" ref="C388:H388" si="25">SUM(C376:C387)</f>
        <v>0</v>
      </c>
      <c r="D388" s="1181">
        <f t="shared" si="25"/>
        <v>9900</v>
      </c>
      <c r="E388" s="1067">
        <f t="shared" si="25"/>
        <v>0</v>
      </c>
      <c r="F388" s="1067">
        <f t="shared" si="25"/>
        <v>3952.7699999999995</v>
      </c>
      <c r="G388" s="1067">
        <f t="shared" si="25"/>
        <v>0</v>
      </c>
      <c r="H388" s="1067">
        <f t="shared" si="25"/>
        <v>5947.23</v>
      </c>
      <c r="I388" s="169"/>
      <c r="J388" s="169"/>
    </row>
    <row r="389" spans="1:10" s="2802" customFormat="1">
      <c r="A389" s="1055"/>
      <c r="B389" s="1077"/>
      <c r="C389" s="1077"/>
      <c r="D389" s="1078"/>
      <c r="E389" s="1079"/>
      <c r="F389" s="1079"/>
      <c r="G389" s="1079"/>
      <c r="H389" s="1079"/>
      <c r="I389" s="169"/>
      <c r="J389" s="169"/>
    </row>
    <row r="390" spans="1:10" s="2802" customFormat="1">
      <c r="A390" s="1055"/>
      <c r="B390" s="1077"/>
      <c r="C390" s="1077"/>
      <c r="D390" s="1078"/>
      <c r="E390" s="1079"/>
      <c r="F390" s="1079"/>
      <c r="G390" s="1079"/>
      <c r="H390" s="1079"/>
      <c r="I390" s="169"/>
      <c r="J390" s="169"/>
    </row>
    <row r="391" spans="1:10" s="2802" customFormat="1">
      <c r="A391" s="1055"/>
      <c r="B391" s="1077"/>
      <c r="C391" s="1077"/>
      <c r="D391" s="1078"/>
      <c r="E391" s="1079"/>
      <c r="F391" s="1079"/>
      <c r="G391" s="1079"/>
      <c r="H391" s="1079"/>
      <c r="I391" s="169"/>
      <c r="J391" s="169"/>
    </row>
    <row r="392" spans="1:10" ht="13.8" thickBot="1"/>
    <row r="393" spans="1:10" ht="15" thickBot="1">
      <c r="A393" s="3188" t="s">
        <v>868</v>
      </c>
      <c r="B393" s="1056"/>
      <c r="C393" s="1056"/>
      <c r="D393" s="1056"/>
      <c r="E393" s="4243"/>
      <c r="F393" s="4243"/>
      <c r="G393" s="1056"/>
      <c r="H393" s="1706"/>
      <c r="I393" s="1058"/>
    </row>
    <row r="394" spans="1:10" ht="13.8" thickBot="1">
      <c r="A394" s="1059"/>
      <c r="B394" s="1060"/>
      <c r="C394" s="1060"/>
      <c r="D394" s="1061"/>
      <c r="E394" s="4203" t="s">
        <v>752</v>
      </c>
      <c r="F394" s="4204"/>
      <c r="G394" s="4203" t="s">
        <v>600</v>
      </c>
      <c r="H394" s="4205"/>
      <c r="I394" s="1062"/>
    </row>
    <row r="395" spans="1:10" ht="13.8" thickBot="1">
      <c r="A395" s="1029" t="s">
        <v>540</v>
      </c>
      <c r="B395" s="1030" t="s">
        <v>744</v>
      </c>
      <c r="C395" s="1031" t="s">
        <v>866</v>
      </c>
      <c r="D395" s="1054" t="s">
        <v>865</v>
      </c>
      <c r="E395" s="1031" t="s">
        <v>923</v>
      </c>
      <c r="F395" s="1031" t="s">
        <v>867</v>
      </c>
      <c r="G395" s="1031" t="s">
        <v>866</v>
      </c>
      <c r="H395" s="1031" t="s">
        <v>867</v>
      </c>
      <c r="I395" s="1053" t="s">
        <v>754</v>
      </c>
    </row>
    <row r="396" spans="1:10" ht="15" thickBot="1">
      <c r="A396" s="1940"/>
      <c r="B396" s="1053" t="s">
        <v>959</v>
      </c>
      <c r="C396" s="1970">
        <v>-16.100000000000001</v>
      </c>
      <c r="D396" s="1971">
        <v>75</v>
      </c>
      <c r="E396" s="1974">
        <f>+C396</f>
        <v>-16.100000000000001</v>
      </c>
      <c r="F396" s="1975">
        <f>+SUM('Planillas diarias trapasos'!B509)</f>
        <v>58.902000000000001</v>
      </c>
      <c r="G396" s="1976">
        <f>+C396-E396</f>
        <v>0</v>
      </c>
      <c r="H396" s="1977">
        <f>+D396+E396-F396</f>
        <v>-2.0000000000024443E-3</v>
      </c>
      <c r="I396" s="1982">
        <v>41143</v>
      </c>
    </row>
    <row r="397" spans="1:10" ht="15" thickBot="1">
      <c r="A397" s="1155"/>
      <c r="B397" s="1179" t="s">
        <v>144</v>
      </c>
      <c r="C397" s="1972">
        <v>0</v>
      </c>
      <c r="D397" s="1973">
        <f>SUM(D396)</f>
        <v>75</v>
      </c>
      <c r="E397" s="1978">
        <v>16.100000000000001</v>
      </c>
      <c r="F397" s="1979">
        <f>SUM(F396)</f>
        <v>58.902000000000001</v>
      </c>
      <c r="G397" s="1979">
        <f>SUM(G396:G396)</f>
        <v>0</v>
      </c>
      <c r="H397" s="1980">
        <f>SUM(H396:H396)</f>
        <v>-2.0000000000024443E-3</v>
      </c>
      <c r="I397" s="1981"/>
    </row>
    <row r="398" spans="1:10" ht="13.8" thickBot="1">
      <c r="B398" s="1760" t="s">
        <v>871</v>
      </c>
      <c r="C398" s="1761"/>
      <c r="D398" s="1762"/>
    </row>
    <row r="399" spans="1:10">
      <c r="B399" s="1763"/>
      <c r="C399" s="1761"/>
      <c r="D399" s="1761"/>
      <c r="E399" s="1762"/>
    </row>
    <row r="400" spans="1:10" ht="13.8" thickBot="1">
      <c r="B400" s="1764" t="s">
        <v>924</v>
      </c>
      <c r="C400" s="1765"/>
      <c r="D400" s="1766"/>
      <c r="E400" s="1767"/>
    </row>
    <row r="402" spans="1:10" ht="13.8" thickBot="1"/>
    <row r="403" spans="1:10" ht="15" thickBot="1">
      <c r="A403" s="3188" t="s">
        <v>1139</v>
      </c>
      <c r="B403" s="1056"/>
      <c r="C403" s="1056"/>
      <c r="D403" s="1056"/>
      <c r="E403" s="4243"/>
      <c r="F403" s="4243"/>
      <c r="G403" s="1056"/>
      <c r="H403" s="1706"/>
      <c r="I403" s="1058"/>
    </row>
    <row r="404" spans="1:10" ht="13.8" thickBot="1">
      <c r="A404" s="1059"/>
      <c r="B404" s="1060"/>
      <c r="C404" s="1060"/>
      <c r="D404" s="1061"/>
      <c r="E404" s="4203" t="s">
        <v>752</v>
      </c>
      <c r="F404" s="4204"/>
      <c r="G404" s="4203" t="s">
        <v>600</v>
      </c>
      <c r="H404" s="4205"/>
      <c r="I404" s="1062"/>
    </row>
    <row r="405" spans="1:10" ht="21.6" thickBot="1">
      <c r="A405" s="1031" t="s">
        <v>540</v>
      </c>
      <c r="B405" s="1054" t="s">
        <v>744</v>
      </c>
      <c r="C405" s="1053" t="s">
        <v>745</v>
      </c>
      <c r="D405" s="1054" t="s">
        <v>753</v>
      </c>
      <c r="E405" s="1053" t="s">
        <v>745</v>
      </c>
      <c r="F405" s="1053" t="s">
        <v>753</v>
      </c>
      <c r="G405" s="1053" t="s">
        <v>745</v>
      </c>
      <c r="H405" s="1032" t="s">
        <v>753</v>
      </c>
      <c r="I405" s="1053" t="s">
        <v>754</v>
      </c>
    </row>
    <row r="406" spans="1:10" ht="15" thickBot="1">
      <c r="A406" s="2705">
        <v>957377</v>
      </c>
      <c r="B406" s="2706" t="s">
        <v>1132</v>
      </c>
      <c r="C406" s="2707">
        <v>200</v>
      </c>
      <c r="D406" s="2708">
        <v>0</v>
      </c>
      <c r="E406" s="2709">
        <f>+SUM('Planillas diarias trapasos'!B492)</f>
        <v>27.565000000000001</v>
      </c>
      <c r="F406" s="2746">
        <v>0</v>
      </c>
      <c r="G406" s="1355">
        <f>+C406-E406</f>
        <v>172.435</v>
      </c>
      <c r="H406" s="2710">
        <f>+D406-F406</f>
        <v>0</v>
      </c>
      <c r="I406" s="2747"/>
    </row>
    <row r="407" spans="1:10" ht="13.8" thickBot="1">
      <c r="A407" s="1055"/>
      <c r="B407" s="2680" t="s">
        <v>144</v>
      </c>
      <c r="C407" s="1180">
        <f t="shared" ref="C407:H407" si="26">SUM(C406:C406)</f>
        <v>200</v>
      </c>
      <c r="D407" s="1181">
        <f t="shared" si="26"/>
        <v>0</v>
      </c>
      <c r="E407" s="1182">
        <f t="shared" si="26"/>
        <v>27.565000000000001</v>
      </c>
      <c r="F407" s="1182">
        <f t="shared" si="26"/>
        <v>0</v>
      </c>
      <c r="G407" s="1182">
        <f t="shared" si="26"/>
        <v>172.435</v>
      </c>
      <c r="H407" s="1182">
        <f t="shared" si="26"/>
        <v>0</v>
      </c>
      <c r="I407" s="1143"/>
    </row>
    <row r="409" spans="1:10" ht="13.8" thickBot="1"/>
    <row r="410" spans="1:10" s="3185" customFormat="1" ht="15" thickBot="1">
      <c r="A410" s="3242" t="s">
        <v>1306</v>
      </c>
      <c r="B410" s="3243" t="s">
        <v>865</v>
      </c>
      <c r="C410" s="3239"/>
      <c r="D410" s="3239"/>
      <c r="E410" s="4210"/>
      <c r="F410" s="4210"/>
      <c r="G410" s="3239"/>
      <c r="H410" s="3240"/>
      <c r="I410" s="3241"/>
      <c r="J410" s="2965">
        <v>41274</v>
      </c>
    </row>
    <row r="411" spans="1:10" s="3185" customFormat="1" ht="13.8" thickBot="1">
      <c r="A411" s="1059"/>
      <c r="B411" s="1060"/>
      <c r="C411" s="1060"/>
      <c r="D411" s="3189" t="s">
        <v>1012</v>
      </c>
      <c r="E411" s="4203" t="s">
        <v>752</v>
      </c>
      <c r="F411" s="4204"/>
      <c r="G411" s="4203" t="s">
        <v>600</v>
      </c>
      <c r="H411" s="4205"/>
      <c r="I411" s="1062"/>
      <c r="J411" s="169"/>
    </row>
    <row r="412" spans="1:10" s="3185" customFormat="1" ht="13.8" thickBot="1">
      <c r="A412" s="1031" t="s">
        <v>540</v>
      </c>
      <c r="B412" s="1054"/>
      <c r="C412" s="1053"/>
      <c r="D412" s="1054" t="s">
        <v>1225</v>
      </c>
      <c r="E412" s="1053"/>
      <c r="F412" s="1054" t="s">
        <v>1225</v>
      </c>
      <c r="G412" s="1053"/>
      <c r="H412" s="1054" t="s">
        <v>1225</v>
      </c>
      <c r="I412" s="1053" t="s">
        <v>754</v>
      </c>
      <c r="J412" s="169"/>
    </row>
    <row r="413" spans="1:10" s="3185" customFormat="1" ht="15" thickBot="1">
      <c r="A413" s="2705">
        <v>957377</v>
      </c>
      <c r="B413" s="2706"/>
      <c r="C413" s="2707"/>
      <c r="D413" s="2708">
        <v>56.3</v>
      </c>
      <c r="E413" s="2709"/>
      <c r="F413" s="2710">
        <f>('Planillas diarias trapasos'!B525)</f>
        <v>50</v>
      </c>
      <c r="G413" s="2296"/>
      <c r="H413" s="2709">
        <f>+D413-F413</f>
        <v>6.2999999999999972</v>
      </c>
      <c r="I413" s="3551">
        <v>41196</v>
      </c>
      <c r="J413" s="169"/>
    </row>
    <row r="414" spans="1:10" s="3185" customFormat="1" ht="15" thickBot="1">
      <c r="A414" s="1055"/>
      <c r="B414" s="2680" t="s">
        <v>144</v>
      </c>
      <c r="C414" s="1180"/>
      <c r="D414" s="2708">
        <v>56.3</v>
      </c>
      <c r="E414" s="1182"/>
      <c r="F414" s="1182">
        <f t="shared" ref="F414:H414" si="27">SUM(F413:F413)</f>
        <v>50</v>
      </c>
      <c r="G414" s="1182"/>
      <c r="H414" s="1182">
        <f t="shared" si="27"/>
        <v>6.2999999999999972</v>
      </c>
      <c r="I414" s="3184"/>
      <c r="J414" s="169"/>
    </row>
    <row r="417" spans="1:9" ht="13.8" thickBot="1"/>
    <row r="418" spans="1:9" ht="15" thickBot="1">
      <c r="A418" s="3273" t="s">
        <v>1288</v>
      </c>
      <c r="B418" s="3278" t="s">
        <v>1281</v>
      </c>
      <c r="C418" s="3274"/>
      <c r="D418" s="3274"/>
      <c r="E418" s="4202"/>
      <c r="F418" s="4202"/>
      <c r="G418" s="3274"/>
      <c r="H418" s="3275"/>
      <c r="I418" s="3276"/>
    </row>
    <row r="419" spans="1:9" ht="13.8" thickBot="1">
      <c r="A419" s="1059"/>
      <c r="B419" s="1060"/>
      <c r="C419" s="1060"/>
      <c r="D419" s="3189" t="s">
        <v>1012</v>
      </c>
      <c r="E419" s="4203" t="s">
        <v>752</v>
      </c>
      <c r="F419" s="4204"/>
      <c r="G419" s="4203" t="s">
        <v>600</v>
      </c>
      <c r="H419" s="4205"/>
      <c r="I419" s="3277"/>
    </row>
    <row r="420" spans="1:9" ht="21.6" thickBot="1">
      <c r="A420" s="1031" t="s">
        <v>540</v>
      </c>
      <c r="B420" s="1054"/>
      <c r="C420" s="1053"/>
      <c r="D420" s="1054" t="s">
        <v>1281</v>
      </c>
      <c r="E420" s="1053"/>
      <c r="F420" s="1054" t="s">
        <v>1281</v>
      </c>
      <c r="G420" s="1053"/>
      <c r="H420" s="1054" t="s">
        <v>1281</v>
      </c>
      <c r="I420" s="1053" t="s">
        <v>754</v>
      </c>
    </row>
    <row r="421" spans="1:9" ht="13.8" thickBot="1">
      <c r="A421" s="2705"/>
      <c r="B421" s="3296" t="s">
        <v>1282</v>
      </c>
      <c r="C421" s="1053"/>
      <c r="D421" s="1054">
        <v>5</v>
      </c>
      <c r="E421" s="1053"/>
      <c r="F421" s="1054">
        <v>0</v>
      </c>
      <c r="G421" s="1053"/>
      <c r="H421" s="2709">
        <f>+D421-F421</f>
        <v>5</v>
      </c>
      <c r="I421" s="1053"/>
    </row>
    <row r="422" spans="1:9" ht="15" thickBot="1">
      <c r="A422" s="2705"/>
      <c r="B422" s="3279" t="s">
        <v>1283</v>
      </c>
      <c r="C422" s="2707"/>
      <c r="D422" s="2708">
        <v>5</v>
      </c>
      <c r="E422" s="2709"/>
      <c r="F422" s="2710">
        <v>0</v>
      </c>
      <c r="G422" s="2296"/>
      <c r="H422" s="2709">
        <f>+D422-F422</f>
        <v>5</v>
      </c>
      <c r="I422" s="2747"/>
    </row>
    <row r="423" spans="1:9" ht="15" thickBot="1">
      <c r="A423" s="1055"/>
      <c r="B423" s="2680" t="s">
        <v>144</v>
      </c>
      <c r="C423" s="1180"/>
      <c r="D423" s="3295">
        <f>SUM(D421:D422)</f>
        <v>10</v>
      </c>
      <c r="E423" s="1182"/>
      <c r="F423" s="1182">
        <v>12.1655</v>
      </c>
      <c r="G423" s="1182"/>
      <c r="H423" s="3593">
        <f>+D423-F423</f>
        <v>-2.1654999999999998</v>
      </c>
      <c r="I423" s="3224"/>
    </row>
  </sheetData>
  <mergeCells count="116">
    <mergeCell ref="E410:F410"/>
    <mergeCell ref="E411:F411"/>
    <mergeCell ref="G411:H411"/>
    <mergeCell ref="G282:H282"/>
    <mergeCell ref="E282:F282"/>
    <mergeCell ref="E403:F403"/>
    <mergeCell ref="E404:F404"/>
    <mergeCell ref="G404:H404"/>
    <mergeCell ref="G394:H394"/>
    <mergeCell ref="E323:F323"/>
    <mergeCell ref="G323:H323"/>
    <mergeCell ref="G374:H374"/>
    <mergeCell ref="G367:H367"/>
    <mergeCell ref="E393:F393"/>
    <mergeCell ref="E394:F394"/>
    <mergeCell ref="E373:F373"/>
    <mergeCell ref="E374:F374"/>
    <mergeCell ref="E347:F347"/>
    <mergeCell ref="E348:F348"/>
    <mergeCell ref="G316:H316"/>
    <mergeCell ref="E303:F303"/>
    <mergeCell ref="G340:H340"/>
    <mergeCell ref="C207:D207"/>
    <mergeCell ref="A210:G210"/>
    <mergeCell ref="C195:D195"/>
    <mergeCell ref="A219:G219"/>
    <mergeCell ref="C196:D196"/>
    <mergeCell ref="C200:D200"/>
    <mergeCell ref="C238:D238"/>
    <mergeCell ref="E367:F367"/>
    <mergeCell ref="G348:H348"/>
    <mergeCell ref="E322:F322"/>
    <mergeCell ref="E316:F316"/>
    <mergeCell ref="G244:H244"/>
    <mergeCell ref="C244:D244"/>
    <mergeCell ref="C227:D227"/>
    <mergeCell ref="C228:D228"/>
    <mergeCell ref="A230:G230"/>
    <mergeCell ref="E290:F290"/>
    <mergeCell ref="G290:H290"/>
    <mergeCell ref="E250:F250"/>
    <mergeCell ref="G250:H250"/>
    <mergeCell ref="C290:D290"/>
    <mergeCell ref="E238:F238"/>
    <mergeCell ref="E244:F244"/>
    <mergeCell ref="G238:H238"/>
    <mergeCell ref="C250:D250"/>
    <mergeCell ref="A182:G182"/>
    <mergeCell ref="C184:D184"/>
    <mergeCell ref="C185:D185"/>
    <mergeCell ref="A187:G187"/>
    <mergeCell ref="A58:B58"/>
    <mergeCell ref="A2:B2"/>
    <mergeCell ref="A3:B3"/>
    <mergeCell ref="A39:B39"/>
    <mergeCell ref="D39:E39"/>
    <mergeCell ref="A46:B46"/>
    <mergeCell ref="A9:B9"/>
    <mergeCell ref="A10:B10"/>
    <mergeCell ref="D46:E46"/>
    <mergeCell ref="A17:B17"/>
    <mergeCell ref="A18:B18"/>
    <mergeCell ref="A24:B24"/>
    <mergeCell ref="A25:B25"/>
    <mergeCell ref="C174:D174"/>
    <mergeCell ref="C173:D173"/>
    <mergeCell ref="C175:D175"/>
    <mergeCell ref="C179:D179"/>
    <mergeCell ref="A177:G177"/>
    <mergeCell ref="A225:G225"/>
    <mergeCell ref="A204:G204"/>
    <mergeCell ref="D52:E52"/>
    <mergeCell ref="A52:B52"/>
    <mergeCell ref="C169:D169"/>
    <mergeCell ref="C180:D180"/>
    <mergeCell ref="D58:E58"/>
    <mergeCell ref="C172:D172"/>
    <mergeCell ref="C159:D159"/>
    <mergeCell ref="A166:G166"/>
    <mergeCell ref="C168:D168"/>
    <mergeCell ref="C163:D163"/>
    <mergeCell ref="C161:D161"/>
    <mergeCell ref="C160:D160"/>
    <mergeCell ref="C170:D170"/>
    <mergeCell ref="A157:G157"/>
    <mergeCell ref="A66:B66"/>
    <mergeCell ref="D66:E66"/>
    <mergeCell ref="C162:D162"/>
    <mergeCell ref="A74:G74"/>
    <mergeCell ref="A193:G193"/>
    <mergeCell ref="C201:D201"/>
    <mergeCell ref="A198:G198"/>
    <mergeCell ref="C206:D206"/>
    <mergeCell ref="A31:B31"/>
    <mergeCell ref="A32:B32"/>
    <mergeCell ref="C189:D189"/>
    <mergeCell ref="C190:D190"/>
    <mergeCell ref="E418:F418"/>
    <mergeCell ref="E419:F419"/>
    <mergeCell ref="G419:H419"/>
    <mergeCell ref="C257:D257"/>
    <mergeCell ref="E257:F257"/>
    <mergeCell ref="G257:H257"/>
    <mergeCell ref="C265:D265"/>
    <mergeCell ref="E265:F265"/>
    <mergeCell ref="G265:H265"/>
    <mergeCell ref="E315:F315"/>
    <mergeCell ref="E339:F339"/>
    <mergeCell ref="E366:F366"/>
    <mergeCell ref="E304:F304"/>
    <mergeCell ref="G304:H304"/>
    <mergeCell ref="C282:D282"/>
    <mergeCell ref="E295:F295"/>
    <mergeCell ref="E296:F296"/>
    <mergeCell ref="G296:H296"/>
    <mergeCell ref="E340:F340"/>
  </mergeCells>
  <pageMargins left="0.7" right="0.7" top="0.75" bottom="0.75" header="0.3" footer="0.3"/>
  <pageSetup paperSize="9" orientation="portrait" r:id="rId1"/>
  <legacyDrawing r:id="rId2"/>
</worksheet>
</file>

<file path=xl/worksheets/sheet34.xml><?xml version="1.0" encoding="utf-8"?>
<worksheet xmlns="http://schemas.openxmlformats.org/spreadsheetml/2006/main" xmlns:r="http://schemas.openxmlformats.org/officeDocument/2006/relationships">
  <dimension ref="A2:AI525"/>
  <sheetViews>
    <sheetView topLeftCell="A247" zoomScaleSheetLayoutView="80" workbookViewId="0">
      <selection activeCell="K269" sqref="K269"/>
    </sheetView>
  </sheetViews>
  <sheetFormatPr baseColWidth="10" defaultRowHeight="13.2"/>
  <cols>
    <col min="1" max="1" width="16.109375" customWidth="1"/>
    <col min="2" max="2" width="19.44140625" customWidth="1"/>
    <col min="3" max="3" width="21.109375" customWidth="1"/>
    <col min="4" max="4" width="7.6640625" customWidth="1"/>
    <col min="5" max="5" width="9" customWidth="1"/>
    <col min="6" max="6" width="7.6640625" customWidth="1"/>
    <col min="7" max="7" width="10.88671875" customWidth="1"/>
    <col min="8" max="8" width="11.44140625" customWidth="1"/>
    <col min="9" max="9" width="7" bestFit="1" customWidth="1"/>
    <col min="10" max="10" width="8.109375" bestFit="1" customWidth="1"/>
    <col min="11" max="14" width="7" bestFit="1" customWidth="1"/>
    <col min="15" max="15" width="7.44140625" bestFit="1" customWidth="1"/>
    <col min="16" max="16" width="6.5546875" bestFit="1" customWidth="1"/>
    <col min="17" max="19" width="7" bestFit="1" customWidth="1"/>
    <col min="20" max="20" width="7.44140625" bestFit="1" customWidth="1"/>
    <col min="21" max="21" width="7.6640625" bestFit="1" customWidth="1"/>
    <col min="22" max="23" width="7.44140625" bestFit="1" customWidth="1"/>
    <col min="24" max="24" width="8" customWidth="1"/>
    <col min="25" max="27" width="7" bestFit="1" customWidth="1"/>
    <col min="28" max="28" width="6.5546875" customWidth="1"/>
    <col min="29" max="29" width="9.109375" customWidth="1"/>
    <col min="30" max="30" width="7.44140625" customWidth="1"/>
    <col min="31" max="31" width="7.109375" customWidth="1"/>
    <col min="32" max="32" width="8.109375" customWidth="1"/>
    <col min="33" max="33" width="7.88671875" customWidth="1"/>
    <col min="34" max="34" width="8.88671875" customWidth="1"/>
    <col min="35" max="35" width="19" bestFit="1" customWidth="1"/>
  </cols>
  <sheetData>
    <row r="2" spans="1:34" ht="13.8">
      <c r="A2" s="779" t="s">
        <v>756</v>
      </c>
      <c r="B2" s="780"/>
      <c r="C2" s="781"/>
      <c r="D2" s="854"/>
      <c r="E2" s="854"/>
      <c r="F2" s="1202" t="s">
        <v>796</v>
      </c>
      <c r="G2" s="1202" t="s">
        <v>797</v>
      </c>
      <c r="H2" s="1800">
        <v>41081</v>
      </c>
      <c r="I2" s="854"/>
      <c r="J2" s="854"/>
      <c r="K2" s="854"/>
      <c r="L2" s="854"/>
      <c r="M2" s="855"/>
      <c r="N2" s="854"/>
      <c r="O2" s="854"/>
      <c r="P2" s="854"/>
      <c r="Q2" s="854"/>
      <c r="R2" s="854"/>
      <c r="S2" s="854"/>
      <c r="T2" s="854"/>
      <c r="U2" s="854"/>
      <c r="V2" s="854"/>
      <c r="W2" s="854"/>
      <c r="X2" s="854"/>
      <c r="Y2" s="854"/>
      <c r="Z2" s="854"/>
      <c r="AA2" s="854"/>
      <c r="AB2" s="854"/>
      <c r="AC2" s="854"/>
      <c r="AD2" s="854"/>
      <c r="AE2" s="854"/>
      <c r="AF2" s="854"/>
      <c r="AG2" s="854"/>
      <c r="AH2" s="646"/>
    </row>
    <row r="3" spans="1:34" ht="13.8">
      <c r="A3" s="572" t="s">
        <v>142</v>
      </c>
      <c r="B3" s="856" t="s">
        <v>143</v>
      </c>
      <c r="C3" s="1083">
        <v>1</v>
      </c>
      <c r="D3" s="1083">
        <v>2</v>
      </c>
      <c r="E3" s="1083">
        <v>3</v>
      </c>
      <c r="F3" s="1083">
        <v>4</v>
      </c>
      <c r="G3" s="1083">
        <v>5</v>
      </c>
      <c r="H3" s="1083">
        <v>6</v>
      </c>
      <c r="I3" s="1083">
        <v>7</v>
      </c>
      <c r="J3" s="1083">
        <v>8</v>
      </c>
      <c r="K3" s="1083">
        <v>9</v>
      </c>
      <c r="L3" s="1083">
        <v>10</v>
      </c>
      <c r="M3" s="1083">
        <v>11</v>
      </c>
      <c r="N3" s="1083">
        <v>12</v>
      </c>
      <c r="O3" s="1083">
        <v>13</v>
      </c>
      <c r="P3" s="1083">
        <v>14</v>
      </c>
      <c r="Q3" s="1083">
        <v>15</v>
      </c>
      <c r="R3" s="1083">
        <v>16</v>
      </c>
      <c r="S3" s="1083">
        <v>17</v>
      </c>
      <c r="T3" s="883">
        <v>18</v>
      </c>
      <c r="U3" s="883">
        <v>19</v>
      </c>
      <c r="V3" s="883">
        <v>20</v>
      </c>
      <c r="W3" s="883">
        <v>21</v>
      </c>
      <c r="X3" s="883">
        <v>22</v>
      </c>
      <c r="Y3" s="883">
        <v>23</v>
      </c>
      <c r="Z3" s="883">
        <v>24</v>
      </c>
      <c r="AA3" s="883">
        <v>25</v>
      </c>
      <c r="AB3" s="883">
        <v>26</v>
      </c>
      <c r="AC3" s="883">
        <v>27</v>
      </c>
      <c r="AD3" s="883">
        <v>28</v>
      </c>
      <c r="AE3" s="883">
        <v>29</v>
      </c>
      <c r="AF3" s="883">
        <v>30</v>
      </c>
      <c r="AG3" s="883">
        <v>31</v>
      </c>
      <c r="AH3" s="857" t="s">
        <v>111</v>
      </c>
    </row>
    <row r="4" spans="1:34" ht="13.8">
      <c r="A4" s="573" t="s">
        <v>145</v>
      </c>
      <c r="B4" s="831"/>
      <c r="C4" s="1084">
        <v>0</v>
      </c>
      <c r="D4" s="1084">
        <v>0</v>
      </c>
      <c r="E4" s="1084">
        <v>0</v>
      </c>
      <c r="F4" s="1084">
        <v>0</v>
      </c>
      <c r="G4" s="1084">
        <v>0</v>
      </c>
      <c r="H4" s="1084">
        <v>0</v>
      </c>
      <c r="I4" s="1084">
        <v>0</v>
      </c>
      <c r="J4" s="1084">
        <v>0</v>
      </c>
      <c r="K4" s="1084">
        <v>0</v>
      </c>
      <c r="L4" s="1084">
        <v>0</v>
      </c>
      <c r="M4" s="1084">
        <v>0</v>
      </c>
      <c r="N4" s="1084">
        <v>0</v>
      </c>
      <c r="O4" s="1084">
        <v>0</v>
      </c>
      <c r="P4" s="1084">
        <v>0</v>
      </c>
      <c r="Q4" s="1084">
        <v>0</v>
      </c>
      <c r="R4" s="1084">
        <v>0</v>
      </c>
      <c r="S4" s="1084">
        <v>0</v>
      </c>
      <c r="T4" s="862">
        <v>0</v>
      </c>
      <c r="U4" s="862">
        <v>0</v>
      </c>
      <c r="V4" s="862">
        <v>0</v>
      </c>
      <c r="W4" s="862">
        <v>0</v>
      </c>
      <c r="X4" s="862">
        <v>0</v>
      </c>
      <c r="Y4" s="862">
        <v>0</v>
      </c>
      <c r="Z4" s="862">
        <v>0</v>
      </c>
      <c r="AA4" s="862">
        <v>0</v>
      </c>
      <c r="AB4" s="862">
        <v>0</v>
      </c>
      <c r="AC4" s="862">
        <v>0</v>
      </c>
      <c r="AD4" s="862">
        <v>0</v>
      </c>
      <c r="AE4" s="862">
        <v>0</v>
      </c>
      <c r="AF4" s="862">
        <v>0</v>
      </c>
      <c r="AG4" s="862">
        <v>0</v>
      </c>
      <c r="AH4" s="858">
        <f>SUM(C4:AG4)</f>
        <v>0</v>
      </c>
    </row>
    <row r="5" spans="1:34" ht="13.8">
      <c r="A5" s="573" t="s">
        <v>146</v>
      </c>
      <c r="B5" s="831"/>
      <c r="C5" s="1084">
        <v>0</v>
      </c>
      <c r="D5" s="1084">
        <v>0</v>
      </c>
      <c r="E5" s="1084">
        <v>0</v>
      </c>
      <c r="F5" s="1084">
        <v>0</v>
      </c>
      <c r="G5" s="1084">
        <v>0</v>
      </c>
      <c r="H5" s="1084">
        <v>0</v>
      </c>
      <c r="I5" s="1084">
        <v>0</v>
      </c>
      <c r="J5" s="1084">
        <v>0</v>
      </c>
      <c r="K5" s="1084">
        <v>0</v>
      </c>
      <c r="L5" s="1084">
        <v>0</v>
      </c>
      <c r="M5" s="1084">
        <v>0</v>
      </c>
      <c r="N5" s="1084">
        <v>0</v>
      </c>
      <c r="O5" s="1084">
        <v>0</v>
      </c>
      <c r="P5" s="1084">
        <v>0</v>
      </c>
      <c r="Q5" s="1084">
        <v>0</v>
      </c>
      <c r="R5" s="1084">
        <v>0</v>
      </c>
      <c r="S5" s="1084">
        <v>0</v>
      </c>
      <c r="T5" s="862">
        <v>0</v>
      </c>
      <c r="U5" s="862">
        <v>0</v>
      </c>
      <c r="V5" s="862">
        <v>0</v>
      </c>
      <c r="W5" s="862">
        <v>0</v>
      </c>
      <c r="X5" s="862">
        <v>0</v>
      </c>
      <c r="Y5" s="862">
        <v>0</v>
      </c>
      <c r="Z5" s="862">
        <v>0</v>
      </c>
      <c r="AA5" s="862">
        <v>0</v>
      </c>
      <c r="AB5" s="862">
        <v>0</v>
      </c>
      <c r="AC5" s="862">
        <v>0</v>
      </c>
      <c r="AD5" s="862">
        <v>0</v>
      </c>
      <c r="AE5" s="862">
        <v>0</v>
      </c>
      <c r="AF5" s="862">
        <v>0</v>
      </c>
      <c r="AG5" s="862">
        <v>0</v>
      </c>
      <c r="AH5" s="858">
        <f>SUM(C5:AG5)</f>
        <v>0</v>
      </c>
    </row>
    <row r="6" spans="1:34" ht="13.8">
      <c r="A6" s="573" t="s">
        <v>147</v>
      </c>
      <c r="B6" s="831"/>
      <c r="C6" s="1084">
        <v>0</v>
      </c>
      <c r="D6" s="1084">
        <v>0</v>
      </c>
      <c r="E6" s="1084">
        <v>0</v>
      </c>
      <c r="F6" s="1084">
        <v>0</v>
      </c>
      <c r="G6" s="1084">
        <v>0</v>
      </c>
      <c r="H6" s="1084">
        <v>0</v>
      </c>
      <c r="I6" s="1084">
        <v>0</v>
      </c>
      <c r="J6" s="1084">
        <v>0</v>
      </c>
      <c r="K6" s="1084">
        <v>0</v>
      </c>
      <c r="L6" s="1084">
        <v>0</v>
      </c>
      <c r="M6" s="1084">
        <v>0</v>
      </c>
      <c r="N6" s="1084">
        <v>0</v>
      </c>
      <c r="O6" s="1084">
        <v>0</v>
      </c>
      <c r="P6" s="1084">
        <v>0</v>
      </c>
      <c r="Q6" s="1084">
        <v>0</v>
      </c>
      <c r="R6" s="1084">
        <v>0</v>
      </c>
      <c r="S6" s="1084">
        <v>0</v>
      </c>
      <c r="T6" s="862">
        <v>0</v>
      </c>
      <c r="U6" s="862">
        <v>0</v>
      </c>
      <c r="V6" s="862">
        <v>0</v>
      </c>
      <c r="W6" s="862">
        <v>0</v>
      </c>
      <c r="X6" s="862">
        <v>0</v>
      </c>
      <c r="Y6" s="862">
        <v>0</v>
      </c>
      <c r="Z6" s="862">
        <v>0</v>
      </c>
      <c r="AA6" s="862">
        <v>0</v>
      </c>
      <c r="AB6" s="862">
        <v>0</v>
      </c>
      <c r="AC6" s="862">
        <v>0</v>
      </c>
      <c r="AD6" s="862">
        <v>0</v>
      </c>
      <c r="AE6" s="862">
        <v>0</v>
      </c>
      <c r="AF6" s="862">
        <v>0</v>
      </c>
      <c r="AG6" s="862">
        <v>0</v>
      </c>
      <c r="AH6" s="858">
        <f>SUM(C6:AG6)</f>
        <v>0</v>
      </c>
    </row>
    <row r="7" spans="1:34" ht="13.8">
      <c r="A7" s="573" t="s">
        <v>148</v>
      </c>
      <c r="B7" s="831"/>
      <c r="C7" s="1085">
        <v>0</v>
      </c>
      <c r="D7" s="1085">
        <v>0</v>
      </c>
      <c r="E7" s="1085">
        <v>0</v>
      </c>
      <c r="F7" s="1085">
        <v>0</v>
      </c>
      <c r="G7" s="1085">
        <v>0</v>
      </c>
      <c r="H7" s="1085">
        <v>0</v>
      </c>
      <c r="I7" s="1085">
        <v>0</v>
      </c>
      <c r="J7" s="1085">
        <v>0</v>
      </c>
      <c r="K7" s="1085">
        <v>0</v>
      </c>
      <c r="L7" s="1085">
        <v>0</v>
      </c>
      <c r="M7" s="1085">
        <v>0</v>
      </c>
      <c r="N7" s="1085">
        <v>0</v>
      </c>
      <c r="O7" s="1085">
        <v>0</v>
      </c>
      <c r="P7" s="1085">
        <v>0</v>
      </c>
      <c r="Q7" s="1085">
        <v>0</v>
      </c>
      <c r="R7" s="1085">
        <v>0</v>
      </c>
      <c r="S7" s="1085">
        <v>0</v>
      </c>
      <c r="T7" s="929">
        <v>0</v>
      </c>
      <c r="U7" s="929">
        <v>0</v>
      </c>
      <c r="V7" s="929">
        <v>0</v>
      </c>
      <c r="W7" s="929">
        <v>0</v>
      </c>
      <c r="X7" s="929">
        <v>0</v>
      </c>
      <c r="Y7" s="929">
        <v>0</v>
      </c>
      <c r="Z7" s="929">
        <v>0</v>
      </c>
      <c r="AA7" s="929">
        <v>0</v>
      </c>
      <c r="AB7" s="929">
        <v>0</v>
      </c>
      <c r="AC7" s="929">
        <v>0</v>
      </c>
      <c r="AD7" s="929">
        <v>0</v>
      </c>
      <c r="AE7" s="929">
        <v>0</v>
      </c>
      <c r="AF7" s="929">
        <v>0</v>
      </c>
      <c r="AG7" s="929">
        <v>0</v>
      </c>
      <c r="AH7" s="858">
        <f t="shared" ref="AH7:AH16" si="0">SUM(C7:AG7)</f>
        <v>0</v>
      </c>
    </row>
    <row r="8" spans="1:34" ht="13.8">
      <c r="A8" s="573" t="s">
        <v>149</v>
      </c>
      <c r="B8" s="831">
        <f t="shared" ref="B8:B15" si="1">+AH8</f>
        <v>3428.085</v>
      </c>
      <c r="C8" s="1085"/>
      <c r="D8" s="1085"/>
      <c r="E8" s="1085"/>
      <c r="F8" s="1085"/>
      <c r="G8" s="1085"/>
      <c r="H8" s="1085"/>
      <c r="I8" s="1085"/>
      <c r="J8" s="1085"/>
      <c r="K8" s="1085"/>
      <c r="L8" s="1085"/>
      <c r="M8" s="1085"/>
      <c r="N8" s="1085"/>
      <c r="O8" s="1085"/>
      <c r="P8" s="1085"/>
      <c r="Q8" s="1085"/>
      <c r="R8" s="1085"/>
      <c r="S8" s="1085"/>
      <c r="T8" s="929"/>
      <c r="U8" s="929"/>
      <c r="V8" s="929"/>
      <c r="W8" s="929"/>
      <c r="X8" s="929"/>
      <c r="Y8" s="929"/>
      <c r="Z8" s="929"/>
      <c r="AA8" s="929"/>
      <c r="AB8" s="859"/>
      <c r="AC8" s="859"/>
      <c r="AD8" s="859">
        <v>862.45500000000004</v>
      </c>
      <c r="AE8" s="859">
        <v>617.66</v>
      </c>
      <c r="AF8" s="859">
        <v>969.36299999999994</v>
      </c>
      <c r="AG8" s="859">
        <v>978.6070000000002</v>
      </c>
      <c r="AH8" s="858">
        <f t="shared" si="0"/>
        <v>3428.085</v>
      </c>
    </row>
    <row r="9" spans="1:34" ht="13.8">
      <c r="A9" s="573" t="s">
        <v>150</v>
      </c>
      <c r="B9" s="831">
        <f t="shared" si="1"/>
        <v>16442.444999999996</v>
      </c>
      <c r="C9" s="1086">
        <v>1078.606</v>
      </c>
      <c r="D9" s="1087">
        <v>1056.8839999999998</v>
      </c>
      <c r="E9" s="1087"/>
      <c r="F9" s="1087">
        <v>466.71600000000001</v>
      </c>
      <c r="G9" s="1087">
        <v>821.04699999999991</v>
      </c>
      <c r="H9" s="1087">
        <v>1675.0629999999999</v>
      </c>
      <c r="I9" s="1087">
        <v>1187.83</v>
      </c>
      <c r="J9" s="1087">
        <v>906.65200000000016</v>
      </c>
      <c r="K9" s="1087">
        <v>1164.0740000000001</v>
      </c>
      <c r="L9" s="1087"/>
      <c r="M9" s="1087">
        <v>696.47</v>
      </c>
      <c r="N9" s="1087">
        <v>190.14</v>
      </c>
      <c r="O9" s="1087">
        <v>7.21</v>
      </c>
      <c r="P9" s="1087">
        <v>594.245</v>
      </c>
      <c r="Q9" s="1087">
        <v>468.23</v>
      </c>
      <c r="R9" s="1087">
        <v>516.19500000000005</v>
      </c>
      <c r="S9" s="1087">
        <v>74.295000000000002</v>
      </c>
      <c r="T9" s="859">
        <v>1294.6980000000001</v>
      </c>
      <c r="U9" s="859">
        <v>1394.88</v>
      </c>
      <c r="V9" s="859">
        <v>1526.4</v>
      </c>
      <c r="W9" s="859">
        <v>1322.81</v>
      </c>
      <c r="X9" s="859"/>
      <c r="Y9" s="859"/>
      <c r="Z9" s="859"/>
      <c r="AA9" s="859"/>
      <c r="AB9" s="859"/>
      <c r="AC9" s="859"/>
      <c r="AD9" s="859"/>
      <c r="AE9" s="859"/>
      <c r="AF9" s="859"/>
      <c r="AG9" s="859"/>
      <c r="AH9" s="858">
        <f t="shared" si="0"/>
        <v>16442.444999999996</v>
      </c>
    </row>
    <row r="10" spans="1:34" ht="13.8">
      <c r="A10" s="603" t="s">
        <v>151</v>
      </c>
      <c r="B10" s="831">
        <f t="shared" si="1"/>
        <v>0</v>
      </c>
      <c r="C10" s="1086">
        <v>0</v>
      </c>
      <c r="D10" s="1087">
        <v>0</v>
      </c>
      <c r="E10" s="1087">
        <v>0</v>
      </c>
      <c r="F10" s="1087">
        <v>0</v>
      </c>
      <c r="G10" s="1087">
        <v>0</v>
      </c>
      <c r="H10" s="1087">
        <v>0</v>
      </c>
      <c r="I10" s="1087">
        <v>0</v>
      </c>
      <c r="J10" s="1087">
        <v>0</v>
      </c>
      <c r="K10" s="1087">
        <v>0</v>
      </c>
      <c r="L10" s="1087">
        <v>0</v>
      </c>
      <c r="M10" s="1087">
        <v>0</v>
      </c>
      <c r="N10" s="1087">
        <v>0</v>
      </c>
      <c r="O10" s="1087">
        <v>0</v>
      </c>
      <c r="P10" s="1087">
        <v>0</v>
      </c>
      <c r="Q10" s="1087">
        <v>0</v>
      </c>
      <c r="R10" s="1087">
        <v>0</v>
      </c>
      <c r="S10" s="1087">
        <v>0</v>
      </c>
      <c r="T10" s="859">
        <v>0</v>
      </c>
      <c r="U10" s="859">
        <v>0</v>
      </c>
      <c r="V10" s="859">
        <v>0</v>
      </c>
      <c r="W10" s="859">
        <v>0</v>
      </c>
      <c r="X10" s="859">
        <v>0</v>
      </c>
      <c r="Y10" s="859">
        <v>0</v>
      </c>
      <c r="Z10" s="859">
        <v>0</v>
      </c>
      <c r="AA10" s="859">
        <v>0</v>
      </c>
      <c r="AB10" s="859">
        <v>0</v>
      </c>
      <c r="AC10" s="859">
        <v>0</v>
      </c>
      <c r="AD10" s="859">
        <v>0</v>
      </c>
      <c r="AE10" s="859">
        <v>0</v>
      </c>
      <c r="AF10" s="859">
        <v>0</v>
      </c>
      <c r="AG10" s="859">
        <v>0</v>
      </c>
      <c r="AH10" s="858">
        <f t="shared" si="0"/>
        <v>0</v>
      </c>
    </row>
    <row r="11" spans="1:34" ht="13.8">
      <c r="A11" s="603" t="s">
        <v>152</v>
      </c>
      <c r="B11" s="831">
        <f t="shared" si="1"/>
        <v>0</v>
      </c>
      <c r="C11" s="1086">
        <v>0</v>
      </c>
      <c r="D11" s="1087">
        <v>0</v>
      </c>
      <c r="E11" s="1087">
        <v>0</v>
      </c>
      <c r="F11" s="1087">
        <v>0</v>
      </c>
      <c r="G11" s="1087">
        <v>0</v>
      </c>
      <c r="H11" s="1087">
        <v>0</v>
      </c>
      <c r="I11" s="1087">
        <v>0</v>
      </c>
      <c r="J11" s="1087">
        <v>0</v>
      </c>
      <c r="K11" s="1087">
        <v>0</v>
      </c>
      <c r="L11" s="1087">
        <v>0</v>
      </c>
      <c r="M11" s="1087">
        <v>0</v>
      </c>
      <c r="N11" s="1087">
        <v>0</v>
      </c>
      <c r="O11" s="1087">
        <v>0</v>
      </c>
      <c r="P11" s="1087">
        <v>0</v>
      </c>
      <c r="Q11" s="1087">
        <v>0</v>
      </c>
      <c r="R11" s="1087">
        <v>0</v>
      </c>
      <c r="S11" s="1087">
        <v>0</v>
      </c>
      <c r="T11" s="859">
        <v>0</v>
      </c>
      <c r="U11" s="859">
        <v>0</v>
      </c>
      <c r="V11" s="859">
        <v>0</v>
      </c>
      <c r="W11" s="859">
        <v>0</v>
      </c>
      <c r="X11" s="859">
        <v>0</v>
      </c>
      <c r="Y11" s="859">
        <v>0</v>
      </c>
      <c r="Z11" s="859">
        <v>0</v>
      </c>
      <c r="AA11" s="859">
        <v>0</v>
      </c>
      <c r="AB11" s="859">
        <v>0</v>
      </c>
      <c r="AC11" s="859">
        <v>0</v>
      </c>
      <c r="AD11" s="859">
        <v>0</v>
      </c>
      <c r="AE11" s="859">
        <v>0</v>
      </c>
      <c r="AF11" s="859">
        <v>0</v>
      </c>
      <c r="AG11" s="859">
        <v>0</v>
      </c>
      <c r="AH11" s="858">
        <f t="shared" si="0"/>
        <v>0</v>
      </c>
    </row>
    <row r="12" spans="1:34" ht="13.8">
      <c r="A12" s="603" t="s">
        <v>153</v>
      </c>
      <c r="B12" s="831">
        <f t="shared" si="1"/>
        <v>0</v>
      </c>
      <c r="C12" s="1086">
        <v>0</v>
      </c>
      <c r="D12" s="1087">
        <v>0</v>
      </c>
      <c r="E12" s="1087">
        <v>0</v>
      </c>
      <c r="F12" s="1087">
        <v>0</v>
      </c>
      <c r="G12" s="1087">
        <v>0</v>
      </c>
      <c r="H12" s="1087">
        <v>0</v>
      </c>
      <c r="I12" s="1087">
        <v>0</v>
      </c>
      <c r="J12" s="1087">
        <v>0</v>
      </c>
      <c r="K12" s="1087">
        <v>0</v>
      </c>
      <c r="L12" s="1087">
        <v>0</v>
      </c>
      <c r="M12" s="1087">
        <v>0</v>
      </c>
      <c r="N12" s="1087">
        <v>0</v>
      </c>
      <c r="O12" s="1087">
        <v>0</v>
      </c>
      <c r="P12" s="1087">
        <v>0</v>
      </c>
      <c r="Q12" s="1087">
        <v>0</v>
      </c>
      <c r="R12" s="1087">
        <v>0</v>
      </c>
      <c r="S12" s="1087">
        <v>0</v>
      </c>
      <c r="T12" s="859">
        <v>0</v>
      </c>
      <c r="U12" s="859">
        <v>0</v>
      </c>
      <c r="V12" s="859">
        <v>0</v>
      </c>
      <c r="W12" s="859">
        <v>0</v>
      </c>
      <c r="X12" s="859">
        <v>0</v>
      </c>
      <c r="Y12" s="859">
        <v>0</v>
      </c>
      <c r="Z12" s="859">
        <v>0</v>
      </c>
      <c r="AA12" s="859">
        <v>0</v>
      </c>
      <c r="AB12" s="859">
        <v>0</v>
      </c>
      <c r="AC12" s="859">
        <v>0</v>
      </c>
      <c r="AD12" s="859">
        <v>0</v>
      </c>
      <c r="AE12" s="859">
        <v>0</v>
      </c>
      <c r="AF12" s="859">
        <v>0</v>
      </c>
      <c r="AG12" s="859">
        <v>0</v>
      </c>
      <c r="AH12" s="858">
        <f t="shared" si="0"/>
        <v>0</v>
      </c>
    </row>
    <row r="13" spans="1:34" ht="13.8">
      <c r="A13" s="603" t="s">
        <v>154</v>
      </c>
      <c r="B13" s="831">
        <f t="shared" si="1"/>
        <v>0</v>
      </c>
      <c r="C13" s="1086">
        <v>0</v>
      </c>
      <c r="D13" s="1087">
        <v>0</v>
      </c>
      <c r="E13" s="1087">
        <v>0</v>
      </c>
      <c r="F13" s="1087">
        <v>0</v>
      </c>
      <c r="G13" s="1087">
        <v>0</v>
      </c>
      <c r="H13" s="1087">
        <v>0</v>
      </c>
      <c r="I13" s="1087">
        <v>0</v>
      </c>
      <c r="J13" s="1087">
        <v>0</v>
      </c>
      <c r="K13" s="1087">
        <v>0</v>
      </c>
      <c r="L13" s="1087">
        <v>0</v>
      </c>
      <c r="M13" s="1087">
        <v>0</v>
      </c>
      <c r="N13" s="1087">
        <v>0</v>
      </c>
      <c r="O13" s="1087">
        <v>0</v>
      </c>
      <c r="P13" s="1087">
        <v>0</v>
      </c>
      <c r="Q13" s="1087">
        <v>0</v>
      </c>
      <c r="R13" s="1087">
        <v>0</v>
      </c>
      <c r="S13" s="1087">
        <v>0</v>
      </c>
      <c r="T13" s="859">
        <v>0</v>
      </c>
      <c r="U13" s="859">
        <v>0</v>
      </c>
      <c r="V13" s="859">
        <v>0</v>
      </c>
      <c r="W13" s="859">
        <v>0</v>
      </c>
      <c r="X13" s="859">
        <v>0</v>
      </c>
      <c r="Y13" s="859">
        <v>0</v>
      </c>
      <c r="Z13" s="859">
        <v>0</v>
      </c>
      <c r="AA13" s="859">
        <v>0</v>
      </c>
      <c r="AB13" s="859">
        <v>0</v>
      </c>
      <c r="AC13" s="859">
        <v>0</v>
      </c>
      <c r="AD13" s="859">
        <v>0</v>
      </c>
      <c r="AE13" s="859">
        <v>0</v>
      </c>
      <c r="AF13" s="859">
        <v>0</v>
      </c>
      <c r="AG13" s="859">
        <v>0</v>
      </c>
      <c r="AH13" s="858">
        <f t="shared" si="0"/>
        <v>0</v>
      </c>
    </row>
    <row r="14" spans="1:34" ht="13.8">
      <c r="A14" s="603" t="s">
        <v>155</v>
      </c>
      <c r="B14" s="831">
        <f t="shared" si="1"/>
        <v>127.63999999999999</v>
      </c>
      <c r="C14" s="3028"/>
      <c r="D14" s="3028"/>
      <c r="E14" s="3028"/>
      <c r="F14" s="3028"/>
      <c r="G14" s="3028"/>
      <c r="H14" s="3028"/>
      <c r="I14" s="3028"/>
      <c r="J14" s="3028"/>
      <c r="K14" s="3028"/>
      <c r="L14" s="3028"/>
      <c r="M14" s="3028"/>
      <c r="N14" s="3028"/>
      <c r="O14" s="3028"/>
      <c r="P14" s="3028"/>
      <c r="Q14" s="3028"/>
      <c r="R14" s="3028"/>
      <c r="S14" s="3028"/>
      <c r="T14" s="3028"/>
      <c r="U14" s="3028"/>
      <c r="V14" s="3028"/>
      <c r="W14" s="3028"/>
      <c r="X14" s="3028"/>
      <c r="Y14" s="3028"/>
      <c r="Z14" s="3028"/>
      <c r="AA14" s="3028"/>
      <c r="AB14" s="3233">
        <v>42.9</v>
      </c>
      <c r="AC14" s="3233">
        <v>84.74</v>
      </c>
      <c r="AD14" s="3028"/>
      <c r="AE14" s="3028"/>
      <c r="AF14" s="3028"/>
      <c r="AG14" s="3028"/>
      <c r="AH14" s="858">
        <f t="shared" si="0"/>
        <v>127.63999999999999</v>
      </c>
    </row>
    <row r="15" spans="1:34" ht="13.8">
      <c r="A15" s="603" t="s">
        <v>156</v>
      </c>
      <c r="B15" s="831">
        <f t="shared" si="1"/>
        <v>0</v>
      </c>
      <c r="C15" s="1086">
        <v>0</v>
      </c>
      <c r="D15" s="1087">
        <v>0</v>
      </c>
      <c r="E15" s="1087">
        <v>0</v>
      </c>
      <c r="F15" s="1087">
        <v>0</v>
      </c>
      <c r="G15" s="1087">
        <v>0</v>
      </c>
      <c r="H15" s="1087">
        <v>0</v>
      </c>
      <c r="I15" s="1087">
        <v>0</v>
      </c>
      <c r="J15" s="1087">
        <v>0</v>
      </c>
      <c r="K15" s="1087">
        <v>0</v>
      </c>
      <c r="L15" s="3139"/>
      <c r="M15" s="1087">
        <v>0</v>
      </c>
      <c r="N15" s="1087">
        <v>0</v>
      </c>
      <c r="O15" s="1087">
        <v>0</v>
      </c>
      <c r="P15" s="1087">
        <v>0</v>
      </c>
      <c r="Q15" s="1087">
        <v>0</v>
      </c>
      <c r="R15" s="1087">
        <v>0</v>
      </c>
      <c r="S15" s="1087">
        <v>0</v>
      </c>
      <c r="T15" s="859">
        <v>0</v>
      </c>
      <c r="U15" s="859">
        <v>0</v>
      </c>
      <c r="V15" s="859">
        <v>0</v>
      </c>
      <c r="W15" s="859">
        <v>0</v>
      </c>
      <c r="X15" s="859">
        <v>0</v>
      </c>
      <c r="Y15" s="859">
        <v>0</v>
      </c>
      <c r="Z15" s="859">
        <v>0</v>
      </c>
      <c r="AA15" s="859">
        <v>0</v>
      </c>
      <c r="AB15" s="859">
        <v>0</v>
      </c>
      <c r="AC15" s="859">
        <v>0</v>
      </c>
      <c r="AD15" s="859">
        <v>0</v>
      </c>
      <c r="AE15" s="859">
        <v>0</v>
      </c>
      <c r="AF15" s="859">
        <v>0</v>
      </c>
      <c r="AG15" s="859">
        <v>0</v>
      </c>
      <c r="AH15" s="858">
        <f t="shared" si="0"/>
        <v>0</v>
      </c>
    </row>
    <row r="16" spans="1:34" ht="13.8">
      <c r="A16" s="580" t="s">
        <v>111</v>
      </c>
      <c r="B16" s="860">
        <f>SUM(B4:B15)</f>
        <v>19998.169999999995</v>
      </c>
      <c r="C16" s="1088"/>
      <c r="D16" s="1088"/>
      <c r="E16" s="1088"/>
      <c r="F16" s="1088"/>
      <c r="G16" s="1088"/>
      <c r="H16" s="1088"/>
      <c r="I16" s="1088"/>
      <c r="J16" s="1088"/>
      <c r="K16" s="1088"/>
      <c r="L16" s="1088"/>
      <c r="M16" s="1088"/>
      <c r="N16" s="1088"/>
      <c r="O16" s="1088"/>
      <c r="P16" s="1088"/>
      <c r="Q16" s="1088"/>
      <c r="R16" s="1088"/>
      <c r="S16" s="1088"/>
      <c r="T16" s="861"/>
      <c r="U16" s="861"/>
      <c r="V16" s="861"/>
      <c r="W16" s="861"/>
      <c r="X16" s="861"/>
      <c r="Y16" s="861"/>
      <c r="Z16" s="861"/>
      <c r="AA16" s="861"/>
      <c r="AB16" s="861"/>
      <c r="AC16" s="861"/>
      <c r="AD16" s="861"/>
      <c r="AE16" s="861"/>
      <c r="AF16" s="861"/>
      <c r="AG16" s="861"/>
      <c r="AH16" s="858">
        <f t="shared" si="0"/>
        <v>0</v>
      </c>
    </row>
    <row r="17" spans="1:34">
      <c r="A17" s="930" t="s">
        <v>709</v>
      </c>
      <c r="B17" s="2735">
        <v>20000</v>
      </c>
      <c r="C17" s="646"/>
      <c r="D17" s="646"/>
      <c r="E17" s="646"/>
      <c r="F17" s="646"/>
      <c r="G17" s="646"/>
      <c r="H17" s="646"/>
      <c r="I17" s="646"/>
      <c r="J17" s="646"/>
      <c r="K17" s="646"/>
      <c r="L17" s="646"/>
      <c r="M17" s="646"/>
      <c r="N17" s="646"/>
      <c r="O17" s="646"/>
      <c r="P17" s="646"/>
      <c r="Q17" s="646"/>
      <c r="R17" s="646"/>
      <c r="S17" s="646"/>
      <c r="T17" s="646"/>
      <c r="U17" s="646"/>
      <c r="V17" s="646"/>
      <c r="W17" s="646"/>
      <c r="X17" s="646"/>
      <c r="Y17" s="646"/>
      <c r="Z17" s="646"/>
      <c r="AA17" s="646"/>
      <c r="AB17" s="646"/>
      <c r="AC17" s="646"/>
      <c r="AD17" s="646"/>
      <c r="AE17" s="646"/>
      <c r="AF17" s="646"/>
      <c r="AG17" s="646"/>
      <c r="AH17" s="646"/>
    </row>
    <row r="18" spans="1:34" ht="13.8">
      <c r="A18" s="932" t="s">
        <v>128</v>
      </c>
      <c r="B18" s="2735">
        <f>+B17-B16</f>
        <v>1.8300000000053842</v>
      </c>
      <c r="C18" s="3030" t="s">
        <v>1136</v>
      </c>
    </row>
    <row r="19" spans="1:34" ht="13.8">
      <c r="A19" s="1140"/>
      <c r="B19" s="1141"/>
    </row>
    <row r="20" spans="1:34" ht="13.8">
      <c r="A20" s="1140"/>
      <c r="B20" s="1141"/>
    </row>
    <row r="21" spans="1:34" ht="13.8">
      <c r="A21" s="779" t="s">
        <v>775</v>
      </c>
      <c r="B21" s="780"/>
      <c r="C21" s="781"/>
      <c r="D21" s="854"/>
      <c r="E21" s="854"/>
      <c r="F21" s="854"/>
      <c r="G21" s="854"/>
      <c r="H21" s="854"/>
      <c r="I21" s="854"/>
      <c r="J21" s="854"/>
      <c r="K21" s="854"/>
      <c r="L21" s="854"/>
      <c r="M21" s="855"/>
      <c r="N21" s="854"/>
      <c r="O21" s="854"/>
      <c r="P21" s="854"/>
      <c r="Q21" s="854"/>
      <c r="R21" s="854"/>
      <c r="S21" s="854"/>
      <c r="T21" s="854"/>
      <c r="U21" s="854"/>
      <c r="V21" s="854"/>
      <c r="W21" s="854"/>
      <c r="X21" s="854"/>
      <c r="Y21" s="854"/>
      <c r="Z21" s="854"/>
      <c r="AA21" s="854"/>
      <c r="AB21" s="854"/>
      <c r="AC21" s="854"/>
      <c r="AD21" s="854"/>
      <c r="AE21" s="854"/>
      <c r="AF21" s="854"/>
      <c r="AG21" s="854"/>
      <c r="AH21" s="646"/>
    </row>
    <row r="22" spans="1:34" ht="13.8">
      <c r="A22" s="572" t="s">
        <v>142</v>
      </c>
      <c r="B22" s="856" t="s">
        <v>143</v>
      </c>
      <c r="C22" s="1083">
        <v>1</v>
      </c>
      <c r="D22" s="1083">
        <v>2</v>
      </c>
      <c r="E22" s="1083">
        <v>3</v>
      </c>
      <c r="F22" s="1083">
        <v>4</v>
      </c>
      <c r="G22" s="1083">
        <v>5</v>
      </c>
      <c r="H22" s="1083">
        <v>6</v>
      </c>
      <c r="I22" s="1083">
        <v>7</v>
      </c>
      <c r="J22" s="1083">
        <v>8</v>
      </c>
      <c r="K22" s="1083">
        <v>9</v>
      </c>
      <c r="L22" s="1083">
        <v>10</v>
      </c>
      <c r="M22" s="1083">
        <v>11</v>
      </c>
      <c r="N22" s="1083">
        <v>12</v>
      </c>
      <c r="O22" s="1083">
        <v>13</v>
      </c>
      <c r="P22" s="1083">
        <v>14</v>
      </c>
      <c r="Q22" s="1083">
        <v>15</v>
      </c>
      <c r="R22" s="1083">
        <v>16</v>
      </c>
      <c r="S22" s="1083">
        <v>17</v>
      </c>
      <c r="T22" s="883">
        <v>18</v>
      </c>
      <c r="U22" s="883">
        <v>19</v>
      </c>
      <c r="V22" s="883">
        <v>20</v>
      </c>
      <c r="W22" s="883">
        <v>21</v>
      </c>
      <c r="X22" s="883">
        <v>22</v>
      </c>
      <c r="Y22" s="883">
        <v>23</v>
      </c>
      <c r="Z22" s="883">
        <v>24</v>
      </c>
      <c r="AA22" s="883">
        <v>25</v>
      </c>
      <c r="AB22" s="883">
        <v>26</v>
      </c>
      <c r="AC22" s="883">
        <v>27</v>
      </c>
      <c r="AD22" s="883">
        <v>28</v>
      </c>
      <c r="AE22" s="883">
        <v>29</v>
      </c>
      <c r="AF22" s="883">
        <v>30</v>
      </c>
      <c r="AG22" s="883">
        <v>31</v>
      </c>
      <c r="AH22" s="857" t="s">
        <v>111</v>
      </c>
    </row>
    <row r="23" spans="1:34" ht="13.8">
      <c r="A23" s="573" t="s">
        <v>145</v>
      </c>
      <c r="B23" s="831"/>
      <c r="C23" s="1084">
        <v>0</v>
      </c>
      <c r="D23" s="1084">
        <v>0</v>
      </c>
      <c r="E23" s="1084">
        <v>0</v>
      </c>
      <c r="F23" s="1084">
        <v>0</v>
      </c>
      <c r="G23" s="1084">
        <v>0</v>
      </c>
      <c r="H23" s="1084">
        <v>0</v>
      </c>
      <c r="I23" s="1084">
        <v>0</v>
      </c>
      <c r="J23" s="1084">
        <v>0</v>
      </c>
      <c r="K23" s="1084">
        <v>0</v>
      </c>
      <c r="L23" s="1084">
        <v>0</v>
      </c>
      <c r="M23" s="1084">
        <v>0</v>
      </c>
      <c r="N23" s="1084">
        <v>0</v>
      </c>
      <c r="O23" s="1084">
        <v>0</v>
      </c>
      <c r="P23" s="1084">
        <v>0</v>
      </c>
      <c r="Q23" s="1084">
        <v>0</v>
      </c>
      <c r="R23" s="1084">
        <v>0</v>
      </c>
      <c r="S23" s="1084">
        <v>0</v>
      </c>
      <c r="T23" s="1084">
        <v>0</v>
      </c>
      <c r="U23" s="1084">
        <v>0</v>
      </c>
      <c r="V23" s="1084">
        <v>0</v>
      </c>
      <c r="W23" s="1084">
        <v>0</v>
      </c>
      <c r="X23" s="1084">
        <v>0</v>
      </c>
      <c r="Y23" s="1084">
        <v>0</v>
      </c>
      <c r="Z23" s="1084">
        <v>0</v>
      </c>
      <c r="AA23" s="1084">
        <v>0</v>
      </c>
      <c r="AB23" s="1084">
        <v>0</v>
      </c>
      <c r="AC23" s="1084">
        <v>0</v>
      </c>
      <c r="AD23" s="1084">
        <v>0</v>
      </c>
      <c r="AE23" s="1084">
        <v>0</v>
      </c>
      <c r="AF23" s="1084">
        <v>0</v>
      </c>
      <c r="AG23" s="1084">
        <v>0</v>
      </c>
      <c r="AH23" s="858">
        <f>SUM(C23:AG23)</f>
        <v>0</v>
      </c>
    </row>
    <row r="24" spans="1:34" ht="13.8">
      <c r="A24" s="573" t="s">
        <v>146</v>
      </c>
      <c r="B24" s="831"/>
      <c r="C24" s="1084">
        <v>0</v>
      </c>
      <c r="D24" s="1084">
        <v>0</v>
      </c>
      <c r="E24" s="1084">
        <v>0</v>
      </c>
      <c r="F24" s="1084">
        <v>0</v>
      </c>
      <c r="G24" s="1084">
        <v>0</v>
      </c>
      <c r="H24" s="1084">
        <v>0</v>
      </c>
      <c r="I24" s="1084">
        <v>0</v>
      </c>
      <c r="J24" s="1084">
        <v>0</v>
      </c>
      <c r="K24" s="1084">
        <v>0</v>
      </c>
      <c r="L24" s="1084">
        <v>0</v>
      </c>
      <c r="M24" s="1084">
        <v>0</v>
      </c>
      <c r="N24" s="1084">
        <v>0</v>
      </c>
      <c r="O24" s="1084">
        <v>0</v>
      </c>
      <c r="P24" s="1084">
        <v>0</v>
      </c>
      <c r="Q24" s="1084">
        <v>0</v>
      </c>
      <c r="R24" s="1084">
        <v>0</v>
      </c>
      <c r="S24" s="1084">
        <v>0</v>
      </c>
      <c r="T24" s="1084">
        <v>0</v>
      </c>
      <c r="U24" s="1084">
        <v>0</v>
      </c>
      <c r="V24" s="1084">
        <v>0</v>
      </c>
      <c r="W24" s="1084">
        <v>0</v>
      </c>
      <c r="X24" s="1084">
        <v>0</v>
      </c>
      <c r="Y24" s="1084">
        <v>0</v>
      </c>
      <c r="Z24" s="1084">
        <v>0</v>
      </c>
      <c r="AA24" s="1084">
        <v>0</v>
      </c>
      <c r="AB24" s="1084">
        <v>0</v>
      </c>
      <c r="AC24" s="1084">
        <v>0</v>
      </c>
      <c r="AD24" s="1084">
        <v>0</v>
      </c>
      <c r="AE24" s="1084">
        <v>0</v>
      </c>
      <c r="AF24" s="1084">
        <v>0</v>
      </c>
      <c r="AG24" s="1084">
        <v>0</v>
      </c>
      <c r="AH24" s="858">
        <f>SUM(C24:AG24)</f>
        <v>0</v>
      </c>
    </row>
    <row r="25" spans="1:34" ht="13.8">
      <c r="A25" s="573" t="s">
        <v>147</v>
      </c>
      <c r="B25" s="831"/>
      <c r="C25" s="1084">
        <v>0</v>
      </c>
      <c r="D25" s="1084">
        <v>0</v>
      </c>
      <c r="E25" s="1084">
        <v>0</v>
      </c>
      <c r="F25" s="1084">
        <v>0</v>
      </c>
      <c r="G25" s="1084">
        <v>0</v>
      </c>
      <c r="H25" s="1084">
        <v>0</v>
      </c>
      <c r="I25" s="1084">
        <v>0</v>
      </c>
      <c r="J25" s="1084">
        <v>0</v>
      </c>
      <c r="K25" s="1084">
        <v>0</v>
      </c>
      <c r="L25" s="1084">
        <v>0</v>
      </c>
      <c r="M25" s="1084">
        <v>0</v>
      </c>
      <c r="N25" s="1084">
        <v>0</v>
      </c>
      <c r="O25" s="1084">
        <v>0</v>
      </c>
      <c r="P25" s="1084">
        <v>0</v>
      </c>
      <c r="Q25" s="1084">
        <v>0</v>
      </c>
      <c r="R25" s="1084">
        <v>0</v>
      </c>
      <c r="S25" s="1084">
        <v>0</v>
      </c>
      <c r="T25" s="1084">
        <v>0</v>
      </c>
      <c r="U25" s="1084">
        <v>0</v>
      </c>
      <c r="V25" s="1084">
        <v>0</v>
      </c>
      <c r="W25" s="1084">
        <v>0</v>
      </c>
      <c r="X25" s="1084">
        <v>0</v>
      </c>
      <c r="Y25" s="1084">
        <v>0</v>
      </c>
      <c r="Z25" s="1084">
        <v>0</v>
      </c>
      <c r="AA25" s="1084">
        <v>0</v>
      </c>
      <c r="AB25" s="1084">
        <v>0</v>
      </c>
      <c r="AC25" s="1084">
        <v>0</v>
      </c>
      <c r="AD25" s="1084">
        <v>0</v>
      </c>
      <c r="AE25" s="1084">
        <v>0</v>
      </c>
      <c r="AF25" s="1084">
        <v>0</v>
      </c>
      <c r="AG25" s="1084">
        <v>0</v>
      </c>
      <c r="AH25" s="858">
        <f>SUM(C25:AG25)</f>
        <v>0</v>
      </c>
    </row>
    <row r="26" spans="1:34" ht="13.8">
      <c r="A26" s="573" t="s">
        <v>148</v>
      </c>
      <c r="B26" s="831"/>
      <c r="C26" s="1084">
        <v>0</v>
      </c>
      <c r="D26" s="1084">
        <v>0</v>
      </c>
      <c r="E26" s="1084">
        <v>0</v>
      </c>
      <c r="F26" s="1084">
        <v>0</v>
      </c>
      <c r="G26" s="1084">
        <v>0</v>
      </c>
      <c r="H26" s="1084">
        <v>0</v>
      </c>
      <c r="I26" s="1084">
        <v>0</v>
      </c>
      <c r="J26" s="1084">
        <v>0</v>
      </c>
      <c r="K26" s="1084">
        <v>0</v>
      </c>
      <c r="L26" s="1084">
        <v>0</v>
      </c>
      <c r="M26" s="1084">
        <v>0</v>
      </c>
      <c r="N26" s="1084">
        <v>0</v>
      </c>
      <c r="O26" s="1084">
        <v>0</v>
      </c>
      <c r="P26" s="1084">
        <v>0</v>
      </c>
      <c r="Q26" s="1084">
        <v>0</v>
      </c>
      <c r="R26" s="1084">
        <v>0</v>
      </c>
      <c r="S26" s="1084">
        <v>0</v>
      </c>
      <c r="T26" s="1084">
        <v>0</v>
      </c>
      <c r="U26" s="1084">
        <v>0</v>
      </c>
      <c r="V26" s="1084">
        <v>0</v>
      </c>
      <c r="W26" s="1084">
        <v>0</v>
      </c>
      <c r="X26" s="1084">
        <v>0</v>
      </c>
      <c r="Y26" s="1084">
        <v>0</v>
      </c>
      <c r="Z26" s="1084">
        <v>0</v>
      </c>
      <c r="AA26" s="1084">
        <v>0</v>
      </c>
      <c r="AB26" s="1084">
        <v>0</v>
      </c>
      <c r="AC26" s="1084">
        <v>0</v>
      </c>
      <c r="AD26" s="1084">
        <v>0</v>
      </c>
      <c r="AE26" s="1084">
        <v>0</v>
      </c>
      <c r="AF26" s="1084">
        <v>0</v>
      </c>
      <c r="AG26" s="1084">
        <v>0</v>
      </c>
      <c r="AH26" s="858">
        <f t="shared" ref="AH26:AH35" si="2">SUM(C26:AG26)</f>
        <v>0</v>
      </c>
    </row>
    <row r="27" spans="1:34" ht="13.8">
      <c r="A27" s="573" t="s">
        <v>149</v>
      </c>
      <c r="B27" s="831"/>
      <c r="C27" s="1084">
        <v>0</v>
      </c>
      <c r="D27" s="1084">
        <v>0</v>
      </c>
      <c r="E27" s="1084">
        <v>0</v>
      </c>
      <c r="F27" s="1084">
        <v>0</v>
      </c>
      <c r="G27" s="1084">
        <v>0</v>
      </c>
      <c r="H27" s="1084">
        <v>0</v>
      </c>
      <c r="I27" s="1084">
        <v>0</v>
      </c>
      <c r="J27" s="1084">
        <v>0</v>
      </c>
      <c r="K27" s="1084">
        <v>0</v>
      </c>
      <c r="L27" s="1084">
        <v>0</v>
      </c>
      <c r="M27" s="1084">
        <v>0</v>
      </c>
      <c r="N27" s="1084">
        <v>0</v>
      </c>
      <c r="O27" s="1084">
        <v>0</v>
      </c>
      <c r="P27" s="1084">
        <v>0</v>
      </c>
      <c r="Q27" s="1084">
        <v>0</v>
      </c>
      <c r="R27" s="1084">
        <v>0</v>
      </c>
      <c r="S27" s="1084">
        <v>0</v>
      </c>
      <c r="T27" s="1084">
        <v>0</v>
      </c>
      <c r="U27" s="1084">
        <v>0</v>
      </c>
      <c r="V27" s="1084">
        <v>0</v>
      </c>
      <c r="W27" s="1084">
        <v>0</v>
      </c>
      <c r="X27" s="1084">
        <v>0</v>
      </c>
      <c r="Y27" s="1084">
        <v>0</v>
      </c>
      <c r="Z27" s="1084">
        <v>0</v>
      </c>
      <c r="AA27" s="1084">
        <v>0</v>
      </c>
      <c r="AB27" s="1359">
        <v>0</v>
      </c>
      <c r="AC27" s="1359">
        <v>0</v>
      </c>
      <c r="AD27" s="1359">
        <v>0</v>
      </c>
      <c r="AE27" s="1359">
        <v>0</v>
      </c>
      <c r="AF27" s="1359">
        <v>0</v>
      </c>
      <c r="AG27" s="1359">
        <v>0</v>
      </c>
      <c r="AH27" s="858">
        <v>0</v>
      </c>
    </row>
    <row r="28" spans="1:34" ht="13.8">
      <c r="A28" s="573" t="s">
        <v>150</v>
      </c>
      <c r="B28" s="831">
        <f>+AH28</f>
        <v>4773.8689999999997</v>
      </c>
      <c r="C28" s="1013"/>
      <c r="D28" s="1359"/>
      <c r="E28" s="1359"/>
      <c r="F28" s="1359"/>
      <c r="G28" s="1359"/>
      <c r="H28" s="1359"/>
      <c r="I28" s="1359"/>
      <c r="J28" s="1359"/>
      <c r="K28" s="1359"/>
      <c r="L28" s="1359"/>
      <c r="M28" s="1359"/>
      <c r="N28" s="1359"/>
      <c r="O28" s="1359"/>
      <c r="P28" s="1359"/>
      <c r="Q28" s="1359"/>
      <c r="R28" s="1359"/>
      <c r="S28" s="1359"/>
      <c r="T28" s="1359"/>
      <c r="U28" s="1359"/>
      <c r="V28" s="1359"/>
      <c r="W28" s="1359"/>
      <c r="X28" s="1135">
        <v>852.48500000000001</v>
      </c>
      <c r="Y28" s="1359">
        <v>344.90400000000005</v>
      </c>
      <c r="Z28" s="1359"/>
      <c r="AA28" s="1359">
        <v>906.81500000000005</v>
      </c>
      <c r="AB28" s="1359">
        <v>1211.681</v>
      </c>
      <c r="AC28" s="1359">
        <v>1019.3119999999999</v>
      </c>
      <c r="AD28" s="1359">
        <v>166.57</v>
      </c>
      <c r="AE28" s="1359">
        <v>272.10199999999998</v>
      </c>
      <c r="AF28" s="1359"/>
      <c r="AG28" s="1359"/>
      <c r="AH28" s="858">
        <f t="shared" si="2"/>
        <v>4773.8689999999997</v>
      </c>
    </row>
    <row r="29" spans="1:34" ht="13.8">
      <c r="A29" s="603" t="s">
        <v>151</v>
      </c>
      <c r="B29" s="831">
        <f t="shared" ref="B29:B34" si="3">+AH29</f>
        <v>0</v>
      </c>
      <c r="C29" s="1013"/>
      <c r="D29" s="1359"/>
      <c r="E29" s="1359"/>
      <c r="F29" s="1359"/>
      <c r="G29" s="1359"/>
      <c r="H29" s="1359"/>
      <c r="I29" s="1359"/>
      <c r="J29" s="1359"/>
      <c r="K29" s="1359"/>
      <c r="L29" s="1359"/>
      <c r="M29" s="1359"/>
      <c r="N29" s="1359"/>
      <c r="O29" s="1359"/>
      <c r="P29" s="1359"/>
      <c r="Q29" s="1359"/>
      <c r="R29" s="1359"/>
      <c r="S29" s="1359"/>
      <c r="T29" s="1359"/>
      <c r="U29" s="1359"/>
      <c r="V29" s="1359"/>
      <c r="W29" s="1359"/>
      <c r="X29" s="1359"/>
      <c r="Y29" s="1359"/>
      <c r="Z29" s="1359"/>
      <c r="AA29" s="1359"/>
      <c r="AB29" s="1359"/>
      <c r="AC29" s="1359"/>
      <c r="AD29" s="1359"/>
      <c r="AE29" s="1359"/>
      <c r="AF29" s="1359"/>
      <c r="AG29" s="1359"/>
      <c r="AH29" s="858">
        <f t="shared" si="2"/>
        <v>0</v>
      </c>
    </row>
    <row r="30" spans="1:34" ht="13.8">
      <c r="A30" s="603" t="s">
        <v>152</v>
      </c>
      <c r="B30" s="831">
        <f t="shared" si="3"/>
        <v>6604.777</v>
      </c>
      <c r="C30" s="1013"/>
      <c r="D30" s="1359"/>
      <c r="E30" s="1359"/>
      <c r="F30" s="1359">
        <v>586.60699999999997</v>
      </c>
      <c r="G30" s="1359"/>
      <c r="H30" s="1359">
        <v>910.62600000000009</v>
      </c>
      <c r="I30" s="1359">
        <v>531.04499999999996</v>
      </c>
      <c r="J30" s="1359">
        <v>280.411</v>
      </c>
      <c r="K30" s="1359">
        <v>306.41500000000002</v>
      </c>
      <c r="L30" s="1359">
        <v>442.28199999999993</v>
      </c>
      <c r="M30" s="1359">
        <v>145.369</v>
      </c>
      <c r="N30" s="1359"/>
      <c r="O30" s="1359">
        <v>361.83</v>
      </c>
      <c r="P30" s="1359"/>
      <c r="Q30" s="1359"/>
      <c r="R30" s="1359"/>
      <c r="S30" s="1359">
        <v>174.239</v>
      </c>
      <c r="T30" s="1359"/>
      <c r="U30" s="1359"/>
      <c r="V30" s="1359">
        <v>445.79500000000002</v>
      </c>
      <c r="W30" s="1359">
        <v>203.18700000000001</v>
      </c>
      <c r="X30" s="1359">
        <v>1054.087</v>
      </c>
      <c r="Y30" s="1359">
        <v>1162.8840000000005</v>
      </c>
      <c r="Z30" s="1359"/>
      <c r="AA30" s="1359"/>
      <c r="AB30" s="1359"/>
      <c r="AC30" s="1359"/>
      <c r="AD30" s="1359"/>
      <c r="AE30" s="1359"/>
      <c r="AF30" s="1359"/>
      <c r="AG30" s="1359"/>
      <c r="AH30" s="858">
        <f t="shared" si="2"/>
        <v>6604.777</v>
      </c>
    </row>
    <row r="31" spans="1:34" ht="13.8">
      <c r="A31" s="603" t="s">
        <v>153</v>
      </c>
      <c r="B31" s="831">
        <f t="shared" si="3"/>
        <v>1034.76</v>
      </c>
      <c r="C31" s="1013"/>
      <c r="D31" s="1359"/>
      <c r="E31" s="1359"/>
      <c r="F31" s="1359"/>
      <c r="G31" s="1359"/>
      <c r="H31" s="1359"/>
      <c r="I31" s="1359"/>
      <c r="J31" s="1359"/>
      <c r="K31" s="1359"/>
      <c r="L31" s="1359"/>
      <c r="M31" s="1359"/>
      <c r="N31" s="1359"/>
      <c r="O31" s="1359"/>
      <c r="P31" s="1359"/>
      <c r="Q31" s="1359"/>
      <c r="R31" s="1359"/>
      <c r="S31" s="1359"/>
      <c r="T31" s="1359"/>
      <c r="U31" s="1359"/>
      <c r="V31" s="1359"/>
      <c r="W31" s="1359"/>
      <c r="X31" s="1359"/>
      <c r="Y31" s="1359"/>
      <c r="Z31" s="1359">
        <v>1034.76</v>
      </c>
      <c r="AA31" s="1359"/>
      <c r="AB31" s="1359"/>
      <c r="AC31" s="1359"/>
      <c r="AD31" s="1359"/>
      <c r="AE31" s="1359"/>
      <c r="AF31" s="1359"/>
      <c r="AG31" s="1359"/>
      <c r="AH31" s="858">
        <f t="shared" si="2"/>
        <v>1034.76</v>
      </c>
    </row>
    <row r="32" spans="1:34" ht="13.8">
      <c r="A32" s="603" t="s">
        <v>154</v>
      </c>
      <c r="B32" s="831">
        <f t="shared" si="3"/>
        <v>6857.8430000000008</v>
      </c>
      <c r="C32" s="1013">
        <v>563.39499999999998</v>
      </c>
      <c r="D32" s="1359"/>
      <c r="E32" s="1359"/>
      <c r="F32" s="1359"/>
      <c r="G32" s="1359"/>
      <c r="H32" s="1359"/>
      <c r="I32" s="1359"/>
      <c r="J32" s="1359"/>
      <c r="K32" s="1359"/>
      <c r="L32" s="1359"/>
      <c r="M32" s="1359"/>
      <c r="N32" s="1359"/>
      <c r="O32" s="1359"/>
      <c r="P32" s="1359"/>
      <c r="Q32" s="1359">
        <v>1151.162</v>
      </c>
      <c r="R32" s="1359">
        <v>1030.133</v>
      </c>
      <c r="S32" s="1359">
        <v>218.34099999999998</v>
      </c>
      <c r="T32" s="1359">
        <v>1537.415</v>
      </c>
      <c r="U32" s="1359">
        <v>1376.0430000000003</v>
      </c>
      <c r="V32" s="1359">
        <v>981.35400000000004</v>
      </c>
      <c r="W32" s="1359"/>
      <c r="X32" s="1359"/>
      <c r="Y32" s="1359"/>
      <c r="Z32" s="1359"/>
      <c r="AA32" s="1359"/>
      <c r="AB32" s="1359"/>
      <c r="AC32" s="1359"/>
      <c r="AD32" s="1359"/>
      <c r="AE32" s="1359"/>
      <c r="AF32" s="1359"/>
      <c r="AG32" s="1359"/>
      <c r="AH32" s="858">
        <f t="shared" si="2"/>
        <v>6857.8430000000008</v>
      </c>
    </row>
    <row r="33" spans="1:34" ht="13.8">
      <c r="A33" s="603" t="s">
        <v>155</v>
      </c>
      <c r="B33" s="831">
        <f t="shared" si="3"/>
        <v>726.86</v>
      </c>
      <c r="C33" s="1013"/>
      <c r="D33" s="1359"/>
      <c r="E33" s="1359"/>
      <c r="F33" s="1359"/>
      <c r="G33" s="1359"/>
      <c r="H33" s="1359"/>
      <c r="I33" s="1359"/>
      <c r="J33" s="1359"/>
      <c r="K33" s="1359"/>
      <c r="L33" s="1359"/>
      <c r="M33" s="1359"/>
      <c r="N33" s="1359"/>
      <c r="O33" s="1359"/>
      <c r="P33" s="1359"/>
      <c r="Q33" s="1359"/>
      <c r="R33" s="1359"/>
      <c r="S33" s="1359"/>
      <c r="T33" s="1359"/>
      <c r="U33" s="1359"/>
      <c r="V33" s="1359"/>
      <c r="W33" s="1359"/>
      <c r="X33" s="1359"/>
      <c r="Y33" s="1359"/>
      <c r="Z33" s="1359"/>
      <c r="AA33" s="1359"/>
      <c r="AB33" s="3234">
        <v>726.86</v>
      </c>
      <c r="AC33" s="1359"/>
      <c r="AD33" s="1359"/>
      <c r="AE33" s="1359"/>
      <c r="AF33" s="1359"/>
      <c r="AG33" s="1359"/>
      <c r="AH33" s="858">
        <f t="shared" si="2"/>
        <v>726.86</v>
      </c>
    </row>
    <row r="34" spans="1:34" ht="13.8">
      <c r="A34" s="603" t="s">
        <v>156</v>
      </c>
      <c r="B34" s="831">
        <f t="shared" si="3"/>
        <v>0</v>
      </c>
      <c r="C34" s="1013"/>
      <c r="D34" s="1359"/>
      <c r="E34" s="1359"/>
      <c r="F34" s="1359"/>
      <c r="G34" s="1359"/>
      <c r="H34" s="1359"/>
      <c r="I34" s="1359"/>
      <c r="J34" s="1359"/>
      <c r="K34" s="1359"/>
      <c r="L34" s="1359"/>
      <c r="M34" s="1359"/>
      <c r="N34" s="1359"/>
      <c r="O34" s="1359"/>
      <c r="P34" s="1359"/>
      <c r="Q34" s="1359"/>
      <c r="R34" s="1359"/>
      <c r="S34" s="1359"/>
      <c r="T34" s="1359"/>
      <c r="U34" s="1359"/>
      <c r="V34" s="1359"/>
      <c r="W34" s="1359"/>
      <c r="X34" s="1359"/>
      <c r="Y34" s="1359"/>
      <c r="Z34" s="1359"/>
      <c r="AA34" s="1359"/>
      <c r="AB34" s="1359"/>
      <c r="AC34" s="1359"/>
      <c r="AD34" s="1359"/>
      <c r="AE34" s="1359"/>
      <c r="AF34" s="1359"/>
      <c r="AG34" s="1359"/>
      <c r="AH34" s="858">
        <f t="shared" si="2"/>
        <v>0</v>
      </c>
    </row>
    <row r="35" spans="1:34" ht="14.4" thickBot="1">
      <c r="A35" s="2736" t="s">
        <v>111</v>
      </c>
      <c r="B35" s="2737">
        <f>SUM(B23:B34)</f>
        <v>19998.109000000004</v>
      </c>
      <c r="C35" s="1088"/>
      <c r="D35" s="1088"/>
      <c r="E35" s="1088"/>
      <c r="F35" s="1088"/>
      <c r="G35" s="1088"/>
      <c r="H35" s="1088"/>
      <c r="I35" s="1088"/>
      <c r="J35" s="1088"/>
      <c r="K35" s="1088"/>
      <c r="L35" s="1088"/>
      <c r="M35" s="1088"/>
      <c r="N35" s="1088"/>
      <c r="O35" s="1088"/>
      <c r="P35" s="1088"/>
      <c r="Q35" s="1088"/>
      <c r="R35" s="1088"/>
      <c r="S35" s="1088"/>
      <c r="T35" s="861"/>
      <c r="U35" s="861"/>
      <c r="V35" s="861"/>
      <c r="W35" s="861"/>
      <c r="X35" s="861"/>
      <c r="Y35" s="861"/>
      <c r="Z35" s="861"/>
      <c r="AA35" s="861"/>
      <c r="AB35" s="861"/>
      <c r="AC35" s="861"/>
      <c r="AD35" s="861"/>
      <c r="AE35" s="861"/>
      <c r="AF35" s="861"/>
      <c r="AG35" s="861"/>
      <c r="AH35" s="858">
        <f t="shared" si="2"/>
        <v>0</v>
      </c>
    </row>
    <row r="36" spans="1:34" ht="13.8">
      <c r="A36" s="2738" t="s">
        <v>1134</v>
      </c>
      <c r="B36" s="2741">
        <v>20000</v>
      </c>
    </row>
    <row r="37" spans="1:34" ht="14.4" thickBot="1">
      <c r="A37" s="2740" t="s">
        <v>128</v>
      </c>
      <c r="B37" s="3032">
        <f>+B36-B35</f>
        <v>1.8909999999959837</v>
      </c>
      <c r="C37" s="3029" t="s">
        <v>1136</v>
      </c>
      <c r="H37" s="3236"/>
      <c r="I37" s="3080"/>
      <c r="J37" s="3080"/>
      <c r="K37" s="3235"/>
      <c r="L37" s="3080"/>
      <c r="M37" s="3235"/>
      <c r="N37" s="3235"/>
      <c r="O37" s="3080"/>
      <c r="P37" s="3080"/>
    </row>
    <row r="38" spans="1:34" ht="13.8">
      <c r="A38" s="1140"/>
      <c r="B38" s="1141"/>
    </row>
    <row r="39" spans="1:34" ht="13.8">
      <c r="A39" s="779" t="s">
        <v>1115</v>
      </c>
      <c r="B39" s="780"/>
      <c r="C39" s="781"/>
      <c r="D39" s="854"/>
      <c r="E39" s="854"/>
      <c r="F39" s="854"/>
      <c r="G39" s="854"/>
      <c r="H39" s="854"/>
      <c r="I39" s="854"/>
      <c r="J39" s="854"/>
      <c r="K39" s="854"/>
      <c r="L39" s="854"/>
      <c r="M39" s="855"/>
      <c r="N39" s="854"/>
      <c r="O39" s="854"/>
      <c r="P39" s="854"/>
      <c r="Q39" s="854"/>
      <c r="R39" s="854"/>
      <c r="S39" s="854"/>
      <c r="T39" s="854"/>
      <c r="U39" s="854"/>
      <c r="V39" s="854"/>
      <c r="W39" s="854"/>
      <c r="X39" s="854"/>
      <c r="Y39" s="854"/>
      <c r="Z39" s="854"/>
      <c r="AA39" s="854"/>
      <c r="AB39" s="854"/>
      <c r="AC39" s="854"/>
      <c r="AD39" s="854"/>
      <c r="AE39" s="854"/>
      <c r="AF39" s="854"/>
      <c r="AG39" s="854"/>
      <c r="AH39" s="646"/>
    </row>
    <row r="40" spans="1:34" ht="13.8">
      <c r="A40" s="572" t="s">
        <v>142</v>
      </c>
      <c r="B40" s="856" t="s">
        <v>143</v>
      </c>
      <c r="C40" s="1083">
        <v>1</v>
      </c>
      <c r="D40" s="1083">
        <v>2</v>
      </c>
      <c r="E40" s="1083">
        <v>3</v>
      </c>
      <c r="F40" s="1083">
        <v>4</v>
      </c>
      <c r="G40" s="1083">
        <v>5</v>
      </c>
      <c r="H40" s="1083">
        <v>6</v>
      </c>
      <c r="I40" s="1083">
        <v>7</v>
      </c>
      <c r="J40" s="1083">
        <v>8</v>
      </c>
      <c r="K40" s="1083">
        <v>9</v>
      </c>
      <c r="L40" s="1083">
        <v>10</v>
      </c>
      <c r="M40" s="1083">
        <v>11</v>
      </c>
      <c r="N40" s="1083">
        <v>12</v>
      </c>
      <c r="O40" s="1083">
        <v>13</v>
      </c>
      <c r="P40" s="1083">
        <v>14</v>
      </c>
      <c r="Q40" s="1083">
        <v>15</v>
      </c>
      <c r="R40" s="1083">
        <v>16</v>
      </c>
      <c r="S40" s="1083">
        <v>17</v>
      </c>
      <c r="T40" s="883">
        <v>18</v>
      </c>
      <c r="U40" s="883">
        <v>19</v>
      </c>
      <c r="V40" s="883">
        <v>20</v>
      </c>
      <c r="W40" s="883">
        <v>21</v>
      </c>
      <c r="X40" s="883">
        <v>22</v>
      </c>
      <c r="Y40" s="883">
        <v>23</v>
      </c>
      <c r="Z40" s="883">
        <v>24</v>
      </c>
      <c r="AA40" s="883">
        <v>25</v>
      </c>
      <c r="AB40" s="883">
        <v>26</v>
      </c>
      <c r="AC40" s="883">
        <v>27</v>
      </c>
      <c r="AD40" s="883">
        <v>28</v>
      </c>
      <c r="AE40" s="883">
        <v>29</v>
      </c>
      <c r="AF40" s="883">
        <v>30</v>
      </c>
      <c r="AG40" s="883">
        <v>31</v>
      </c>
      <c r="AH40" s="857" t="s">
        <v>111</v>
      </c>
    </row>
    <row r="41" spans="1:34" ht="13.8">
      <c r="A41" s="573" t="s">
        <v>145</v>
      </c>
      <c r="B41" s="831">
        <f t="shared" ref="B41:B46" si="4">+AH41</f>
        <v>0</v>
      </c>
      <c r="C41" s="1084">
        <v>0</v>
      </c>
      <c r="D41" s="1084">
        <v>0</v>
      </c>
      <c r="E41" s="1084">
        <v>0</v>
      </c>
      <c r="F41" s="1084">
        <v>0</v>
      </c>
      <c r="G41" s="1084">
        <v>0</v>
      </c>
      <c r="H41" s="1084">
        <v>0</v>
      </c>
      <c r="I41" s="1084">
        <v>0</v>
      </c>
      <c r="J41" s="1084">
        <v>0</v>
      </c>
      <c r="K41" s="1084">
        <v>0</v>
      </c>
      <c r="L41" s="1084">
        <v>0</v>
      </c>
      <c r="M41" s="1084">
        <v>0</v>
      </c>
      <c r="N41" s="1084">
        <v>0</v>
      </c>
      <c r="O41" s="1084">
        <v>0</v>
      </c>
      <c r="P41" s="1084">
        <v>0</v>
      </c>
      <c r="Q41" s="1084">
        <v>0</v>
      </c>
      <c r="R41" s="1084">
        <v>0</v>
      </c>
      <c r="S41" s="1084">
        <v>0</v>
      </c>
      <c r="T41" s="1084">
        <v>0</v>
      </c>
      <c r="U41" s="1084">
        <v>0</v>
      </c>
      <c r="V41" s="1084">
        <v>0</v>
      </c>
      <c r="W41" s="1084">
        <v>0</v>
      </c>
      <c r="X41" s="1084">
        <v>0</v>
      </c>
      <c r="Y41" s="1084">
        <v>0</v>
      </c>
      <c r="Z41" s="1084">
        <v>0</v>
      </c>
      <c r="AA41" s="1084">
        <v>0</v>
      </c>
      <c r="AB41" s="1084">
        <v>0</v>
      </c>
      <c r="AC41" s="1084">
        <v>0</v>
      </c>
      <c r="AD41" s="1084">
        <v>0</v>
      </c>
      <c r="AE41" s="1084">
        <v>0</v>
      </c>
      <c r="AF41" s="1084">
        <v>0</v>
      </c>
      <c r="AG41" s="1084">
        <v>0</v>
      </c>
      <c r="AH41" s="858">
        <f>SUM(C41:AG41)</f>
        <v>0</v>
      </c>
    </row>
    <row r="42" spans="1:34" ht="13.8">
      <c r="A42" s="573" t="s">
        <v>146</v>
      </c>
      <c r="B42" s="831">
        <f t="shared" si="4"/>
        <v>0</v>
      </c>
      <c r="C42" s="1084">
        <v>0</v>
      </c>
      <c r="D42" s="1084">
        <v>0</v>
      </c>
      <c r="E42" s="1084">
        <v>0</v>
      </c>
      <c r="F42" s="1084">
        <v>0</v>
      </c>
      <c r="G42" s="1084">
        <v>0</v>
      </c>
      <c r="H42" s="1084">
        <v>0</v>
      </c>
      <c r="I42" s="1084">
        <v>0</v>
      </c>
      <c r="J42" s="1084">
        <v>0</v>
      </c>
      <c r="K42" s="1084">
        <v>0</v>
      </c>
      <c r="L42" s="1084">
        <v>0</v>
      </c>
      <c r="M42" s="1084">
        <v>0</v>
      </c>
      <c r="N42" s="1084">
        <v>0</v>
      </c>
      <c r="O42" s="1084">
        <v>0</v>
      </c>
      <c r="P42" s="1084">
        <v>0</v>
      </c>
      <c r="Q42" s="1084">
        <v>0</v>
      </c>
      <c r="R42" s="1084">
        <v>0</v>
      </c>
      <c r="S42" s="1084">
        <v>0</v>
      </c>
      <c r="T42" s="1084">
        <v>0</v>
      </c>
      <c r="U42" s="1084">
        <v>0</v>
      </c>
      <c r="V42" s="1084">
        <v>0</v>
      </c>
      <c r="W42" s="1084">
        <v>0</v>
      </c>
      <c r="X42" s="1084">
        <v>0</v>
      </c>
      <c r="Y42" s="1084">
        <v>0</v>
      </c>
      <c r="Z42" s="1084">
        <v>0</v>
      </c>
      <c r="AA42" s="1084">
        <v>0</v>
      </c>
      <c r="AB42" s="1084">
        <v>0</v>
      </c>
      <c r="AC42" s="1084">
        <v>0</v>
      </c>
      <c r="AD42" s="1084">
        <v>0</v>
      </c>
      <c r="AE42" s="1084">
        <v>0</v>
      </c>
      <c r="AF42" s="1084">
        <v>0</v>
      </c>
      <c r="AG42" s="1084">
        <v>0</v>
      </c>
      <c r="AH42" s="858">
        <f>SUM(C42:AG42)</f>
        <v>0</v>
      </c>
    </row>
    <row r="43" spans="1:34" ht="13.8">
      <c r="A43" s="573" t="s">
        <v>147</v>
      </c>
      <c r="B43" s="831">
        <f t="shared" si="4"/>
        <v>0</v>
      </c>
      <c r="C43" s="1084">
        <v>0</v>
      </c>
      <c r="D43" s="1084">
        <v>0</v>
      </c>
      <c r="E43" s="1084">
        <v>0</v>
      </c>
      <c r="F43" s="1084">
        <v>0</v>
      </c>
      <c r="G43" s="1084">
        <v>0</v>
      </c>
      <c r="H43" s="1084">
        <v>0</v>
      </c>
      <c r="I43" s="1084">
        <v>0</v>
      </c>
      <c r="J43" s="1084">
        <v>0</v>
      </c>
      <c r="K43" s="1084">
        <v>0</v>
      </c>
      <c r="L43" s="1084">
        <v>0</v>
      </c>
      <c r="M43" s="1084">
        <v>0</v>
      </c>
      <c r="N43" s="1084">
        <v>0</v>
      </c>
      <c r="O43" s="1084">
        <v>0</v>
      </c>
      <c r="P43" s="1084">
        <v>0</v>
      </c>
      <c r="Q43" s="1084">
        <v>0</v>
      </c>
      <c r="R43" s="1084">
        <v>0</v>
      </c>
      <c r="S43" s="1084">
        <v>0</v>
      </c>
      <c r="T43" s="1084">
        <v>0</v>
      </c>
      <c r="U43" s="1084">
        <v>0</v>
      </c>
      <c r="V43" s="1084">
        <v>0</v>
      </c>
      <c r="W43" s="1084">
        <v>0</v>
      </c>
      <c r="X43" s="1084">
        <v>0</v>
      </c>
      <c r="Y43" s="1084">
        <v>0</v>
      </c>
      <c r="Z43" s="1084">
        <v>0</v>
      </c>
      <c r="AA43" s="1084">
        <v>0</v>
      </c>
      <c r="AB43" s="1084">
        <v>0</v>
      </c>
      <c r="AC43" s="1084">
        <v>0</v>
      </c>
      <c r="AD43" s="1084">
        <v>0</v>
      </c>
      <c r="AE43" s="1084">
        <v>0</v>
      </c>
      <c r="AF43" s="1084">
        <v>0</v>
      </c>
      <c r="AG43" s="1084">
        <v>0</v>
      </c>
      <c r="AH43" s="858">
        <f>SUM(C43:AG43)</f>
        <v>0</v>
      </c>
    </row>
    <row r="44" spans="1:34" ht="13.8">
      <c r="A44" s="573" t="s">
        <v>148</v>
      </c>
      <c r="B44" s="831">
        <f t="shared" si="4"/>
        <v>0</v>
      </c>
      <c r="C44" s="1084">
        <v>0</v>
      </c>
      <c r="D44" s="1084">
        <v>0</v>
      </c>
      <c r="E44" s="1084">
        <v>0</v>
      </c>
      <c r="F44" s="1084">
        <v>0</v>
      </c>
      <c r="G44" s="1084">
        <v>0</v>
      </c>
      <c r="H44" s="1084">
        <v>0</v>
      </c>
      <c r="I44" s="1084">
        <v>0</v>
      </c>
      <c r="J44" s="1084">
        <v>0</v>
      </c>
      <c r="K44" s="1084">
        <v>0</v>
      </c>
      <c r="L44" s="1084">
        <v>0</v>
      </c>
      <c r="M44" s="1084">
        <v>0</v>
      </c>
      <c r="N44" s="1084">
        <v>0</v>
      </c>
      <c r="O44" s="1084">
        <v>0</v>
      </c>
      <c r="P44" s="1084">
        <v>0</v>
      </c>
      <c r="Q44" s="1084">
        <v>0</v>
      </c>
      <c r="R44" s="1084">
        <v>0</v>
      </c>
      <c r="S44" s="1084">
        <v>0</v>
      </c>
      <c r="T44" s="1084">
        <v>0</v>
      </c>
      <c r="U44" s="1084">
        <v>0</v>
      </c>
      <c r="V44" s="1084">
        <v>0</v>
      </c>
      <c r="W44" s="1084">
        <v>0</v>
      </c>
      <c r="X44" s="1084">
        <v>0</v>
      </c>
      <c r="Y44" s="1084">
        <v>0</v>
      </c>
      <c r="Z44" s="1084">
        <v>0</v>
      </c>
      <c r="AA44" s="1084">
        <v>0</v>
      </c>
      <c r="AB44" s="1084">
        <v>0</v>
      </c>
      <c r="AC44" s="1084">
        <v>0</v>
      </c>
      <c r="AD44" s="1084">
        <v>0</v>
      </c>
      <c r="AE44" s="1084">
        <v>0</v>
      </c>
      <c r="AF44" s="1084">
        <v>0</v>
      </c>
      <c r="AG44" s="1084">
        <v>0</v>
      </c>
      <c r="AH44" s="858">
        <f>SUM(C44:AG44)</f>
        <v>0</v>
      </c>
    </row>
    <row r="45" spans="1:34" ht="13.8">
      <c r="A45" s="573" t="s">
        <v>149</v>
      </c>
      <c r="B45" s="831">
        <f t="shared" si="4"/>
        <v>0</v>
      </c>
      <c r="C45" s="1084">
        <v>0</v>
      </c>
      <c r="D45" s="1084">
        <v>0</v>
      </c>
      <c r="E45" s="1084">
        <v>0</v>
      </c>
      <c r="F45" s="1084">
        <v>0</v>
      </c>
      <c r="G45" s="1084">
        <v>0</v>
      </c>
      <c r="H45" s="1084">
        <v>0</v>
      </c>
      <c r="I45" s="1084">
        <v>0</v>
      </c>
      <c r="J45" s="1084">
        <v>0</v>
      </c>
      <c r="K45" s="1084">
        <v>0</v>
      </c>
      <c r="L45" s="1084">
        <v>0</v>
      </c>
      <c r="M45" s="1084">
        <v>0</v>
      </c>
      <c r="N45" s="1084">
        <v>0</v>
      </c>
      <c r="O45" s="1084">
        <v>0</v>
      </c>
      <c r="P45" s="1084">
        <v>0</v>
      </c>
      <c r="Q45" s="1084">
        <v>0</v>
      </c>
      <c r="R45" s="1084">
        <v>0</v>
      </c>
      <c r="S45" s="1084">
        <v>0</v>
      </c>
      <c r="T45" s="1084">
        <v>0</v>
      </c>
      <c r="U45" s="1084">
        <v>0</v>
      </c>
      <c r="V45" s="1084">
        <v>0</v>
      </c>
      <c r="W45" s="1084">
        <v>0</v>
      </c>
      <c r="X45" s="1084">
        <v>0</v>
      </c>
      <c r="Y45" s="1084">
        <v>0</v>
      </c>
      <c r="Z45" s="1084">
        <v>0</v>
      </c>
      <c r="AA45" s="1084">
        <v>0</v>
      </c>
      <c r="AB45" s="1084">
        <v>0</v>
      </c>
      <c r="AC45" s="1084">
        <v>0</v>
      </c>
      <c r="AD45" s="1084">
        <v>0</v>
      </c>
      <c r="AE45" s="1084">
        <v>0</v>
      </c>
      <c r="AF45" s="1084">
        <v>0</v>
      </c>
      <c r="AG45" s="1084">
        <v>0</v>
      </c>
      <c r="AH45" s="858">
        <v>0</v>
      </c>
    </row>
    <row r="46" spans="1:34" ht="13.8">
      <c r="A46" s="573" t="s">
        <v>150</v>
      </c>
      <c r="B46" s="831">
        <f t="shared" si="4"/>
        <v>0</v>
      </c>
      <c r="C46" s="1084">
        <v>0</v>
      </c>
      <c r="D46" s="1084">
        <v>0</v>
      </c>
      <c r="E46" s="1084">
        <v>0</v>
      </c>
      <c r="F46" s="1084">
        <v>0</v>
      </c>
      <c r="G46" s="1084">
        <v>0</v>
      </c>
      <c r="H46" s="1084">
        <v>0</v>
      </c>
      <c r="I46" s="1084">
        <v>0</v>
      </c>
      <c r="J46" s="1084">
        <v>0</v>
      </c>
      <c r="K46" s="1084">
        <v>0</v>
      </c>
      <c r="L46" s="1084">
        <v>0</v>
      </c>
      <c r="M46" s="1084">
        <v>0</v>
      </c>
      <c r="N46" s="1084">
        <v>0</v>
      </c>
      <c r="O46" s="1084">
        <v>0</v>
      </c>
      <c r="P46" s="1084">
        <v>0</v>
      </c>
      <c r="Q46" s="1084">
        <v>0</v>
      </c>
      <c r="R46" s="1084">
        <v>0</v>
      </c>
      <c r="S46" s="1084">
        <v>0</v>
      </c>
      <c r="T46" s="1084">
        <v>0</v>
      </c>
      <c r="U46" s="1084">
        <v>0</v>
      </c>
      <c r="V46" s="1084">
        <v>0</v>
      </c>
      <c r="W46" s="1084">
        <v>0</v>
      </c>
      <c r="X46" s="1084">
        <v>0</v>
      </c>
      <c r="Y46" s="1084">
        <v>0</v>
      </c>
      <c r="Z46" s="1084">
        <v>0</v>
      </c>
      <c r="AA46" s="1084">
        <v>0</v>
      </c>
      <c r="AB46" s="1084">
        <v>0</v>
      </c>
      <c r="AC46" s="1084">
        <v>0</v>
      </c>
      <c r="AD46" s="1084">
        <v>0</v>
      </c>
      <c r="AE46" s="1084">
        <v>0</v>
      </c>
      <c r="AF46" s="1084">
        <v>0</v>
      </c>
      <c r="AG46" s="1084">
        <v>0</v>
      </c>
      <c r="AH46" s="858">
        <f t="shared" ref="AH46:AH53" si="5">SUM(C46:AG46)</f>
        <v>0</v>
      </c>
    </row>
    <row r="47" spans="1:34" ht="13.8">
      <c r="A47" s="509" t="s">
        <v>151</v>
      </c>
      <c r="B47" s="831">
        <f t="shared" ref="B47:B52" si="6">+AH47</f>
        <v>0</v>
      </c>
      <c r="C47" s="1084">
        <v>0</v>
      </c>
      <c r="D47" s="1084">
        <v>0</v>
      </c>
      <c r="E47" s="1084">
        <v>0</v>
      </c>
      <c r="F47" s="1084">
        <v>0</v>
      </c>
      <c r="G47" s="1084">
        <v>0</v>
      </c>
      <c r="H47" s="1084">
        <v>0</v>
      </c>
      <c r="I47" s="1084">
        <v>0</v>
      </c>
      <c r="J47" s="1084">
        <v>0</v>
      </c>
      <c r="K47" s="1084">
        <v>0</v>
      </c>
      <c r="L47" s="1084">
        <v>0</v>
      </c>
      <c r="M47" s="1084">
        <v>0</v>
      </c>
      <c r="N47" s="1084">
        <v>0</v>
      </c>
      <c r="O47" s="1084">
        <v>0</v>
      </c>
      <c r="P47" s="1084">
        <v>0</v>
      </c>
      <c r="Q47" s="1084">
        <v>0</v>
      </c>
      <c r="R47" s="1084">
        <v>0</v>
      </c>
      <c r="S47" s="1084">
        <v>0</v>
      </c>
      <c r="T47" s="1084">
        <v>0</v>
      </c>
      <c r="U47" s="1084">
        <v>0</v>
      </c>
      <c r="V47" s="1084">
        <v>0</v>
      </c>
      <c r="W47" s="1084">
        <v>0</v>
      </c>
      <c r="X47" s="1084">
        <v>0</v>
      </c>
      <c r="Y47" s="1084">
        <v>0</v>
      </c>
      <c r="Z47" s="1084">
        <v>0</v>
      </c>
      <c r="AA47" s="1084">
        <v>0</v>
      </c>
      <c r="AB47" s="1084">
        <v>0</v>
      </c>
      <c r="AC47" s="1084">
        <v>0</v>
      </c>
      <c r="AD47" s="1084">
        <v>0</v>
      </c>
      <c r="AE47" s="1084">
        <v>0</v>
      </c>
      <c r="AF47" s="1084">
        <v>0</v>
      </c>
      <c r="AG47" s="1084">
        <v>0</v>
      </c>
      <c r="AH47" s="858">
        <f t="shared" si="5"/>
        <v>0</v>
      </c>
    </row>
    <row r="48" spans="1:34" ht="13.8">
      <c r="A48" s="509" t="s">
        <v>152</v>
      </c>
      <c r="B48" s="831">
        <f t="shared" si="6"/>
        <v>0</v>
      </c>
      <c r="C48" s="1084">
        <v>0</v>
      </c>
      <c r="D48" s="1084">
        <v>0</v>
      </c>
      <c r="E48" s="1084">
        <v>0</v>
      </c>
      <c r="F48" s="1084">
        <v>0</v>
      </c>
      <c r="G48" s="1084">
        <v>0</v>
      </c>
      <c r="H48" s="1084">
        <v>0</v>
      </c>
      <c r="I48" s="1084">
        <v>0</v>
      </c>
      <c r="J48" s="1084">
        <v>0</v>
      </c>
      <c r="K48" s="1084">
        <v>0</v>
      </c>
      <c r="L48" s="1084">
        <v>0</v>
      </c>
      <c r="M48" s="1084">
        <v>0</v>
      </c>
      <c r="N48" s="1084">
        <v>0</v>
      </c>
      <c r="O48" s="1084">
        <v>0</v>
      </c>
      <c r="P48" s="1084">
        <v>0</v>
      </c>
      <c r="Q48" s="1084">
        <v>0</v>
      </c>
      <c r="R48" s="1084">
        <v>0</v>
      </c>
      <c r="S48" s="1084">
        <v>0</v>
      </c>
      <c r="T48" s="1084">
        <v>0</v>
      </c>
      <c r="U48" s="1084">
        <v>0</v>
      </c>
      <c r="V48" s="1084">
        <v>0</v>
      </c>
      <c r="W48" s="1084">
        <v>0</v>
      </c>
      <c r="X48" s="1084">
        <v>0</v>
      </c>
      <c r="Y48" s="1084">
        <v>0</v>
      </c>
      <c r="Z48" s="1084">
        <v>0</v>
      </c>
      <c r="AA48" s="1084">
        <v>0</v>
      </c>
      <c r="AB48" s="1084">
        <v>0</v>
      </c>
      <c r="AC48" s="1084">
        <v>0</v>
      </c>
      <c r="AD48" s="1084">
        <v>0</v>
      </c>
      <c r="AE48" s="1084">
        <v>0</v>
      </c>
      <c r="AF48" s="1084">
        <v>0</v>
      </c>
      <c r="AG48" s="1084">
        <v>0</v>
      </c>
      <c r="AH48" s="858">
        <f t="shared" si="5"/>
        <v>0</v>
      </c>
    </row>
    <row r="49" spans="1:34" ht="13.8">
      <c r="A49" s="509" t="s">
        <v>153</v>
      </c>
      <c r="B49" s="831">
        <f t="shared" si="6"/>
        <v>0</v>
      </c>
      <c r="C49" s="1084">
        <v>0</v>
      </c>
      <c r="D49" s="1084">
        <v>0</v>
      </c>
      <c r="E49" s="1084">
        <v>0</v>
      </c>
      <c r="F49" s="1084">
        <v>0</v>
      </c>
      <c r="G49" s="1084">
        <v>0</v>
      </c>
      <c r="H49" s="1084">
        <v>0</v>
      </c>
      <c r="I49" s="1084">
        <v>0</v>
      </c>
      <c r="J49" s="1084">
        <v>0</v>
      </c>
      <c r="K49" s="1084">
        <v>0</v>
      </c>
      <c r="L49" s="1084">
        <v>0</v>
      </c>
      <c r="M49" s="1084">
        <v>0</v>
      </c>
      <c r="N49" s="1084">
        <v>0</v>
      </c>
      <c r="O49" s="1084">
        <v>0</v>
      </c>
      <c r="P49" s="1084">
        <v>0</v>
      </c>
      <c r="Q49" s="1084">
        <v>0</v>
      </c>
      <c r="R49" s="1084">
        <v>0</v>
      </c>
      <c r="S49" s="1084">
        <v>0</v>
      </c>
      <c r="T49" s="1084">
        <v>0</v>
      </c>
      <c r="U49" s="1084">
        <v>0</v>
      </c>
      <c r="V49" s="1084">
        <v>0</v>
      </c>
      <c r="W49" s="1084">
        <v>0</v>
      </c>
      <c r="X49" s="1084">
        <v>0</v>
      </c>
      <c r="Y49" s="1084">
        <v>0</v>
      </c>
      <c r="Z49" s="1084">
        <v>0</v>
      </c>
      <c r="AA49" s="1084">
        <v>0</v>
      </c>
      <c r="AB49" s="1084">
        <v>0</v>
      </c>
      <c r="AC49" s="1084">
        <v>0</v>
      </c>
      <c r="AD49" s="1084">
        <v>0</v>
      </c>
      <c r="AE49" s="1084">
        <v>0</v>
      </c>
      <c r="AF49" s="1084">
        <v>0</v>
      </c>
      <c r="AG49" s="1084">
        <v>0</v>
      </c>
      <c r="AH49" s="858">
        <f t="shared" si="5"/>
        <v>0</v>
      </c>
    </row>
    <row r="50" spans="1:34" ht="13.8">
      <c r="A50" s="603" t="s">
        <v>154</v>
      </c>
      <c r="B50" s="831">
        <f t="shared" si="6"/>
        <v>0</v>
      </c>
      <c r="C50" s="1084">
        <v>0</v>
      </c>
      <c r="D50" s="1084">
        <v>0</v>
      </c>
      <c r="E50" s="1084">
        <v>0</v>
      </c>
      <c r="F50" s="1084">
        <v>0</v>
      </c>
      <c r="G50" s="1084">
        <v>0</v>
      </c>
      <c r="H50" s="1084">
        <v>0</v>
      </c>
      <c r="I50" s="1084">
        <v>0</v>
      </c>
      <c r="J50" s="1084">
        <v>0</v>
      </c>
      <c r="K50" s="1084">
        <v>0</v>
      </c>
      <c r="L50" s="1084">
        <v>0</v>
      </c>
      <c r="M50" s="1084">
        <v>0</v>
      </c>
      <c r="N50" s="1084">
        <v>0</v>
      </c>
      <c r="O50" s="1084">
        <v>0</v>
      </c>
      <c r="P50" s="1084">
        <v>0</v>
      </c>
      <c r="Q50" s="1084">
        <v>0</v>
      </c>
      <c r="R50" s="1084">
        <v>0</v>
      </c>
      <c r="S50" s="1084">
        <v>0</v>
      </c>
      <c r="T50" s="1084">
        <v>0</v>
      </c>
      <c r="U50" s="1084">
        <v>0</v>
      </c>
      <c r="V50" s="1084">
        <v>0</v>
      </c>
      <c r="W50" s="1084">
        <v>0</v>
      </c>
      <c r="X50" s="1084">
        <v>0</v>
      </c>
      <c r="Y50" s="1084">
        <v>0</v>
      </c>
      <c r="Z50" s="1084">
        <v>0</v>
      </c>
      <c r="AA50" s="1084">
        <v>0</v>
      </c>
      <c r="AB50" s="1084">
        <v>0</v>
      </c>
      <c r="AC50" s="1084">
        <v>0</v>
      </c>
      <c r="AD50" s="1084">
        <v>0</v>
      </c>
      <c r="AE50" s="1084">
        <v>0</v>
      </c>
      <c r="AF50" s="1084">
        <v>0</v>
      </c>
      <c r="AG50" s="2149">
        <v>0</v>
      </c>
      <c r="AH50" s="858">
        <f t="shared" si="5"/>
        <v>0</v>
      </c>
    </row>
    <row r="51" spans="1:34" ht="13.8">
      <c r="A51" s="603" t="s">
        <v>155</v>
      </c>
      <c r="B51" s="831">
        <f t="shared" si="6"/>
        <v>12116.938</v>
      </c>
      <c r="C51" s="3031">
        <v>0</v>
      </c>
      <c r="D51" s="3031">
        <v>0</v>
      </c>
      <c r="E51" s="3031">
        <v>0</v>
      </c>
      <c r="F51" s="3031">
        <v>0</v>
      </c>
      <c r="G51" s="3031">
        <v>1627.37</v>
      </c>
      <c r="H51" s="3031">
        <v>325.35300000000001</v>
      </c>
      <c r="I51" s="3031">
        <v>615.78499999999997</v>
      </c>
      <c r="J51" s="3031">
        <v>1740.6949999999999</v>
      </c>
      <c r="K51" s="3031">
        <v>831.78499999999997</v>
      </c>
      <c r="L51" s="3031">
        <v>351.61</v>
      </c>
      <c r="M51" s="3031">
        <v>0</v>
      </c>
      <c r="N51" s="3031">
        <v>721.72500000000002</v>
      </c>
      <c r="O51" s="3031">
        <v>904.75</v>
      </c>
      <c r="P51" s="3196">
        <v>519.22</v>
      </c>
      <c r="Q51" s="3031">
        <v>512.03099999999995</v>
      </c>
      <c r="R51" s="3031">
        <v>311.32499999999999</v>
      </c>
      <c r="S51" s="3031">
        <v>533.83500000000004</v>
      </c>
      <c r="T51" s="3031">
        <v>313.48</v>
      </c>
      <c r="U51" s="3196">
        <v>835.44500000000005</v>
      </c>
      <c r="V51" s="3031">
        <v>16.094999999999999</v>
      </c>
      <c r="W51" s="3031">
        <v>523.96500000000003</v>
      </c>
      <c r="X51" s="3031">
        <v>298.29500000000002</v>
      </c>
      <c r="Y51" s="3031">
        <v>400.29399999999998</v>
      </c>
      <c r="Z51" s="3031">
        <v>467.64499999999998</v>
      </c>
      <c r="AA51" s="3031">
        <v>266.23500000000001</v>
      </c>
      <c r="AB51" s="3031"/>
      <c r="AC51" s="3031"/>
      <c r="AD51" s="3031"/>
      <c r="AE51" s="3031"/>
      <c r="AF51" s="3031"/>
      <c r="AG51" s="3031"/>
      <c r="AH51" s="858">
        <f t="shared" si="5"/>
        <v>12116.938</v>
      </c>
    </row>
    <row r="52" spans="1:34" ht="13.8">
      <c r="A52" s="603" t="s">
        <v>156</v>
      </c>
      <c r="B52" s="831">
        <f t="shared" si="6"/>
        <v>0</v>
      </c>
      <c r="C52" s="2149"/>
      <c r="D52" s="2149"/>
      <c r="E52" s="2149"/>
      <c r="F52" s="2149"/>
      <c r="G52" s="2149"/>
      <c r="H52" s="2149"/>
      <c r="I52" s="2149"/>
      <c r="J52" s="2149"/>
      <c r="K52" s="2149"/>
      <c r="L52" s="2149"/>
      <c r="M52" s="2149"/>
      <c r="N52" s="2149"/>
      <c r="O52" s="2149"/>
      <c r="P52" s="2149"/>
      <c r="Q52" s="2149"/>
      <c r="R52" s="2149"/>
      <c r="S52" s="2149"/>
      <c r="T52" s="2149"/>
      <c r="U52" s="2149"/>
      <c r="V52" s="2149"/>
      <c r="W52" s="2149"/>
      <c r="X52" s="2149"/>
      <c r="Y52" s="2149"/>
      <c r="Z52" s="2149"/>
      <c r="AA52" s="2149"/>
      <c r="AB52" s="2149"/>
      <c r="AC52" s="2149"/>
      <c r="AD52" s="2149"/>
      <c r="AE52" s="2149"/>
      <c r="AF52" s="2149"/>
      <c r="AG52" s="2149"/>
      <c r="AH52" s="858">
        <f t="shared" si="5"/>
        <v>0</v>
      </c>
    </row>
    <row r="53" spans="1:34" ht="14.4" thickBot="1">
      <c r="A53" s="2736" t="s">
        <v>111</v>
      </c>
      <c r="B53" s="2737">
        <f>SUM(B41:B52)</f>
        <v>12116.938</v>
      </c>
      <c r="C53" s="1088"/>
      <c r="D53" s="1088"/>
      <c r="E53" s="1088"/>
      <c r="F53" s="1088"/>
      <c r="G53" s="1088"/>
      <c r="H53" s="1088"/>
      <c r="I53" s="1088"/>
      <c r="J53" s="1088"/>
      <c r="K53" s="1088"/>
      <c r="L53" s="1088"/>
      <c r="M53" s="1088"/>
      <c r="N53" s="1088"/>
      <c r="O53" s="1088"/>
      <c r="P53" s="1088"/>
      <c r="Q53" s="1088"/>
      <c r="R53" s="1088"/>
      <c r="S53" s="1088"/>
      <c r="T53" s="861"/>
      <c r="U53" s="861"/>
      <c r="V53" s="861"/>
      <c r="W53" s="861"/>
      <c r="X53" s="861"/>
      <c r="Y53" s="861"/>
      <c r="Z53" s="861"/>
      <c r="AA53" s="861"/>
      <c r="AB53" s="861"/>
      <c r="AC53" s="861"/>
      <c r="AD53" s="861"/>
      <c r="AE53" s="861"/>
      <c r="AF53" s="861"/>
      <c r="AG53" s="861"/>
      <c r="AH53" s="858">
        <f t="shared" si="5"/>
        <v>0</v>
      </c>
    </row>
    <row r="54" spans="1:34" ht="13.8">
      <c r="A54" s="2738" t="s">
        <v>592</v>
      </c>
      <c r="B54" s="2739">
        <v>12000</v>
      </c>
    </row>
    <row r="55" spans="1:34" ht="14.4" thickBot="1">
      <c r="A55" s="2740" t="s">
        <v>1135</v>
      </c>
      <c r="B55" s="2742">
        <f>+B54-B53</f>
        <v>-116.9380000000001</v>
      </c>
      <c r="C55" s="2715" t="s">
        <v>1136</v>
      </c>
    </row>
    <row r="56" spans="1:34" ht="13.8">
      <c r="A56" s="1140"/>
      <c r="B56" s="1141"/>
    </row>
    <row r="57" spans="1:34" s="3017" customFormat="1" ht="13.8">
      <c r="A57" s="3014" t="s">
        <v>1184</v>
      </c>
      <c r="B57" s="3015"/>
      <c r="C57" s="3016"/>
      <c r="D57" s="854"/>
      <c r="E57" s="854"/>
      <c r="F57" s="854"/>
      <c r="G57" s="854"/>
      <c r="H57" s="854"/>
      <c r="I57" s="854"/>
      <c r="J57" s="854"/>
      <c r="K57" s="854"/>
      <c r="L57" s="854"/>
      <c r="M57" s="855"/>
      <c r="N57" s="854"/>
      <c r="O57" s="854"/>
      <c r="P57" s="854"/>
      <c r="Q57" s="854"/>
      <c r="R57" s="854"/>
      <c r="S57" s="854"/>
      <c r="T57" s="854"/>
      <c r="U57" s="854"/>
      <c r="V57" s="854"/>
      <c r="W57" s="854"/>
      <c r="X57" s="854"/>
      <c r="Y57" s="854"/>
      <c r="Z57" s="854"/>
      <c r="AA57" s="854"/>
      <c r="AB57" s="854"/>
      <c r="AC57" s="854"/>
      <c r="AD57" s="854"/>
      <c r="AE57" s="854"/>
      <c r="AF57" s="854"/>
      <c r="AG57" s="854"/>
      <c r="AH57" s="646"/>
    </row>
    <row r="58" spans="1:34" s="3017" customFormat="1" ht="13.8">
      <c r="A58" s="572" t="s">
        <v>142</v>
      </c>
      <c r="B58" s="856" t="s">
        <v>143</v>
      </c>
      <c r="C58" s="1083">
        <v>1</v>
      </c>
      <c r="D58" s="1083">
        <v>2</v>
      </c>
      <c r="E58" s="1083">
        <v>3</v>
      </c>
      <c r="F58" s="1083">
        <v>4</v>
      </c>
      <c r="G58" s="1083">
        <v>5</v>
      </c>
      <c r="H58" s="1083">
        <v>6</v>
      </c>
      <c r="I58" s="1083">
        <v>7</v>
      </c>
      <c r="J58" s="1083">
        <v>8</v>
      </c>
      <c r="K58" s="1083">
        <v>9</v>
      </c>
      <c r="L58" s="1083">
        <v>10</v>
      </c>
      <c r="M58" s="1083">
        <v>11</v>
      </c>
      <c r="N58" s="1083">
        <v>12</v>
      </c>
      <c r="O58" s="1083">
        <v>13</v>
      </c>
      <c r="P58" s="1083">
        <v>14</v>
      </c>
      <c r="Q58" s="1083">
        <v>15</v>
      </c>
      <c r="R58" s="1083">
        <v>16</v>
      </c>
      <c r="S58" s="1083">
        <v>17</v>
      </c>
      <c r="T58" s="883">
        <v>18</v>
      </c>
      <c r="U58" s="883">
        <v>19</v>
      </c>
      <c r="V58" s="883">
        <v>20</v>
      </c>
      <c r="W58" s="883">
        <v>21</v>
      </c>
      <c r="X58" s="883">
        <v>22</v>
      </c>
      <c r="Y58" s="883">
        <v>23</v>
      </c>
      <c r="Z58" s="883">
        <v>24</v>
      </c>
      <c r="AA58" s="883">
        <v>25</v>
      </c>
      <c r="AB58" s="883">
        <v>26</v>
      </c>
      <c r="AC58" s="883">
        <v>27</v>
      </c>
      <c r="AD58" s="883">
        <v>28</v>
      </c>
      <c r="AE58" s="883">
        <v>29</v>
      </c>
      <c r="AF58" s="883">
        <v>30</v>
      </c>
      <c r="AG58" s="883">
        <v>31</v>
      </c>
      <c r="AH58" s="857" t="s">
        <v>111</v>
      </c>
    </row>
    <row r="59" spans="1:34" s="3017" customFormat="1" ht="13.8">
      <c r="A59" s="573" t="s">
        <v>145</v>
      </c>
      <c r="B59" s="831">
        <f t="shared" ref="B59:B70" si="7">+AH59</f>
        <v>0</v>
      </c>
      <c r="C59" s="1084">
        <v>0</v>
      </c>
      <c r="D59" s="1084">
        <v>0</v>
      </c>
      <c r="E59" s="1084">
        <v>0</v>
      </c>
      <c r="F59" s="1084">
        <v>0</v>
      </c>
      <c r="G59" s="1084">
        <v>0</v>
      </c>
      <c r="H59" s="1084">
        <v>0</v>
      </c>
      <c r="I59" s="1084">
        <v>0</v>
      </c>
      <c r="J59" s="1084">
        <v>0</v>
      </c>
      <c r="K59" s="1084">
        <v>0</v>
      </c>
      <c r="L59" s="1084">
        <v>0</v>
      </c>
      <c r="M59" s="1084">
        <v>0</v>
      </c>
      <c r="N59" s="1084">
        <v>0</v>
      </c>
      <c r="O59" s="1084">
        <v>0</v>
      </c>
      <c r="P59" s="1084">
        <v>0</v>
      </c>
      <c r="Q59" s="1084">
        <v>0</v>
      </c>
      <c r="R59" s="1084">
        <v>0</v>
      </c>
      <c r="S59" s="1084">
        <v>0</v>
      </c>
      <c r="T59" s="1084">
        <v>0</v>
      </c>
      <c r="U59" s="1084">
        <v>0</v>
      </c>
      <c r="V59" s="1084">
        <v>0</v>
      </c>
      <c r="W59" s="1084">
        <v>0</v>
      </c>
      <c r="X59" s="1084">
        <v>0</v>
      </c>
      <c r="Y59" s="1084">
        <v>0</v>
      </c>
      <c r="Z59" s="1084">
        <v>0</v>
      </c>
      <c r="AA59" s="1084">
        <v>0</v>
      </c>
      <c r="AB59" s="1084">
        <v>0</v>
      </c>
      <c r="AC59" s="1084">
        <v>0</v>
      </c>
      <c r="AD59" s="1084">
        <v>0</v>
      </c>
      <c r="AE59" s="1084">
        <v>0</v>
      </c>
      <c r="AF59" s="1084">
        <v>0</v>
      </c>
      <c r="AG59" s="1084">
        <v>0</v>
      </c>
      <c r="AH59" s="858">
        <f>SUM(C59:AG59)</f>
        <v>0</v>
      </c>
    </row>
    <row r="60" spans="1:34" s="3017" customFormat="1" ht="13.8">
      <c r="A60" s="573" t="s">
        <v>146</v>
      </c>
      <c r="B60" s="831">
        <f t="shared" si="7"/>
        <v>0</v>
      </c>
      <c r="C60" s="1084">
        <v>0</v>
      </c>
      <c r="D60" s="1084">
        <v>0</v>
      </c>
      <c r="E60" s="1084">
        <v>0</v>
      </c>
      <c r="F60" s="1084">
        <v>0</v>
      </c>
      <c r="G60" s="1084">
        <v>0</v>
      </c>
      <c r="H60" s="1084">
        <v>0</v>
      </c>
      <c r="I60" s="1084">
        <v>0</v>
      </c>
      <c r="J60" s="1084">
        <v>0</v>
      </c>
      <c r="K60" s="1084">
        <v>0</v>
      </c>
      <c r="L60" s="1084">
        <v>0</v>
      </c>
      <c r="M60" s="1084">
        <v>0</v>
      </c>
      <c r="N60" s="1084">
        <v>0</v>
      </c>
      <c r="O60" s="1084">
        <v>0</v>
      </c>
      <c r="P60" s="1084">
        <v>0</v>
      </c>
      <c r="Q60" s="1084">
        <v>0</v>
      </c>
      <c r="R60" s="1084">
        <v>0</v>
      </c>
      <c r="S60" s="1084">
        <v>0</v>
      </c>
      <c r="T60" s="1084">
        <v>0</v>
      </c>
      <c r="U60" s="1084">
        <v>0</v>
      </c>
      <c r="V60" s="1084">
        <v>0</v>
      </c>
      <c r="W60" s="1084">
        <v>0</v>
      </c>
      <c r="X60" s="1084">
        <v>0</v>
      </c>
      <c r="Y60" s="1084">
        <v>0</v>
      </c>
      <c r="Z60" s="1084">
        <v>0</v>
      </c>
      <c r="AA60" s="1084">
        <v>0</v>
      </c>
      <c r="AB60" s="1084">
        <v>0</v>
      </c>
      <c r="AC60" s="1084">
        <v>0</v>
      </c>
      <c r="AD60" s="1084">
        <v>0</v>
      </c>
      <c r="AE60" s="1084">
        <v>0</v>
      </c>
      <c r="AF60" s="1084">
        <v>0</v>
      </c>
      <c r="AG60" s="1084">
        <v>0</v>
      </c>
      <c r="AH60" s="858">
        <f>SUM(C60:AG60)</f>
        <v>0</v>
      </c>
    </row>
    <row r="61" spans="1:34" s="3017" customFormat="1" ht="13.8">
      <c r="A61" s="573" t="s">
        <v>147</v>
      </c>
      <c r="B61" s="831">
        <f t="shared" si="7"/>
        <v>0</v>
      </c>
      <c r="C61" s="1084">
        <v>0</v>
      </c>
      <c r="D61" s="1084">
        <v>0</v>
      </c>
      <c r="E61" s="1084">
        <v>0</v>
      </c>
      <c r="F61" s="1084">
        <v>0</v>
      </c>
      <c r="G61" s="1084">
        <v>0</v>
      </c>
      <c r="H61" s="1084">
        <v>0</v>
      </c>
      <c r="I61" s="1084">
        <v>0</v>
      </c>
      <c r="J61" s="1084">
        <v>0</v>
      </c>
      <c r="K61" s="1084">
        <v>0</v>
      </c>
      <c r="L61" s="1084">
        <v>0</v>
      </c>
      <c r="M61" s="1084">
        <v>0</v>
      </c>
      <c r="N61" s="1084">
        <v>0</v>
      </c>
      <c r="O61" s="1084">
        <v>0</v>
      </c>
      <c r="P61" s="1084">
        <v>0</v>
      </c>
      <c r="Q61" s="1084">
        <v>0</v>
      </c>
      <c r="R61" s="1084">
        <v>0</v>
      </c>
      <c r="S61" s="1084">
        <v>0</v>
      </c>
      <c r="T61" s="1084">
        <v>0</v>
      </c>
      <c r="U61" s="1084">
        <v>0</v>
      </c>
      <c r="V61" s="1084">
        <v>0</v>
      </c>
      <c r="W61" s="1084">
        <v>0</v>
      </c>
      <c r="X61" s="1084">
        <v>0</v>
      </c>
      <c r="Y61" s="1084">
        <v>0</v>
      </c>
      <c r="Z61" s="1084">
        <v>0</v>
      </c>
      <c r="AA61" s="1084">
        <v>0</v>
      </c>
      <c r="AB61" s="1084">
        <v>0</v>
      </c>
      <c r="AC61" s="1084">
        <v>0</v>
      </c>
      <c r="AD61" s="1084">
        <v>0</v>
      </c>
      <c r="AE61" s="1084">
        <v>0</v>
      </c>
      <c r="AF61" s="1084">
        <v>0</v>
      </c>
      <c r="AG61" s="1084">
        <v>0</v>
      </c>
      <c r="AH61" s="858">
        <f>SUM(C61:AG61)</f>
        <v>0</v>
      </c>
    </row>
    <row r="62" spans="1:34" s="3017" customFormat="1" ht="13.8">
      <c r="A62" s="573" t="s">
        <v>148</v>
      </c>
      <c r="B62" s="831">
        <f t="shared" si="7"/>
        <v>0</v>
      </c>
      <c r="C62" s="1084">
        <v>0</v>
      </c>
      <c r="D62" s="1084">
        <v>0</v>
      </c>
      <c r="E62" s="1084">
        <v>0</v>
      </c>
      <c r="F62" s="1084">
        <v>0</v>
      </c>
      <c r="G62" s="1084">
        <v>0</v>
      </c>
      <c r="H62" s="1084">
        <v>0</v>
      </c>
      <c r="I62" s="1084">
        <v>0</v>
      </c>
      <c r="J62" s="1084">
        <v>0</v>
      </c>
      <c r="K62" s="1084">
        <v>0</v>
      </c>
      <c r="L62" s="1084">
        <v>0</v>
      </c>
      <c r="M62" s="1084">
        <v>0</v>
      </c>
      <c r="N62" s="1084">
        <v>0</v>
      </c>
      <c r="O62" s="1084">
        <v>0</v>
      </c>
      <c r="P62" s="1084">
        <v>0</v>
      </c>
      <c r="Q62" s="1084">
        <v>0</v>
      </c>
      <c r="R62" s="1084">
        <v>0</v>
      </c>
      <c r="S62" s="1084">
        <v>0</v>
      </c>
      <c r="T62" s="1084">
        <v>0</v>
      </c>
      <c r="U62" s="1084">
        <v>0</v>
      </c>
      <c r="V62" s="1084">
        <v>0</v>
      </c>
      <c r="W62" s="1084">
        <v>0</v>
      </c>
      <c r="X62" s="1084">
        <v>0</v>
      </c>
      <c r="Y62" s="1084">
        <v>0</v>
      </c>
      <c r="Z62" s="1084">
        <v>0</v>
      </c>
      <c r="AA62" s="1084">
        <v>0</v>
      </c>
      <c r="AB62" s="1084">
        <v>0</v>
      </c>
      <c r="AC62" s="1084">
        <v>0</v>
      </c>
      <c r="AD62" s="1084">
        <v>0</v>
      </c>
      <c r="AE62" s="1084">
        <v>0</v>
      </c>
      <c r="AF62" s="1084">
        <v>0</v>
      </c>
      <c r="AG62" s="1084">
        <v>0</v>
      </c>
      <c r="AH62" s="858">
        <f>SUM(C62:AG62)</f>
        <v>0</v>
      </c>
    </row>
    <row r="63" spans="1:34" s="3017" customFormat="1" ht="13.8">
      <c r="A63" s="573" t="s">
        <v>149</v>
      </c>
      <c r="B63" s="831">
        <f t="shared" si="7"/>
        <v>0</v>
      </c>
      <c r="C63" s="1084">
        <v>0</v>
      </c>
      <c r="D63" s="1084">
        <v>0</v>
      </c>
      <c r="E63" s="1084">
        <v>0</v>
      </c>
      <c r="F63" s="1084">
        <v>0</v>
      </c>
      <c r="G63" s="1084">
        <v>0</v>
      </c>
      <c r="H63" s="1084">
        <v>0</v>
      </c>
      <c r="I63" s="1084">
        <v>0</v>
      </c>
      <c r="J63" s="1084">
        <v>0</v>
      </c>
      <c r="K63" s="1084">
        <v>0</v>
      </c>
      <c r="L63" s="1084">
        <v>0</v>
      </c>
      <c r="M63" s="1084">
        <v>0</v>
      </c>
      <c r="N63" s="1084">
        <v>0</v>
      </c>
      <c r="O63" s="1084">
        <v>0</v>
      </c>
      <c r="P63" s="1084">
        <v>0</v>
      </c>
      <c r="Q63" s="1084">
        <v>0</v>
      </c>
      <c r="R63" s="1084">
        <v>0</v>
      </c>
      <c r="S63" s="1084">
        <v>0</v>
      </c>
      <c r="T63" s="1084">
        <v>0</v>
      </c>
      <c r="U63" s="1084">
        <v>0</v>
      </c>
      <c r="V63" s="1084">
        <v>0</v>
      </c>
      <c r="W63" s="1084">
        <v>0</v>
      </c>
      <c r="X63" s="1084">
        <v>0</v>
      </c>
      <c r="Y63" s="1084">
        <v>0</v>
      </c>
      <c r="Z63" s="1084">
        <v>0</v>
      </c>
      <c r="AA63" s="1084">
        <v>0</v>
      </c>
      <c r="AB63" s="1084">
        <v>0</v>
      </c>
      <c r="AC63" s="1084">
        <v>0</v>
      </c>
      <c r="AD63" s="1084">
        <v>0</v>
      </c>
      <c r="AE63" s="1084">
        <v>0</v>
      </c>
      <c r="AF63" s="1084">
        <v>0</v>
      </c>
      <c r="AG63" s="1084">
        <v>0</v>
      </c>
      <c r="AH63" s="858">
        <v>0</v>
      </c>
    </row>
    <row r="64" spans="1:34" s="3017" customFormat="1" ht="13.8">
      <c r="A64" s="573" t="s">
        <v>150</v>
      </c>
      <c r="B64" s="831">
        <f t="shared" si="7"/>
        <v>0</v>
      </c>
      <c r="C64" s="1084">
        <v>0</v>
      </c>
      <c r="D64" s="1084">
        <v>0</v>
      </c>
      <c r="E64" s="1084">
        <v>0</v>
      </c>
      <c r="F64" s="1084">
        <v>0</v>
      </c>
      <c r="G64" s="1084">
        <v>0</v>
      </c>
      <c r="H64" s="1084">
        <v>0</v>
      </c>
      <c r="I64" s="1084">
        <v>0</v>
      </c>
      <c r="J64" s="1084">
        <v>0</v>
      </c>
      <c r="K64" s="1084">
        <v>0</v>
      </c>
      <c r="L64" s="1084">
        <v>0</v>
      </c>
      <c r="M64" s="1084">
        <v>0</v>
      </c>
      <c r="N64" s="1084">
        <v>0</v>
      </c>
      <c r="O64" s="1084">
        <v>0</v>
      </c>
      <c r="P64" s="1084">
        <v>0</v>
      </c>
      <c r="Q64" s="1084">
        <v>0</v>
      </c>
      <c r="R64" s="1084">
        <v>0</v>
      </c>
      <c r="S64" s="1084">
        <v>0</v>
      </c>
      <c r="T64" s="1084">
        <v>0</v>
      </c>
      <c r="U64" s="1084">
        <v>0</v>
      </c>
      <c r="V64" s="1084">
        <v>0</v>
      </c>
      <c r="W64" s="1084">
        <v>0</v>
      </c>
      <c r="X64" s="1084">
        <v>0</v>
      </c>
      <c r="Y64" s="1084">
        <v>0</v>
      </c>
      <c r="Z64" s="1084">
        <v>0</v>
      </c>
      <c r="AA64" s="1084">
        <v>0</v>
      </c>
      <c r="AB64" s="1084">
        <v>0</v>
      </c>
      <c r="AC64" s="1084">
        <v>0</v>
      </c>
      <c r="AD64" s="1084">
        <v>0</v>
      </c>
      <c r="AE64" s="1084">
        <v>0</v>
      </c>
      <c r="AF64" s="1084">
        <v>0</v>
      </c>
      <c r="AG64" s="1084">
        <v>0</v>
      </c>
      <c r="AH64" s="858">
        <f t="shared" ref="AH64:AH71" si="8">SUM(C64:AG64)</f>
        <v>0</v>
      </c>
    </row>
    <row r="65" spans="1:34" s="3017" customFormat="1" ht="13.8">
      <c r="A65" s="509" t="s">
        <v>151</v>
      </c>
      <c r="B65" s="831">
        <f t="shared" si="7"/>
        <v>0</v>
      </c>
      <c r="C65" s="1084">
        <v>0</v>
      </c>
      <c r="D65" s="1084">
        <v>0</v>
      </c>
      <c r="E65" s="1084">
        <v>0</v>
      </c>
      <c r="F65" s="1084">
        <v>0</v>
      </c>
      <c r="G65" s="1084">
        <v>0</v>
      </c>
      <c r="H65" s="1084">
        <v>0</v>
      </c>
      <c r="I65" s="1084">
        <v>0</v>
      </c>
      <c r="J65" s="1084">
        <v>0</v>
      </c>
      <c r="K65" s="1084">
        <v>0</v>
      </c>
      <c r="L65" s="1084">
        <v>0</v>
      </c>
      <c r="M65" s="1084">
        <v>0</v>
      </c>
      <c r="N65" s="1084">
        <v>0</v>
      </c>
      <c r="O65" s="1084">
        <v>0</v>
      </c>
      <c r="P65" s="1084">
        <v>0</v>
      </c>
      <c r="Q65" s="1084">
        <v>0</v>
      </c>
      <c r="R65" s="1084">
        <v>0</v>
      </c>
      <c r="S65" s="1084">
        <v>0</v>
      </c>
      <c r="T65" s="1084">
        <v>0</v>
      </c>
      <c r="U65" s="1084">
        <v>0</v>
      </c>
      <c r="V65" s="1084">
        <v>0</v>
      </c>
      <c r="W65" s="1084">
        <v>0</v>
      </c>
      <c r="X65" s="1084">
        <v>0</v>
      </c>
      <c r="Y65" s="1084">
        <v>0</v>
      </c>
      <c r="Z65" s="1084">
        <v>0</v>
      </c>
      <c r="AA65" s="1084">
        <v>0</v>
      </c>
      <c r="AB65" s="1084">
        <v>0</v>
      </c>
      <c r="AC65" s="1084">
        <v>0</v>
      </c>
      <c r="AD65" s="1084">
        <v>0</v>
      </c>
      <c r="AE65" s="1084">
        <v>0</v>
      </c>
      <c r="AF65" s="1084">
        <v>0</v>
      </c>
      <c r="AG65" s="1084">
        <v>0</v>
      </c>
      <c r="AH65" s="858">
        <f t="shared" si="8"/>
        <v>0</v>
      </c>
    </row>
    <row r="66" spans="1:34" s="3017" customFormat="1" ht="13.8">
      <c r="A66" s="509" t="s">
        <v>152</v>
      </c>
      <c r="B66" s="831">
        <f t="shared" si="7"/>
        <v>0</v>
      </c>
      <c r="C66" s="1084">
        <v>0</v>
      </c>
      <c r="D66" s="1084">
        <v>0</v>
      </c>
      <c r="E66" s="1084">
        <v>0</v>
      </c>
      <c r="F66" s="1084">
        <v>0</v>
      </c>
      <c r="G66" s="1084">
        <v>0</v>
      </c>
      <c r="H66" s="1084">
        <v>0</v>
      </c>
      <c r="I66" s="1084">
        <v>0</v>
      </c>
      <c r="J66" s="1084">
        <v>0</v>
      </c>
      <c r="K66" s="1084">
        <v>0</v>
      </c>
      <c r="L66" s="1084">
        <v>0</v>
      </c>
      <c r="M66" s="1084">
        <v>0</v>
      </c>
      <c r="N66" s="1084">
        <v>0</v>
      </c>
      <c r="O66" s="1084">
        <v>0</v>
      </c>
      <c r="P66" s="1084">
        <v>0</v>
      </c>
      <c r="Q66" s="1084">
        <v>0</v>
      </c>
      <c r="R66" s="1084">
        <v>0</v>
      </c>
      <c r="S66" s="1084">
        <v>0</v>
      </c>
      <c r="T66" s="1084">
        <v>0</v>
      </c>
      <c r="U66" s="1084">
        <v>0</v>
      </c>
      <c r="V66" s="1084">
        <v>0</v>
      </c>
      <c r="W66" s="1084">
        <v>0</v>
      </c>
      <c r="X66" s="1084">
        <v>0</v>
      </c>
      <c r="Y66" s="1084">
        <v>0</v>
      </c>
      <c r="Z66" s="1084">
        <v>0</v>
      </c>
      <c r="AA66" s="1084">
        <v>0</v>
      </c>
      <c r="AB66" s="1084">
        <v>0</v>
      </c>
      <c r="AC66" s="1084">
        <v>0</v>
      </c>
      <c r="AD66" s="1084">
        <v>0</v>
      </c>
      <c r="AE66" s="1084">
        <v>0</v>
      </c>
      <c r="AF66" s="1084">
        <v>0</v>
      </c>
      <c r="AG66" s="1084">
        <v>0</v>
      </c>
      <c r="AH66" s="858">
        <f t="shared" si="8"/>
        <v>0</v>
      </c>
    </row>
    <row r="67" spans="1:34" s="3017" customFormat="1" ht="13.8">
      <c r="A67" s="509" t="s">
        <v>153</v>
      </c>
      <c r="B67" s="831">
        <f t="shared" si="7"/>
        <v>0</v>
      </c>
      <c r="C67" s="1084">
        <v>0</v>
      </c>
      <c r="D67" s="1084">
        <v>0</v>
      </c>
      <c r="E67" s="1084">
        <v>0</v>
      </c>
      <c r="F67" s="1084">
        <v>0</v>
      </c>
      <c r="G67" s="1084">
        <v>0</v>
      </c>
      <c r="H67" s="1084">
        <v>0</v>
      </c>
      <c r="I67" s="1084">
        <v>0</v>
      </c>
      <c r="J67" s="1084">
        <v>0</v>
      </c>
      <c r="K67" s="1084">
        <v>0</v>
      </c>
      <c r="L67" s="1084">
        <v>0</v>
      </c>
      <c r="M67" s="1084">
        <v>0</v>
      </c>
      <c r="N67" s="1084">
        <v>0</v>
      </c>
      <c r="O67" s="1084">
        <v>0</v>
      </c>
      <c r="P67" s="1084">
        <v>0</v>
      </c>
      <c r="Q67" s="1084">
        <v>0</v>
      </c>
      <c r="R67" s="1084">
        <v>0</v>
      </c>
      <c r="S67" s="1084">
        <v>0</v>
      </c>
      <c r="T67" s="1084">
        <v>0</v>
      </c>
      <c r="U67" s="1084">
        <v>0</v>
      </c>
      <c r="V67" s="1084">
        <v>0</v>
      </c>
      <c r="W67" s="1084">
        <v>0</v>
      </c>
      <c r="X67" s="1084">
        <v>0</v>
      </c>
      <c r="Y67" s="1084">
        <v>0</v>
      </c>
      <c r="Z67" s="1084">
        <v>0</v>
      </c>
      <c r="AA67" s="1084">
        <v>0</v>
      </c>
      <c r="AB67" s="1084">
        <v>0</v>
      </c>
      <c r="AC67" s="1084">
        <v>0</v>
      </c>
      <c r="AD67" s="1084">
        <v>0</v>
      </c>
      <c r="AE67" s="1084">
        <v>0</v>
      </c>
      <c r="AF67" s="1084">
        <v>0</v>
      </c>
      <c r="AG67" s="1084">
        <v>0</v>
      </c>
      <c r="AH67" s="858">
        <f t="shared" si="8"/>
        <v>0</v>
      </c>
    </row>
    <row r="68" spans="1:34" s="3017" customFormat="1" ht="13.8">
      <c r="A68" s="603" t="s">
        <v>154</v>
      </c>
      <c r="B68" s="831">
        <f t="shared" si="7"/>
        <v>0</v>
      </c>
      <c r="C68" s="1084">
        <v>0</v>
      </c>
      <c r="D68" s="1084">
        <v>0</v>
      </c>
      <c r="E68" s="1084">
        <v>0</v>
      </c>
      <c r="F68" s="1084">
        <v>0</v>
      </c>
      <c r="G68" s="1084">
        <v>0</v>
      </c>
      <c r="H68" s="1084">
        <v>0</v>
      </c>
      <c r="I68" s="1084">
        <v>0</v>
      </c>
      <c r="J68" s="1084">
        <v>0</v>
      </c>
      <c r="K68" s="1084">
        <v>0</v>
      </c>
      <c r="L68" s="1084">
        <v>0</v>
      </c>
      <c r="M68" s="1084">
        <v>0</v>
      </c>
      <c r="N68" s="1084">
        <v>0</v>
      </c>
      <c r="O68" s="1084">
        <v>0</v>
      </c>
      <c r="P68" s="1084">
        <v>0</v>
      </c>
      <c r="Q68" s="1084">
        <v>0</v>
      </c>
      <c r="R68" s="1084">
        <v>0</v>
      </c>
      <c r="S68" s="1084">
        <v>0</v>
      </c>
      <c r="T68" s="1084">
        <v>0</v>
      </c>
      <c r="U68" s="1084">
        <v>0</v>
      </c>
      <c r="V68" s="1084">
        <v>0</v>
      </c>
      <c r="W68" s="1084">
        <v>0</v>
      </c>
      <c r="X68" s="1084">
        <v>0</v>
      </c>
      <c r="Y68" s="1084">
        <v>0</v>
      </c>
      <c r="Z68" s="1084">
        <v>0</v>
      </c>
      <c r="AA68" s="1084">
        <v>0</v>
      </c>
      <c r="AB68" s="1084">
        <v>0</v>
      </c>
      <c r="AC68" s="1084">
        <v>0</v>
      </c>
      <c r="AD68" s="1084">
        <v>0</v>
      </c>
      <c r="AE68" s="1084">
        <v>0</v>
      </c>
      <c r="AF68" s="1084">
        <v>0</v>
      </c>
      <c r="AG68" s="2149">
        <v>0</v>
      </c>
      <c r="AH68" s="858">
        <f t="shared" si="8"/>
        <v>0</v>
      </c>
    </row>
    <row r="69" spans="1:34" s="3017" customFormat="1" ht="13.8">
      <c r="A69" s="603" t="s">
        <v>155</v>
      </c>
      <c r="B69" s="831">
        <f t="shared" si="7"/>
        <v>3166.5509999999999</v>
      </c>
      <c r="C69" s="3031"/>
      <c r="D69" s="3031"/>
      <c r="E69" s="3031"/>
      <c r="F69" s="3031"/>
      <c r="G69" s="3031"/>
      <c r="H69" s="3031"/>
      <c r="I69" s="3031"/>
      <c r="J69" s="3031"/>
      <c r="K69" s="3031"/>
      <c r="L69" s="3031"/>
      <c r="M69" s="3031"/>
      <c r="N69" s="3031"/>
      <c r="O69" s="3031"/>
      <c r="P69" s="3031"/>
      <c r="Q69" s="3031"/>
      <c r="R69" s="3031"/>
      <c r="S69" s="3031"/>
      <c r="T69" s="3031"/>
      <c r="U69" s="3031"/>
      <c r="V69" s="3031"/>
      <c r="W69" s="3031"/>
      <c r="X69" s="3031"/>
      <c r="Y69" s="3031"/>
      <c r="Z69" s="3031"/>
      <c r="AA69" s="3031"/>
      <c r="AB69" s="3031">
        <v>502.81</v>
      </c>
      <c r="AC69" s="3031">
        <v>359.35500000000002</v>
      </c>
      <c r="AD69" s="3031">
        <v>417.20299999999997</v>
      </c>
      <c r="AE69" s="3031">
        <v>869.08699999999999</v>
      </c>
      <c r="AF69" s="3031">
        <v>1018.096</v>
      </c>
      <c r="AG69" s="3031"/>
      <c r="AH69" s="858">
        <f t="shared" si="8"/>
        <v>3166.5509999999999</v>
      </c>
    </row>
    <row r="70" spans="1:34" s="3017" customFormat="1" ht="13.8">
      <c r="A70" s="603" t="s">
        <v>156</v>
      </c>
      <c r="B70" s="831">
        <f t="shared" si="7"/>
        <v>5860.6659999999993</v>
      </c>
      <c r="C70" s="2149">
        <v>0</v>
      </c>
      <c r="D70" s="2149">
        <v>0</v>
      </c>
      <c r="E70" s="2149">
        <v>1007.73</v>
      </c>
      <c r="F70" s="2149">
        <v>556.88499999999999</v>
      </c>
      <c r="G70" s="2149">
        <v>412.65699999999998</v>
      </c>
      <c r="H70" s="2149">
        <v>0</v>
      </c>
      <c r="I70" s="2149">
        <v>0</v>
      </c>
      <c r="J70" s="2149">
        <v>0</v>
      </c>
      <c r="K70" s="2149">
        <v>0</v>
      </c>
      <c r="L70" s="3237">
        <v>136.31</v>
      </c>
      <c r="M70" s="2149">
        <v>856.70899999999995</v>
      </c>
      <c r="N70" s="2149">
        <v>560.89300000000003</v>
      </c>
      <c r="O70" s="3190">
        <v>205.24</v>
      </c>
      <c r="P70" s="2149">
        <v>0</v>
      </c>
      <c r="Q70" s="2149">
        <v>0</v>
      </c>
      <c r="R70" s="2149">
        <v>0</v>
      </c>
      <c r="S70" s="2149">
        <v>377.97</v>
      </c>
      <c r="T70" s="2149">
        <v>54.54</v>
      </c>
      <c r="U70" s="2149">
        <v>493.36</v>
      </c>
      <c r="V70" s="2149">
        <v>0</v>
      </c>
      <c r="W70" s="2149">
        <v>0</v>
      </c>
      <c r="X70" s="2149">
        <v>0</v>
      </c>
      <c r="Y70" s="2149">
        <v>0</v>
      </c>
      <c r="Z70" s="2149">
        <v>0</v>
      </c>
      <c r="AA70" s="2149">
        <v>0</v>
      </c>
      <c r="AB70" s="2149">
        <v>154.13</v>
      </c>
      <c r="AC70" s="2149">
        <v>401.54700000000003</v>
      </c>
      <c r="AD70" s="2149">
        <v>642.69500000000005</v>
      </c>
      <c r="AE70" s="2149"/>
      <c r="AF70" s="2149"/>
      <c r="AG70" s="2149"/>
      <c r="AH70" s="858">
        <f t="shared" si="8"/>
        <v>5860.6659999999993</v>
      </c>
    </row>
    <row r="71" spans="1:34" s="3017" customFormat="1" ht="14.4" thickBot="1">
      <c r="A71" s="2736" t="s">
        <v>111</v>
      </c>
      <c r="B71" s="2737">
        <f>SUM(B59:B70)</f>
        <v>9027.2169999999987</v>
      </c>
      <c r="C71" s="1088"/>
      <c r="D71" s="1088"/>
      <c r="E71" s="1088"/>
      <c r="F71" s="1088"/>
      <c r="G71" s="1088"/>
      <c r="H71" s="1088"/>
      <c r="I71" s="1088"/>
      <c r="J71" s="1088"/>
      <c r="K71" s="1088"/>
      <c r="L71" s="1088"/>
      <c r="M71" s="1088"/>
      <c r="N71" s="1088"/>
      <c r="O71" s="1088"/>
      <c r="P71" s="1088"/>
      <c r="Q71" s="1088"/>
      <c r="R71" s="1088"/>
      <c r="S71" s="1088"/>
      <c r="T71" s="861"/>
      <c r="U71" s="861"/>
      <c r="V71" s="861"/>
      <c r="W71" s="861"/>
      <c r="X71" s="861"/>
      <c r="Y71" s="861"/>
      <c r="Z71" s="861"/>
      <c r="AA71" s="861"/>
      <c r="AB71" s="861"/>
      <c r="AC71" s="861"/>
      <c r="AD71" s="861"/>
      <c r="AE71" s="861"/>
      <c r="AF71" s="861"/>
      <c r="AG71" s="861"/>
      <c r="AH71" s="858">
        <f t="shared" si="8"/>
        <v>0</v>
      </c>
    </row>
    <row r="72" spans="1:34" s="3017" customFormat="1" ht="13.8">
      <c r="A72" s="2738" t="s">
        <v>592</v>
      </c>
      <c r="B72" s="2739">
        <v>10000</v>
      </c>
    </row>
    <row r="73" spans="1:34" s="3017" customFormat="1" ht="14.4" thickBot="1">
      <c r="A73" s="2740" t="s">
        <v>1135</v>
      </c>
      <c r="B73" s="2742">
        <f>+B72-B71</f>
        <v>972.78300000000127</v>
      </c>
      <c r="C73" s="2715"/>
    </row>
    <row r="74" spans="1:34" s="3493" customFormat="1" ht="13.8">
      <c r="A74" s="1140"/>
      <c r="B74" s="3513"/>
      <c r="C74" s="3514"/>
    </row>
    <row r="75" spans="1:34" s="3493" customFormat="1" ht="13.8">
      <c r="A75" s="1140"/>
      <c r="B75" s="3513"/>
      <c r="C75" s="3514"/>
    </row>
    <row r="76" spans="1:34" s="3493" customFormat="1" ht="13.8">
      <c r="A76" s="3515" t="s">
        <v>1293</v>
      </c>
      <c r="B76" s="3516"/>
      <c r="C76" s="3517"/>
      <c r="D76" s="3518"/>
      <c r="E76" s="854"/>
      <c r="F76" s="854"/>
      <c r="G76" s="854"/>
      <c r="H76" s="854"/>
      <c r="I76" s="854"/>
      <c r="J76" s="854"/>
      <c r="K76" s="854"/>
      <c r="L76" s="854"/>
      <c r="M76" s="855"/>
      <c r="N76" s="854"/>
      <c r="O76" s="854"/>
      <c r="P76" s="854"/>
      <c r="Q76" s="854"/>
      <c r="R76" s="854"/>
      <c r="S76" s="854"/>
      <c r="T76" s="854"/>
      <c r="U76" s="854"/>
      <c r="V76" s="854"/>
      <c r="W76" s="854"/>
      <c r="X76" s="854"/>
      <c r="Y76" s="854"/>
      <c r="Z76" s="854"/>
      <c r="AA76" s="854"/>
      <c r="AB76" s="854"/>
      <c r="AC76" s="854"/>
      <c r="AD76" s="854"/>
      <c r="AE76" s="854"/>
      <c r="AF76" s="854"/>
      <c r="AG76" s="854"/>
      <c r="AH76" s="646"/>
    </row>
    <row r="77" spans="1:34" s="3493" customFormat="1" ht="13.8">
      <c r="A77" s="572" t="s">
        <v>142</v>
      </c>
      <c r="B77" s="856" t="s">
        <v>143</v>
      </c>
      <c r="C77" s="1083">
        <v>1</v>
      </c>
      <c r="D77" s="1083">
        <v>2</v>
      </c>
      <c r="E77" s="1083">
        <v>3</v>
      </c>
      <c r="F77" s="1083">
        <v>4</v>
      </c>
      <c r="G77" s="1083">
        <v>5</v>
      </c>
      <c r="H77" s="1083">
        <v>6</v>
      </c>
      <c r="I77" s="1083">
        <v>7</v>
      </c>
      <c r="J77" s="1083">
        <v>8</v>
      </c>
      <c r="K77" s="1083">
        <v>9</v>
      </c>
      <c r="L77" s="1083">
        <v>10</v>
      </c>
      <c r="M77" s="1083">
        <v>11</v>
      </c>
      <c r="N77" s="1083">
        <v>12</v>
      </c>
      <c r="O77" s="1083">
        <v>13</v>
      </c>
      <c r="P77" s="1083">
        <v>14</v>
      </c>
      <c r="Q77" s="1083">
        <v>15</v>
      </c>
      <c r="R77" s="1083">
        <v>16</v>
      </c>
      <c r="S77" s="1083">
        <v>17</v>
      </c>
      <c r="T77" s="883">
        <v>18</v>
      </c>
      <c r="U77" s="883">
        <v>19</v>
      </c>
      <c r="V77" s="883">
        <v>20</v>
      </c>
      <c r="W77" s="883">
        <v>21</v>
      </c>
      <c r="X77" s="883">
        <v>22</v>
      </c>
      <c r="Y77" s="883">
        <v>23</v>
      </c>
      <c r="Z77" s="883">
        <v>24</v>
      </c>
      <c r="AA77" s="883">
        <v>25</v>
      </c>
      <c r="AB77" s="883">
        <v>26</v>
      </c>
      <c r="AC77" s="883">
        <v>27</v>
      </c>
      <c r="AD77" s="883">
        <v>28</v>
      </c>
      <c r="AE77" s="883">
        <v>29</v>
      </c>
      <c r="AF77" s="883">
        <v>30</v>
      </c>
      <c r="AG77" s="883">
        <v>31</v>
      </c>
      <c r="AH77" s="857" t="s">
        <v>111</v>
      </c>
    </row>
    <row r="78" spans="1:34" s="3493" customFormat="1" ht="13.8">
      <c r="A78" s="573" t="s">
        <v>145</v>
      </c>
      <c r="B78" s="831">
        <f t="shared" ref="B78:B89" si="9">+AH78</f>
        <v>0</v>
      </c>
      <c r="C78" s="1084">
        <v>0</v>
      </c>
      <c r="D78" s="1084">
        <v>0</v>
      </c>
      <c r="E78" s="1084">
        <v>0</v>
      </c>
      <c r="F78" s="1084">
        <v>0</v>
      </c>
      <c r="G78" s="1084">
        <v>0</v>
      </c>
      <c r="H78" s="1084">
        <v>0</v>
      </c>
      <c r="I78" s="1084">
        <v>0</v>
      </c>
      <c r="J78" s="1084">
        <v>0</v>
      </c>
      <c r="K78" s="1084">
        <v>0</v>
      </c>
      <c r="L78" s="1084">
        <v>0</v>
      </c>
      <c r="M78" s="1084">
        <v>0</v>
      </c>
      <c r="N78" s="1084">
        <v>0</v>
      </c>
      <c r="O78" s="1084">
        <v>0</v>
      </c>
      <c r="P78" s="1084">
        <v>0</v>
      </c>
      <c r="Q78" s="1084">
        <v>0</v>
      </c>
      <c r="R78" s="1084">
        <v>0</v>
      </c>
      <c r="S78" s="1084">
        <v>0</v>
      </c>
      <c r="T78" s="1084">
        <v>0</v>
      </c>
      <c r="U78" s="1084">
        <v>0</v>
      </c>
      <c r="V78" s="1084">
        <v>0</v>
      </c>
      <c r="W78" s="1084">
        <v>0</v>
      </c>
      <c r="X78" s="1084">
        <v>0</v>
      </c>
      <c r="Y78" s="1084">
        <v>0</v>
      </c>
      <c r="Z78" s="1084">
        <v>0</v>
      </c>
      <c r="AA78" s="1084">
        <v>0</v>
      </c>
      <c r="AB78" s="1084">
        <v>0</v>
      </c>
      <c r="AC78" s="1084">
        <v>0</v>
      </c>
      <c r="AD78" s="1084">
        <v>0</v>
      </c>
      <c r="AE78" s="1084">
        <v>0</v>
      </c>
      <c r="AF78" s="1084">
        <v>0</v>
      </c>
      <c r="AG78" s="1084">
        <v>0</v>
      </c>
      <c r="AH78" s="858">
        <f>SUM(C78:AG78)</f>
        <v>0</v>
      </c>
    </row>
    <row r="79" spans="1:34" s="3493" customFormat="1" ht="13.8">
      <c r="A79" s="573" t="s">
        <v>146</v>
      </c>
      <c r="B79" s="831">
        <f t="shared" si="9"/>
        <v>0</v>
      </c>
      <c r="C79" s="1084">
        <v>0</v>
      </c>
      <c r="D79" s="1084">
        <v>0</v>
      </c>
      <c r="E79" s="1084">
        <v>0</v>
      </c>
      <c r="F79" s="1084">
        <v>0</v>
      </c>
      <c r="G79" s="1084">
        <v>0</v>
      </c>
      <c r="H79" s="1084">
        <v>0</v>
      </c>
      <c r="I79" s="1084">
        <v>0</v>
      </c>
      <c r="J79" s="1084">
        <v>0</v>
      </c>
      <c r="K79" s="1084">
        <v>0</v>
      </c>
      <c r="L79" s="1084">
        <v>0</v>
      </c>
      <c r="M79" s="1084">
        <v>0</v>
      </c>
      <c r="N79" s="1084">
        <v>0</v>
      </c>
      <c r="O79" s="1084">
        <v>0</v>
      </c>
      <c r="P79" s="1084">
        <v>0</v>
      </c>
      <c r="Q79" s="1084">
        <v>0</v>
      </c>
      <c r="R79" s="1084">
        <v>0</v>
      </c>
      <c r="S79" s="1084">
        <v>0</v>
      </c>
      <c r="T79" s="1084">
        <v>0</v>
      </c>
      <c r="U79" s="1084">
        <v>0</v>
      </c>
      <c r="V79" s="1084">
        <v>0</v>
      </c>
      <c r="W79" s="1084">
        <v>0</v>
      </c>
      <c r="X79" s="1084">
        <v>0</v>
      </c>
      <c r="Y79" s="1084">
        <v>0</v>
      </c>
      <c r="Z79" s="1084">
        <v>0</v>
      </c>
      <c r="AA79" s="1084">
        <v>0</v>
      </c>
      <c r="AB79" s="1084">
        <v>0</v>
      </c>
      <c r="AC79" s="1084">
        <v>0</v>
      </c>
      <c r="AD79" s="1084">
        <v>0</v>
      </c>
      <c r="AE79" s="1084">
        <v>0</v>
      </c>
      <c r="AF79" s="1084">
        <v>0</v>
      </c>
      <c r="AG79" s="1084">
        <v>0</v>
      </c>
      <c r="AH79" s="858">
        <f>SUM(C79:AG79)</f>
        <v>0</v>
      </c>
    </row>
    <row r="80" spans="1:34" s="3493" customFormat="1" ht="13.8">
      <c r="A80" s="573" t="s">
        <v>147</v>
      </c>
      <c r="B80" s="831">
        <f t="shared" si="9"/>
        <v>0</v>
      </c>
      <c r="C80" s="1084">
        <v>0</v>
      </c>
      <c r="D80" s="1084">
        <v>0</v>
      </c>
      <c r="E80" s="1084">
        <v>0</v>
      </c>
      <c r="F80" s="1084">
        <v>0</v>
      </c>
      <c r="G80" s="1084">
        <v>0</v>
      </c>
      <c r="H80" s="1084">
        <v>0</v>
      </c>
      <c r="I80" s="1084">
        <v>0</v>
      </c>
      <c r="J80" s="1084">
        <v>0</v>
      </c>
      <c r="K80" s="1084">
        <v>0</v>
      </c>
      <c r="L80" s="1084">
        <v>0</v>
      </c>
      <c r="M80" s="1084">
        <v>0</v>
      </c>
      <c r="N80" s="1084">
        <v>0</v>
      </c>
      <c r="O80" s="1084">
        <v>0</v>
      </c>
      <c r="P80" s="1084">
        <v>0</v>
      </c>
      <c r="Q80" s="1084">
        <v>0</v>
      </c>
      <c r="R80" s="1084">
        <v>0</v>
      </c>
      <c r="S80" s="1084">
        <v>0</v>
      </c>
      <c r="T80" s="1084">
        <v>0</v>
      </c>
      <c r="U80" s="1084">
        <v>0</v>
      </c>
      <c r="V80" s="1084">
        <v>0</v>
      </c>
      <c r="W80" s="1084">
        <v>0</v>
      </c>
      <c r="X80" s="1084">
        <v>0</v>
      </c>
      <c r="Y80" s="1084">
        <v>0</v>
      </c>
      <c r="Z80" s="1084">
        <v>0</v>
      </c>
      <c r="AA80" s="1084">
        <v>0</v>
      </c>
      <c r="AB80" s="1084">
        <v>0</v>
      </c>
      <c r="AC80" s="1084">
        <v>0</v>
      </c>
      <c r="AD80" s="1084">
        <v>0</v>
      </c>
      <c r="AE80" s="1084">
        <v>0</v>
      </c>
      <c r="AF80" s="1084">
        <v>0</v>
      </c>
      <c r="AG80" s="1084">
        <v>0</v>
      </c>
      <c r="AH80" s="858">
        <f>SUM(C80:AG80)</f>
        <v>0</v>
      </c>
    </row>
    <row r="81" spans="1:34" s="3493" customFormat="1" ht="13.8">
      <c r="A81" s="573" t="s">
        <v>148</v>
      </c>
      <c r="B81" s="831">
        <f t="shared" si="9"/>
        <v>0</v>
      </c>
      <c r="C81" s="1084">
        <v>0</v>
      </c>
      <c r="D81" s="1084">
        <v>0</v>
      </c>
      <c r="E81" s="1084">
        <v>0</v>
      </c>
      <c r="F81" s="1084">
        <v>0</v>
      </c>
      <c r="G81" s="1084">
        <v>0</v>
      </c>
      <c r="H81" s="1084">
        <v>0</v>
      </c>
      <c r="I81" s="1084">
        <v>0</v>
      </c>
      <c r="J81" s="1084">
        <v>0</v>
      </c>
      <c r="K81" s="1084">
        <v>0</v>
      </c>
      <c r="L81" s="1084">
        <v>0</v>
      </c>
      <c r="M81" s="1084">
        <v>0</v>
      </c>
      <c r="N81" s="1084">
        <v>0</v>
      </c>
      <c r="O81" s="1084">
        <v>0</v>
      </c>
      <c r="P81" s="1084">
        <v>0</v>
      </c>
      <c r="Q81" s="1084">
        <v>0</v>
      </c>
      <c r="R81" s="1084">
        <v>0</v>
      </c>
      <c r="S81" s="1084">
        <v>0</v>
      </c>
      <c r="T81" s="1084">
        <v>0</v>
      </c>
      <c r="U81" s="1084">
        <v>0</v>
      </c>
      <c r="V81" s="1084">
        <v>0</v>
      </c>
      <c r="W81" s="1084">
        <v>0</v>
      </c>
      <c r="X81" s="1084">
        <v>0</v>
      </c>
      <c r="Y81" s="1084">
        <v>0</v>
      </c>
      <c r="Z81" s="1084">
        <v>0</v>
      </c>
      <c r="AA81" s="1084">
        <v>0</v>
      </c>
      <c r="AB81" s="1084">
        <v>0</v>
      </c>
      <c r="AC81" s="1084">
        <v>0</v>
      </c>
      <c r="AD81" s="1084">
        <v>0</v>
      </c>
      <c r="AE81" s="1084">
        <v>0</v>
      </c>
      <c r="AF81" s="1084">
        <v>0</v>
      </c>
      <c r="AG81" s="1084">
        <v>0</v>
      </c>
      <c r="AH81" s="858">
        <f>SUM(C81:AG81)</f>
        <v>0</v>
      </c>
    </row>
    <row r="82" spans="1:34" s="3493" customFormat="1" ht="13.8">
      <c r="A82" s="573" t="s">
        <v>149</v>
      </c>
      <c r="B82" s="831">
        <f t="shared" si="9"/>
        <v>0</v>
      </c>
      <c r="C82" s="1084">
        <v>0</v>
      </c>
      <c r="D82" s="1084">
        <v>0</v>
      </c>
      <c r="E82" s="1084">
        <v>0</v>
      </c>
      <c r="F82" s="1084">
        <v>0</v>
      </c>
      <c r="G82" s="1084">
        <v>0</v>
      </c>
      <c r="H82" s="1084">
        <v>0</v>
      </c>
      <c r="I82" s="1084">
        <v>0</v>
      </c>
      <c r="J82" s="1084">
        <v>0</v>
      </c>
      <c r="K82" s="1084">
        <v>0</v>
      </c>
      <c r="L82" s="1084">
        <v>0</v>
      </c>
      <c r="M82" s="1084">
        <v>0</v>
      </c>
      <c r="N82" s="1084">
        <v>0</v>
      </c>
      <c r="O82" s="1084">
        <v>0</v>
      </c>
      <c r="P82" s="1084">
        <v>0</v>
      </c>
      <c r="Q82" s="1084">
        <v>0</v>
      </c>
      <c r="R82" s="1084">
        <v>0</v>
      </c>
      <c r="S82" s="1084">
        <v>0</v>
      </c>
      <c r="T82" s="1084">
        <v>0</v>
      </c>
      <c r="U82" s="1084">
        <v>0</v>
      </c>
      <c r="V82" s="1084">
        <v>0</v>
      </c>
      <c r="W82" s="1084">
        <v>0</v>
      </c>
      <c r="X82" s="1084">
        <v>0</v>
      </c>
      <c r="Y82" s="1084">
        <v>0</v>
      </c>
      <c r="Z82" s="1084">
        <v>0</v>
      </c>
      <c r="AA82" s="1084">
        <v>0</v>
      </c>
      <c r="AB82" s="1084">
        <v>0</v>
      </c>
      <c r="AC82" s="1084">
        <v>0</v>
      </c>
      <c r="AD82" s="1084">
        <v>0</v>
      </c>
      <c r="AE82" s="1084">
        <v>0</v>
      </c>
      <c r="AF82" s="1084">
        <v>0</v>
      </c>
      <c r="AG82" s="1084">
        <v>0</v>
      </c>
      <c r="AH82" s="858">
        <v>0</v>
      </c>
    </row>
    <row r="83" spans="1:34" s="3493" customFormat="1" ht="13.8">
      <c r="A83" s="573" t="s">
        <v>150</v>
      </c>
      <c r="B83" s="831">
        <f t="shared" si="9"/>
        <v>0</v>
      </c>
      <c r="C83" s="1084">
        <v>0</v>
      </c>
      <c r="D83" s="1084">
        <v>0</v>
      </c>
      <c r="E83" s="1084">
        <v>0</v>
      </c>
      <c r="F83" s="1084">
        <v>0</v>
      </c>
      <c r="G83" s="1084">
        <v>0</v>
      </c>
      <c r="H83" s="1084">
        <v>0</v>
      </c>
      <c r="I83" s="1084">
        <v>0</v>
      </c>
      <c r="J83" s="1084">
        <v>0</v>
      </c>
      <c r="K83" s="1084">
        <v>0</v>
      </c>
      <c r="L83" s="1084">
        <v>0</v>
      </c>
      <c r="M83" s="1084">
        <v>0</v>
      </c>
      <c r="N83" s="1084">
        <v>0</v>
      </c>
      <c r="O83" s="1084">
        <v>0</v>
      </c>
      <c r="P83" s="1084">
        <v>0</v>
      </c>
      <c r="Q83" s="1084">
        <v>0</v>
      </c>
      <c r="R83" s="1084">
        <v>0</v>
      </c>
      <c r="S83" s="1084">
        <v>0</v>
      </c>
      <c r="T83" s="1084">
        <v>0</v>
      </c>
      <c r="U83" s="1084">
        <v>0</v>
      </c>
      <c r="V83" s="1084">
        <v>0</v>
      </c>
      <c r="W83" s="1084">
        <v>0</v>
      </c>
      <c r="X83" s="1084">
        <v>0</v>
      </c>
      <c r="Y83" s="1084">
        <v>0</v>
      </c>
      <c r="Z83" s="1084">
        <v>0</v>
      </c>
      <c r="AA83" s="1084">
        <v>0</v>
      </c>
      <c r="AB83" s="1084">
        <v>0</v>
      </c>
      <c r="AC83" s="1084">
        <v>0</v>
      </c>
      <c r="AD83" s="1084">
        <v>0</v>
      </c>
      <c r="AE83" s="1084">
        <v>0</v>
      </c>
      <c r="AF83" s="1084">
        <v>0</v>
      </c>
      <c r="AG83" s="1084">
        <v>0</v>
      </c>
      <c r="AH83" s="858">
        <f t="shared" ref="AH83:AH90" si="10">SUM(C83:AG83)</f>
        <v>0</v>
      </c>
    </row>
    <row r="84" spans="1:34" s="3493" customFormat="1" ht="13.8">
      <c r="A84" s="509" t="s">
        <v>151</v>
      </c>
      <c r="B84" s="831">
        <f t="shared" si="9"/>
        <v>0</v>
      </c>
      <c r="C84" s="1084">
        <v>0</v>
      </c>
      <c r="D84" s="1084">
        <v>0</v>
      </c>
      <c r="E84" s="1084">
        <v>0</v>
      </c>
      <c r="F84" s="1084">
        <v>0</v>
      </c>
      <c r="G84" s="1084">
        <v>0</v>
      </c>
      <c r="H84" s="1084">
        <v>0</v>
      </c>
      <c r="I84" s="1084">
        <v>0</v>
      </c>
      <c r="J84" s="1084">
        <v>0</v>
      </c>
      <c r="K84" s="1084">
        <v>0</v>
      </c>
      <c r="L84" s="1084">
        <v>0</v>
      </c>
      <c r="M84" s="1084">
        <v>0</v>
      </c>
      <c r="N84" s="1084">
        <v>0</v>
      </c>
      <c r="O84" s="1084">
        <v>0</v>
      </c>
      <c r="P84" s="1084">
        <v>0</v>
      </c>
      <c r="Q84" s="1084">
        <v>0</v>
      </c>
      <c r="R84" s="1084">
        <v>0</v>
      </c>
      <c r="S84" s="1084">
        <v>0</v>
      </c>
      <c r="T84" s="1084">
        <v>0</v>
      </c>
      <c r="U84" s="1084">
        <v>0</v>
      </c>
      <c r="V84" s="1084">
        <v>0</v>
      </c>
      <c r="W84" s="1084">
        <v>0</v>
      </c>
      <c r="X84" s="1084">
        <v>0</v>
      </c>
      <c r="Y84" s="1084">
        <v>0</v>
      </c>
      <c r="Z84" s="1084">
        <v>0</v>
      </c>
      <c r="AA84" s="1084">
        <v>0</v>
      </c>
      <c r="AB84" s="1084">
        <v>0</v>
      </c>
      <c r="AC84" s="1084">
        <v>0</v>
      </c>
      <c r="AD84" s="1084">
        <v>0</v>
      </c>
      <c r="AE84" s="1084">
        <v>0</v>
      </c>
      <c r="AF84" s="1084">
        <v>0</v>
      </c>
      <c r="AG84" s="1084">
        <v>0</v>
      </c>
      <c r="AH84" s="858">
        <f t="shared" si="10"/>
        <v>0</v>
      </c>
    </row>
    <row r="85" spans="1:34" s="3493" customFormat="1" ht="13.8">
      <c r="A85" s="509" t="s">
        <v>152</v>
      </c>
      <c r="B85" s="831">
        <f t="shared" si="9"/>
        <v>0</v>
      </c>
      <c r="C85" s="1084">
        <v>0</v>
      </c>
      <c r="D85" s="1084">
        <v>0</v>
      </c>
      <c r="E85" s="1084">
        <v>0</v>
      </c>
      <c r="F85" s="1084">
        <v>0</v>
      </c>
      <c r="G85" s="1084">
        <v>0</v>
      </c>
      <c r="H85" s="1084">
        <v>0</v>
      </c>
      <c r="I85" s="1084">
        <v>0</v>
      </c>
      <c r="J85" s="1084">
        <v>0</v>
      </c>
      <c r="K85" s="1084">
        <v>0</v>
      </c>
      <c r="L85" s="1084">
        <v>0</v>
      </c>
      <c r="M85" s="1084">
        <v>0</v>
      </c>
      <c r="N85" s="1084">
        <v>0</v>
      </c>
      <c r="O85" s="1084">
        <v>0</v>
      </c>
      <c r="P85" s="1084">
        <v>0</v>
      </c>
      <c r="Q85" s="1084">
        <v>0</v>
      </c>
      <c r="R85" s="1084">
        <v>0</v>
      </c>
      <c r="S85" s="1084">
        <v>0</v>
      </c>
      <c r="T85" s="1084">
        <v>0</v>
      </c>
      <c r="U85" s="1084">
        <v>0</v>
      </c>
      <c r="V85" s="1084">
        <v>0</v>
      </c>
      <c r="W85" s="1084">
        <v>0</v>
      </c>
      <c r="X85" s="1084">
        <v>0</v>
      </c>
      <c r="Y85" s="1084">
        <v>0</v>
      </c>
      <c r="Z85" s="1084">
        <v>0</v>
      </c>
      <c r="AA85" s="1084">
        <v>0</v>
      </c>
      <c r="AB85" s="1084">
        <v>0</v>
      </c>
      <c r="AC85" s="1084">
        <v>0</v>
      </c>
      <c r="AD85" s="1084">
        <v>0</v>
      </c>
      <c r="AE85" s="1084">
        <v>0</v>
      </c>
      <c r="AF85" s="1084">
        <v>0</v>
      </c>
      <c r="AG85" s="1084">
        <v>0</v>
      </c>
      <c r="AH85" s="858">
        <f t="shared" si="10"/>
        <v>0</v>
      </c>
    </row>
    <row r="86" spans="1:34" s="3493" customFormat="1" ht="13.8">
      <c r="A86" s="509" t="s">
        <v>153</v>
      </c>
      <c r="B86" s="831">
        <f t="shared" si="9"/>
        <v>0</v>
      </c>
      <c r="C86" s="1084">
        <v>0</v>
      </c>
      <c r="D86" s="1084">
        <v>0</v>
      </c>
      <c r="E86" s="1084">
        <v>0</v>
      </c>
      <c r="F86" s="1084">
        <v>0</v>
      </c>
      <c r="G86" s="1084">
        <v>0</v>
      </c>
      <c r="H86" s="1084">
        <v>0</v>
      </c>
      <c r="I86" s="1084">
        <v>0</v>
      </c>
      <c r="J86" s="1084">
        <v>0</v>
      </c>
      <c r="K86" s="1084">
        <v>0</v>
      </c>
      <c r="L86" s="1084">
        <v>0</v>
      </c>
      <c r="M86" s="1084">
        <v>0</v>
      </c>
      <c r="N86" s="1084">
        <v>0</v>
      </c>
      <c r="O86" s="1084">
        <v>0</v>
      </c>
      <c r="P86" s="1084">
        <v>0</v>
      </c>
      <c r="Q86" s="1084">
        <v>0</v>
      </c>
      <c r="R86" s="1084">
        <v>0</v>
      </c>
      <c r="S86" s="1084">
        <v>0</v>
      </c>
      <c r="T86" s="1084">
        <v>0</v>
      </c>
      <c r="U86" s="1084">
        <v>0</v>
      </c>
      <c r="V86" s="1084">
        <v>0</v>
      </c>
      <c r="W86" s="1084">
        <v>0</v>
      </c>
      <c r="X86" s="1084">
        <v>0</v>
      </c>
      <c r="Y86" s="1084">
        <v>0</v>
      </c>
      <c r="Z86" s="1084">
        <v>0</v>
      </c>
      <c r="AA86" s="1084">
        <v>0</v>
      </c>
      <c r="AB86" s="1084">
        <v>0</v>
      </c>
      <c r="AC86" s="1084">
        <v>0</v>
      </c>
      <c r="AD86" s="1084">
        <v>0</v>
      </c>
      <c r="AE86" s="1084">
        <v>0</v>
      </c>
      <c r="AF86" s="1084">
        <v>0</v>
      </c>
      <c r="AG86" s="1084">
        <v>0</v>
      </c>
      <c r="AH86" s="858">
        <f t="shared" si="10"/>
        <v>0</v>
      </c>
    </row>
    <row r="87" spans="1:34" s="3493" customFormat="1" ht="13.8">
      <c r="A87" s="603" t="s">
        <v>154</v>
      </c>
      <c r="B87" s="831">
        <f t="shared" si="9"/>
        <v>0</v>
      </c>
      <c r="C87" s="1084">
        <v>0</v>
      </c>
      <c r="D87" s="1084">
        <v>0</v>
      </c>
      <c r="E87" s="1084">
        <v>0</v>
      </c>
      <c r="F87" s="1084">
        <v>0</v>
      </c>
      <c r="G87" s="1084">
        <v>0</v>
      </c>
      <c r="H87" s="1084">
        <v>0</v>
      </c>
      <c r="I87" s="1084">
        <v>0</v>
      </c>
      <c r="J87" s="1084">
        <v>0</v>
      </c>
      <c r="K87" s="1084">
        <v>0</v>
      </c>
      <c r="L87" s="1084">
        <v>0</v>
      </c>
      <c r="M87" s="1084">
        <v>0</v>
      </c>
      <c r="N87" s="1084">
        <v>0</v>
      </c>
      <c r="O87" s="1084">
        <v>0</v>
      </c>
      <c r="P87" s="1084">
        <v>0</v>
      </c>
      <c r="Q87" s="1084">
        <v>0</v>
      </c>
      <c r="R87" s="1084">
        <v>0</v>
      </c>
      <c r="S87" s="1084">
        <v>0</v>
      </c>
      <c r="T87" s="1084">
        <v>0</v>
      </c>
      <c r="U87" s="1084">
        <v>0</v>
      </c>
      <c r="V87" s="1084">
        <v>0</v>
      </c>
      <c r="W87" s="1084">
        <v>0</v>
      </c>
      <c r="X87" s="1084">
        <v>0</v>
      </c>
      <c r="Y87" s="1084">
        <v>0</v>
      </c>
      <c r="Z87" s="1084">
        <v>0</v>
      </c>
      <c r="AA87" s="1084">
        <v>0</v>
      </c>
      <c r="AB87" s="1084">
        <v>0</v>
      </c>
      <c r="AC87" s="1084">
        <v>0</v>
      </c>
      <c r="AD87" s="1084">
        <v>0</v>
      </c>
      <c r="AE87" s="1084">
        <v>0</v>
      </c>
      <c r="AF87" s="1084">
        <v>0</v>
      </c>
      <c r="AG87" s="1084">
        <v>0</v>
      </c>
      <c r="AH87" s="858">
        <f t="shared" si="10"/>
        <v>0</v>
      </c>
    </row>
    <row r="88" spans="1:34" s="3493" customFormat="1" ht="13.8">
      <c r="A88" s="603" t="s">
        <v>155</v>
      </c>
      <c r="B88" s="831">
        <f t="shared" si="9"/>
        <v>0</v>
      </c>
      <c r="C88" s="1084">
        <v>0</v>
      </c>
      <c r="D88" s="1084">
        <v>0</v>
      </c>
      <c r="E88" s="1084">
        <v>0</v>
      </c>
      <c r="F88" s="1084">
        <v>0</v>
      </c>
      <c r="G88" s="1084">
        <v>0</v>
      </c>
      <c r="H88" s="1084">
        <v>0</v>
      </c>
      <c r="I88" s="1084">
        <v>0</v>
      </c>
      <c r="J88" s="1084">
        <v>0</v>
      </c>
      <c r="K88" s="1084">
        <v>0</v>
      </c>
      <c r="L88" s="1084">
        <v>0</v>
      </c>
      <c r="M88" s="1084">
        <v>0</v>
      </c>
      <c r="N88" s="1084">
        <v>0</v>
      </c>
      <c r="O88" s="1084">
        <v>0</v>
      </c>
      <c r="P88" s="1084">
        <v>0</v>
      </c>
      <c r="Q88" s="1084">
        <v>0</v>
      </c>
      <c r="R88" s="1084">
        <v>0</v>
      </c>
      <c r="S88" s="1084">
        <v>0</v>
      </c>
      <c r="T88" s="1084">
        <v>0</v>
      </c>
      <c r="U88" s="1084">
        <v>0</v>
      </c>
      <c r="V88" s="1084">
        <v>0</v>
      </c>
      <c r="W88" s="1084">
        <v>0</v>
      </c>
      <c r="X88" s="1084">
        <v>0</v>
      </c>
      <c r="Y88" s="1084">
        <v>0</v>
      </c>
      <c r="Z88" s="1084">
        <v>0</v>
      </c>
      <c r="AA88" s="1084">
        <v>0</v>
      </c>
      <c r="AB88" s="1084">
        <v>0</v>
      </c>
      <c r="AC88" s="1084">
        <v>0</v>
      </c>
      <c r="AD88" s="1084">
        <v>0</v>
      </c>
      <c r="AE88" s="1084">
        <v>0</v>
      </c>
      <c r="AF88" s="1084">
        <v>0</v>
      </c>
      <c r="AG88" s="1084">
        <v>0</v>
      </c>
      <c r="AH88" s="858">
        <f t="shared" si="10"/>
        <v>0</v>
      </c>
    </row>
    <row r="89" spans="1:34" s="3493" customFormat="1" ht="13.8">
      <c r="A89" s="603" t="s">
        <v>156</v>
      </c>
      <c r="B89" s="831">
        <f t="shared" si="9"/>
        <v>0</v>
      </c>
      <c r="C89" s="2149"/>
      <c r="D89" s="2149"/>
      <c r="E89" s="2149"/>
      <c r="F89" s="2149"/>
      <c r="G89" s="2149"/>
      <c r="H89" s="2149"/>
      <c r="I89" s="2149"/>
      <c r="J89" s="2149"/>
      <c r="K89" s="2149"/>
      <c r="L89" s="3237"/>
      <c r="M89" s="2149"/>
      <c r="N89" s="2149"/>
      <c r="O89" s="3190"/>
      <c r="P89" s="2149"/>
      <c r="Q89" s="2149"/>
      <c r="R89" s="2149"/>
      <c r="S89" s="2149"/>
      <c r="T89" s="2149"/>
      <c r="U89" s="2149"/>
      <c r="V89" s="2149"/>
      <c r="W89" s="2149"/>
      <c r="X89" s="2149"/>
      <c r="Y89" s="2149"/>
      <c r="Z89" s="2149"/>
      <c r="AA89" s="2149"/>
      <c r="AB89" s="2149"/>
      <c r="AC89" s="2149"/>
      <c r="AD89" s="2149"/>
      <c r="AE89" s="2149"/>
      <c r="AF89" s="2149"/>
      <c r="AG89" s="2149"/>
      <c r="AH89" s="858">
        <f t="shared" si="10"/>
        <v>0</v>
      </c>
    </row>
    <row r="90" spans="1:34" s="3493" customFormat="1" ht="14.4" thickBot="1">
      <c r="A90" s="2736" t="s">
        <v>111</v>
      </c>
      <c r="B90" s="2737">
        <f>SUM(B78:B89)</f>
        <v>0</v>
      </c>
      <c r="C90" s="1088"/>
      <c r="D90" s="1088"/>
      <c r="E90" s="1088"/>
      <c r="F90" s="1088"/>
      <c r="G90" s="1088"/>
      <c r="H90" s="1088"/>
      <c r="I90" s="1088"/>
      <c r="J90" s="1088"/>
      <c r="K90" s="1088"/>
      <c r="L90" s="1088"/>
      <c r="M90" s="1088"/>
      <c r="N90" s="1088"/>
      <c r="O90" s="1088"/>
      <c r="P90" s="1088"/>
      <c r="Q90" s="1088"/>
      <c r="R90" s="1088"/>
      <c r="S90" s="1088"/>
      <c r="T90" s="861"/>
      <c r="U90" s="861"/>
      <c r="V90" s="861"/>
      <c r="W90" s="861"/>
      <c r="X90" s="861"/>
      <c r="Y90" s="861"/>
      <c r="Z90" s="861"/>
      <c r="AA90" s="861"/>
      <c r="AB90" s="861"/>
      <c r="AC90" s="861"/>
      <c r="AD90" s="861"/>
      <c r="AE90" s="861"/>
      <c r="AF90" s="861"/>
      <c r="AG90" s="861"/>
      <c r="AH90" s="858">
        <f t="shared" si="10"/>
        <v>0</v>
      </c>
    </row>
    <row r="91" spans="1:34" s="3493" customFormat="1" ht="13.8">
      <c r="A91" s="2738" t="s">
        <v>592</v>
      </c>
      <c r="B91" s="2739">
        <v>5000</v>
      </c>
    </row>
    <row r="92" spans="1:34" s="3493" customFormat="1" ht="14.4" thickBot="1">
      <c r="A92" s="2740" t="s">
        <v>1135</v>
      </c>
      <c r="B92" s="2742">
        <f>+B91-B90</f>
        <v>5000</v>
      </c>
      <c r="C92" s="2715"/>
    </row>
    <row r="93" spans="1:34" s="3493" customFormat="1" ht="13.8">
      <c r="A93" s="1140"/>
      <c r="B93" s="3513"/>
      <c r="C93" s="3514"/>
    </row>
    <row r="94" spans="1:34" ht="14.4" thickBot="1">
      <c r="A94" s="1140"/>
      <c r="B94" s="1141"/>
    </row>
    <row r="95" spans="1:34" ht="14.4" thickBot="1">
      <c r="A95" s="1386" t="s">
        <v>771</v>
      </c>
      <c r="B95" s="1387"/>
      <c r="C95" s="1388"/>
      <c r="D95" s="1389"/>
      <c r="E95" s="1389"/>
      <c r="F95" s="1390"/>
      <c r="G95" s="3210"/>
      <c r="H95" s="854"/>
      <c r="I95" s="854"/>
      <c r="J95" s="854"/>
      <c r="K95" s="854"/>
      <c r="L95" s="854"/>
      <c r="M95" s="855"/>
      <c r="N95" s="854"/>
      <c r="O95" s="854"/>
      <c r="P95" s="854"/>
      <c r="Q95" s="854"/>
      <c r="R95" s="854"/>
      <c r="S95" s="854"/>
      <c r="T95" s="854"/>
      <c r="U95" s="854"/>
      <c r="V95" s="854"/>
      <c r="W95" s="854"/>
      <c r="X95" s="854"/>
      <c r="Y95" s="854"/>
      <c r="Z95" s="854"/>
      <c r="AA95" s="854"/>
      <c r="AB95" s="854"/>
      <c r="AC95" s="854"/>
      <c r="AD95" s="854"/>
      <c r="AE95" s="854"/>
      <c r="AF95" s="854"/>
      <c r="AG95" s="854"/>
      <c r="AH95" s="646"/>
    </row>
    <row r="96" spans="1:34" ht="13.8">
      <c r="A96" s="1383" t="s">
        <v>142</v>
      </c>
      <c r="B96" s="1384" t="s">
        <v>143</v>
      </c>
      <c r="C96" s="1658">
        <v>1</v>
      </c>
      <c r="D96" s="1385">
        <v>2</v>
      </c>
      <c r="E96" s="1385">
        <v>3</v>
      </c>
      <c r="F96" s="1385">
        <v>4</v>
      </c>
      <c r="G96" s="1083">
        <v>5</v>
      </c>
      <c r="H96" s="1083">
        <v>6</v>
      </c>
      <c r="I96" s="1083">
        <v>7</v>
      </c>
      <c r="J96" s="1083">
        <v>8</v>
      </c>
      <c r="K96" s="1083">
        <v>9</v>
      </c>
      <c r="L96" s="1083">
        <v>10</v>
      </c>
      <c r="M96" s="1083">
        <v>11</v>
      </c>
      <c r="N96" s="1083">
        <v>12</v>
      </c>
      <c r="O96" s="1083">
        <v>13</v>
      </c>
      <c r="P96" s="1083">
        <v>14</v>
      </c>
      <c r="Q96" s="1083">
        <v>15</v>
      </c>
      <c r="R96" s="1083">
        <v>16</v>
      </c>
      <c r="S96" s="1083">
        <v>17</v>
      </c>
      <c r="T96" s="883">
        <v>18</v>
      </c>
      <c r="U96" s="883">
        <v>19</v>
      </c>
      <c r="V96" s="883">
        <v>20</v>
      </c>
      <c r="W96" s="883">
        <v>21</v>
      </c>
      <c r="X96" s="883">
        <v>22</v>
      </c>
      <c r="Y96" s="883">
        <v>23</v>
      </c>
      <c r="Z96" s="883">
        <v>24</v>
      </c>
      <c r="AA96" s="883">
        <v>25</v>
      </c>
      <c r="AB96" s="883">
        <v>26</v>
      </c>
      <c r="AC96" s="883">
        <v>27</v>
      </c>
      <c r="AD96" s="883">
        <v>28</v>
      </c>
      <c r="AE96" s="883">
        <v>29</v>
      </c>
      <c r="AF96" s="883">
        <v>30</v>
      </c>
      <c r="AG96" s="883">
        <v>31</v>
      </c>
      <c r="AH96" s="857" t="s">
        <v>111</v>
      </c>
    </row>
    <row r="97" spans="1:34" ht="13.8">
      <c r="A97" s="573" t="s">
        <v>145</v>
      </c>
      <c r="B97" s="831">
        <v>0</v>
      </c>
      <c r="C97" s="1084">
        <v>0</v>
      </c>
      <c r="D97" s="1084">
        <v>0</v>
      </c>
      <c r="E97" s="1084">
        <v>0</v>
      </c>
      <c r="F97" s="1084">
        <v>0</v>
      </c>
      <c r="G97" s="1084">
        <v>0</v>
      </c>
      <c r="H97" s="1084">
        <v>0</v>
      </c>
      <c r="I97" s="1084">
        <v>0</v>
      </c>
      <c r="J97" s="1084">
        <v>0</v>
      </c>
      <c r="K97" s="1084">
        <v>0</v>
      </c>
      <c r="L97" s="1084">
        <v>0</v>
      </c>
      <c r="M97" s="1084">
        <v>0</v>
      </c>
      <c r="N97" s="1084">
        <v>0</v>
      </c>
      <c r="O97" s="1084">
        <v>0</v>
      </c>
      <c r="P97" s="1084">
        <v>0</v>
      </c>
      <c r="Q97" s="1084">
        <v>0</v>
      </c>
      <c r="R97" s="1084">
        <v>0</v>
      </c>
      <c r="S97" s="1084">
        <v>0</v>
      </c>
      <c r="T97" s="862">
        <v>0</v>
      </c>
      <c r="U97" s="862">
        <v>0</v>
      </c>
      <c r="V97" s="862">
        <v>0</v>
      </c>
      <c r="W97" s="862">
        <v>0</v>
      </c>
      <c r="X97" s="862">
        <v>0</v>
      </c>
      <c r="Y97" s="862">
        <v>0</v>
      </c>
      <c r="Z97" s="862">
        <v>0</v>
      </c>
      <c r="AA97" s="862">
        <v>0</v>
      </c>
      <c r="AB97" s="862">
        <v>0</v>
      </c>
      <c r="AC97" s="862">
        <v>0</v>
      </c>
      <c r="AD97" s="862">
        <v>0</v>
      </c>
      <c r="AE97" s="862">
        <v>0</v>
      </c>
      <c r="AF97" s="862">
        <v>0</v>
      </c>
      <c r="AG97" s="862">
        <v>0</v>
      </c>
      <c r="AH97" s="858">
        <f>SUM(C97:AG97)</f>
        <v>0</v>
      </c>
    </row>
    <row r="98" spans="1:34" ht="13.8">
      <c r="A98" s="573" t="s">
        <v>146</v>
      </c>
      <c r="B98" s="831">
        <v>0</v>
      </c>
      <c r="C98" s="1084">
        <v>0</v>
      </c>
      <c r="D98" s="1084">
        <v>0</v>
      </c>
      <c r="E98" s="1084">
        <v>0</v>
      </c>
      <c r="F98" s="1084">
        <v>0</v>
      </c>
      <c r="G98" s="1084">
        <v>0</v>
      </c>
      <c r="H98" s="1084">
        <v>0</v>
      </c>
      <c r="I98" s="1084">
        <v>0</v>
      </c>
      <c r="J98" s="1084">
        <v>0</v>
      </c>
      <c r="K98" s="1084">
        <v>0</v>
      </c>
      <c r="L98" s="1084">
        <v>0</v>
      </c>
      <c r="M98" s="1084">
        <v>0</v>
      </c>
      <c r="N98" s="1084">
        <v>0</v>
      </c>
      <c r="O98" s="1084">
        <v>0</v>
      </c>
      <c r="P98" s="1084">
        <v>0</v>
      </c>
      <c r="Q98" s="1084">
        <v>0</v>
      </c>
      <c r="R98" s="1084">
        <v>0</v>
      </c>
      <c r="S98" s="1084">
        <v>0</v>
      </c>
      <c r="T98" s="862">
        <v>0</v>
      </c>
      <c r="U98" s="862">
        <v>0</v>
      </c>
      <c r="V98" s="862">
        <v>0</v>
      </c>
      <c r="W98" s="862">
        <v>0</v>
      </c>
      <c r="X98" s="862">
        <v>0</v>
      </c>
      <c r="Y98" s="862">
        <v>0</v>
      </c>
      <c r="Z98" s="862">
        <v>0</v>
      </c>
      <c r="AA98" s="862">
        <v>0</v>
      </c>
      <c r="AB98" s="862">
        <v>0</v>
      </c>
      <c r="AC98" s="862">
        <v>0</v>
      </c>
      <c r="AD98" s="862">
        <v>0</v>
      </c>
      <c r="AE98" s="862">
        <v>0</v>
      </c>
      <c r="AF98" s="862">
        <v>0</v>
      </c>
      <c r="AG98" s="862">
        <v>0</v>
      </c>
      <c r="AH98" s="858">
        <f>SUM(C98:AG98)</f>
        <v>0</v>
      </c>
    </row>
    <row r="99" spans="1:34" ht="13.8">
      <c r="A99" s="573" t="s">
        <v>147</v>
      </c>
      <c r="B99" s="831">
        <v>0</v>
      </c>
      <c r="C99" s="1084">
        <v>0</v>
      </c>
      <c r="D99" s="1084">
        <v>0</v>
      </c>
      <c r="E99" s="1084">
        <v>0</v>
      </c>
      <c r="F99" s="1084">
        <v>0</v>
      </c>
      <c r="G99" s="1084">
        <v>0</v>
      </c>
      <c r="H99" s="1084">
        <v>0</v>
      </c>
      <c r="I99" s="1084">
        <v>0</v>
      </c>
      <c r="J99" s="1084">
        <v>0</v>
      </c>
      <c r="K99" s="1084">
        <v>0</v>
      </c>
      <c r="L99" s="1084">
        <v>0</v>
      </c>
      <c r="M99" s="1084">
        <v>0</v>
      </c>
      <c r="N99" s="1084">
        <v>0</v>
      </c>
      <c r="O99" s="1084">
        <v>0</v>
      </c>
      <c r="P99" s="1084">
        <v>0</v>
      </c>
      <c r="Q99" s="1084">
        <v>0</v>
      </c>
      <c r="R99" s="1084">
        <v>0</v>
      </c>
      <c r="S99" s="1084">
        <v>0</v>
      </c>
      <c r="T99" s="862">
        <v>0</v>
      </c>
      <c r="U99" s="862">
        <v>0</v>
      </c>
      <c r="V99" s="862">
        <v>0</v>
      </c>
      <c r="W99" s="862">
        <v>0</v>
      </c>
      <c r="X99" s="862">
        <v>0</v>
      </c>
      <c r="Y99" s="862">
        <v>0</v>
      </c>
      <c r="Z99" s="862">
        <v>0</v>
      </c>
      <c r="AA99" s="862">
        <v>0</v>
      </c>
      <c r="AB99" s="862">
        <v>0</v>
      </c>
      <c r="AC99" s="862">
        <v>0</v>
      </c>
      <c r="AD99" s="862">
        <v>0</v>
      </c>
      <c r="AE99" s="862">
        <v>0</v>
      </c>
      <c r="AF99" s="862">
        <v>0</v>
      </c>
      <c r="AG99" s="862">
        <v>0</v>
      </c>
      <c r="AH99" s="858">
        <f>SUM(C99:AG99)</f>
        <v>0</v>
      </c>
    </row>
    <row r="100" spans="1:34" ht="13.8">
      <c r="A100" s="573" t="s">
        <v>148</v>
      </c>
      <c r="B100" s="831">
        <v>0</v>
      </c>
      <c r="C100" s="1085">
        <v>0</v>
      </c>
      <c r="D100" s="1085">
        <v>0</v>
      </c>
      <c r="E100" s="1085">
        <v>0</v>
      </c>
      <c r="F100" s="1085">
        <v>0</v>
      </c>
      <c r="G100" s="1085">
        <v>0</v>
      </c>
      <c r="H100" s="1085">
        <v>0</v>
      </c>
      <c r="I100" s="1085">
        <v>0</v>
      </c>
      <c r="J100" s="1085">
        <v>0</v>
      </c>
      <c r="K100" s="1085">
        <v>0</v>
      </c>
      <c r="L100" s="1085">
        <v>0</v>
      </c>
      <c r="M100" s="1085">
        <v>0</v>
      </c>
      <c r="N100" s="1085">
        <v>0</v>
      </c>
      <c r="O100" s="1085">
        <v>0</v>
      </c>
      <c r="P100" s="1085">
        <v>0</v>
      </c>
      <c r="Q100" s="1085">
        <v>0</v>
      </c>
      <c r="R100" s="1085">
        <v>0</v>
      </c>
      <c r="S100" s="1085">
        <v>0</v>
      </c>
      <c r="T100" s="929">
        <v>0</v>
      </c>
      <c r="U100" s="929">
        <v>0</v>
      </c>
      <c r="V100" s="929">
        <v>0</v>
      </c>
      <c r="W100" s="929">
        <v>0</v>
      </c>
      <c r="X100" s="929">
        <v>0</v>
      </c>
      <c r="Y100" s="929">
        <v>0</v>
      </c>
      <c r="Z100" s="929">
        <v>0</v>
      </c>
      <c r="AA100" s="929">
        <v>0</v>
      </c>
      <c r="AB100" s="929">
        <v>0</v>
      </c>
      <c r="AC100" s="929">
        <v>0</v>
      </c>
      <c r="AD100" s="929">
        <v>0</v>
      </c>
      <c r="AE100" s="929">
        <v>0</v>
      </c>
      <c r="AF100" s="929">
        <v>0</v>
      </c>
      <c r="AG100" s="929">
        <v>0</v>
      </c>
      <c r="AH100" s="858">
        <f t="shared" ref="AH100:AH109" si="11">SUM(C100:AG100)</f>
        <v>0</v>
      </c>
    </row>
    <row r="101" spans="1:34" ht="13.8">
      <c r="A101" s="573" t="s">
        <v>149</v>
      </c>
      <c r="B101" s="831">
        <v>0</v>
      </c>
      <c r="C101" s="1085">
        <v>0</v>
      </c>
      <c r="D101" s="1085">
        <v>0</v>
      </c>
      <c r="E101" s="1085">
        <v>0</v>
      </c>
      <c r="F101" s="1085">
        <v>0</v>
      </c>
      <c r="G101" s="1085">
        <v>0</v>
      </c>
      <c r="H101" s="1085">
        <v>0</v>
      </c>
      <c r="I101" s="1085">
        <v>0</v>
      </c>
      <c r="J101" s="1085">
        <v>0</v>
      </c>
      <c r="K101" s="1085">
        <v>0</v>
      </c>
      <c r="L101" s="1085">
        <v>0</v>
      </c>
      <c r="M101" s="1085">
        <v>0</v>
      </c>
      <c r="N101" s="1085">
        <v>0</v>
      </c>
      <c r="O101" s="1085">
        <v>0</v>
      </c>
      <c r="P101" s="1085">
        <v>0</v>
      </c>
      <c r="Q101" s="1085">
        <v>0</v>
      </c>
      <c r="R101" s="1085">
        <v>0</v>
      </c>
      <c r="S101" s="1085">
        <v>0</v>
      </c>
      <c r="T101" s="929">
        <v>0</v>
      </c>
      <c r="U101" s="929">
        <v>0</v>
      </c>
      <c r="V101" s="929">
        <v>0</v>
      </c>
      <c r="W101" s="929">
        <v>0</v>
      </c>
      <c r="X101" s="929">
        <v>0</v>
      </c>
      <c r="Y101" s="929">
        <v>0</v>
      </c>
      <c r="Z101" s="929">
        <v>0</v>
      </c>
      <c r="AA101" s="929">
        <v>0</v>
      </c>
      <c r="AB101" s="859"/>
      <c r="AC101" s="859"/>
      <c r="AD101" s="859"/>
      <c r="AE101" s="859"/>
      <c r="AF101" s="859"/>
      <c r="AG101" s="859"/>
      <c r="AH101" s="858">
        <f t="shared" si="11"/>
        <v>0</v>
      </c>
    </row>
    <row r="102" spans="1:34" ht="13.8">
      <c r="A102" s="573" t="s">
        <v>150</v>
      </c>
      <c r="B102" s="831">
        <f t="shared" ref="B102:B108" si="12">+AH102</f>
        <v>0</v>
      </c>
      <c r="C102" s="1086"/>
      <c r="D102" s="1087"/>
      <c r="E102" s="1087"/>
      <c r="F102" s="1087"/>
      <c r="G102" s="1087"/>
      <c r="H102" s="1087"/>
      <c r="I102" s="1087"/>
      <c r="J102" s="1087"/>
      <c r="K102" s="1087"/>
      <c r="L102" s="1087"/>
      <c r="M102" s="1087"/>
      <c r="N102" s="1087"/>
      <c r="O102" s="1087"/>
      <c r="P102" s="1087"/>
      <c r="Q102" s="1087"/>
      <c r="R102" s="1087"/>
      <c r="S102" s="1087"/>
      <c r="T102" s="859"/>
      <c r="U102" s="859"/>
      <c r="V102" s="859"/>
      <c r="W102" s="859"/>
      <c r="X102" s="859"/>
      <c r="Y102" s="859"/>
      <c r="Z102" s="859"/>
      <c r="AA102" s="859"/>
      <c r="AB102" s="859"/>
      <c r="AC102" s="859"/>
      <c r="AD102" s="859"/>
      <c r="AE102" s="859"/>
      <c r="AF102" s="859"/>
      <c r="AG102" s="859"/>
      <c r="AH102" s="858">
        <f t="shared" si="11"/>
        <v>0</v>
      </c>
    </row>
    <row r="103" spans="1:34" ht="13.8">
      <c r="A103" s="603" t="s">
        <v>151</v>
      </c>
      <c r="B103" s="831">
        <f t="shared" si="12"/>
        <v>0</v>
      </c>
      <c r="C103" s="1086"/>
      <c r="D103" s="1087"/>
      <c r="E103" s="1087"/>
      <c r="F103" s="1087"/>
      <c r="G103" s="1087"/>
      <c r="H103" s="1087"/>
      <c r="I103" s="1087"/>
      <c r="J103" s="1087"/>
      <c r="K103" s="1087"/>
      <c r="L103" s="1087"/>
      <c r="M103" s="1087"/>
      <c r="N103" s="1087"/>
      <c r="O103" s="1087"/>
      <c r="P103" s="1087"/>
      <c r="Q103" s="1087"/>
      <c r="R103" s="1087"/>
      <c r="S103" s="1087"/>
      <c r="T103" s="859"/>
      <c r="U103" s="859"/>
      <c r="V103" s="859"/>
      <c r="W103" s="859"/>
      <c r="X103" s="859"/>
      <c r="Y103" s="859"/>
      <c r="Z103" s="859"/>
      <c r="AA103" s="859"/>
      <c r="AB103" s="859"/>
      <c r="AC103" s="859"/>
      <c r="AD103" s="859"/>
      <c r="AE103" s="859"/>
      <c r="AF103" s="859"/>
      <c r="AG103" s="859"/>
      <c r="AH103" s="858">
        <f t="shared" si="11"/>
        <v>0</v>
      </c>
    </row>
    <row r="104" spans="1:34" ht="13.8">
      <c r="A104" s="603" t="s">
        <v>152</v>
      </c>
      <c r="B104" s="831">
        <f t="shared" si="12"/>
        <v>0</v>
      </c>
      <c r="C104" s="1086"/>
      <c r="D104" s="1087"/>
      <c r="E104" s="1087"/>
      <c r="F104" s="1087"/>
      <c r="G104" s="1087"/>
      <c r="H104" s="1087"/>
      <c r="I104" s="1087"/>
      <c r="J104" s="1087"/>
      <c r="K104" s="1087"/>
      <c r="L104" s="1087"/>
      <c r="M104" s="1087"/>
      <c r="N104" s="1087"/>
      <c r="O104" s="1087"/>
      <c r="P104" s="1087"/>
      <c r="Q104" s="1087"/>
      <c r="R104" s="1087"/>
      <c r="S104" s="1087"/>
      <c r="T104" s="859"/>
      <c r="U104" s="859"/>
      <c r="V104" s="859"/>
      <c r="W104" s="859"/>
      <c r="X104" s="859"/>
      <c r="Y104" s="859"/>
      <c r="Z104" s="859"/>
      <c r="AA104" s="859"/>
      <c r="AB104" s="859"/>
      <c r="AC104" s="859"/>
      <c r="AD104" s="859"/>
      <c r="AE104" s="859"/>
      <c r="AF104" s="859"/>
      <c r="AG104" s="859"/>
      <c r="AH104" s="858">
        <f t="shared" si="11"/>
        <v>0</v>
      </c>
    </row>
    <row r="105" spans="1:34" ht="13.8">
      <c r="A105" s="603" t="s">
        <v>153</v>
      </c>
      <c r="B105" s="831">
        <f t="shared" si="12"/>
        <v>0</v>
      </c>
      <c r="C105" s="1086"/>
      <c r="D105" s="1087"/>
      <c r="E105" s="1087"/>
      <c r="F105" s="1087"/>
      <c r="G105" s="1087"/>
      <c r="H105" s="1087"/>
      <c r="I105" s="1087"/>
      <c r="J105" s="1087"/>
      <c r="K105" s="1087"/>
      <c r="L105" s="1087"/>
      <c r="M105" s="1087"/>
      <c r="N105" s="1087"/>
      <c r="O105" s="1087"/>
      <c r="P105" s="1087"/>
      <c r="Q105" s="1087"/>
      <c r="R105" s="1087"/>
      <c r="S105" s="1087"/>
      <c r="T105" s="859"/>
      <c r="U105" s="859"/>
      <c r="V105" s="859"/>
      <c r="W105" s="859"/>
      <c r="X105" s="859"/>
      <c r="Y105" s="859"/>
      <c r="Z105" s="859"/>
      <c r="AA105" s="859"/>
      <c r="AB105" s="859"/>
      <c r="AC105" s="859"/>
      <c r="AD105" s="859"/>
      <c r="AE105" s="859"/>
      <c r="AF105" s="859"/>
      <c r="AG105" s="859"/>
      <c r="AH105" s="858">
        <f t="shared" si="11"/>
        <v>0</v>
      </c>
    </row>
    <row r="106" spans="1:34" ht="13.8">
      <c r="A106" s="603" t="s">
        <v>154</v>
      </c>
      <c r="B106" s="831">
        <f t="shared" si="12"/>
        <v>0</v>
      </c>
      <c r="C106" s="1086"/>
      <c r="D106" s="1087"/>
      <c r="E106" s="1087"/>
      <c r="F106" s="1087"/>
      <c r="G106" s="1087"/>
      <c r="H106" s="1087"/>
      <c r="I106" s="1087"/>
      <c r="J106" s="1087"/>
      <c r="K106" s="1087"/>
      <c r="L106" s="1087"/>
      <c r="M106" s="1087"/>
      <c r="N106" s="1087"/>
      <c r="O106" s="1087"/>
      <c r="P106" s="1087"/>
      <c r="Q106" s="1087"/>
      <c r="R106" s="1087"/>
      <c r="S106" s="1087"/>
      <c r="T106" s="859"/>
      <c r="U106" s="859"/>
      <c r="V106" s="859"/>
      <c r="W106" s="859"/>
      <c r="X106" s="859"/>
      <c r="Y106" s="859"/>
      <c r="Z106" s="859"/>
      <c r="AA106" s="859"/>
      <c r="AB106" s="859"/>
      <c r="AC106" s="859"/>
      <c r="AD106" s="859"/>
      <c r="AE106" s="859"/>
      <c r="AF106" s="859"/>
      <c r="AG106" s="859"/>
      <c r="AH106" s="858">
        <f t="shared" si="11"/>
        <v>0</v>
      </c>
    </row>
    <row r="107" spans="1:34" ht="13.8">
      <c r="A107" s="603" t="s">
        <v>155</v>
      </c>
      <c r="B107" s="831">
        <f t="shared" si="12"/>
        <v>0</v>
      </c>
      <c r="C107" s="1086"/>
      <c r="D107" s="1087"/>
      <c r="E107" s="1087"/>
      <c r="F107" s="1087"/>
      <c r="G107" s="1087"/>
      <c r="H107" s="1087"/>
      <c r="I107" s="1087"/>
      <c r="J107" s="1087"/>
      <c r="K107" s="1087"/>
      <c r="L107" s="1087"/>
      <c r="M107" s="1087"/>
      <c r="N107" s="1087"/>
      <c r="O107" s="1087"/>
      <c r="P107" s="1087"/>
      <c r="Q107" s="1087"/>
      <c r="R107" s="1087"/>
      <c r="S107" s="1087"/>
      <c r="T107" s="859"/>
      <c r="U107" s="859"/>
      <c r="V107" s="859"/>
      <c r="W107" s="859"/>
      <c r="X107" s="859"/>
      <c r="Y107" s="859"/>
      <c r="Z107" s="859"/>
      <c r="AA107" s="859"/>
      <c r="AB107" s="859"/>
      <c r="AC107" s="859"/>
      <c r="AD107" s="859"/>
      <c r="AE107" s="859"/>
      <c r="AF107" s="859"/>
      <c r="AG107" s="859"/>
      <c r="AH107" s="858">
        <f t="shared" si="11"/>
        <v>0</v>
      </c>
    </row>
    <row r="108" spans="1:34" ht="13.8">
      <c r="A108" s="603" t="s">
        <v>156</v>
      </c>
      <c r="B108" s="831">
        <f t="shared" si="12"/>
        <v>0</v>
      </c>
      <c r="C108" s="1086"/>
      <c r="D108" s="1087"/>
      <c r="E108" s="1087"/>
      <c r="F108" s="1087"/>
      <c r="G108" s="1087"/>
      <c r="H108" s="1087"/>
      <c r="I108" s="1087"/>
      <c r="J108" s="1087"/>
      <c r="K108" s="1087"/>
      <c r="L108" s="1087"/>
      <c r="M108" s="1087"/>
      <c r="N108" s="1087"/>
      <c r="O108" s="1087"/>
      <c r="P108" s="1087"/>
      <c r="Q108" s="1087"/>
      <c r="R108" s="1087"/>
      <c r="S108" s="1087"/>
      <c r="T108" s="859"/>
      <c r="U108" s="859"/>
      <c r="V108" s="859"/>
      <c r="W108" s="859"/>
      <c r="X108" s="859"/>
      <c r="Y108" s="859"/>
      <c r="Z108" s="859"/>
      <c r="AA108" s="859"/>
      <c r="AB108" s="859"/>
      <c r="AC108" s="859"/>
      <c r="AD108" s="859"/>
      <c r="AE108" s="859"/>
      <c r="AF108" s="859"/>
      <c r="AG108" s="859"/>
      <c r="AH108" s="858">
        <f t="shared" si="11"/>
        <v>0</v>
      </c>
    </row>
    <row r="109" spans="1:34" ht="13.8">
      <c r="A109" s="1768" t="s">
        <v>111</v>
      </c>
      <c r="B109" s="1769">
        <f>SUM(B97:B108)</f>
        <v>0</v>
      </c>
      <c r="C109" s="1088"/>
      <c r="D109" s="1088"/>
      <c r="E109" s="1088"/>
      <c r="F109" s="1088"/>
      <c r="G109" s="1088"/>
      <c r="H109" s="1088"/>
      <c r="I109" s="1088"/>
      <c r="J109" s="1088"/>
      <c r="K109" s="1088"/>
      <c r="L109" s="1088"/>
      <c r="M109" s="1088"/>
      <c r="N109" s="1088"/>
      <c r="O109" s="1088"/>
      <c r="P109" s="1088"/>
      <c r="Q109" s="1088"/>
      <c r="R109" s="1088"/>
      <c r="S109" s="1088"/>
      <c r="T109" s="861"/>
      <c r="U109" s="861"/>
      <c r="V109" s="861"/>
      <c r="W109" s="861"/>
      <c r="X109" s="861"/>
      <c r="Y109" s="861"/>
      <c r="Z109" s="861"/>
      <c r="AA109" s="861"/>
      <c r="AB109" s="861"/>
      <c r="AC109" s="861"/>
      <c r="AD109" s="861"/>
      <c r="AE109" s="861"/>
      <c r="AF109" s="861"/>
      <c r="AG109" s="861"/>
      <c r="AH109" s="858">
        <f t="shared" si="11"/>
        <v>0</v>
      </c>
    </row>
    <row r="110" spans="1:34">
      <c r="A110" s="930" t="s">
        <v>709</v>
      </c>
      <c r="B110" s="931"/>
      <c r="C110" s="646"/>
      <c r="D110" s="646"/>
      <c r="E110" s="646"/>
      <c r="F110" s="646"/>
      <c r="G110" s="646"/>
      <c r="H110" s="646"/>
      <c r="I110" s="646"/>
      <c r="J110" s="646"/>
      <c r="K110" s="646"/>
      <c r="L110" s="646"/>
      <c r="M110" s="646"/>
      <c r="N110" s="646"/>
      <c r="O110" s="646"/>
      <c r="P110" s="646"/>
      <c r="Q110" s="646"/>
      <c r="R110" s="646"/>
      <c r="S110" s="646"/>
      <c r="T110" s="646"/>
      <c r="U110" s="646"/>
      <c r="V110" s="646"/>
      <c r="W110" s="646"/>
      <c r="X110" s="646"/>
      <c r="Y110" s="646"/>
      <c r="Z110" s="646"/>
      <c r="AA110" s="646"/>
      <c r="AB110" s="646"/>
      <c r="AC110" s="646"/>
      <c r="AD110" s="646"/>
      <c r="AE110" s="646"/>
      <c r="AF110" s="646"/>
      <c r="AG110" s="646"/>
      <c r="AH110" s="646"/>
    </row>
    <row r="111" spans="1:34" ht="13.8">
      <c r="A111" s="1773" t="s">
        <v>128</v>
      </c>
      <c r="B111" s="1774"/>
    </row>
    <row r="112" spans="1:34" ht="14.4" thickBot="1">
      <c r="A112" s="2268"/>
      <c r="B112" s="2269"/>
    </row>
    <row r="113" spans="1:34" ht="14.4" thickBot="1">
      <c r="A113" s="1386" t="s">
        <v>1263</v>
      </c>
      <c r="B113" s="1387"/>
      <c r="C113" s="1388"/>
      <c r="D113" s="1389"/>
      <c r="E113" s="1389"/>
      <c r="F113" s="2807"/>
      <c r="G113" s="854"/>
      <c r="H113" s="3210"/>
      <c r="I113" s="854"/>
      <c r="J113" s="854"/>
      <c r="K113" s="854"/>
      <c r="L113" s="854"/>
      <c r="M113" s="855"/>
      <c r="N113" s="854"/>
      <c r="O113" s="854"/>
      <c r="P113" s="854"/>
      <c r="Q113" s="854"/>
      <c r="R113" s="854"/>
      <c r="S113" s="854"/>
      <c r="T113" s="854"/>
      <c r="U113" s="854"/>
      <c r="V113" s="854"/>
      <c r="W113" s="854"/>
      <c r="X113" s="854"/>
      <c r="Y113" s="854"/>
      <c r="Z113" s="854"/>
      <c r="AA113" s="854"/>
      <c r="AB113" s="854"/>
      <c r="AC113" s="854"/>
      <c r="AD113" s="854"/>
      <c r="AE113" s="854"/>
      <c r="AF113" s="854"/>
      <c r="AG113" s="854"/>
      <c r="AH113" s="646"/>
    </row>
    <row r="114" spans="1:34" ht="13.8">
      <c r="A114" s="1383" t="s">
        <v>142</v>
      </c>
      <c r="B114" s="1384" t="s">
        <v>143</v>
      </c>
      <c r="C114" s="1658">
        <v>1</v>
      </c>
      <c r="D114" s="1385">
        <v>2</v>
      </c>
      <c r="E114" s="1385">
        <v>3</v>
      </c>
      <c r="F114" s="1385">
        <v>4</v>
      </c>
      <c r="G114" s="1083">
        <v>5</v>
      </c>
      <c r="H114" s="1083">
        <v>6</v>
      </c>
      <c r="I114" s="1083">
        <v>7</v>
      </c>
      <c r="J114" s="1083">
        <v>8</v>
      </c>
      <c r="K114" s="1083">
        <v>9</v>
      </c>
      <c r="L114" s="1083">
        <v>10</v>
      </c>
      <c r="M114" s="1083">
        <v>11</v>
      </c>
      <c r="N114" s="1083">
        <v>12</v>
      </c>
      <c r="O114" s="1083">
        <v>13</v>
      </c>
      <c r="P114" s="1083">
        <v>14</v>
      </c>
      <c r="Q114" s="1083">
        <v>15</v>
      </c>
      <c r="R114" s="1083">
        <v>16</v>
      </c>
      <c r="S114" s="1083">
        <v>17</v>
      </c>
      <c r="T114" s="883">
        <v>18</v>
      </c>
      <c r="U114" s="883">
        <v>19</v>
      </c>
      <c r="V114" s="883">
        <v>20</v>
      </c>
      <c r="W114" s="883">
        <v>21</v>
      </c>
      <c r="X114" s="883">
        <v>22</v>
      </c>
      <c r="Y114" s="883">
        <v>23</v>
      </c>
      <c r="Z114" s="883">
        <v>24</v>
      </c>
      <c r="AA114" s="883">
        <v>25</v>
      </c>
      <c r="AB114" s="883">
        <v>26</v>
      </c>
      <c r="AC114" s="883">
        <v>27</v>
      </c>
      <c r="AD114" s="883">
        <v>28</v>
      </c>
      <c r="AE114" s="883">
        <v>29</v>
      </c>
      <c r="AF114" s="883">
        <v>30</v>
      </c>
      <c r="AG114" s="883">
        <v>31</v>
      </c>
      <c r="AH114" s="857" t="s">
        <v>111</v>
      </c>
    </row>
    <row r="115" spans="1:34" ht="13.8">
      <c r="A115" s="573" t="s">
        <v>145</v>
      </c>
      <c r="B115" s="831">
        <v>0</v>
      </c>
      <c r="C115" s="1084">
        <v>0</v>
      </c>
      <c r="D115" s="1084">
        <v>0</v>
      </c>
      <c r="E115" s="1084">
        <v>0</v>
      </c>
      <c r="F115" s="1084">
        <v>0</v>
      </c>
      <c r="G115" s="1084">
        <v>0</v>
      </c>
      <c r="H115" s="1084">
        <v>0</v>
      </c>
      <c r="I115" s="1084">
        <v>0</v>
      </c>
      <c r="J115" s="1084">
        <v>0</v>
      </c>
      <c r="K115" s="1084">
        <v>0</v>
      </c>
      <c r="L115" s="1084">
        <v>0</v>
      </c>
      <c r="M115" s="1084">
        <v>0</v>
      </c>
      <c r="N115" s="1084">
        <v>0</v>
      </c>
      <c r="O115" s="1084">
        <v>0</v>
      </c>
      <c r="P115" s="1084">
        <v>0</v>
      </c>
      <c r="Q115" s="1084">
        <v>0</v>
      </c>
      <c r="R115" s="1084">
        <v>0</v>
      </c>
      <c r="S115" s="1084">
        <v>0</v>
      </c>
      <c r="T115" s="862">
        <v>0</v>
      </c>
      <c r="U115" s="862">
        <v>0</v>
      </c>
      <c r="V115" s="862">
        <v>0</v>
      </c>
      <c r="W115" s="862">
        <v>0</v>
      </c>
      <c r="X115" s="862">
        <v>0</v>
      </c>
      <c r="Y115" s="862">
        <v>0</v>
      </c>
      <c r="Z115" s="862">
        <v>0</v>
      </c>
      <c r="AA115" s="862">
        <v>0</v>
      </c>
      <c r="AB115" s="862">
        <v>0</v>
      </c>
      <c r="AC115" s="862">
        <v>0</v>
      </c>
      <c r="AD115" s="862">
        <v>0</v>
      </c>
      <c r="AE115" s="862">
        <v>0</v>
      </c>
      <c r="AF115" s="862">
        <v>0</v>
      </c>
      <c r="AG115" s="862">
        <v>0</v>
      </c>
      <c r="AH115" s="858">
        <f>SUM(C115:AG115)</f>
        <v>0</v>
      </c>
    </row>
    <row r="116" spans="1:34" ht="13.8">
      <c r="A116" s="573" t="s">
        <v>146</v>
      </c>
      <c r="B116" s="831">
        <v>0</v>
      </c>
      <c r="C116" s="1084">
        <v>0</v>
      </c>
      <c r="D116" s="1084">
        <v>0</v>
      </c>
      <c r="E116" s="1084">
        <v>0</v>
      </c>
      <c r="F116" s="1084">
        <v>0</v>
      </c>
      <c r="G116" s="1084">
        <v>0</v>
      </c>
      <c r="H116" s="1084">
        <v>0</v>
      </c>
      <c r="I116" s="1084">
        <v>0</v>
      </c>
      <c r="J116" s="1084">
        <v>0</v>
      </c>
      <c r="K116" s="1084">
        <v>0</v>
      </c>
      <c r="L116" s="1084">
        <v>0</v>
      </c>
      <c r="M116" s="1084">
        <v>0</v>
      </c>
      <c r="N116" s="1084">
        <v>0</v>
      </c>
      <c r="O116" s="1084">
        <v>0</v>
      </c>
      <c r="P116" s="1084">
        <v>0</v>
      </c>
      <c r="Q116" s="1084">
        <v>0</v>
      </c>
      <c r="R116" s="1084">
        <v>0</v>
      </c>
      <c r="S116" s="1084">
        <v>0</v>
      </c>
      <c r="T116" s="862">
        <v>0</v>
      </c>
      <c r="U116" s="862">
        <v>0</v>
      </c>
      <c r="V116" s="862">
        <v>0</v>
      </c>
      <c r="W116" s="862">
        <v>0</v>
      </c>
      <c r="X116" s="862">
        <v>0</v>
      </c>
      <c r="Y116" s="862">
        <v>0</v>
      </c>
      <c r="Z116" s="862">
        <v>0</v>
      </c>
      <c r="AA116" s="862">
        <v>0</v>
      </c>
      <c r="AB116" s="862">
        <v>0</v>
      </c>
      <c r="AC116" s="862">
        <v>0</v>
      </c>
      <c r="AD116" s="862">
        <v>0</v>
      </c>
      <c r="AE116" s="862">
        <v>0</v>
      </c>
      <c r="AF116" s="862">
        <v>0</v>
      </c>
      <c r="AG116" s="862">
        <v>0</v>
      </c>
      <c r="AH116" s="858">
        <f>SUM(C116:AG116)</f>
        <v>0</v>
      </c>
    </row>
    <row r="117" spans="1:34" ht="13.8">
      <c r="A117" s="573" t="s">
        <v>147</v>
      </c>
      <c r="B117" s="831">
        <v>0</v>
      </c>
      <c r="C117" s="1084">
        <v>0</v>
      </c>
      <c r="D117" s="1084">
        <v>0</v>
      </c>
      <c r="E117" s="1084">
        <v>0</v>
      </c>
      <c r="F117" s="1084">
        <v>0</v>
      </c>
      <c r="G117" s="1084">
        <v>0</v>
      </c>
      <c r="H117" s="1084">
        <v>0</v>
      </c>
      <c r="I117" s="1084">
        <v>0</v>
      </c>
      <c r="J117" s="1084">
        <v>0</v>
      </c>
      <c r="K117" s="1084">
        <v>0</v>
      </c>
      <c r="L117" s="1084">
        <v>0</v>
      </c>
      <c r="M117" s="1084">
        <v>0</v>
      </c>
      <c r="N117" s="1084">
        <v>0</v>
      </c>
      <c r="O117" s="1084">
        <v>0</v>
      </c>
      <c r="P117" s="1084">
        <v>0</v>
      </c>
      <c r="Q117" s="1084">
        <v>0</v>
      </c>
      <c r="R117" s="1084">
        <v>0</v>
      </c>
      <c r="S117" s="1084">
        <v>0</v>
      </c>
      <c r="T117" s="862">
        <v>0</v>
      </c>
      <c r="U117" s="862">
        <v>0</v>
      </c>
      <c r="V117" s="862">
        <v>0</v>
      </c>
      <c r="W117" s="862">
        <v>0</v>
      </c>
      <c r="X117" s="862">
        <v>0</v>
      </c>
      <c r="Y117" s="862">
        <v>0</v>
      </c>
      <c r="Z117" s="862">
        <v>0</v>
      </c>
      <c r="AA117" s="862">
        <v>0</v>
      </c>
      <c r="AB117" s="862">
        <v>0</v>
      </c>
      <c r="AC117" s="862">
        <v>0</v>
      </c>
      <c r="AD117" s="862">
        <v>0</v>
      </c>
      <c r="AE117" s="862">
        <v>0</v>
      </c>
      <c r="AF117" s="862">
        <v>0</v>
      </c>
      <c r="AG117" s="862">
        <v>0</v>
      </c>
      <c r="AH117" s="858">
        <f>SUM(C117:AG117)</f>
        <v>0</v>
      </c>
    </row>
    <row r="118" spans="1:34" ht="13.8">
      <c r="A118" s="573" t="s">
        <v>148</v>
      </c>
      <c r="B118" s="831">
        <v>0</v>
      </c>
      <c r="C118" s="1085">
        <v>0</v>
      </c>
      <c r="D118" s="1085">
        <v>0</v>
      </c>
      <c r="E118" s="1085">
        <v>0</v>
      </c>
      <c r="F118" s="1085">
        <v>0</v>
      </c>
      <c r="G118" s="1085">
        <v>0</v>
      </c>
      <c r="H118" s="1085">
        <v>0</v>
      </c>
      <c r="I118" s="1085">
        <v>0</v>
      </c>
      <c r="J118" s="1085">
        <v>0</v>
      </c>
      <c r="K118" s="1085">
        <v>0</v>
      </c>
      <c r="L118" s="1085">
        <v>0</v>
      </c>
      <c r="M118" s="1085">
        <v>0</v>
      </c>
      <c r="N118" s="1085">
        <v>0</v>
      </c>
      <c r="O118" s="1085">
        <v>0</v>
      </c>
      <c r="P118" s="1085">
        <v>0</v>
      </c>
      <c r="Q118" s="1085">
        <v>0</v>
      </c>
      <c r="R118" s="1085">
        <v>0</v>
      </c>
      <c r="S118" s="1085">
        <v>0</v>
      </c>
      <c r="T118" s="929">
        <v>0</v>
      </c>
      <c r="U118" s="929">
        <v>0</v>
      </c>
      <c r="V118" s="929">
        <v>0</v>
      </c>
      <c r="W118" s="929">
        <v>0</v>
      </c>
      <c r="X118" s="929">
        <v>0</v>
      </c>
      <c r="Y118" s="929">
        <v>0</v>
      </c>
      <c r="Z118" s="929">
        <v>0</v>
      </c>
      <c r="AA118" s="929">
        <v>0</v>
      </c>
      <c r="AB118" s="929">
        <v>0</v>
      </c>
      <c r="AC118" s="929">
        <v>0</v>
      </c>
      <c r="AD118" s="929">
        <v>0</v>
      </c>
      <c r="AE118" s="929">
        <v>0</v>
      </c>
      <c r="AF118" s="929">
        <v>0</v>
      </c>
      <c r="AG118" s="929">
        <v>0</v>
      </c>
      <c r="AH118" s="858">
        <f t="shared" ref="AH118:AH127" si="13">SUM(C118:AG118)</f>
        <v>0</v>
      </c>
    </row>
    <row r="119" spans="1:34" ht="13.8">
      <c r="A119" s="573" t="s">
        <v>149</v>
      </c>
      <c r="B119" s="831">
        <v>0</v>
      </c>
      <c r="C119" s="1085">
        <v>0</v>
      </c>
      <c r="D119" s="1085">
        <v>0</v>
      </c>
      <c r="E119" s="1085">
        <v>0</v>
      </c>
      <c r="F119" s="1085">
        <v>0</v>
      </c>
      <c r="G119" s="1085">
        <v>0</v>
      </c>
      <c r="H119" s="1085">
        <v>0</v>
      </c>
      <c r="I119" s="1085">
        <v>0</v>
      </c>
      <c r="J119" s="1085">
        <v>0</v>
      </c>
      <c r="K119" s="1085">
        <v>0</v>
      </c>
      <c r="L119" s="1085">
        <v>0</v>
      </c>
      <c r="M119" s="1085">
        <v>0</v>
      </c>
      <c r="N119" s="1085">
        <v>0</v>
      </c>
      <c r="O119" s="1085">
        <v>0</v>
      </c>
      <c r="P119" s="1085">
        <v>0</v>
      </c>
      <c r="Q119" s="1085">
        <v>0</v>
      </c>
      <c r="R119" s="1085">
        <v>0</v>
      </c>
      <c r="S119" s="1085">
        <v>0</v>
      </c>
      <c r="T119" s="929">
        <v>0</v>
      </c>
      <c r="U119" s="929">
        <v>0</v>
      </c>
      <c r="V119" s="929">
        <v>0</v>
      </c>
      <c r="W119" s="929">
        <v>0</v>
      </c>
      <c r="X119" s="929">
        <v>0</v>
      </c>
      <c r="Y119" s="929">
        <v>0</v>
      </c>
      <c r="Z119" s="929">
        <v>0</v>
      </c>
      <c r="AA119" s="929">
        <v>0</v>
      </c>
      <c r="AB119" s="859"/>
      <c r="AC119" s="859"/>
      <c r="AD119" s="859"/>
      <c r="AE119" s="859"/>
      <c r="AF119" s="859"/>
      <c r="AG119" s="859"/>
      <c r="AH119" s="858">
        <f t="shared" si="13"/>
        <v>0</v>
      </c>
    </row>
    <row r="120" spans="1:34" ht="13.8">
      <c r="A120" s="573" t="s">
        <v>150</v>
      </c>
      <c r="B120" s="831">
        <f t="shared" ref="B120:B126" si="14">+AH120</f>
        <v>0</v>
      </c>
      <c r="C120" s="1952"/>
      <c r="D120" s="2722"/>
      <c r="E120" s="2722"/>
      <c r="F120" s="2722"/>
      <c r="G120" s="2722"/>
      <c r="H120" s="2722"/>
      <c r="I120" s="2722"/>
      <c r="J120" s="2722"/>
      <c r="K120" s="2722"/>
      <c r="L120" s="2722"/>
      <c r="M120" s="2722"/>
      <c r="N120" s="2722"/>
      <c r="O120" s="2722"/>
      <c r="P120" s="2722"/>
      <c r="Q120" s="2722"/>
      <c r="R120" s="2722"/>
      <c r="S120" s="2722"/>
      <c r="T120" s="2723"/>
      <c r="U120" s="2723"/>
      <c r="V120" s="2723"/>
      <c r="W120" s="2723"/>
      <c r="X120" s="2723"/>
      <c r="Y120" s="2723"/>
      <c r="Z120" s="2723"/>
      <c r="AA120" s="2723"/>
      <c r="AB120" s="2723"/>
      <c r="AC120" s="2723"/>
      <c r="AD120" s="2723"/>
      <c r="AE120" s="2723"/>
      <c r="AF120" s="2723"/>
      <c r="AG120" s="2723"/>
      <c r="AH120" s="852">
        <f t="shared" si="13"/>
        <v>0</v>
      </c>
    </row>
    <row r="121" spans="1:34" ht="13.8">
      <c r="A121" s="603" t="s">
        <v>151</v>
      </c>
      <c r="B121" s="831">
        <f t="shared" si="14"/>
        <v>0</v>
      </c>
      <c r="C121" s="1952"/>
      <c r="D121" s="2722"/>
      <c r="E121" s="2722"/>
      <c r="F121" s="2722"/>
      <c r="G121" s="2722"/>
      <c r="H121" s="2722"/>
      <c r="I121" s="2722"/>
      <c r="J121" s="2722"/>
      <c r="K121" s="2722"/>
      <c r="L121" s="2722"/>
      <c r="M121" s="2722"/>
      <c r="N121" s="2722"/>
      <c r="O121" s="2722"/>
      <c r="P121" s="2722"/>
      <c r="Q121" s="2722"/>
      <c r="R121" s="2722"/>
      <c r="S121" s="2722"/>
      <c r="T121" s="2723"/>
      <c r="U121" s="2723"/>
      <c r="V121" s="2723"/>
      <c r="W121" s="2723"/>
      <c r="X121" s="2723"/>
      <c r="Y121" s="2723"/>
      <c r="Z121" s="2723"/>
      <c r="AA121" s="2723"/>
      <c r="AB121" s="2723"/>
      <c r="AC121" s="2723"/>
      <c r="AD121" s="2723"/>
      <c r="AE121" s="2723"/>
      <c r="AF121" s="2723"/>
      <c r="AG121" s="2723"/>
      <c r="AH121" s="852">
        <f t="shared" si="13"/>
        <v>0</v>
      </c>
    </row>
    <row r="122" spans="1:34" ht="13.8">
      <c r="A122" s="603" t="s">
        <v>152</v>
      </c>
      <c r="B122" s="831">
        <f t="shared" si="14"/>
        <v>0</v>
      </c>
      <c r="C122" s="1952"/>
      <c r="D122" s="2722"/>
      <c r="E122" s="2722"/>
      <c r="F122" s="2722"/>
      <c r="G122" s="2722"/>
      <c r="H122" s="2722"/>
      <c r="I122" s="2722"/>
      <c r="J122" s="2722"/>
      <c r="K122" s="2722"/>
      <c r="L122" s="2722"/>
      <c r="M122" s="2722"/>
      <c r="N122" s="2722"/>
      <c r="O122" s="2722"/>
      <c r="P122" s="2722"/>
      <c r="Q122" s="2722"/>
      <c r="R122" s="2722"/>
      <c r="S122" s="2722"/>
      <c r="T122" s="2723"/>
      <c r="U122" s="2723"/>
      <c r="V122" s="2723"/>
      <c r="W122" s="2723"/>
      <c r="X122" s="2723"/>
      <c r="Y122" s="2723"/>
      <c r="Z122" s="2723"/>
      <c r="AA122" s="2723"/>
      <c r="AB122" s="2723"/>
      <c r="AC122" s="2723"/>
      <c r="AD122" s="2723"/>
      <c r="AE122" s="2723"/>
      <c r="AF122" s="2723"/>
      <c r="AG122" s="2723"/>
      <c r="AH122" s="852">
        <f t="shared" si="13"/>
        <v>0</v>
      </c>
    </row>
    <row r="123" spans="1:34" ht="13.8">
      <c r="A123" s="603" t="s">
        <v>153</v>
      </c>
      <c r="B123" s="831">
        <f t="shared" si="14"/>
        <v>0</v>
      </c>
      <c r="C123" s="1952"/>
      <c r="D123" s="2722"/>
      <c r="E123" s="2722"/>
      <c r="F123" s="2722"/>
      <c r="G123" s="2722"/>
      <c r="H123" s="2722"/>
      <c r="I123" s="2722"/>
      <c r="J123" s="2722"/>
      <c r="K123" s="2722"/>
      <c r="L123" s="2722"/>
      <c r="M123" s="2722"/>
      <c r="N123" s="2722"/>
      <c r="O123" s="2722"/>
      <c r="P123" s="2722"/>
      <c r="Q123" s="2722"/>
      <c r="R123" s="2722"/>
      <c r="S123" s="2722"/>
      <c r="T123" s="2723"/>
      <c r="U123" s="2723"/>
      <c r="V123" s="2723"/>
      <c r="W123" s="2723"/>
      <c r="X123" s="2723"/>
      <c r="Y123" s="2723"/>
      <c r="Z123" s="2723"/>
      <c r="AA123" s="2723"/>
      <c r="AB123" s="2723"/>
      <c r="AC123" s="2723"/>
      <c r="AD123" s="2723"/>
      <c r="AE123" s="2723"/>
      <c r="AF123" s="2723"/>
      <c r="AG123" s="2723"/>
      <c r="AH123" s="852">
        <f t="shared" si="13"/>
        <v>0</v>
      </c>
    </row>
    <row r="124" spans="1:34" ht="13.8">
      <c r="A124" s="603" t="s">
        <v>154</v>
      </c>
      <c r="B124" s="831">
        <v>136.405</v>
      </c>
      <c r="C124" s="1952"/>
      <c r="D124" s="2722"/>
      <c r="E124" s="2722"/>
      <c r="F124" s="2722"/>
      <c r="G124" s="2722"/>
      <c r="H124" s="2722"/>
      <c r="I124" s="2722"/>
      <c r="J124" s="2722"/>
      <c r="K124" s="2722"/>
      <c r="L124" s="2722"/>
      <c r="M124" s="2722"/>
      <c r="N124" s="2722"/>
      <c r="O124" s="2722"/>
      <c r="P124" s="2722"/>
      <c r="Q124" s="2722"/>
      <c r="R124" s="2722"/>
      <c r="S124" s="2722"/>
      <c r="T124" s="2723"/>
      <c r="U124" s="2723"/>
      <c r="V124" s="2723"/>
      <c r="W124" s="2723"/>
      <c r="X124" s="2723"/>
      <c r="Y124" s="2723"/>
      <c r="Z124" s="2723"/>
      <c r="AA124" s="2723"/>
      <c r="AB124" s="2723"/>
      <c r="AC124" s="2723"/>
      <c r="AD124" s="2723">
        <v>15.08</v>
      </c>
      <c r="AE124" s="2723">
        <v>59.234999999999999</v>
      </c>
      <c r="AF124" s="2723"/>
      <c r="AG124" s="2723">
        <v>62.085000000000001</v>
      </c>
      <c r="AH124" s="852">
        <f t="shared" si="13"/>
        <v>136.4</v>
      </c>
    </row>
    <row r="125" spans="1:34" ht="13.8">
      <c r="A125" s="603" t="s">
        <v>155</v>
      </c>
      <c r="B125" s="831">
        <f t="shared" si="14"/>
        <v>67.734999999999999</v>
      </c>
      <c r="C125" s="1952">
        <v>33.185000000000002</v>
      </c>
      <c r="D125" s="2722"/>
      <c r="E125" s="2722"/>
      <c r="F125" s="2722"/>
      <c r="G125" s="2722">
        <v>34.549999999999997</v>
      </c>
      <c r="H125" s="2722"/>
      <c r="I125" s="2722"/>
      <c r="J125" s="2722"/>
      <c r="K125" s="2722"/>
      <c r="L125" s="2722"/>
      <c r="M125" s="2722"/>
      <c r="N125" s="2722"/>
      <c r="O125" s="2722"/>
      <c r="P125" s="2722"/>
      <c r="Q125" s="2722"/>
      <c r="R125" s="2722"/>
      <c r="S125" s="2722"/>
      <c r="T125" s="2723"/>
      <c r="U125" s="2723"/>
      <c r="V125" s="2723"/>
      <c r="W125" s="2723"/>
      <c r="X125" s="2723"/>
      <c r="Y125" s="2723"/>
      <c r="Z125" s="2723"/>
      <c r="AA125" s="2723"/>
      <c r="AB125" s="2723"/>
      <c r="AC125" s="2723"/>
      <c r="AD125" s="2723"/>
      <c r="AE125" s="2723"/>
      <c r="AF125" s="2723"/>
      <c r="AG125" s="2723"/>
      <c r="AH125" s="852">
        <f t="shared" si="13"/>
        <v>67.734999999999999</v>
      </c>
    </row>
    <row r="126" spans="1:34" ht="13.8">
      <c r="A126" s="603" t="s">
        <v>156</v>
      </c>
      <c r="B126" s="831">
        <f t="shared" si="14"/>
        <v>0</v>
      </c>
      <c r="C126" s="1952"/>
      <c r="D126" s="2722"/>
      <c r="E126" s="2722"/>
      <c r="F126" s="2722"/>
      <c r="G126" s="2722"/>
      <c r="H126" s="2722"/>
      <c r="I126" s="2722"/>
      <c r="J126" s="2722"/>
      <c r="K126" s="2722"/>
      <c r="L126" s="2722"/>
      <c r="M126" s="2722"/>
      <c r="N126" s="2722"/>
      <c r="O126" s="2722"/>
      <c r="P126" s="2722"/>
      <c r="Q126" s="2722"/>
      <c r="R126" s="2722"/>
      <c r="S126" s="2722"/>
      <c r="T126" s="2723"/>
      <c r="U126" s="2723"/>
      <c r="V126" s="2723"/>
      <c r="W126" s="2723"/>
      <c r="X126" s="2723"/>
      <c r="Y126" s="2723"/>
      <c r="Z126" s="2723"/>
      <c r="AA126" s="2723"/>
      <c r="AB126" s="2723"/>
      <c r="AC126" s="2723"/>
      <c r="AD126" s="2723"/>
      <c r="AE126" s="2723"/>
      <c r="AF126" s="2723"/>
      <c r="AG126" s="2723"/>
      <c r="AH126" s="852">
        <f t="shared" si="13"/>
        <v>0</v>
      </c>
    </row>
    <row r="127" spans="1:34" ht="13.8">
      <c r="A127" s="1768" t="s">
        <v>111</v>
      </c>
      <c r="B127" s="1769">
        <f>SUM(B115:B126)</f>
        <v>204.14</v>
      </c>
      <c r="C127" s="1435"/>
      <c r="D127" s="1435"/>
      <c r="E127" s="1435"/>
      <c r="F127" s="1435"/>
      <c r="G127" s="1435"/>
      <c r="H127" s="1435"/>
      <c r="I127" s="1435"/>
      <c r="J127" s="1435"/>
      <c r="K127" s="1435"/>
      <c r="L127" s="1435"/>
      <c r="M127" s="1435"/>
      <c r="N127" s="1435"/>
      <c r="O127" s="1435"/>
      <c r="P127" s="1435"/>
      <c r="Q127" s="1435"/>
      <c r="R127" s="1435"/>
      <c r="S127" s="1435"/>
      <c r="T127" s="2724"/>
      <c r="U127" s="2724"/>
      <c r="V127" s="2724"/>
      <c r="W127" s="2724"/>
      <c r="X127" s="2724"/>
      <c r="Y127" s="2724"/>
      <c r="Z127" s="2724"/>
      <c r="AA127" s="2724"/>
      <c r="AB127" s="2724"/>
      <c r="AC127" s="2724"/>
      <c r="AD127" s="2724"/>
      <c r="AE127" s="2724"/>
      <c r="AF127" s="2724"/>
      <c r="AG127" s="2724"/>
      <c r="AH127" s="852">
        <f t="shared" si="13"/>
        <v>0</v>
      </c>
    </row>
    <row r="128" spans="1:34">
      <c r="A128" s="930" t="s">
        <v>709</v>
      </c>
      <c r="B128" s="931"/>
      <c r="C128" s="646"/>
      <c r="D128" s="646"/>
      <c r="E128" s="646"/>
      <c r="F128" s="646"/>
      <c r="G128" s="646"/>
      <c r="H128" s="646"/>
      <c r="I128" s="646"/>
      <c r="J128" s="646"/>
      <c r="K128" s="646"/>
      <c r="L128" s="646"/>
      <c r="M128" s="646"/>
      <c r="N128" s="646"/>
      <c r="O128" s="646"/>
      <c r="P128" s="646"/>
      <c r="Q128" s="646"/>
      <c r="R128" s="646"/>
      <c r="S128" s="646"/>
      <c r="T128" s="646"/>
      <c r="U128" s="646"/>
      <c r="V128" s="646"/>
      <c r="W128" s="646"/>
      <c r="X128" s="646"/>
      <c r="Y128" s="646"/>
      <c r="Z128" s="646"/>
      <c r="AA128" s="646"/>
      <c r="AB128" s="646"/>
      <c r="AC128" s="646"/>
      <c r="AD128" s="646"/>
      <c r="AE128" s="646"/>
      <c r="AF128" s="646"/>
      <c r="AG128" s="646"/>
      <c r="AH128" s="646"/>
    </row>
    <row r="129" spans="1:34" ht="13.8">
      <c r="A129" s="1773" t="s">
        <v>128</v>
      </c>
      <c r="B129" s="1774"/>
    </row>
    <row r="131" spans="1:34" s="2802" customFormat="1"/>
    <row r="132" spans="1:34" s="2802" customFormat="1" ht="13.8" thickBot="1"/>
    <row r="133" spans="1:34" ht="13.5" customHeight="1">
      <c r="A133" s="1770" t="s">
        <v>1216</v>
      </c>
      <c r="B133" s="1771"/>
      <c r="C133" s="1771"/>
      <c r="D133" s="1771"/>
      <c r="E133" s="1771"/>
      <c r="F133" s="1771"/>
      <c r="G133" s="1771"/>
      <c r="H133" s="1772"/>
      <c r="I133" s="510"/>
      <c r="J133" s="510"/>
      <c r="K133" s="510"/>
      <c r="L133" s="510"/>
      <c r="M133" s="510"/>
      <c r="N133" s="510"/>
      <c r="O133" s="510"/>
      <c r="P133" s="510"/>
      <c r="Q133" s="510"/>
      <c r="R133" s="510"/>
      <c r="S133" s="510"/>
      <c r="T133" s="510"/>
      <c r="U133" s="510"/>
      <c r="V133" s="510"/>
      <c r="W133" s="510"/>
      <c r="X133" s="510"/>
      <c r="Y133" s="510"/>
      <c r="Z133" s="510"/>
      <c r="AA133" s="510"/>
      <c r="AB133" s="510"/>
      <c r="AC133" s="510"/>
      <c r="AD133" s="510"/>
      <c r="AE133" s="510"/>
      <c r="AF133" s="510"/>
      <c r="AG133" s="510"/>
      <c r="AH133" s="510"/>
    </row>
    <row r="134" spans="1:34" ht="10.5" customHeight="1" thickBot="1">
      <c r="A134" s="4245" t="s">
        <v>328</v>
      </c>
      <c r="B134" s="4246"/>
      <c r="C134" s="4246"/>
      <c r="D134" s="4246"/>
      <c r="E134" s="4246"/>
      <c r="F134" s="4246"/>
      <c r="G134" s="4246"/>
      <c r="H134" s="4247"/>
      <c r="I134" s="510"/>
      <c r="J134" s="510"/>
      <c r="K134" s="510"/>
      <c r="L134" s="510"/>
      <c r="M134" s="510"/>
      <c r="N134" s="510"/>
      <c r="O134" s="510"/>
      <c r="P134" s="510"/>
      <c r="Q134" s="510"/>
      <c r="R134" s="510"/>
      <c r="S134" s="510"/>
      <c r="T134" s="510"/>
      <c r="U134" s="510"/>
      <c r="V134" s="510"/>
      <c r="W134" s="510"/>
      <c r="X134" s="510"/>
      <c r="Y134" s="510"/>
      <c r="Z134" s="510"/>
      <c r="AA134" s="510"/>
      <c r="AB134" s="510"/>
      <c r="AC134" s="510"/>
      <c r="AD134" s="510"/>
      <c r="AE134" s="510"/>
      <c r="AF134" s="510"/>
      <c r="AG134" s="510"/>
      <c r="AH134" s="510"/>
    </row>
    <row r="135" spans="1:34">
      <c r="A135" s="510"/>
      <c r="B135" s="510"/>
      <c r="C135" s="510"/>
      <c r="D135" s="510"/>
      <c r="E135" s="510"/>
      <c r="F135" s="510"/>
      <c r="G135" s="510"/>
      <c r="H135" s="510"/>
      <c r="I135" s="510"/>
      <c r="J135" s="510"/>
      <c r="K135" s="510"/>
      <c r="L135" s="510"/>
      <c r="M135" s="510"/>
      <c r="N135" s="510"/>
      <c r="O135" s="510"/>
      <c r="P135" s="510"/>
      <c r="Q135" s="510"/>
      <c r="R135" s="510"/>
      <c r="S135" s="510"/>
      <c r="T135" s="510"/>
      <c r="U135" s="510"/>
      <c r="V135" s="510"/>
      <c r="W135" s="510"/>
      <c r="X135" s="510"/>
      <c r="Y135" s="510"/>
      <c r="Z135" s="510"/>
      <c r="AA135" s="510"/>
      <c r="AB135" s="510"/>
      <c r="AC135" s="510"/>
      <c r="AD135" s="510"/>
      <c r="AE135" s="510"/>
      <c r="AF135" s="510"/>
      <c r="AG135" s="510"/>
      <c r="AH135" s="510"/>
    </row>
    <row r="136" spans="1:34" ht="13.8">
      <c r="A136" s="4251" t="s">
        <v>595</v>
      </c>
      <c r="B136" s="4252"/>
      <c r="C136" s="4253"/>
      <c r="D136" s="142"/>
      <c r="E136" s="142"/>
      <c r="F136" s="142"/>
      <c r="G136" s="142"/>
      <c r="H136" s="142"/>
      <c r="I136" s="142"/>
      <c r="J136" s="142"/>
      <c r="K136" s="142"/>
      <c r="L136" s="142"/>
      <c r="M136" s="570"/>
      <c r="N136" s="142"/>
      <c r="O136" s="142"/>
      <c r="P136" s="142"/>
      <c r="Q136" s="142"/>
      <c r="R136" s="142"/>
      <c r="S136" s="142"/>
      <c r="T136" s="142"/>
      <c r="U136" s="142"/>
      <c r="V136" s="142"/>
      <c r="W136" s="142"/>
      <c r="X136" s="142"/>
      <c r="Y136" s="142"/>
      <c r="Z136" s="142"/>
      <c r="AA136" s="142"/>
      <c r="AB136" s="142"/>
      <c r="AC136" s="142"/>
      <c r="AD136" s="142"/>
      <c r="AE136" s="142"/>
      <c r="AF136" s="142"/>
      <c r="AG136" s="142"/>
      <c r="AH136" s="571"/>
    </row>
    <row r="137" spans="1:34" ht="13.8">
      <c r="A137" s="572" t="s">
        <v>142</v>
      </c>
      <c r="B137" s="572" t="s">
        <v>143</v>
      </c>
      <c r="C137" s="574">
        <v>1</v>
      </c>
      <c r="D137" s="573">
        <v>2</v>
      </c>
      <c r="E137" s="573">
        <v>3</v>
      </c>
      <c r="F137" s="573">
        <v>4</v>
      </c>
      <c r="G137" s="573">
        <v>5</v>
      </c>
      <c r="H137" s="573">
        <v>6</v>
      </c>
      <c r="I137" s="573">
        <v>7</v>
      </c>
      <c r="J137" s="573">
        <v>8</v>
      </c>
      <c r="K137" s="573">
        <v>9</v>
      </c>
      <c r="L137" s="573">
        <v>10</v>
      </c>
      <c r="M137" s="573">
        <v>11</v>
      </c>
      <c r="N137" s="573">
        <v>12</v>
      </c>
      <c r="O137" s="573">
        <v>13</v>
      </c>
      <c r="P137" s="573">
        <v>14</v>
      </c>
      <c r="Q137" s="573">
        <v>15</v>
      </c>
      <c r="R137" s="573">
        <v>16</v>
      </c>
      <c r="S137" s="573">
        <v>17</v>
      </c>
      <c r="T137" s="573">
        <v>18</v>
      </c>
      <c r="U137" s="573">
        <v>19</v>
      </c>
      <c r="V137" s="573">
        <v>20</v>
      </c>
      <c r="W137" s="509">
        <v>21</v>
      </c>
      <c r="X137" s="573">
        <v>22</v>
      </c>
      <c r="Y137" s="573">
        <v>23</v>
      </c>
      <c r="Z137" s="573">
        <v>24</v>
      </c>
      <c r="AA137" s="573">
        <v>25</v>
      </c>
      <c r="AB137" s="573">
        <v>26</v>
      </c>
      <c r="AC137" s="573">
        <v>27</v>
      </c>
      <c r="AD137" s="573">
        <v>28</v>
      </c>
      <c r="AE137" s="573">
        <v>29</v>
      </c>
      <c r="AF137" s="573">
        <v>30</v>
      </c>
      <c r="AG137" s="573">
        <v>31</v>
      </c>
      <c r="AH137" s="575" t="s">
        <v>111</v>
      </c>
    </row>
    <row r="138" spans="1:34" ht="13.8">
      <c r="A138" s="603" t="s">
        <v>145</v>
      </c>
      <c r="B138" s="480">
        <f t="shared" ref="B138:B149" si="15">+AH138</f>
        <v>0</v>
      </c>
      <c r="C138" s="576"/>
      <c r="D138" s="576"/>
      <c r="E138" s="576"/>
      <c r="F138" s="576"/>
      <c r="G138" s="576"/>
      <c r="H138" s="576"/>
      <c r="I138" s="576"/>
      <c r="J138" s="576"/>
      <c r="K138" s="576"/>
      <c r="L138" s="576"/>
      <c r="M138" s="576"/>
      <c r="N138" s="576"/>
      <c r="O138" s="576"/>
      <c r="P138" s="576"/>
      <c r="Q138" s="576"/>
      <c r="R138" s="576"/>
      <c r="S138" s="576"/>
      <c r="T138" s="576"/>
      <c r="U138" s="576"/>
      <c r="V138" s="576"/>
      <c r="W138" s="576"/>
      <c r="X138" s="576"/>
      <c r="Y138" s="576"/>
      <c r="Z138" s="576"/>
      <c r="AA138" s="576"/>
      <c r="AB138" s="576"/>
      <c r="AC138" s="576"/>
      <c r="AD138" s="576"/>
      <c r="AE138" s="576"/>
      <c r="AF138" s="576"/>
      <c r="AG138" s="576"/>
      <c r="AH138" s="577">
        <f>SUM(C138:AG138)</f>
        <v>0</v>
      </c>
    </row>
    <row r="139" spans="1:34" ht="13.8">
      <c r="A139" s="603" t="s">
        <v>146</v>
      </c>
      <c r="B139" s="480">
        <f t="shared" si="15"/>
        <v>0</v>
      </c>
      <c r="C139" s="576"/>
      <c r="D139" s="576"/>
      <c r="E139" s="576"/>
      <c r="F139" s="576"/>
      <c r="G139" s="576"/>
      <c r="H139" s="576"/>
      <c r="I139" s="576"/>
      <c r="J139" s="576"/>
      <c r="K139" s="576"/>
      <c r="L139" s="576"/>
      <c r="M139" s="576"/>
      <c r="N139" s="576"/>
      <c r="O139" s="576"/>
      <c r="P139" s="576"/>
      <c r="Q139" s="576"/>
      <c r="R139" s="576"/>
      <c r="S139" s="576"/>
      <c r="T139" s="576"/>
      <c r="U139" s="576"/>
      <c r="V139" s="576"/>
      <c r="W139" s="576"/>
      <c r="X139" s="576"/>
      <c r="Y139" s="576"/>
      <c r="Z139" s="576"/>
      <c r="AA139" s="576"/>
      <c r="AB139" s="576"/>
      <c r="AC139" s="576"/>
      <c r="AD139" s="576"/>
      <c r="AE139" s="576"/>
      <c r="AF139" s="576"/>
      <c r="AG139" s="576"/>
      <c r="AH139" s="577">
        <f>SUM(C139:AG139)</f>
        <v>0</v>
      </c>
    </row>
    <row r="140" spans="1:34" ht="13.8">
      <c r="A140" s="603" t="s">
        <v>147</v>
      </c>
      <c r="B140" s="480">
        <f t="shared" si="15"/>
        <v>2.12</v>
      </c>
      <c r="C140" s="1483">
        <v>0</v>
      </c>
      <c r="D140" s="1484">
        <v>0</v>
      </c>
      <c r="E140" s="1484">
        <v>0</v>
      </c>
      <c r="F140" s="1484">
        <v>0</v>
      </c>
      <c r="G140" s="1484">
        <v>0</v>
      </c>
      <c r="H140" s="1484">
        <v>0</v>
      </c>
      <c r="I140" s="1484">
        <v>0</v>
      </c>
      <c r="J140" s="1484">
        <v>0</v>
      </c>
      <c r="K140" s="1484">
        <v>0</v>
      </c>
      <c r="L140" s="1484">
        <v>0</v>
      </c>
      <c r="M140" s="1484">
        <v>0</v>
      </c>
      <c r="N140" s="1484">
        <v>0</v>
      </c>
      <c r="O140" s="1484">
        <v>0</v>
      </c>
      <c r="P140" s="1484">
        <v>0</v>
      </c>
      <c r="Q140" s="1484">
        <v>0</v>
      </c>
      <c r="R140" s="1484">
        <v>0</v>
      </c>
      <c r="S140" s="1484">
        <v>0</v>
      </c>
      <c r="T140" s="1484">
        <v>0</v>
      </c>
      <c r="U140" s="1484">
        <v>0</v>
      </c>
      <c r="V140" s="1484">
        <v>0</v>
      </c>
      <c r="W140" s="1484">
        <v>0</v>
      </c>
      <c r="X140" s="1484">
        <v>0</v>
      </c>
      <c r="Y140" s="1484">
        <v>0</v>
      </c>
      <c r="Z140" s="1484">
        <v>0</v>
      </c>
      <c r="AA140" s="1484">
        <v>0</v>
      </c>
      <c r="AB140" s="1484">
        <v>0</v>
      </c>
      <c r="AC140" s="1484">
        <v>0</v>
      </c>
      <c r="AD140" s="1484">
        <v>0</v>
      </c>
      <c r="AE140" s="1484">
        <v>0.95</v>
      </c>
      <c r="AF140" s="1484">
        <v>0.67</v>
      </c>
      <c r="AG140" s="1484">
        <v>0.5</v>
      </c>
      <c r="AH140" s="577">
        <f>SUM(C140:AG140)</f>
        <v>2.12</v>
      </c>
    </row>
    <row r="141" spans="1:34" ht="13.8">
      <c r="A141" s="603" t="s">
        <v>148</v>
      </c>
      <c r="B141" s="480">
        <f t="shared" si="15"/>
        <v>98.400999999999996</v>
      </c>
      <c r="C141" s="1485">
        <v>0</v>
      </c>
      <c r="D141" s="1015">
        <v>44.805</v>
      </c>
      <c r="E141" s="1015">
        <v>35.932000000000002</v>
      </c>
      <c r="F141" s="1015">
        <v>0</v>
      </c>
      <c r="G141" s="1015">
        <v>0</v>
      </c>
      <c r="H141" s="1015">
        <v>0</v>
      </c>
      <c r="I141" s="1015">
        <v>0</v>
      </c>
      <c r="J141" s="1015">
        <v>0</v>
      </c>
      <c r="K141" s="1015">
        <v>0</v>
      </c>
      <c r="L141" s="1015">
        <v>0</v>
      </c>
      <c r="M141" s="1015">
        <v>0</v>
      </c>
      <c r="N141" s="1015">
        <v>0</v>
      </c>
      <c r="O141" s="1015">
        <v>0</v>
      </c>
      <c r="P141" s="1015">
        <v>0</v>
      </c>
      <c r="Q141" s="1015">
        <v>0</v>
      </c>
      <c r="R141" s="1015">
        <v>0</v>
      </c>
      <c r="S141" s="1015">
        <v>0</v>
      </c>
      <c r="T141" s="1015">
        <v>0</v>
      </c>
      <c r="U141" s="1015">
        <v>17.664000000000001</v>
      </c>
      <c r="V141" s="1015">
        <v>0</v>
      </c>
      <c r="W141" s="1015">
        <v>0</v>
      </c>
      <c r="X141" s="1015">
        <v>0</v>
      </c>
      <c r="Y141" s="1015">
        <v>0</v>
      </c>
      <c r="Z141" s="1015">
        <v>0</v>
      </c>
      <c r="AA141" s="1015">
        <v>0</v>
      </c>
      <c r="AB141" s="1015">
        <v>0</v>
      </c>
      <c r="AC141" s="1015">
        <v>0</v>
      </c>
      <c r="AD141" s="1015">
        <v>0</v>
      </c>
      <c r="AE141" s="1015">
        <v>0</v>
      </c>
      <c r="AF141" s="1015">
        <v>0</v>
      </c>
      <c r="AG141" s="1015"/>
      <c r="AH141" s="577">
        <f t="shared" ref="AH141:AH150" si="16">SUM(C141:AG141)</f>
        <v>98.400999999999996</v>
      </c>
    </row>
    <row r="142" spans="1:34" ht="13.8">
      <c r="A142" s="603" t="s">
        <v>149</v>
      </c>
      <c r="B142" s="480">
        <f t="shared" si="15"/>
        <v>0</v>
      </c>
      <c r="C142" s="1485">
        <v>0</v>
      </c>
      <c r="D142" s="1015">
        <v>0</v>
      </c>
      <c r="E142" s="1015">
        <v>0</v>
      </c>
      <c r="F142" s="1015">
        <v>0</v>
      </c>
      <c r="G142" s="1015">
        <v>0</v>
      </c>
      <c r="H142" s="1015">
        <v>0</v>
      </c>
      <c r="I142" s="1015">
        <v>0</v>
      </c>
      <c r="J142" s="1015">
        <v>0</v>
      </c>
      <c r="K142" s="1015">
        <v>0</v>
      </c>
      <c r="L142" s="1015">
        <v>0</v>
      </c>
      <c r="M142" s="1015">
        <v>0</v>
      </c>
      <c r="N142" s="1015">
        <v>0</v>
      </c>
      <c r="O142" s="1015">
        <v>0</v>
      </c>
      <c r="P142" s="1015">
        <v>0</v>
      </c>
      <c r="Q142" s="1015">
        <v>0</v>
      </c>
      <c r="R142" s="1015">
        <v>0</v>
      </c>
      <c r="S142" s="1015">
        <v>0</v>
      </c>
      <c r="T142" s="1015">
        <v>0</v>
      </c>
      <c r="U142" s="1015">
        <v>0</v>
      </c>
      <c r="V142" s="1015">
        <v>0</v>
      </c>
      <c r="W142" s="1015">
        <v>0</v>
      </c>
      <c r="X142" s="1015">
        <v>0</v>
      </c>
      <c r="Y142" s="1015">
        <v>0</v>
      </c>
      <c r="Z142" s="1015">
        <v>0</v>
      </c>
      <c r="AA142" s="1015">
        <v>0</v>
      </c>
      <c r="AB142" s="1015">
        <v>0</v>
      </c>
      <c r="AC142" s="1015">
        <v>0</v>
      </c>
      <c r="AD142" s="1015">
        <v>0</v>
      </c>
      <c r="AE142" s="1015">
        <v>0</v>
      </c>
      <c r="AF142" s="1015">
        <v>0</v>
      </c>
      <c r="AG142" s="1015"/>
      <c r="AH142" s="577">
        <f t="shared" si="16"/>
        <v>0</v>
      </c>
    </row>
    <row r="143" spans="1:34" ht="13.8">
      <c r="A143" s="603" t="s">
        <v>150</v>
      </c>
      <c r="B143" s="480">
        <f t="shared" si="15"/>
        <v>142.648</v>
      </c>
      <c r="C143" s="578">
        <v>0</v>
      </c>
      <c r="D143" s="579">
        <v>0</v>
      </c>
      <c r="E143" s="579">
        <v>0</v>
      </c>
      <c r="F143" s="579">
        <v>0</v>
      </c>
      <c r="G143" s="579">
        <v>0</v>
      </c>
      <c r="H143" s="579">
        <v>0</v>
      </c>
      <c r="I143" s="579">
        <v>0</v>
      </c>
      <c r="J143" s="579">
        <v>0</v>
      </c>
      <c r="K143" s="579">
        <v>107.44699999999999</v>
      </c>
      <c r="L143" s="579">
        <v>0</v>
      </c>
      <c r="M143" s="579">
        <v>0</v>
      </c>
      <c r="N143" s="579">
        <v>0</v>
      </c>
      <c r="O143" s="579">
        <v>0</v>
      </c>
      <c r="P143" s="579">
        <v>0</v>
      </c>
      <c r="Q143" s="579">
        <v>0</v>
      </c>
      <c r="R143" s="579">
        <v>0</v>
      </c>
      <c r="S143" s="579">
        <v>0</v>
      </c>
      <c r="T143" s="579">
        <v>0</v>
      </c>
      <c r="U143" s="579">
        <v>0</v>
      </c>
      <c r="V143" s="579">
        <v>0</v>
      </c>
      <c r="W143" s="579">
        <v>0</v>
      </c>
      <c r="X143" s="579">
        <v>0</v>
      </c>
      <c r="Y143" s="579">
        <v>0</v>
      </c>
      <c r="Z143" s="579">
        <v>0</v>
      </c>
      <c r="AA143" s="579">
        <v>0</v>
      </c>
      <c r="AB143" s="579">
        <v>0</v>
      </c>
      <c r="AC143" s="579">
        <v>30.13</v>
      </c>
      <c r="AD143" s="579">
        <v>0</v>
      </c>
      <c r="AE143" s="579">
        <v>0</v>
      </c>
      <c r="AF143" s="579">
        <v>5.0709999999999997</v>
      </c>
      <c r="AG143" s="579"/>
      <c r="AH143" s="577">
        <f t="shared" si="16"/>
        <v>142.648</v>
      </c>
    </row>
    <row r="144" spans="1:34" ht="13.8">
      <c r="A144" s="603" t="s">
        <v>151</v>
      </c>
      <c r="B144" s="480">
        <f t="shared" si="15"/>
        <v>33.741</v>
      </c>
      <c r="C144" s="578">
        <v>0</v>
      </c>
      <c r="D144" s="579">
        <v>0</v>
      </c>
      <c r="E144" s="579">
        <v>0</v>
      </c>
      <c r="F144" s="579">
        <v>0</v>
      </c>
      <c r="G144" s="579">
        <v>0</v>
      </c>
      <c r="H144" s="579">
        <v>0</v>
      </c>
      <c r="I144" s="579">
        <v>0</v>
      </c>
      <c r="J144" s="579">
        <v>0</v>
      </c>
      <c r="K144" s="579">
        <v>0</v>
      </c>
      <c r="L144" s="579">
        <v>0</v>
      </c>
      <c r="M144" s="579">
        <v>0</v>
      </c>
      <c r="N144" s="579">
        <v>0</v>
      </c>
      <c r="O144" s="579">
        <v>0</v>
      </c>
      <c r="P144" s="579">
        <v>0</v>
      </c>
      <c r="Q144" s="579">
        <v>0</v>
      </c>
      <c r="R144" s="579">
        <v>0</v>
      </c>
      <c r="S144" s="579">
        <v>0</v>
      </c>
      <c r="T144" s="579">
        <v>23.751999999999999</v>
      </c>
      <c r="U144" s="579">
        <v>0</v>
      </c>
      <c r="V144" s="579">
        <v>0</v>
      </c>
      <c r="W144" s="579">
        <v>0</v>
      </c>
      <c r="X144" s="579">
        <v>0</v>
      </c>
      <c r="Y144" s="579">
        <v>0</v>
      </c>
      <c r="Z144" s="579">
        <v>9.9890000000000008</v>
      </c>
      <c r="AA144" s="579">
        <v>0</v>
      </c>
      <c r="AB144" s="579">
        <v>0</v>
      </c>
      <c r="AC144" s="579">
        <v>0</v>
      </c>
      <c r="AD144" s="579">
        <v>0</v>
      </c>
      <c r="AE144" s="579">
        <v>0</v>
      </c>
      <c r="AF144" s="579">
        <v>0</v>
      </c>
      <c r="AG144" s="579">
        <v>0</v>
      </c>
      <c r="AH144" s="577">
        <f t="shared" si="16"/>
        <v>33.741</v>
      </c>
    </row>
    <row r="145" spans="1:34" ht="13.8">
      <c r="A145" s="603" t="s">
        <v>152</v>
      </c>
      <c r="B145" s="480">
        <f t="shared" si="15"/>
        <v>62.872999999999998</v>
      </c>
      <c r="C145" s="578">
        <v>0</v>
      </c>
      <c r="D145" s="579">
        <v>0</v>
      </c>
      <c r="E145" s="579">
        <v>0</v>
      </c>
      <c r="F145" s="579">
        <v>0</v>
      </c>
      <c r="G145" s="579">
        <v>0</v>
      </c>
      <c r="H145" s="579">
        <v>0</v>
      </c>
      <c r="I145" s="579">
        <v>0</v>
      </c>
      <c r="J145" s="579">
        <v>0</v>
      </c>
      <c r="K145" s="579">
        <v>0</v>
      </c>
      <c r="L145" s="579">
        <v>55.606999999999999</v>
      </c>
      <c r="M145" s="579">
        <v>0</v>
      </c>
      <c r="N145" s="579">
        <v>0</v>
      </c>
      <c r="O145" s="579">
        <v>0</v>
      </c>
      <c r="P145" s="579">
        <v>0</v>
      </c>
      <c r="Q145" s="579">
        <v>0</v>
      </c>
      <c r="R145" s="579">
        <v>0</v>
      </c>
      <c r="S145" s="579">
        <v>0</v>
      </c>
      <c r="T145" s="579">
        <v>0</v>
      </c>
      <c r="U145" s="579">
        <v>0</v>
      </c>
      <c r="V145" s="579">
        <v>0</v>
      </c>
      <c r="W145" s="579">
        <v>0</v>
      </c>
      <c r="X145" s="579">
        <v>7.266</v>
      </c>
      <c r="Y145" s="579">
        <v>0</v>
      </c>
      <c r="Z145" s="579">
        <v>0</v>
      </c>
      <c r="AA145" s="579">
        <v>0</v>
      </c>
      <c r="AB145" s="579">
        <v>0</v>
      </c>
      <c r="AC145" s="579">
        <v>0</v>
      </c>
      <c r="AD145" s="579">
        <v>0</v>
      </c>
      <c r="AE145" s="579">
        <v>0</v>
      </c>
      <c r="AF145" s="579">
        <v>0</v>
      </c>
      <c r="AG145" s="579">
        <v>0</v>
      </c>
      <c r="AH145" s="577">
        <f t="shared" si="16"/>
        <v>62.872999999999998</v>
      </c>
    </row>
    <row r="146" spans="1:34" ht="13.8">
      <c r="A146" s="603" t="s">
        <v>153</v>
      </c>
      <c r="B146" s="480">
        <f t="shared" si="15"/>
        <v>0</v>
      </c>
      <c r="C146" s="578"/>
      <c r="D146" s="579"/>
      <c r="E146" s="579"/>
      <c r="F146" s="579"/>
      <c r="G146" s="579"/>
      <c r="H146" s="579"/>
      <c r="I146" s="579"/>
      <c r="J146" s="579"/>
      <c r="K146" s="579"/>
      <c r="L146" s="579"/>
      <c r="M146" s="579"/>
      <c r="N146" s="579"/>
      <c r="O146" s="579"/>
      <c r="P146" s="579"/>
      <c r="Q146" s="579"/>
      <c r="R146" s="579"/>
      <c r="S146" s="579"/>
      <c r="T146" s="579"/>
      <c r="U146" s="579"/>
      <c r="V146" s="579"/>
      <c r="W146" s="579"/>
      <c r="X146" s="579"/>
      <c r="Y146" s="579"/>
      <c r="Z146" s="579"/>
      <c r="AA146" s="579"/>
      <c r="AB146" s="579"/>
      <c r="AC146" s="579"/>
      <c r="AD146" s="579"/>
      <c r="AE146" s="579"/>
      <c r="AF146" s="579"/>
      <c r="AG146" s="579"/>
      <c r="AH146" s="577">
        <f t="shared" si="16"/>
        <v>0</v>
      </c>
    </row>
    <row r="147" spans="1:34" ht="13.8">
      <c r="A147" s="603" t="s">
        <v>154</v>
      </c>
      <c r="B147" s="480">
        <f t="shared" si="15"/>
        <v>0</v>
      </c>
      <c r="C147" s="578"/>
      <c r="D147" s="579"/>
      <c r="E147" s="579"/>
      <c r="F147" s="579"/>
      <c r="G147" s="579"/>
      <c r="H147" s="579"/>
      <c r="I147" s="579"/>
      <c r="J147" s="579"/>
      <c r="K147" s="579"/>
      <c r="L147" s="579"/>
      <c r="M147" s="579"/>
      <c r="N147" s="579"/>
      <c r="O147" s="579"/>
      <c r="P147" s="579"/>
      <c r="Q147" s="579"/>
      <c r="R147" s="579"/>
      <c r="S147" s="579"/>
      <c r="T147" s="579"/>
      <c r="U147" s="579"/>
      <c r="V147" s="579"/>
      <c r="W147" s="579"/>
      <c r="X147" s="579"/>
      <c r="Y147" s="579"/>
      <c r="Z147" s="579"/>
      <c r="AA147" s="579"/>
      <c r="AB147" s="579"/>
      <c r="AC147" s="579"/>
      <c r="AD147" s="579"/>
      <c r="AE147" s="579"/>
      <c r="AF147" s="579"/>
      <c r="AG147" s="579"/>
      <c r="AH147" s="577">
        <f t="shared" si="16"/>
        <v>0</v>
      </c>
    </row>
    <row r="148" spans="1:34" ht="13.8">
      <c r="A148" s="573" t="s">
        <v>155</v>
      </c>
      <c r="B148" s="480">
        <f t="shared" si="15"/>
        <v>0</v>
      </c>
      <c r="C148" s="578"/>
      <c r="D148" s="579"/>
      <c r="E148" s="579"/>
      <c r="F148" s="579"/>
      <c r="G148" s="579"/>
      <c r="H148" s="579"/>
      <c r="I148" s="579"/>
      <c r="J148" s="579"/>
      <c r="K148" s="579"/>
      <c r="L148" s="579"/>
      <c r="M148" s="579"/>
      <c r="N148" s="579"/>
      <c r="O148" s="579"/>
      <c r="P148" s="579"/>
      <c r="Q148" s="579"/>
      <c r="R148" s="579"/>
      <c r="S148" s="579"/>
      <c r="T148" s="579"/>
      <c r="U148" s="579"/>
      <c r="V148" s="579"/>
      <c r="W148" s="579"/>
      <c r="X148" s="579"/>
      <c r="Y148" s="579"/>
      <c r="Z148" s="579"/>
      <c r="AA148" s="579"/>
      <c r="AB148" s="579"/>
      <c r="AC148" s="579"/>
      <c r="AD148" s="579"/>
      <c r="AE148" s="579"/>
      <c r="AF148" s="579"/>
      <c r="AG148" s="579"/>
      <c r="AH148" s="577">
        <f t="shared" si="16"/>
        <v>0</v>
      </c>
    </row>
    <row r="149" spans="1:34" ht="13.8">
      <c r="A149" s="573" t="s">
        <v>156</v>
      </c>
      <c r="B149" s="480">
        <f t="shared" si="15"/>
        <v>0</v>
      </c>
      <c r="C149" s="578"/>
      <c r="D149" s="579"/>
      <c r="E149" s="579"/>
      <c r="F149" s="579"/>
      <c r="G149" s="579"/>
      <c r="H149" s="579"/>
      <c r="I149" s="579"/>
      <c r="J149" s="579"/>
      <c r="K149" s="579"/>
      <c r="L149" s="579"/>
      <c r="M149" s="579"/>
      <c r="N149" s="579"/>
      <c r="O149" s="579"/>
      <c r="P149" s="579"/>
      <c r="Q149" s="579"/>
      <c r="R149" s="579"/>
      <c r="S149" s="579"/>
      <c r="T149" s="579"/>
      <c r="U149" s="579"/>
      <c r="V149" s="579"/>
      <c r="W149" s="579"/>
      <c r="X149" s="579"/>
      <c r="Y149" s="579"/>
      <c r="Z149" s="579"/>
      <c r="AA149" s="579"/>
      <c r="AB149" s="579"/>
      <c r="AC149" s="579"/>
      <c r="AD149" s="579"/>
      <c r="AE149" s="579"/>
      <c r="AF149" s="579"/>
      <c r="AG149" s="579"/>
      <c r="AH149" s="577">
        <f t="shared" si="16"/>
        <v>0</v>
      </c>
    </row>
    <row r="150" spans="1:34" ht="13.8">
      <c r="A150" s="580" t="s">
        <v>111</v>
      </c>
      <c r="B150" s="580">
        <f>SUM(B138:B149)</f>
        <v>339.78299999999996</v>
      </c>
      <c r="C150" s="581"/>
      <c r="D150" s="581"/>
      <c r="E150" s="581"/>
      <c r="F150" s="581"/>
      <c r="G150" s="581"/>
      <c r="H150" s="581"/>
      <c r="I150" s="581"/>
      <c r="J150" s="581"/>
      <c r="K150" s="581"/>
      <c r="L150" s="581"/>
      <c r="M150" s="581"/>
      <c r="N150" s="581"/>
      <c r="O150" s="581"/>
      <c r="P150" s="581"/>
      <c r="Q150" s="581"/>
      <c r="R150" s="581"/>
      <c r="S150" s="581"/>
      <c r="T150" s="581"/>
      <c r="U150" s="581"/>
      <c r="V150" s="581"/>
      <c r="W150" s="581"/>
      <c r="X150" s="581"/>
      <c r="Y150" s="581"/>
      <c r="Z150" s="581"/>
      <c r="AA150" s="581"/>
      <c r="AB150" s="581"/>
      <c r="AC150" s="581"/>
      <c r="AD150" s="581"/>
      <c r="AE150" s="581"/>
      <c r="AF150" s="581"/>
      <c r="AG150" s="581"/>
      <c r="AH150" s="577">
        <f t="shared" si="16"/>
        <v>0</v>
      </c>
    </row>
    <row r="151" spans="1:34">
      <c r="A151" s="510"/>
      <c r="B151" s="510"/>
      <c r="C151" s="510"/>
      <c r="D151" s="510"/>
      <c r="E151" s="510"/>
      <c r="F151" s="510"/>
      <c r="G151" s="510"/>
      <c r="H151" s="510"/>
      <c r="I151" s="510"/>
      <c r="J151" s="510"/>
      <c r="K151" s="510"/>
      <c r="L151" s="510"/>
      <c r="M151" s="510"/>
      <c r="N151" s="510"/>
      <c r="O151" s="510"/>
      <c r="P151" s="510"/>
      <c r="Q151" s="510"/>
      <c r="R151" s="510"/>
      <c r="S151" s="510"/>
      <c r="T151" s="510"/>
      <c r="U151" s="510"/>
      <c r="V151" s="510"/>
      <c r="W151" s="510"/>
      <c r="X151" s="510"/>
      <c r="Y151" s="510"/>
      <c r="Z151" s="510"/>
      <c r="AA151" s="510"/>
      <c r="AB151" s="510"/>
      <c r="AC151" s="510"/>
      <c r="AD151" s="510"/>
      <c r="AE151" s="510"/>
      <c r="AF151" s="510"/>
      <c r="AG151" s="510"/>
      <c r="AH151" s="510"/>
    </row>
    <row r="152" spans="1:34" ht="13.8">
      <c r="A152" s="3864" t="s">
        <v>596</v>
      </c>
      <c r="B152" s="3865"/>
      <c r="C152" s="3866"/>
      <c r="D152" s="142"/>
      <c r="E152" s="142"/>
      <c r="F152" s="142"/>
      <c r="G152" s="142"/>
      <c r="H152" s="142"/>
      <c r="I152" s="142"/>
      <c r="J152" s="142"/>
      <c r="K152" s="142"/>
      <c r="L152" s="142"/>
      <c r="M152" s="570"/>
      <c r="N152" s="142"/>
      <c r="O152" s="142"/>
      <c r="P152" s="142"/>
      <c r="Q152" s="142"/>
      <c r="R152" s="142"/>
      <c r="S152" s="142"/>
      <c r="T152" s="142"/>
      <c r="U152" s="142"/>
      <c r="V152" s="142"/>
      <c r="W152" s="142"/>
      <c r="X152" s="142"/>
      <c r="Y152" s="142"/>
      <c r="Z152" s="142"/>
      <c r="AA152" s="142"/>
      <c r="AB152" s="142"/>
      <c r="AC152" s="142"/>
      <c r="AD152" s="142"/>
      <c r="AE152" s="142"/>
      <c r="AF152" s="142"/>
      <c r="AG152" s="142"/>
      <c r="AH152" s="571"/>
    </row>
    <row r="153" spans="1:34" ht="13.8">
      <c r="A153" s="572" t="s">
        <v>142</v>
      </c>
      <c r="B153" s="572" t="s">
        <v>143</v>
      </c>
      <c r="C153" s="574">
        <v>1</v>
      </c>
      <c r="D153" s="573">
        <v>2</v>
      </c>
      <c r="E153" s="573">
        <v>3</v>
      </c>
      <c r="F153" s="573">
        <v>4</v>
      </c>
      <c r="G153" s="573">
        <v>5</v>
      </c>
      <c r="H153" s="573">
        <v>6</v>
      </c>
      <c r="I153" s="573">
        <v>7</v>
      </c>
      <c r="J153" s="573">
        <v>8</v>
      </c>
      <c r="K153" s="573">
        <v>9</v>
      </c>
      <c r="L153" s="573">
        <v>10</v>
      </c>
      <c r="M153" s="573">
        <v>11</v>
      </c>
      <c r="N153" s="573">
        <v>12</v>
      </c>
      <c r="O153" s="573">
        <v>13</v>
      </c>
      <c r="P153" s="573">
        <v>14</v>
      </c>
      <c r="Q153" s="573">
        <v>15</v>
      </c>
      <c r="R153" s="573">
        <v>16</v>
      </c>
      <c r="S153" s="573">
        <v>17</v>
      </c>
      <c r="T153" s="573">
        <v>18</v>
      </c>
      <c r="U153" s="573">
        <v>19</v>
      </c>
      <c r="V153" s="573">
        <v>20</v>
      </c>
      <c r="W153" s="509">
        <v>21</v>
      </c>
      <c r="X153" s="573">
        <v>22</v>
      </c>
      <c r="Y153" s="573">
        <v>23</v>
      </c>
      <c r="Z153" s="573">
        <v>24</v>
      </c>
      <c r="AA153" s="573">
        <v>25</v>
      </c>
      <c r="AB153" s="573">
        <v>26</v>
      </c>
      <c r="AC153" s="573">
        <v>27</v>
      </c>
      <c r="AD153" s="573">
        <v>28</v>
      </c>
      <c r="AE153" s="573">
        <v>29</v>
      </c>
      <c r="AF153" s="573">
        <v>30</v>
      </c>
      <c r="AG153" s="573">
        <v>31</v>
      </c>
      <c r="AH153" s="575" t="s">
        <v>111</v>
      </c>
    </row>
    <row r="154" spans="1:34" ht="13.8">
      <c r="A154" s="603" t="s">
        <v>145</v>
      </c>
      <c r="B154" s="480">
        <f t="shared" ref="B154:B165" si="17">+AH154</f>
        <v>0</v>
      </c>
      <c r="C154" s="576">
        <v>0</v>
      </c>
      <c r="D154" s="576">
        <v>0</v>
      </c>
      <c r="E154" s="576">
        <v>0</v>
      </c>
      <c r="F154" s="576">
        <v>0</v>
      </c>
      <c r="G154" s="576">
        <v>0</v>
      </c>
      <c r="H154" s="576">
        <v>0</v>
      </c>
      <c r="I154" s="576">
        <v>0</v>
      </c>
      <c r="J154" s="576">
        <v>0</v>
      </c>
      <c r="K154" s="576">
        <v>0</v>
      </c>
      <c r="L154" s="576">
        <v>0</v>
      </c>
      <c r="M154" s="576">
        <v>0</v>
      </c>
      <c r="N154" s="576">
        <v>0</v>
      </c>
      <c r="O154" s="576">
        <v>0</v>
      </c>
      <c r="P154" s="576">
        <v>0</v>
      </c>
      <c r="Q154" s="576">
        <v>0</v>
      </c>
      <c r="R154" s="576">
        <v>0</v>
      </c>
      <c r="S154" s="576">
        <v>0</v>
      </c>
      <c r="T154" s="576">
        <v>0</v>
      </c>
      <c r="U154" s="576">
        <v>0</v>
      </c>
      <c r="V154" s="576">
        <v>0</v>
      </c>
      <c r="W154" s="576">
        <v>0</v>
      </c>
      <c r="X154" s="576">
        <v>0</v>
      </c>
      <c r="Y154" s="576">
        <v>0</v>
      </c>
      <c r="Z154" s="576">
        <v>0</v>
      </c>
      <c r="AA154" s="576">
        <v>0</v>
      </c>
      <c r="AB154" s="576">
        <v>0</v>
      </c>
      <c r="AC154" s="576">
        <v>0</v>
      </c>
      <c r="AD154" s="576">
        <v>0</v>
      </c>
      <c r="AE154" s="576">
        <v>0</v>
      </c>
      <c r="AF154" s="576">
        <v>0</v>
      </c>
      <c r="AG154" s="576"/>
      <c r="AH154" s="577">
        <f>SUM(C154:AG154)</f>
        <v>0</v>
      </c>
    </row>
    <row r="155" spans="1:34" ht="13.8">
      <c r="A155" s="603" t="s">
        <v>146</v>
      </c>
      <c r="B155" s="480">
        <f t="shared" si="17"/>
        <v>42.3</v>
      </c>
      <c r="C155" s="576">
        <v>0</v>
      </c>
      <c r="D155" s="576">
        <v>0</v>
      </c>
      <c r="E155" s="576">
        <v>0</v>
      </c>
      <c r="F155" s="576">
        <v>0</v>
      </c>
      <c r="G155" s="576">
        <v>0</v>
      </c>
      <c r="H155" s="576">
        <v>0</v>
      </c>
      <c r="I155" s="576">
        <v>0</v>
      </c>
      <c r="J155" s="576">
        <v>0</v>
      </c>
      <c r="K155" s="576">
        <v>0</v>
      </c>
      <c r="L155" s="576">
        <v>0</v>
      </c>
      <c r="M155" s="576">
        <v>0</v>
      </c>
      <c r="N155" s="576">
        <v>0</v>
      </c>
      <c r="O155" s="576">
        <v>0</v>
      </c>
      <c r="P155" s="576">
        <v>0</v>
      </c>
      <c r="Q155" s="576">
        <v>0</v>
      </c>
      <c r="R155" s="576">
        <v>0</v>
      </c>
      <c r="S155" s="576">
        <v>13.9</v>
      </c>
      <c r="T155" s="576">
        <v>10.199999999999999</v>
      </c>
      <c r="U155" s="576">
        <v>0</v>
      </c>
      <c r="V155" s="576">
        <v>0</v>
      </c>
      <c r="W155" s="576">
        <v>8.1</v>
      </c>
      <c r="X155" s="576">
        <v>0</v>
      </c>
      <c r="Y155" s="576">
        <v>6.3</v>
      </c>
      <c r="Z155" s="576">
        <v>0</v>
      </c>
      <c r="AA155" s="576">
        <v>0</v>
      </c>
      <c r="AB155" s="576">
        <v>0</v>
      </c>
      <c r="AC155" s="576">
        <v>3.8</v>
      </c>
      <c r="AD155" s="576">
        <v>0</v>
      </c>
      <c r="AE155" s="576">
        <v>0</v>
      </c>
      <c r="AF155" s="576">
        <v>0</v>
      </c>
      <c r="AG155" s="576">
        <v>0</v>
      </c>
      <c r="AH155" s="577">
        <f>SUM(C155:AG155)</f>
        <v>42.3</v>
      </c>
    </row>
    <row r="156" spans="1:34" ht="13.8">
      <c r="A156" s="603" t="s">
        <v>147</v>
      </c>
      <c r="B156" s="480">
        <f t="shared" si="17"/>
        <v>0</v>
      </c>
      <c r="C156" s="576"/>
      <c r="D156" s="576"/>
      <c r="E156" s="576"/>
      <c r="F156" s="576"/>
      <c r="G156" s="576"/>
      <c r="H156" s="576"/>
      <c r="I156" s="576"/>
      <c r="J156" s="576"/>
      <c r="K156" s="576"/>
      <c r="L156" s="576"/>
      <c r="M156" s="576"/>
      <c r="N156" s="576"/>
      <c r="O156" s="576"/>
      <c r="P156" s="576"/>
      <c r="Q156" s="576"/>
      <c r="R156" s="576"/>
      <c r="S156" s="576"/>
      <c r="T156" s="576"/>
      <c r="U156" s="576"/>
      <c r="V156" s="576"/>
      <c r="W156" s="576"/>
      <c r="X156" s="576"/>
      <c r="Y156" s="576"/>
      <c r="Z156" s="576"/>
      <c r="AA156" s="576"/>
      <c r="AB156" s="576"/>
      <c r="AC156" s="576"/>
      <c r="AD156" s="576"/>
      <c r="AE156" s="576"/>
      <c r="AF156" s="576"/>
      <c r="AG156" s="576"/>
      <c r="AH156" s="577">
        <f>SUM(C156:AG156)</f>
        <v>0</v>
      </c>
    </row>
    <row r="157" spans="1:34" ht="13.8">
      <c r="A157" s="603" t="s">
        <v>148</v>
      </c>
      <c r="B157" s="480">
        <f t="shared" si="17"/>
        <v>0</v>
      </c>
      <c r="C157" s="578"/>
      <c r="D157" s="579"/>
      <c r="E157" s="579"/>
      <c r="F157" s="579"/>
      <c r="G157" s="579"/>
      <c r="H157" s="579"/>
      <c r="I157" s="579"/>
      <c r="J157" s="579"/>
      <c r="K157" s="579"/>
      <c r="L157" s="579"/>
      <c r="M157" s="579"/>
      <c r="N157" s="579"/>
      <c r="O157" s="579"/>
      <c r="P157" s="579"/>
      <c r="Q157" s="579"/>
      <c r="R157" s="579"/>
      <c r="S157" s="579"/>
      <c r="T157" s="579"/>
      <c r="U157" s="579"/>
      <c r="V157" s="579"/>
      <c r="W157" s="579"/>
      <c r="X157" s="579"/>
      <c r="Y157" s="579"/>
      <c r="Z157" s="579"/>
      <c r="AA157" s="579"/>
      <c r="AB157" s="579"/>
      <c r="AC157" s="579"/>
      <c r="AD157" s="579"/>
      <c r="AE157" s="579"/>
      <c r="AF157" s="579"/>
      <c r="AG157" s="579"/>
      <c r="AH157" s="577"/>
    </row>
    <row r="158" spans="1:34" ht="13.8">
      <c r="A158" s="603" t="s">
        <v>149</v>
      </c>
      <c r="B158" s="480">
        <f t="shared" si="17"/>
        <v>0</v>
      </c>
      <c r="C158" s="578"/>
      <c r="D158" s="579"/>
      <c r="E158" s="579"/>
      <c r="F158" s="579"/>
      <c r="G158" s="579"/>
      <c r="H158" s="579"/>
      <c r="I158" s="579"/>
      <c r="J158" s="579"/>
      <c r="K158" s="579"/>
      <c r="L158" s="579"/>
      <c r="M158" s="579"/>
      <c r="N158" s="579"/>
      <c r="O158" s="579"/>
      <c r="P158" s="579"/>
      <c r="Q158" s="579"/>
      <c r="R158" s="579"/>
      <c r="S158" s="579"/>
      <c r="T158" s="579"/>
      <c r="U158" s="579"/>
      <c r="V158" s="579"/>
      <c r="W158" s="579"/>
      <c r="X158" s="579"/>
      <c r="Y158" s="579"/>
      <c r="Z158" s="579"/>
      <c r="AA158" s="579"/>
      <c r="AB158" s="579"/>
      <c r="AC158" s="579"/>
      <c r="AD158" s="579"/>
      <c r="AE158" s="579"/>
      <c r="AF158" s="579"/>
      <c r="AG158" s="579"/>
      <c r="AH158" s="577"/>
    </row>
    <row r="159" spans="1:34" ht="13.8">
      <c r="A159" s="603" t="s">
        <v>150</v>
      </c>
      <c r="B159" s="480">
        <f t="shared" si="17"/>
        <v>0</v>
      </c>
      <c r="C159" s="578"/>
      <c r="D159" s="579"/>
      <c r="E159" s="579"/>
      <c r="F159" s="579"/>
      <c r="G159" s="579"/>
      <c r="H159" s="579"/>
      <c r="I159" s="579"/>
      <c r="J159" s="579"/>
      <c r="K159" s="579"/>
      <c r="L159" s="579"/>
      <c r="M159" s="579"/>
      <c r="N159" s="579"/>
      <c r="O159" s="579"/>
      <c r="P159" s="579"/>
      <c r="Q159" s="579"/>
      <c r="R159" s="579"/>
      <c r="S159" s="579"/>
      <c r="T159" s="579"/>
      <c r="U159" s="579"/>
      <c r="V159" s="579"/>
      <c r="W159" s="579"/>
      <c r="X159" s="579"/>
      <c r="Y159" s="579"/>
      <c r="Z159" s="579"/>
      <c r="AA159" s="579"/>
      <c r="AB159" s="579"/>
      <c r="AC159" s="579"/>
      <c r="AD159" s="579"/>
      <c r="AE159" s="579"/>
      <c r="AF159" s="579"/>
      <c r="AG159" s="579"/>
      <c r="AH159" s="577"/>
    </row>
    <row r="160" spans="1:34" ht="13.8">
      <c r="A160" s="603" t="s">
        <v>151</v>
      </c>
      <c r="B160" s="480">
        <f t="shared" si="17"/>
        <v>0</v>
      </c>
      <c r="C160" s="578"/>
      <c r="D160" s="579"/>
      <c r="E160" s="579"/>
      <c r="F160" s="579"/>
      <c r="G160" s="579"/>
      <c r="H160" s="579"/>
      <c r="I160" s="579"/>
      <c r="J160" s="579"/>
      <c r="K160" s="579"/>
      <c r="L160" s="579"/>
      <c r="M160" s="579"/>
      <c r="N160" s="579"/>
      <c r="O160" s="579"/>
      <c r="P160" s="579"/>
      <c r="Q160" s="579"/>
      <c r="R160" s="579"/>
      <c r="S160" s="579"/>
      <c r="T160" s="579"/>
      <c r="U160" s="579"/>
      <c r="V160" s="579"/>
      <c r="W160" s="579"/>
      <c r="X160" s="579"/>
      <c r="Y160" s="579"/>
      <c r="Z160" s="579"/>
      <c r="AA160" s="579"/>
      <c r="AB160" s="579"/>
      <c r="AC160" s="579"/>
      <c r="AD160" s="579"/>
      <c r="AE160" s="579"/>
      <c r="AF160" s="579"/>
      <c r="AG160" s="579"/>
      <c r="AH160" s="577"/>
    </row>
    <row r="161" spans="1:34" ht="13.8">
      <c r="A161" s="603" t="s">
        <v>152</v>
      </c>
      <c r="B161" s="480">
        <f t="shared" si="17"/>
        <v>0</v>
      </c>
      <c r="C161" s="578"/>
      <c r="D161" s="579"/>
      <c r="E161" s="579"/>
      <c r="F161" s="579"/>
      <c r="G161" s="579"/>
      <c r="H161" s="579"/>
      <c r="I161" s="579"/>
      <c r="J161" s="579"/>
      <c r="K161" s="579"/>
      <c r="L161" s="579"/>
      <c r="M161" s="579"/>
      <c r="N161" s="579"/>
      <c r="O161" s="579"/>
      <c r="P161" s="579"/>
      <c r="Q161" s="579"/>
      <c r="R161" s="579"/>
      <c r="S161" s="579"/>
      <c r="T161" s="579"/>
      <c r="U161" s="579"/>
      <c r="V161" s="579"/>
      <c r="W161" s="579"/>
      <c r="X161" s="579"/>
      <c r="Y161" s="579"/>
      <c r="Z161" s="579"/>
      <c r="AA161" s="579"/>
      <c r="AB161" s="579"/>
      <c r="AC161" s="579"/>
      <c r="AD161" s="579"/>
      <c r="AE161" s="579"/>
      <c r="AF161" s="579"/>
      <c r="AG161" s="579"/>
      <c r="AH161" s="577"/>
    </row>
    <row r="162" spans="1:34" ht="13.8">
      <c r="A162" s="603" t="s">
        <v>153</v>
      </c>
      <c r="B162" s="480">
        <f t="shared" si="17"/>
        <v>0</v>
      </c>
      <c r="C162" s="578"/>
      <c r="D162" s="579"/>
      <c r="E162" s="579"/>
      <c r="F162" s="579"/>
      <c r="G162" s="579"/>
      <c r="H162" s="579"/>
      <c r="I162" s="579"/>
      <c r="J162" s="579"/>
      <c r="K162" s="579"/>
      <c r="L162" s="579"/>
      <c r="M162" s="579"/>
      <c r="N162" s="579"/>
      <c r="O162" s="579"/>
      <c r="P162" s="579"/>
      <c r="Q162" s="579"/>
      <c r="R162" s="579"/>
      <c r="S162" s="579"/>
      <c r="T162" s="579"/>
      <c r="U162" s="579"/>
      <c r="V162" s="579"/>
      <c r="W162" s="579"/>
      <c r="X162" s="579"/>
      <c r="Y162" s="579"/>
      <c r="Z162" s="579"/>
      <c r="AA162" s="579"/>
      <c r="AB162" s="579"/>
      <c r="AC162" s="579"/>
      <c r="AD162" s="579"/>
      <c r="AE162" s="579"/>
      <c r="AF162" s="579"/>
      <c r="AG162" s="579"/>
      <c r="AH162" s="577"/>
    </row>
    <row r="163" spans="1:34" ht="13.8">
      <c r="A163" s="603" t="s">
        <v>154</v>
      </c>
      <c r="B163" s="480">
        <f t="shared" si="17"/>
        <v>0</v>
      </c>
      <c r="C163" s="578"/>
      <c r="D163" s="579"/>
      <c r="E163" s="579"/>
      <c r="F163" s="579"/>
      <c r="G163" s="579"/>
      <c r="H163" s="579"/>
      <c r="I163" s="579"/>
      <c r="J163" s="579"/>
      <c r="K163" s="579"/>
      <c r="L163" s="579"/>
      <c r="M163" s="579"/>
      <c r="N163" s="579"/>
      <c r="O163" s="579"/>
      <c r="P163" s="579"/>
      <c r="Q163" s="579"/>
      <c r="R163" s="579"/>
      <c r="S163" s="579"/>
      <c r="T163" s="579"/>
      <c r="U163" s="579"/>
      <c r="V163" s="579"/>
      <c r="W163" s="579"/>
      <c r="X163" s="579"/>
      <c r="Y163" s="579"/>
      <c r="Z163" s="579"/>
      <c r="AA163" s="579"/>
      <c r="AB163" s="579"/>
      <c r="AC163" s="579"/>
      <c r="AD163" s="579"/>
      <c r="AE163" s="579"/>
      <c r="AF163" s="579"/>
      <c r="AG163" s="579"/>
      <c r="AH163" s="577"/>
    </row>
    <row r="164" spans="1:34" ht="13.8">
      <c r="A164" s="573" t="s">
        <v>155</v>
      </c>
      <c r="B164" s="480">
        <f t="shared" si="17"/>
        <v>0</v>
      </c>
      <c r="C164" s="578"/>
      <c r="D164" s="579"/>
      <c r="E164" s="579"/>
      <c r="F164" s="579"/>
      <c r="G164" s="579"/>
      <c r="H164" s="579"/>
      <c r="I164" s="579"/>
      <c r="J164" s="579"/>
      <c r="K164" s="579"/>
      <c r="L164" s="579"/>
      <c r="M164" s="579"/>
      <c r="N164" s="579"/>
      <c r="O164" s="579"/>
      <c r="P164" s="579"/>
      <c r="Q164" s="579"/>
      <c r="R164" s="579"/>
      <c r="S164" s="579"/>
      <c r="T164" s="579"/>
      <c r="U164" s="579"/>
      <c r="V164" s="579"/>
      <c r="W164" s="579"/>
      <c r="X164" s="579"/>
      <c r="Y164" s="579"/>
      <c r="Z164" s="579"/>
      <c r="AA164" s="579"/>
      <c r="AB164" s="579"/>
      <c r="AC164" s="579"/>
      <c r="AD164" s="579"/>
      <c r="AE164" s="579"/>
      <c r="AF164" s="579"/>
      <c r="AG164" s="579"/>
      <c r="AH164" s="577"/>
    </row>
    <row r="165" spans="1:34" ht="13.8">
      <c r="A165" s="573" t="s">
        <v>156</v>
      </c>
      <c r="B165" s="480">
        <f t="shared" si="17"/>
        <v>0</v>
      </c>
      <c r="C165" s="578"/>
      <c r="D165" s="579"/>
      <c r="E165" s="579"/>
      <c r="F165" s="579"/>
      <c r="G165" s="579"/>
      <c r="H165" s="579"/>
      <c r="I165" s="579"/>
      <c r="J165" s="579"/>
      <c r="K165" s="579"/>
      <c r="L165" s="579"/>
      <c r="M165" s="579"/>
      <c r="N165" s="579"/>
      <c r="O165" s="579"/>
      <c r="P165" s="579"/>
      <c r="Q165" s="579"/>
      <c r="R165" s="579"/>
      <c r="S165" s="579"/>
      <c r="T165" s="579"/>
      <c r="U165" s="579"/>
      <c r="V165" s="579"/>
      <c r="W165" s="579"/>
      <c r="X165" s="579"/>
      <c r="Y165" s="579"/>
      <c r="Z165" s="579"/>
      <c r="AA165" s="579"/>
      <c r="AB165" s="579"/>
      <c r="AC165" s="579"/>
      <c r="AD165" s="579"/>
      <c r="AE165" s="579"/>
      <c r="AF165" s="579"/>
      <c r="AG165" s="579"/>
      <c r="AH165" s="577"/>
    </row>
    <row r="166" spans="1:34" ht="13.8">
      <c r="A166" s="580" t="s">
        <v>111</v>
      </c>
      <c r="B166" s="580">
        <f>SUM(B154:B165)</f>
        <v>42.3</v>
      </c>
      <c r="C166" s="581"/>
      <c r="D166" s="581"/>
      <c r="E166" s="581"/>
      <c r="F166" s="581"/>
      <c r="G166" s="581"/>
      <c r="H166" s="581"/>
      <c r="I166" s="581"/>
      <c r="J166" s="581"/>
      <c r="K166" s="581"/>
      <c r="L166" s="581"/>
      <c r="M166" s="581"/>
      <c r="N166" s="581"/>
      <c r="O166" s="581"/>
      <c r="P166" s="581"/>
      <c r="Q166" s="581"/>
      <c r="R166" s="581"/>
      <c r="S166" s="581"/>
      <c r="T166" s="581"/>
      <c r="U166" s="581"/>
      <c r="V166" s="581"/>
      <c r="W166" s="581"/>
      <c r="X166" s="581"/>
      <c r="Y166" s="581"/>
      <c r="Z166" s="581"/>
      <c r="AA166" s="581"/>
      <c r="AB166" s="581"/>
      <c r="AC166" s="581"/>
      <c r="AD166" s="581"/>
      <c r="AE166" s="581"/>
      <c r="AF166" s="581"/>
      <c r="AG166" s="581"/>
      <c r="AH166" s="582"/>
    </row>
    <row r="167" spans="1:34">
      <c r="A167" s="510"/>
      <c r="B167" s="510"/>
      <c r="C167" s="510"/>
      <c r="D167" s="510"/>
      <c r="E167" s="510"/>
      <c r="F167" s="510"/>
      <c r="G167" s="510"/>
      <c r="H167" s="510"/>
      <c r="I167" s="510"/>
      <c r="J167" s="510"/>
      <c r="K167" s="510"/>
      <c r="L167" s="510"/>
      <c r="M167" s="510"/>
      <c r="N167" s="510"/>
      <c r="O167" s="510"/>
      <c r="P167" s="510"/>
      <c r="Q167" s="510"/>
      <c r="R167" s="510"/>
      <c r="S167" s="510"/>
      <c r="T167" s="510"/>
      <c r="U167" s="510"/>
      <c r="V167" s="510"/>
      <c r="W167" s="510"/>
      <c r="X167" s="510"/>
      <c r="Y167" s="510"/>
      <c r="Z167" s="510"/>
      <c r="AA167" s="510"/>
      <c r="AB167" s="510"/>
      <c r="AC167" s="510"/>
      <c r="AD167" s="510"/>
      <c r="AE167" s="510"/>
      <c r="AF167" s="510"/>
      <c r="AG167" s="510"/>
      <c r="AH167" s="510"/>
    </row>
    <row r="168" spans="1:34" ht="13.8">
      <c r="A168" s="3864" t="s">
        <v>817</v>
      </c>
      <c r="B168" s="3865"/>
      <c r="C168" s="3866"/>
      <c r="D168" s="142"/>
      <c r="E168" s="142"/>
      <c r="F168" s="142"/>
      <c r="G168" s="142"/>
      <c r="H168" s="142"/>
      <c r="I168" s="142"/>
      <c r="J168" s="142"/>
      <c r="K168" s="142"/>
      <c r="L168" s="142"/>
      <c r="M168" s="570"/>
      <c r="N168" s="142"/>
      <c r="O168" s="142"/>
      <c r="P168" s="142"/>
      <c r="Q168" s="142"/>
      <c r="R168" s="142"/>
      <c r="S168" s="142"/>
      <c r="T168" s="142"/>
      <c r="U168" s="142"/>
      <c r="V168" s="142"/>
      <c r="W168" s="142"/>
      <c r="X168" s="142"/>
      <c r="Y168" s="142"/>
      <c r="Z168" s="142"/>
      <c r="AA168" s="142"/>
      <c r="AB168" s="142"/>
      <c r="AC168" s="142"/>
      <c r="AD168" s="142"/>
      <c r="AE168" s="142"/>
      <c r="AF168" s="142"/>
      <c r="AG168" s="142"/>
      <c r="AH168" s="571"/>
    </row>
    <row r="169" spans="1:34" ht="13.8">
      <c r="A169" s="572" t="s">
        <v>142</v>
      </c>
      <c r="B169" s="572" t="s">
        <v>143</v>
      </c>
      <c r="C169" s="574">
        <v>1</v>
      </c>
      <c r="D169" s="573">
        <v>2</v>
      </c>
      <c r="E169" s="573">
        <v>3</v>
      </c>
      <c r="F169" s="573">
        <v>4</v>
      </c>
      <c r="G169" s="573">
        <v>5</v>
      </c>
      <c r="H169" s="573">
        <v>6</v>
      </c>
      <c r="I169" s="573">
        <v>7</v>
      </c>
      <c r="J169" s="573">
        <v>8</v>
      </c>
      <c r="K169" s="573">
        <v>9</v>
      </c>
      <c r="L169" s="573">
        <v>10</v>
      </c>
      <c r="M169" s="573">
        <v>11</v>
      </c>
      <c r="N169" s="573">
        <v>12</v>
      </c>
      <c r="O169" s="573">
        <v>13</v>
      </c>
      <c r="P169" s="573">
        <v>14</v>
      </c>
      <c r="Q169" s="573">
        <v>15</v>
      </c>
      <c r="R169" s="573">
        <v>16</v>
      </c>
      <c r="S169" s="573">
        <v>17</v>
      </c>
      <c r="T169" s="573">
        <v>18</v>
      </c>
      <c r="U169" s="573">
        <v>19</v>
      </c>
      <c r="V169" s="573">
        <v>20</v>
      </c>
      <c r="W169" s="509">
        <v>21</v>
      </c>
      <c r="X169" s="573">
        <v>22</v>
      </c>
      <c r="Y169" s="573">
        <v>23</v>
      </c>
      <c r="Z169" s="573">
        <v>24</v>
      </c>
      <c r="AA169" s="573">
        <v>25</v>
      </c>
      <c r="AB169" s="573">
        <v>26</v>
      </c>
      <c r="AC169" s="573">
        <v>27</v>
      </c>
      <c r="AD169" s="573">
        <v>28</v>
      </c>
      <c r="AE169" s="573">
        <v>29</v>
      </c>
      <c r="AF169" s="573">
        <v>30</v>
      </c>
      <c r="AG169" s="573">
        <v>31</v>
      </c>
      <c r="AH169" s="575" t="s">
        <v>111</v>
      </c>
    </row>
    <row r="170" spans="1:34" ht="13.8">
      <c r="A170" s="603" t="s">
        <v>145</v>
      </c>
      <c r="B170" s="480">
        <f t="shared" ref="B170:B181" si="18">+AH170</f>
        <v>0</v>
      </c>
      <c r="C170" s="576"/>
      <c r="D170" s="576"/>
      <c r="E170" s="576"/>
      <c r="F170" s="576"/>
      <c r="G170" s="576"/>
      <c r="H170" s="576"/>
      <c r="I170" s="576"/>
      <c r="J170" s="576"/>
      <c r="K170" s="576"/>
      <c r="L170" s="576"/>
      <c r="M170" s="576"/>
      <c r="N170" s="576"/>
      <c r="O170" s="576"/>
      <c r="P170" s="576"/>
      <c r="Q170" s="576"/>
      <c r="R170" s="576"/>
      <c r="S170" s="576"/>
      <c r="T170" s="576"/>
      <c r="U170" s="576"/>
      <c r="V170" s="576"/>
      <c r="W170" s="576"/>
      <c r="X170" s="576"/>
      <c r="Y170" s="576"/>
      <c r="Z170" s="576"/>
      <c r="AA170" s="576"/>
      <c r="AB170" s="576"/>
      <c r="AC170" s="576"/>
      <c r="AD170" s="576"/>
      <c r="AE170" s="576"/>
      <c r="AF170" s="576"/>
      <c r="AG170" s="576"/>
      <c r="AH170" s="577">
        <f>SUM(C170:AG170)</f>
        <v>0</v>
      </c>
    </row>
    <row r="171" spans="1:34" ht="13.8">
      <c r="A171" s="603" t="s">
        <v>146</v>
      </c>
      <c r="B171" s="480">
        <f t="shared" si="18"/>
        <v>0</v>
      </c>
      <c r="C171" s="576"/>
      <c r="D171" s="576"/>
      <c r="E171" s="576"/>
      <c r="F171" s="576"/>
      <c r="G171" s="576"/>
      <c r="H171" s="576"/>
      <c r="I171" s="576"/>
      <c r="J171" s="576"/>
      <c r="K171" s="576"/>
      <c r="L171" s="576"/>
      <c r="M171" s="576"/>
      <c r="N171" s="576"/>
      <c r="O171" s="576"/>
      <c r="P171" s="576"/>
      <c r="Q171" s="576"/>
      <c r="R171" s="576"/>
      <c r="S171" s="576"/>
      <c r="T171" s="576"/>
      <c r="U171" s="576"/>
      <c r="V171" s="576"/>
      <c r="W171" s="576"/>
      <c r="X171" s="576"/>
      <c r="Y171" s="576"/>
      <c r="Z171" s="576"/>
      <c r="AA171" s="576"/>
      <c r="AB171" s="576"/>
      <c r="AC171" s="576"/>
      <c r="AD171" s="576"/>
      <c r="AE171" s="576"/>
      <c r="AF171" s="576"/>
      <c r="AG171" s="576"/>
      <c r="AH171" s="577">
        <f>SUM(C171:AG171)</f>
        <v>0</v>
      </c>
    </row>
    <row r="172" spans="1:34" ht="13.8">
      <c r="A172" s="603" t="s">
        <v>147</v>
      </c>
      <c r="B172" s="480">
        <f t="shared" si="18"/>
        <v>3.3370000000000006</v>
      </c>
      <c r="C172" s="2107">
        <v>0</v>
      </c>
      <c r="D172" s="2108">
        <v>0</v>
      </c>
      <c r="E172" s="2109">
        <v>0</v>
      </c>
      <c r="F172" s="2109">
        <v>0</v>
      </c>
      <c r="G172" s="2109">
        <v>0</v>
      </c>
      <c r="H172" s="2109">
        <v>0</v>
      </c>
      <c r="I172" s="2109">
        <v>0</v>
      </c>
      <c r="J172" s="2109">
        <v>0</v>
      </c>
      <c r="K172" s="2109">
        <v>0</v>
      </c>
      <c r="L172" s="2109">
        <v>0</v>
      </c>
      <c r="M172" s="2109">
        <v>0</v>
      </c>
      <c r="N172" s="2109">
        <v>0</v>
      </c>
      <c r="O172" s="2109">
        <v>0</v>
      </c>
      <c r="P172" s="2109">
        <v>0</v>
      </c>
      <c r="Q172" s="2109">
        <v>0</v>
      </c>
      <c r="R172" s="2109">
        <v>0</v>
      </c>
      <c r="S172" s="2109">
        <v>0</v>
      </c>
      <c r="T172" s="2109">
        <v>0</v>
      </c>
      <c r="U172" s="2109">
        <v>0</v>
      </c>
      <c r="V172" s="2109">
        <v>0</v>
      </c>
      <c r="W172" s="2109">
        <v>0</v>
      </c>
      <c r="X172" s="2109">
        <v>0</v>
      </c>
      <c r="Y172" s="2109">
        <v>0</v>
      </c>
      <c r="Z172" s="642">
        <v>0.08</v>
      </c>
      <c r="AA172" s="642">
        <v>1.9E-2</v>
      </c>
      <c r="AB172" s="642">
        <v>0.14000000000000001</v>
      </c>
      <c r="AC172" s="642">
        <v>0.91600000000000004</v>
      </c>
      <c r="AD172" s="642">
        <v>0.81900000000000006</v>
      </c>
      <c r="AE172" s="642">
        <v>0.998</v>
      </c>
      <c r="AF172" s="642">
        <v>0.22499999999999998</v>
      </c>
      <c r="AG172" s="642">
        <v>0.14000000000000001</v>
      </c>
      <c r="AH172" s="577">
        <f>SUM(C172:AG172)</f>
        <v>3.3370000000000006</v>
      </c>
    </row>
    <row r="173" spans="1:34" ht="13.8">
      <c r="A173" s="603" t="s">
        <v>148</v>
      </c>
      <c r="B173" s="480">
        <f t="shared" si="18"/>
        <v>5.0139999999999993</v>
      </c>
      <c r="C173" s="638">
        <v>0.1</v>
      </c>
      <c r="D173" s="635">
        <v>3.0680000000000001</v>
      </c>
      <c r="E173" s="1893">
        <v>0.38</v>
      </c>
      <c r="F173" s="1893">
        <v>0</v>
      </c>
      <c r="G173" s="1893">
        <v>0.1</v>
      </c>
      <c r="H173" s="1893">
        <v>0</v>
      </c>
      <c r="I173" s="1893">
        <v>0</v>
      </c>
      <c r="J173" s="1893">
        <v>0</v>
      </c>
      <c r="K173" s="1893">
        <v>0.06</v>
      </c>
      <c r="L173" s="1893">
        <v>0.08</v>
      </c>
      <c r="M173" s="1893">
        <v>0</v>
      </c>
      <c r="N173" s="1893">
        <v>0.05</v>
      </c>
      <c r="O173" s="1893">
        <v>8.9999999999999993E-3</v>
      </c>
      <c r="P173" s="1893">
        <v>0.30000000000000004</v>
      </c>
      <c r="Q173" s="1893">
        <v>0</v>
      </c>
      <c r="R173" s="1893">
        <v>0.13</v>
      </c>
      <c r="S173" s="1893">
        <v>2.7E-2</v>
      </c>
      <c r="T173" s="1893">
        <v>0.1</v>
      </c>
      <c r="U173" s="1893">
        <v>0</v>
      </c>
      <c r="V173" s="1893">
        <v>0</v>
      </c>
      <c r="W173" s="1893">
        <v>0</v>
      </c>
      <c r="X173" s="1893">
        <v>0</v>
      </c>
      <c r="Y173" s="1893">
        <v>0</v>
      </c>
      <c r="Z173" s="1893">
        <v>0.2</v>
      </c>
      <c r="AA173" s="1893">
        <v>0</v>
      </c>
      <c r="AB173" s="1893">
        <v>0.25</v>
      </c>
      <c r="AC173" s="1893">
        <v>0.1</v>
      </c>
      <c r="AD173" s="1893">
        <v>0</v>
      </c>
      <c r="AE173" s="1893">
        <v>0</v>
      </c>
      <c r="AF173" s="1893">
        <v>0.06</v>
      </c>
      <c r="AG173" s="1893"/>
      <c r="AH173" s="577">
        <f t="shared" ref="AH173:AH181" si="19">SUM(C173:AG173)</f>
        <v>5.0139999999999993</v>
      </c>
    </row>
    <row r="174" spans="1:34" ht="13.8">
      <c r="A174" s="603" t="s">
        <v>149</v>
      </c>
      <c r="B174" s="480">
        <f t="shared" si="18"/>
        <v>4.2450000000000001</v>
      </c>
      <c r="C174" s="638">
        <v>0.06</v>
      </c>
      <c r="D174" s="635">
        <v>0.3</v>
      </c>
      <c r="E174" s="1893">
        <v>0.16999999999999998</v>
      </c>
      <c r="F174" s="1893">
        <v>0.14000000000000001</v>
      </c>
      <c r="G174" s="1893">
        <v>0.09</v>
      </c>
      <c r="H174" s="1893">
        <v>0.35</v>
      </c>
      <c r="I174" s="1893">
        <v>0.05</v>
      </c>
      <c r="J174" s="1893">
        <v>0.21</v>
      </c>
      <c r="K174" s="1893">
        <v>3.7999999999999999E-2</v>
      </c>
      <c r="L174" s="1893">
        <v>7.0000000000000007E-2</v>
      </c>
      <c r="M174" s="1893">
        <v>0</v>
      </c>
      <c r="N174" s="1893">
        <v>0.05</v>
      </c>
      <c r="O174" s="1893">
        <v>0.06</v>
      </c>
      <c r="P174" s="1893">
        <v>0</v>
      </c>
      <c r="Q174" s="1893">
        <v>0.4</v>
      </c>
      <c r="R174" s="1893">
        <v>0.05</v>
      </c>
      <c r="S174" s="1893">
        <v>0.25</v>
      </c>
      <c r="T174" s="1893">
        <v>0.08</v>
      </c>
      <c r="U174" s="1893">
        <v>0.24000000000000002</v>
      </c>
      <c r="V174" s="1893">
        <v>0.05</v>
      </c>
      <c r="W174" s="1893">
        <v>0.15</v>
      </c>
      <c r="X174" s="1893">
        <v>0</v>
      </c>
      <c r="Y174" s="1893">
        <v>0</v>
      </c>
      <c r="Z174" s="1893">
        <v>0.04</v>
      </c>
      <c r="AA174" s="1893">
        <v>0.14000000000000001</v>
      </c>
      <c r="AB174" s="1893">
        <v>0</v>
      </c>
      <c r="AC174" s="1893">
        <v>0</v>
      </c>
      <c r="AD174" s="1893">
        <v>0.45</v>
      </c>
      <c r="AE174" s="1893">
        <v>0.03</v>
      </c>
      <c r="AF174" s="1893">
        <v>0</v>
      </c>
      <c r="AG174" s="1893">
        <v>0.77700000000000002</v>
      </c>
      <c r="AH174" s="577">
        <f t="shared" si="19"/>
        <v>4.2450000000000001</v>
      </c>
    </row>
    <row r="175" spans="1:34" ht="13.8">
      <c r="A175" s="603" t="s">
        <v>150</v>
      </c>
      <c r="B175" s="480">
        <f t="shared" si="18"/>
        <v>3.8840000000000003</v>
      </c>
      <c r="C175" s="638">
        <v>7.1999999999999995E-2</v>
      </c>
      <c r="D175" s="635">
        <v>0.39200000000000002</v>
      </c>
      <c r="E175" s="1893">
        <v>7.5000000000000011E-2</v>
      </c>
      <c r="F175" s="1893">
        <v>0.05</v>
      </c>
      <c r="G175" s="1893">
        <v>7.5000000000000011E-2</v>
      </c>
      <c r="H175" s="1893">
        <v>0.156</v>
      </c>
      <c r="I175" s="1893">
        <v>0.49199999999999999</v>
      </c>
      <c r="J175" s="1893">
        <v>1.4999999999999999E-2</v>
      </c>
      <c r="K175" s="1893">
        <v>0.15000000000000002</v>
      </c>
      <c r="L175" s="1893">
        <v>0.2</v>
      </c>
      <c r="M175" s="1893">
        <v>0</v>
      </c>
      <c r="N175" s="1893">
        <v>0.16200000000000001</v>
      </c>
      <c r="O175" s="1893">
        <v>0</v>
      </c>
      <c r="P175" s="1893">
        <v>0.27500000000000002</v>
      </c>
      <c r="Q175" s="1893">
        <v>1.4999999999999999E-2</v>
      </c>
      <c r="R175" s="1893">
        <v>0.19800000000000001</v>
      </c>
      <c r="S175" s="1893">
        <v>0</v>
      </c>
      <c r="T175" s="1893">
        <v>7.2000000000000008E-2</v>
      </c>
      <c r="U175" s="1893">
        <v>0</v>
      </c>
      <c r="V175" s="1893">
        <v>0.21000000000000002</v>
      </c>
      <c r="W175" s="1893">
        <v>0</v>
      </c>
      <c r="X175" s="1893">
        <v>0.6</v>
      </c>
      <c r="Y175" s="1893">
        <v>0</v>
      </c>
      <c r="Z175" s="1893">
        <v>0.03</v>
      </c>
      <c r="AA175" s="1893">
        <v>0</v>
      </c>
      <c r="AB175" s="1893">
        <v>0.06</v>
      </c>
      <c r="AC175" s="1893">
        <v>0.08</v>
      </c>
      <c r="AD175" s="1893">
        <v>0.14000000000000001</v>
      </c>
      <c r="AE175" s="1893">
        <v>0.36499999999999999</v>
      </c>
      <c r="AF175" s="1893">
        <v>0</v>
      </c>
      <c r="AG175" s="1893"/>
      <c r="AH175" s="577">
        <f t="shared" si="19"/>
        <v>3.8840000000000003</v>
      </c>
    </row>
    <row r="176" spans="1:34" ht="13.8">
      <c r="A176" s="603" t="s">
        <v>151</v>
      </c>
      <c r="B176" s="480">
        <f t="shared" si="18"/>
        <v>4.2110000000000012</v>
      </c>
      <c r="C176" s="1894">
        <v>0</v>
      </c>
      <c r="D176" s="635">
        <v>0</v>
      </c>
      <c r="E176" s="1893">
        <v>2.3E-2</v>
      </c>
      <c r="F176" s="1893">
        <v>0</v>
      </c>
      <c r="G176" s="1893">
        <v>0</v>
      </c>
      <c r="H176" s="1893">
        <v>1.4999999999999999E-2</v>
      </c>
      <c r="I176" s="1893">
        <v>8.0000000000000002E-3</v>
      </c>
      <c r="J176" s="1893">
        <v>0</v>
      </c>
      <c r="K176" s="1893">
        <v>0</v>
      </c>
      <c r="L176" s="1893">
        <v>0.32</v>
      </c>
      <c r="M176" s="1893">
        <v>0</v>
      </c>
      <c r="N176" s="1893">
        <v>6.5000000000000002E-2</v>
      </c>
      <c r="O176" s="1893">
        <v>0.5</v>
      </c>
      <c r="P176" s="1893">
        <v>0</v>
      </c>
      <c r="Q176" s="1893">
        <v>0</v>
      </c>
      <c r="R176" s="1893">
        <v>0</v>
      </c>
      <c r="S176" s="1893">
        <v>0</v>
      </c>
      <c r="T176" s="1893">
        <v>2.6880000000000002</v>
      </c>
      <c r="U176" s="1893">
        <v>0.06</v>
      </c>
      <c r="V176" s="1893">
        <v>4.4999999999999998E-2</v>
      </c>
      <c r="W176" s="1893">
        <v>0</v>
      </c>
      <c r="X176" s="1893">
        <v>0</v>
      </c>
      <c r="Y176" s="1893">
        <v>0.04</v>
      </c>
      <c r="Z176" s="1893">
        <v>8.6999999999999994E-2</v>
      </c>
      <c r="AA176" s="1893">
        <v>0</v>
      </c>
      <c r="AB176" s="1893">
        <v>0.06</v>
      </c>
      <c r="AC176" s="1893">
        <v>0.11</v>
      </c>
      <c r="AD176" s="1893">
        <v>0.19</v>
      </c>
      <c r="AE176" s="1893">
        <v>0</v>
      </c>
      <c r="AF176" s="1893">
        <v>0</v>
      </c>
      <c r="AG176" s="1893">
        <v>0</v>
      </c>
      <c r="AH176" s="577">
        <f t="shared" si="19"/>
        <v>4.2110000000000012</v>
      </c>
    </row>
    <row r="177" spans="1:34" ht="13.8">
      <c r="A177" s="603" t="s">
        <v>152</v>
      </c>
      <c r="B177" s="480">
        <f t="shared" si="18"/>
        <v>8.3399999999999981</v>
      </c>
      <c r="C177" s="2110">
        <v>0</v>
      </c>
      <c r="D177" s="1895">
        <v>0</v>
      </c>
      <c r="E177" s="635">
        <v>0</v>
      </c>
      <c r="F177" s="635">
        <v>0.05</v>
      </c>
      <c r="G177" s="635">
        <v>0</v>
      </c>
      <c r="H177" s="635">
        <v>0</v>
      </c>
      <c r="I177" s="635">
        <v>0</v>
      </c>
      <c r="J177" s="635">
        <v>0.04</v>
      </c>
      <c r="K177" s="635">
        <v>0</v>
      </c>
      <c r="L177" s="635">
        <v>0</v>
      </c>
      <c r="M177" s="635">
        <v>8</v>
      </c>
      <c r="N177" s="635">
        <v>0.03</v>
      </c>
      <c r="O177" s="635">
        <v>0</v>
      </c>
      <c r="P177" s="635">
        <v>0.09</v>
      </c>
      <c r="Q177" s="635">
        <v>0.06</v>
      </c>
      <c r="R177" s="635">
        <v>0</v>
      </c>
      <c r="S177" s="635">
        <v>0</v>
      </c>
      <c r="T177" s="635">
        <v>0.03</v>
      </c>
      <c r="U177" s="635">
        <v>0</v>
      </c>
      <c r="V177" s="635">
        <v>0</v>
      </c>
      <c r="W177" s="635">
        <v>0.04</v>
      </c>
      <c r="X177" s="635">
        <v>0</v>
      </c>
      <c r="Y177" s="635">
        <v>0</v>
      </c>
      <c r="Z177" s="635">
        <v>0</v>
      </c>
      <c r="AA177" s="635">
        <v>0</v>
      </c>
      <c r="AB177" s="635">
        <v>0</v>
      </c>
      <c r="AC177" s="635">
        <v>0</v>
      </c>
      <c r="AD177" s="635">
        <v>0</v>
      </c>
      <c r="AE177" s="635">
        <v>0</v>
      </c>
      <c r="AF177" s="635">
        <v>0</v>
      </c>
      <c r="AG177" s="635">
        <v>0</v>
      </c>
      <c r="AH177" s="577">
        <f t="shared" si="19"/>
        <v>8.3399999999999981</v>
      </c>
    </row>
    <row r="178" spans="1:34" ht="13.8">
      <c r="A178" s="603" t="s">
        <v>153</v>
      </c>
      <c r="B178" s="480">
        <f t="shared" si="18"/>
        <v>4.17</v>
      </c>
      <c r="C178" s="578">
        <v>0</v>
      </c>
      <c r="D178" s="579">
        <v>0</v>
      </c>
      <c r="E178" s="579">
        <v>0</v>
      </c>
      <c r="F178" s="579">
        <v>0.03</v>
      </c>
      <c r="G178" s="579">
        <v>0</v>
      </c>
      <c r="H178" s="579">
        <v>0</v>
      </c>
      <c r="I178" s="579">
        <v>0</v>
      </c>
      <c r="J178" s="579">
        <v>0</v>
      </c>
      <c r="K178" s="579">
        <v>0.06</v>
      </c>
      <c r="L178" s="579">
        <v>0</v>
      </c>
      <c r="M178" s="579">
        <v>4</v>
      </c>
      <c r="N178" s="579">
        <v>0.05</v>
      </c>
      <c r="O178" s="579">
        <v>0</v>
      </c>
      <c r="P178" s="579">
        <v>0</v>
      </c>
      <c r="Q178" s="579">
        <v>0</v>
      </c>
      <c r="R178" s="579">
        <v>0.03</v>
      </c>
      <c r="S178" s="579">
        <v>0</v>
      </c>
      <c r="T178" s="579">
        <v>0</v>
      </c>
      <c r="U178" s="579">
        <v>0</v>
      </c>
      <c r="V178" s="579">
        <v>0</v>
      </c>
      <c r="W178" s="579">
        <v>0</v>
      </c>
      <c r="X178" s="579">
        <v>0</v>
      </c>
      <c r="Y178" s="579">
        <v>0</v>
      </c>
      <c r="Z178" s="579">
        <v>0</v>
      </c>
      <c r="AA178" s="579">
        <v>0</v>
      </c>
      <c r="AB178" s="579">
        <v>0</v>
      </c>
      <c r="AC178" s="579">
        <v>0</v>
      </c>
      <c r="AD178" s="579">
        <v>0</v>
      </c>
      <c r="AE178" s="579">
        <v>0</v>
      </c>
      <c r="AF178" s="579">
        <v>0</v>
      </c>
      <c r="AG178" s="579"/>
      <c r="AH178" s="577">
        <f t="shared" si="19"/>
        <v>4.17</v>
      </c>
    </row>
    <row r="179" spans="1:34" ht="13.8">
      <c r="A179" s="603" t="s">
        <v>154</v>
      </c>
      <c r="B179" s="480">
        <f t="shared" si="18"/>
        <v>1.3539999999999999</v>
      </c>
      <c r="C179" s="578">
        <v>0</v>
      </c>
      <c r="D179" s="579">
        <v>0</v>
      </c>
      <c r="E179" s="579">
        <v>0</v>
      </c>
      <c r="F179" s="579">
        <v>1.2</v>
      </c>
      <c r="G179" s="579">
        <v>0</v>
      </c>
      <c r="H179" s="579">
        <v>2.5000000000000001E-2</v>
      </c>
      <c r="I179" s="579">
        <v>0</v>
      </c>
      <c r="J179" s="579">
        <v>0</v>
      </c>
      <c r="K179" s="579">
        <v>0</v>
      </c>
      <c r="L179" s="579">
        <v>1.4999999999999999E-2</v>
      </c>
      <c r="M179" s="579">
        <v>0</v>
      </c>
      <c r="N179" s="579">
        <v>0</v>
      </c>
      <c r="O179" s="579">
        <v>0</v>
      </c>
      <c r="P179" s="579">
        <v>0</v>
      </c>
      <c r="Q179" s="579">
        <v>0</v>
      </c>
      <c r="R179" s="579">
        <v>3.4000000000000002E-2</v>
      </c>
      <c r="S179" s="579">
        <v>0</v>
      </c>
      <c r="T179" s="579">
        <v>0</v>
      </c>
      <c r="U179" s="579">
        <v>0</v>
      </c>
      <c r="V179" s="579">
        <v>0</v>
      </c>
      <c r="W179" s="579">
        <v>0.02</v>
      </c>
      <c r="X179" s="579">
        <v>0</v>
      </c>
      <c r="Y179" s="579">
        <v>0</v>
      </c>
      <c r="Z179" s="579">
        <v>0</v>
      </c>
      <c r="AA179" s="579">
        <v>0</v>
      </c>
      <c r="AB179" s="579">
        <v>0.03</v>
      </c>
      <c r="AC179" s="579">
        <v>0.02</v>
      </c>
      <c r="AD179" s="579">
        <v>0</v>
      </c>
      <c r="AE179" s="579">
        <v>0</v>
      </c>
      <c r="AF179" s="579">
        <v>0</v>
      </c>
      <c r="AG179" s="579">
        <v>0.01</v>
      </c>
      <c r="AH179" s="577">
        <f t="shared" si="19"/>
        <v>1.3539999999999999</v>
      </c>
    </row>
    <row r="180" spans="1:34" ht="13.8">
      <c r="A180" s="573" t="s">
        <v>155</v>
      </c>
      <c r="B180" s="480">
        <f t="shared" si="18"/>
        <v>1.4E-2</v>
      </c>
      <c r="C180" s="578">
        <v>0</v>
      </c>
      <c r="D180" s="579">
        <v>0</v>
      </c>
      <c r="E180" s="579">
        <v>0</v>
      </c>
      <c r="F180" s="579">
        <v>0</v>
      </c>
      <c r="G180" s="579">
        <v>0</v>
      </c>
      <c r="H180" s="579">
        <v>0</v>
      </c>
      <c r="I180" s="579">
        <v>0</v>
      </c>
      <c r="J180" s="579">
        <v>0</v>
      </c>
      <c r="K180" s="579">
        <v>0</v>
      </c>
      <c r="L180" s="579">
        <v>0</v>
      </c>
      <c r="M180" s="579">
        <v>0</v>
      </c>
      <c r="N180" s="579">
        <v>0</v>
      </c>
      <c r="O180" s="579">
        <v>0</v>
      </c>
      <c r="P180" s="579">
        <v>0</v>
      </c>
      <c r="Q180" s="579">
        <v>0</v>
      </c>
      <c r="R180" s="579">
        <v>1.4E-2</v>
      </c>
      <c r="S180" s="579">
        <v>0</v>
      </c>
      <c r="T180" s="579">
        <v>0</v>
      </c>
      <c r="U180" s="579">
        <v>0</v>
      </c>
      <c r="V180" s="579">
        <v>0</v>
      </c>
      <c r="W180" s="579">
        <v>0</v>
      </c>
      <c r="X180" s="579">
        <v>0</v>
      </c>
      <c r="Y180" s="579">
        <v>0</v>
      </c>
      <c r="Z180" s="579">
        <v>0</v>
      </c>
      <c r="AA180" s="579">
        <v>0</v>
      </c>
      <c r="AB180" s="579">
        <v>0</v>
      </c>
      <c r="AC180" s="579">
        <v>0</v>
      </c>
      <c r="AD180" s="579">
        <v>0</v>
      </c>
      <c r="AE180" s="579">
        <v>0</v>
      </c>
      <c r="AF180" s="579">
        <v>0</v>
      </c>
      <c r="AG180" s="579"/>
      <c r="AH180" s="577">
        <f t="shared" si="19"/>
        <v>1.4E-2</v>
      </c>
    </row>
    <row r="181" spans="1:34" ht="13.8">
      <c r="A181" s="573" t="s">
        <v>156</v>
      </c>
      <c r="B181" s="480">
        <f t="shared" si="18"/>
        <v>0</v>
      </c>
      <c r="C181" s="578"/>
      <c r="D181" s="579"/>
      <c r="E181" s="579"/>
      <c r="F181" s="579"/>
      <c r="G181" s="579"/>
      <c r="H181" s="579"/>
      <c r="I181" s="579"/>
      <c r="J181" s="579"/>
      <c r="K181" s="579"/>
      <c r="L181" s="579"/>
      <c r="M181" s="579"/>
      <c r="N181" s="579"/>
      <c r="O181" s="579"/>
      <c r="P181" s="579"/>
      <c r="Q181" s="579"/>
      <c r="R181" s="579"/>
      <c r="S181" s="579"/>
      <c r="T181" s="579"/>
      <c r="U181" s="579"/>
      <c r="V181" s="579"/>
      <c r="W181" s="579"/>
      <c r="X181" s="579"/>
      <c r="Y181" s="579"/>
      <c r="Z181" s="579"/>
      <c r="AA181" s="579"/>
      <c r="AB181" s="579"/>
      <c r="AC181" s="579"/>
      <c r="AD181" s="579"/>
      <c r="AE181" s="579"/>
      <c r="AF181" s="579"/>
      <c r="AG181" s="579"/>
      <c r="AH181" s="577">
        <f t="shared" si="19"/>
        <v>0</v>
      </c>
    </row>
    <row r="182" spans="1:34" ht="13.8">
      <c r="A182" s="580" t="s">
        <v>111</v>
      </c>
      <c r="B182" s="580">
        <f>SUM(B170:B181)</f>
        <v>34.569000000000003</v>
      </c>
      <c r="C182" s="581">
        <f>SUM(C170:C181)</f>
        <v>0.23199999999999998</v>
      </c>
      <c r="D182" s="581">
        <f t="shared" ref="D182:AG182" si="20">SUM(D170:D181)</f>
        <v>3.76</v>
      </c>
      <c r="E182" s="581">
        <f t="shared" si="20"/>
        <v>0.64800000000000002</v>
      </c>
      <c r="F182" s="581">
        <f t="shared" si="20"/>
        <v>1.47</v>
      </c>
      <c r="G182" s="581">
        <f t="shared" si="20"/>
        <v>0.26500000000000001</v>
      </c>
      <c r="H182" s="581">
        <f t="shared" si="20"/>
        <v>0.54600000000000004</v>
      </c>
      <c r="I182" s="581">
        <f t="shared" si="20"/>
        <v>0.55000000000000004</v>
      </c>
      <c r="J182" s="581">
        <f t="shared" si="20"/>
        <v>0.26499999999999996</v>
      </c>
      <c r="K182" s="581">
        <f t="shared" si="20"/>
        <v>0.30800000000000005</v>
      </c>
      <c r="L182" s="581">
        <f t="shared" si="20"/>
        <v>0.68500000000000005</v>
      </c>
      <c r="M182" s="581">
        <f t="shared" si="20"/>
        <v>12</v>
      </c>
      <c r="N182" s="581">
        <f t="shared" si="20"/>
        <v>0.40699999999999997</v>
      </c>
      <c r="O182" s="581">
        <f t="shared" si="20"/>
        <v>0.56899999999999995</v>
      </c>
      <c r="P182" s="581">
        <f t="shared" si="20"/>
        <v>0.66500000000000004</v>
      </c>
      <c r="Q182" s="581">
        <f t="shared" si="20"/>
        <v>0.47500000000000003</v>
      </c>
      <c r="R182" s="581">
        <f t="shared" si="20"/>
        <v>0.45600000000000007</v>
      </c>
      <c r="S182" s="581">
        <f t="shared" si="20"/>
        <v>0.27700000000000002</v>
      </c>
      <c r="T182" s="581">
        <f t="shared" si="20"/>
        <v>2.97</v>
      </c>
      <c r="U182" s="581">
        <f t="shared" si="20"/>
        <v>0.30000000000000004</v>
      </c>
      <c r="V182" s="581">
        <f t="shared" si="20"/>
        <v>0.30499999999999999</v>
      </c>
      <c r="W182" s="581">
        <f t="shared" si="20"/>
        <v>0.21</v>
      </c>
      <c r="X182" s="581">
        <f t="shared" si="20"/>
        <v>0.6</v>
      </c>
      <c r="Y182" s="581">
        <f t="shared" si="20"/>
        <v>0.04</v>
      </c>
      <c r="Z182" s="581">
        <f t="shared" si="20"/>
        <v>0.43699999999999994</v>
      </c>
      <c r="AA182" s="581">
        <f t="shared" si="20"/>
        <v>0.159</v>
      </c>
      <c r="AB182" s="581">
        <f t="shared" si="20"/>
        <v>0.54</v>
      </c>
      <c r="AC182" s="581">
        <f t="shared" si="20"/>
        <v>1.2260000000000002</v>
      </c>
      <c r="AD182" s="581">
        <f t="shared" si="20"/>
        <v>1.5990000000000002</v>
      </c>
      <c r="AE182" s="581">
        <f t="shared" si="20"/>
        <v>1.393</v>
      </c>
      <c r="AF182" s="581">
        <f t="shared" si="20"/>
        <v>0.28499999999999998</v>
      </c>
      <c r="AG182" s="581">
        <f t="shared" si="20"/>
        <v>0.92700000000000005</v>
      </c>
      <c r="AH182" s="582"/>
    </row>
    <row r="183" spans="1:34">
      <c r="A183" s="510"/>
      <c r="B183" s="510"/>
      <c r="C183" s="510"/>
      <c r="D183" s="510"/>
      <c r="E183" s="510"/>
      <c r="F183" s="510"/>
      <c r="G183" s="510"/>
      <c r="H183" s="510"/>
      <c r="I183" s="510"/>
      <c r="J183" s="510"/>
      <c r="K183" s="510"/>
      <c r="L183" s="510"/>
      <c r="M183" s="510"/>
      <c r="N183" s="510"/>
      <c r="O183" s="510"/>
      <c r="P183" s="510"/>
      <c r="Q183" s="510"/>
      <c r="R183" s="510"/>
      <c r="S183" s="510"/>
      <c r="T183" s="510"/>
      <c r="U183" s="510"/>
      <c r="V183" s="510"/>
      <c r="W183" s="510"/>
      <c r="X183" s="510"/>
      <c r="Y183" s="510"/>
      <c r="Z183" s="510"/>
      <c r="AA183" s="510"/>
      <c r="AB183" s="510"/>
      <c r="AC183" s="510"/>
      <c r="AD183" s="510"/>
      <c r="AE183" s="510"/>
      <c r="AF183" s="510"/>
      <c r="AG183" s="510"/>
      <c r="AH183" s="510"/>
    </row>
    <row r="184" spans="1:34" ht="13.8">
      <c r="A184" s="3864" t="s">
        <v>623</v>
      </c>
      <c r="B184" s="3865"/>
      <c r="C184" s="3866"/>
      <c r="D184" s="142"/>
      <c r="E184" s="142"/>
      <c r="F184" s="142"/>
      <c r="G184" s="142"/>
      <c r="H184" s="142"/>
      <c r="I184" s="142"/>
      <c r="J184" s="142"/>
      <c r="K184" s="142"/>
      <c r="L184" s="142"/>
      <c r="M184" s="570"/>
      <c r="N184" s="142"/>
      <c r="O184" s="142"/>
      <c r="P184" s="142"/>
      <c r="Q184" s="142"/>
      <c r="R184" s="142"/>
      <c r="S184" s="142"/>
      <c r="T184" s="142"/>
      <c r="U184" s="142"/>
      <c r="V184" s="142"/>
      <c r="W184" s="142"/>
      <c r="X184" s="142"/>
      <c r="Y184" s="142"/>
      <c r="Z184" s="142"/>
      <c r="AA184" s="142"/>
      <c r="AB184" s="142"/>
      <c r="AC184" s="142"/>
      <c r="AD184" s="142"/>
      <c r="AE184" s="142"/>
      <c r="AF184" s="142"/>
      <c r="AG184" s="142"/>
      <c r="AH184" s="571"/>
    </row>
    <row r="185" spans="1:34" ht="13.8">
      <c r="A185" s="572" t="s">
        <v>142</v>
      </c>
      <c r="B185" s="572" t="s">
        <v>143</v>
      </c>
      <c r="C185" s="574">
        <v>1</v>
      </c>
      <c r="D185" s="573">
        <v>2</v>
      </c>
      <c r="E185" s="573">
        <v>3</v>
      </c>
      <c r="F185" s="573">
        <v>4</v>
      </c>
      <c r="G185" s="573">
        <v>5</v>
      </c>
      <c r="H185" s="573">
        <v>6</v>
      </c>
      <c r="I185" s="573">
        <v>7</v>
      </c>
      <c r="J185" s="573">
        <v>8</v>
      </c>
      <c r="K185" s="573">
        <v>9</v>
      </c>
      <c r="L185" s="573">
        <v>10</v>
      </c>
      <c r="M185" s="573">
        <v>11</v>
      </c>
      <c r="N185" s="573">
        <v>12</v>
      </c>
      <c r="O185" s="573">
        <v>13</v>
      </c>
      <c r="P185" s="573">
        <v>14</v>
      </c>
      <c r="Q185" s="573">
        <v>15</v>
      </c>
      <c r="R185" s="573">
        <v>16</v>
      </c>
      <c r="S185" s="573">
        <v>17</v>
      </c>
      <c r="T185" s="573">
        <v>18</v>
      </c>
      <c r="U185" s="573">
        <v>19</v>
      </c>
      <c r="V185" s="573">
        <v>20</v>
      </c>
      <c r="W185" s="509">
        <v>21</v>
      </c>
      <c r="X185" s="573">
        <v>22</v>
      </c>
      <c r="Y185" s="573">
        <v>23</v>
      </c>
      <c r="Z185" s="573">
        <v>24</v>
      </c>
      <c r="AA185" s="573">
        <v>25</v>
      </c>
      <c r="AB185" s="573">
        <v>26</v>
      </c>
      <c r="AC185" s="573">
        <v>27</v>
      </c>
      <c r="AD185" s="573">
        <v>28</v>
      </c>
      <c r="AE185" s="573">
        <v>29</v>
      </c>
      <c r="AF185" s="573">
        <v>30</v>
      </c>
      <c r="AG185" s="573">
        <v>31</v>
      </c>
      <c r="AH185" s="575" t="s">
        <v>111</v>
      </c>
    </row>
    <row r="186" spans="1:34" ht="13.8">
      <c r="A186" s="603" t="s">
        <v>145</v>
      </c>
      <c r="B186" s="480">
        <f t="shared" ref="B186:B197" si="21">+AH186</f>
        <v>0</v>
      </c>
      <c r="C186" s="576"/>
      <c r="D186" s="576"/>
      <c r="E186" s="576"/>
      <c r="F186" s="576"/>
      <c r="G186" s="576"/>
      <c r="H186" s="576"/>
      <c r="I186" s="576"/>
      <c r="J186" s="576"/>
      <c r="K186" s="576"/>
      <c r="L186" s="576"/>
      <c r="M186" s="576"/>
      <c r="N186" s="576"/>
      <c r="O186" s="576"/>
      <c r="P186" s="576"/>
      <c r="Q186" s="576"/>
      <c r="R186" s="576"/>
      <c r="S186" s="576"/>
      <c r="T186" s="576"/>
      <c r="U186" s="576"/>
      <c r="V186" s="576"/>
      <c r="W186" s="576"/>
      <c r="X186" s="576"/>
      <c r="Y186" s="576"/>
      <c r="Z186" s="576"/>
      <c r="AA186" s="576"/>
      <c r="AB186" s="576"/>
      <c r="AC186" s="576"/>
      <c r="AD186" s="576"/>
      <c r="AE186" s="576"/>
      <c r="AF186" s="576"/>
      <c r="AG186" s="576"/>
      <c r="AH186" s="577">
        <f>SUM(C186:AG186)</f>
        <v>0</v>
      </c>
    </row>
    <row r="187" spans="1:34" ht="13.8">
      <c r="A187" s="603" t="s">
        <v>146</v>
      </c>
      <c r="B187" s="480">
        <f t="shared" si="21"/>
        <v>0</v>
      </c>
      <c r="C187" s="576"/>
      <c r="D187" s="576"/>
      <c r="E187" s="576"/>
      <c r="F187" s="576"/>
      <c r="G187" s="576"/>
      <c r="H187" s="576"/>
      <c r="I187" s="576"/>
      <c r="J187" s="576"/>
      <c r="K187" s="576"/>
      <c r="L187" s="576"/>
      <c r="M187" s="576"/>
      <c r="N187" s="576"/>
      <c r="O187" s="576"/>
      <c r="P187" s="576"/>
      <c r="Q187" s="576"/>
      <c r="R187" s="576"/>
      <c r="S187" s="576"/>
      <c r="T187" s="576"/>
      <c r="U187" s="576"/>
      <c r="V187" s="576"/>
      <c r="W187" s="576"/>
      <c r="X187" s="576"/>
      <c r="Y187" s="576"/>
      <c r="Z187" s="576"/>
      <c r="AA187" s="576"/>
      <c r="AB187" s="576"/>
      <c r="AC187" s="576"/>
      <c r="AD187" s="576"/>
      <c r="AE187" s="576"/>
      <c r="AF187" s="576"/>
      <c r="AG187" s="576"/>
      <c r="AH187" s="577">
        <f>SUM(C187:AG187)</f>
        <v>0</v>
      </c>
    </row>
    <row r="188" spans="1:34" ht="13.8">
      <c r="A188" s="603" t="s">
        <v>147</v>
      </c>
      <c r="B188" s="480">
        <f t="shared" si="21"/>
        <v>0.72899999999999998</v>
      </c>
      <c r="C188" s="1483">
        <v>0</v>
      </c>
      <c r="D188" s="1484">
        <v>0</v>
      </c>
      <c r="E188" s="1484">
        <v>0</v>
      </c>
      <c r="F188" s="1484">
        <v>0</v>
      </c>
      <c r="G188" s="1484">
        <v>0</v>
      </c>
      <c r="H188" s="1484">
        <v>0</v>
      </c>
      <c r="I188" s="1484">
        <v>0</v>
      </c>
      <c r="J188" s="1484">
        <v>0</v>
      </c>
      <c r="K188" s="1484">
        <v>0</v>
      </c>
      <c r="L188" s="1484">
        <v>0</v>
      </c>
      <c r="M188" s="1484">
        <v>0</v>
      </c>
      <c r="N188" s="1484">
        <v>0</v>
      </c>
      <c r="O188" s="1484">
        <v>0</v>
      </c>
      <c r="P188" s="1484">
        <v>0</v>
      </c>
      <c r="Q188" s="1484">
        <v>0</v>
      </c>
      <c r="R188" s="1484">
        <v>0</v>
      </c>
      <c r="S188" s="1484">
        <v>0</v>
      </c>
      <c r="T188" s="1484">
        <v>0</v>
      </c>
      <c r="U188" s="1484">
        <v>0</v>
      </c>
      <c r="V188" s="1484">
        <v>0</v>
      </c>
      <c r="W188" s="1484">
        <v>0</v>
      </c>
      <c r="X188" s="1484">
        <v>0</v>
      </c>
      <c r="Y188" s="1484">
        <v>0</v>
      </c>
      <c r="Z188" s="1484">
        <v>0</v>
      </c>
      <c r="AA188" s="1484">
        <v>0</v>
      </c>
      <c r="AB188" s="1484">
        <v>0.72899999999999998</v>
      </c>
      <c r="AC188" s="1484">
        <v>0</v>
      </c>
      <c r="AD188" s="1484">
        <v>0</v>
      </c>
      <c r="AE188" s="1484">
        <v>0</v>
      </c>
      <c r="AF188" s="1484">
        <v>0</v>
      </c>
      <c r="AG188" s="1484">
        <v>0</v>
      </c>
      <c r="AH188" s="577">
        <f>SUM(C188:AG188)</f>
        <v>0.72899999999999998</v>
      </c>
    </row>
    <row r="189" spans="1:34" ht="13.8">
      <c r="A189" s="603" t="s">
        <v>148</v>
      </c>
      <c r="B189" s="480">
        <f t="shared" si="21"/>
        <v>41.646999999999998</v>
      </c>
      <c r="C189" s="1485">
        <v>0</v>
      </c>
      <c r="D189" s="1015">
        <v>19.568999999999999</v>
      </c>
      <c r="E189" s="1015">
        <v>0</v>
      </c>
      <c r="F189" s="1015">
        <v>0</v>
      </c>
      <c r="G189" s="1015">
        <v>0</v>
      </c>
      <c r="H189" s="1015">
        <v>0</v>
      </c>
      <c r="I189" s="1015">
        <v>0</v>
      </c>
      <c r="J189" s="1015">
        <v>0</v>
      </c>
      <c r="K189" s="1015">
        <v>16.167999999999999</v>
      </c>
      <c r="L189" s="1015">
        <v>0</v>
      </c>
      <c r="M189" s="1015">
        <v>0</v>
      </c>
      <c r="N189" s="1015">
        <v>0</v>
      </c>
      <c r="O189" s="1015">
        <v>0</v>
      </c>
      <c r="P189" s="1015">
        <v>0</v>
      </c>
      <c r="Q189" s="1015">
        <v>0</v>
      </c>
      <c r="R189" s="1015">
        <v>0</v>
      </c>
      <c r="S189" s="1015">
        <v>0</v>
      </c>
      <c r="T189" s="1015">
        <v>0</v>
      </c>
      <c r="U189" s="1015">
        <v>0</v>
      </c>
      <c r="V189" s="1015">
        <v>0</v>
      </c>
      <c r="W189" s="1015">
        <v>0</v>
      </c>
      <c r="X189" s="1015">
        <v>0</v>
      </c>
      <c r="Y189" s="1015">
        <v>0</v>
      </c>
      <c r="Z189" s="1015">
        <v>0</v>
      </c>
      <c r="AA189" s="1015">
        <v>0</v>
      </c>
      <c r="AB189" s="1015">
        <v>0.35</v>
      </c>
      <c r="AC189" s="1015">
        <v>0.17</v>
      </c>
      <c r="AD189" s="1015">
        <v>5.3</v>
      </c>
      <c r="AE189" s="1015">
        <v>0</v>
      </c>
      <c r="AF189" s="1015">
        <v>0.09</v>
      </c>
      <c r="AG189" s="1015"/>
      <c r="AH189" s="577">
        <f t="shared" ref="AH189:AH198" si="22">SUM(C189:AG189)</f>
        <v>41.646999999999998</v>
      </c>
    </row>
    <row r="190" spans="1:34" ht="13.8">
      <c r="A190" s="603" t="s">
        <v>149</v>
      </c>
      <c r="B190" s="480">
        <f t="shared" si="21"/>
        <v>2.31</v>
      </c>
      <c r="C190" s="1485">
        <v>7.0000000000000007E-2</v>
      </c>
      <c r="D190" s="1015">
        <v>0.21</v>
      </c>
      <c r="E190" s="1015">
        <v>0</v>
      </c>
      <c r="F190" s="1015">
        <v>0</v>
      </c>
      <c r="G190" s="1015">
        <v>0.35</v>
      </c>
      <c r="H190" s="1015">
        <v>0.12</v>
      </c>
      <c r="I190" s="1015">
        <v>0</v>
      </c>
      <c r="J190" s="1015">
        <v>0</v>
      </c>
      <c r="K190" s="1015">
        <v>0</v>
      </c>
      <c r="L190" s="1015">
        <v>0</v>
      </c>
      <c r="M190" s="1015">
        <v>0</v>
      </c>
      <c r="N190" s="1015">
        <v>0</v>
      </c>
      <c r="O190" s="1015">
        <v>0.1</v>
      </c>
      <c r="P190" s="1015">
        <v>0</v>
      </c>
      <c r="Q190" s="1015">
        <v>7.0000000000000007E-2</v>
      </c>
      <c r="R190" s="1015">
        <v>0.21</v>
      </c>
      <c r="S190" s="1015">
        <v>0</v>
      </c>
      <c r="T190" s="1015">
        <v>0.09</v>
      </c>
      <c r="U190" s="1015">
        <v>0.55000000000000004</v>
      </c>
      <c r="V190" s="1015">
        <v>0.31</v>
      </c>
      <c r="W190" s="1015">
        <v>0</v>
      </c>
      <c r="X190" s="1015">
        <v>0.06</v>
      </c>
      <c r="Y190" s="1015">
        <v>0.03</v>
      </c>
      <c r="Z190" s="1015">
        <v>9.5000000000000001E-2</v>
      </c>
      <c r="AA190" s="1015">
        <v>0</v>
      </c>
      <c r="AB190" s="1015">
        <v>0</v>
      </c>
      <c r="AC190" s="1015">
        <v>0</v>
      </c>
      <c r="AD190" s="1015">
        <v>0</v>
      </c>
      <c r="AE190" s="1015">
        <v>0</v>
      </c>
      <c r="AF190" s="1015">
        <v>0</v>
      </c>
      <c r="AG190" s="1015">
        <v>4.4999999999999998E-2</v>
      </c>
      <c r="AH190" s="577">
        <f t="shared" si="22"/>
        <v>2.31</v>
      </c>
    </row>
    <row r="191" spans="1:34" ht="13.8">
      <c r="A191" s="603" t="s">
        <v>150</v>
      </c>
      <c r="B191" s="480">
        <f t="shared" si="21"/>
        <v>2.415</v>
      </c>
      <c r="C191" s="578">
        <v>7.0000000000000007E-2</v>
      </c>
      <c r="D191" s="579">
        <v>0.21</v>
      </c>
      <c r="E191" s="579">
        <v>0</v>
      </c>
      <c r="F191" s="579">
        <v>0</v>
      </c>
      <c r="G191" s="579">
        <v>0.35</v>
      </c>
      <c r="H191" s="579">
        <v>0.12</v>
      </c>
      <c r="I191" s="579">
        <v>0</v>
      </c>
      <c r="J191" s="579">
        <v>0.15</v>
      </c>
      <c r="K191" s="579">
        <v>0</v>
      </c>
      <c r="L191" s="579">
        <v>0</v>
      </c>
      <c r="M191" s="579">
        <v>0</v>
      </c>
      <c r="N191" s="579">
        <v>0</v>
      </c>
      <c r="O191" s="579">
        <v>0.1</v>
      </c>
      <c r="P191" s="579">
        <v>0</v>
      </c>
      <c r="Q191" s="579">
        <v>7.0000000000000007E-2</v>
      </c>
      <c r="R191" s="579">
        <v>0.21</v>
      </c>
      <c r="S191" s="579">
        <v>0</v>
      </c>
      <c r="T191" s="579">
        <v>0.09</v>
      </c>
      <c r="U191" s="579">
        <v>0.55000000000000004</v>
      </c>
      <c r="V191" s="579">
        <v>0.31</v>
      </c>
      <c r="W191" s="579">
        <v>0</v>
      </c>
      <c r="X191" s="579">
        <v>0.06</v>
      </c>
      <c r="Y191" s="579">
        <v>0.03</v>
      </c>
      <c r="Z191" s="579">
        <v>9.5000000000000001E-2</v>
      </c>
      <c r="AA191" s="579">
        <v>0</v>
      </c>
      <c r="AB191" s="579">
        <v>0</v>
      </c>
      <c r="AC191" s="579">
        <v>0</v>
      </c>
      <c r="AD191" s="579">
        <v>0</v>
      </c>
      <c r="AE191" s="579">
        <v>0</v>
      </c>
      <c r="AF191" s="579">
        <v>0</v>
      </c>
      <c r="AG191" s="579">
        <v>0</v>
      </c>
      <c r="AH191" s="577">
        <f t="shared" si="22"/>
        <v>2.415</v>
      </c>
    </row>
    <row r="192" spans="1:34" ht="13.8">
      <c r="A192" s="603" t="s">
        <v>151</v>
      </c>
      <c r="B192" s="480">
        <f t="shared" si="21"/>
        <v>4</v>
      </c>
      <c r="C192" s="578">
        <v>0</v>
      </c>
      <c r="D192" s="579">
        <v>0</v>
      </c>
      <c r="E192" s="579">
        <v>0</v>
      </c>
      <c r="F192" s="579">
        <v>0</v>
      </c>
      <c r="G192" s="579">
        <v>0</v>
      </c>
      <c r="H192" s="579">
        <v>0</v>
      </c>
      <c r="I192" s="579">
        <v>0</v>
      </c>
      <c r="J192" s="579">
        <v>0</v>
      </c>
      <c r="K192" s="579">
        <v>0</v>
      </c>
      <c r="L192" s="579">
        <v>0</v>
      </c>
      <c r="M192" s="579">
        <v>0</v>
      </c>
      <c r="N192" s="579">
        <v>0</v>
      </c>
      <c r="O192" s="579">
        <v>0</v>
      </c>
      <c r="P192" s="579">
        <v>0</v>
      </c>
      <c r="Q192" s="579">
        <v>0</v>
      </c>
      <c r="R192" s="579">
        <v>0</v>
      </c>
      <c r="S192" s="579">
        <v>0</v>
      </c>
      <c r="T192" s="579">
        <v>4</v>
      </c>
      <c r="U192" s="579">
        <v>0</v>
      </c>
      <c r="V192" s="579"/>
      <c r="W192" s="579"/>
      <c r="X192" s="579"/>
      <c r="Y192" s="579"/>
      <c r="Z192" s="579"/>
      <c r="AA192" s="579"/>
      <c r="AB192" s="579"/>
      <c r="AC192" s="579"/>
      <c r="AD192" s="579"/>
      <c r="AE192" s="579"/>
      <c r="AF192" s="579"/>
      <c r="AG192" s="579"/>
      <c r="AH192" s="577">
        <f t="shared" si="22"/>
        <v>4</v>
      </c>
    </row>
    <row r="193" spans="1:34" ht="13.8">
      <c r="A193" s="603" t="s">
        <v>152</v>
      </c>
      <c r="B193" s="480">
        <f t="shared" si="21"/>
        <v>0</v>
      </c>
      <c r="C193" s="578"/>
      <c r="D193" s="579"/>
      <c r="E193" s="579"/>
      <c r="F193" s="579"/>
      <c r="G193" s="579"/>
      <c r="H193" s="579"/>
      <c r="I193" s="579"/>
      <c r="J193" s="579"/>
      <c r="K193" s="579"/>
      <c r="L193" s="579"/>
      <c r="M193" s="579"/>
      <c r="N193" s="579"/>
      <c r="O193" s="579"/>
      <c r="P193" s="579"/>
      <c r="Q193" s="579"/>
      <c r="R193" s="579"/>
      <c r="S193" s="579"/>
      <c r="T193" s="579"/>
      <c r="U193" s="579"/>
      <c r="V193" s="579"/>
      <c r="W193" s="579"/>
      <c r="X193" s="579"/>
      <c r="Y193" s="579"/>
      <c r="Z193" s="579"/>
      <c r="AA193" s="579"/>
      <c r="AB193" s="579"/>
      <c r="AC193" s="579"/>
      <c r="AD193" s="579"/>
      <c r="AE193" s="579"/>
      <c r="AF193" s="579"/>
      <c r="AG193" s="579"/>
      <c r="AH193" s="577">
        <f t="shared" si="22"/>
        <v>0</v>
      </c>
    </row>
    <row r="194" spans="1:34" ht="13.8">
      <c r="A194" s="603" t="s">
        <v>153</v>
      </c>
      <c r="B194" s="480">
        <f t="shared" si="21"/>
        <v>0</v>
      </c>
      <c r="C194" s="578"/>
      <c r="D194" s="579"/>
      <c r="E194" s="579"/>
      <c r="F194" s="579"/>
      <c r="G194" s="579"/>
      <c r="H194" s="579"/>
      <c r="I194" s="579"/>
      <c r="J194" s="579"/>
      <c r="K194" s="579"/>
      <c r="L194" s="579"/>
      <c r="M194" s="579"/>
      <c r="N194" s="579"/>
      <c r="O194" s="579"/>
      <c r="P194" s="579"/>
      <c r="Q194" s="579"/>
      <c r="R194" s="579"/>
      <c r="S194" s="579"/>
      <c r="T194" s="579"/>
      <c r="U194" s="579"/>
      <c r="V194" s="579"/>
      <c r="W194" s="579"/>
      <c r="X194" s="579"/>
      <c r="Y194" s="579"/>
      <c r="Z194" s="579"/>
      <c r="AA194" s="579"/>
      <c r="AB194" s="579"/>
      <c r="AC194" s="579"/>
      <c r="AD194" s="579"/>
      <c r="AE194" s="579"/>
      <c r="AF194" s="579"/>
      <c r="AG194" s="579"/>
      <c r="AH194" s="577">
        <f t="shared" si="22"/>
        <v>0</v>
      </c>
    </row>
    <row r="195" spans="1:34" ht="13.8">
      <c r="A195" s="603" t="s">
        <v>154</v>
      </c>
      <c r="B195" s="480">
        <f t="shared" si="21"/>
        <v>0</v>
      </c>
      <c r="C195" s="578"/>
      <c r="D195" s="579"/>
      <c r="E195" s="579"/>
      <c r="F195" s="579"/>
      <c r="G195" s="579"/>
      <c r="H195" s="579"/>
      <c r="I195" s="579"/>
      <c r="J195" s="579"/>
      <c r="K195" s="579"/>
      <c r="L195" s="579"/>
      <c r="M195" s="579"/>
      <c r="N195" s="579"/>
      <c r="O195" s="579"/>
      <c r="P195" s="579"/>
      <c r="Q195" s="579"/>
      <c r="R195" s="579"/>
      <c r="S195" s="579"/>
      <c r="T195" s="579"/>
      <c r="U195" s="579"/>
      <c r="V195" s="579"/>
      <c r="W195" s="579"/>
      <c r="X195" s="579"/>
      <c r="Y195" s="579"/>
      <c r="Z195" s="579"/>
      <c r="AA195" s="579"/>
      <c r="AB195" s="579"/>
      <c r="AC195" s="579"/>
      <c r="AD195" s="579"/>
      <c r="AE195" s="579"/>
      <c r="AF195" s="579"/>
      <c r="AG195" s="579"/>
      <c r="AH195" s="577">
        <f t="shared" si="22"/>
        <v>0</v>
      </c>
    </row>
    <row r="196" spans="1:34" ht="13.8">
      <c r="A196" s="573" t="s">
        <v>155</v>
      </c>
      <c r="B196" s="480">
        <f t="shared" si="21"/>
        <v>0</v>
      </c>
      <c r="C196" s="578"/>
      <c r="D196" s="579"/>
      <c r="E196" s="579"/>
      <c r="F196" s="579"/>
      <c r="G196" s="579"/>
      <c r="H196" s="579"/>
      <c r="I196" s="579"/>
      <c r="J196" s="579"/>
      <c r="K196" s="579"/>
      <c r="L196" s="579"/>
      <c r="M196" s="579"/>
      <c r="N196" s="579"/>
      <c r="O196" s="579"/>
      <c r="P196" s="579"/>
      <c r="Q196" s="579"/>
      <c r="R196" s="579"/>
      <c r="S196" s="579"/>
      <c r="T196" s="579"/>
      <c r="U196" s="579"/>
      <c r="V196" s="579"/>
      <c r="W196" s="579"/>
      <c r="X196" s="579"/>
      <c r="Y196" s="579"/>
      <c r="Z196" s="579"/>
      <c r="AA196" s="579"/>
      <c r="AB196" s="579"/>
      <c r="AC196" s="579"/>
      <c r="AD196" s="579"/>
      <c r="AE196" s="579"/>
      <c r="AF196" s="579"/>
      <c r="AG196" s="579"/>
      <c r="AH196" s="577">
        <f t="shared" si="22"/>
        <v>0</v>
      </c>
    </row>
    <row r="197" spans="1:34" ht="13.8">
      <c r="A197" s="573" t="s">
        <v>156</v>
      </c>
      <c r="B197" s="480">
        <f t="shared" si="21"/>
        <v>0</v>
      </c>
      <c r="C197" s="578"/>
      <c r="D197" s="579"/>
      <c r="E197" s="579"/>
      <c r="F197" s="579"/>
      <c r="G197" s="579"/>
      <c r="H197" s="579"/>
      <c r="I197" s="579"/>
      <c r="J197" s="579"/>
      <c r="K197" s="579"/>
      <c r="L197" s="579"/>
      <c r="M197" s="579"/>
      <c r="N197" s="579"/>
      <c r="O197" s="579"/>
      <c r="P197" s="579"/>
      <c r="Q197" s="579"/>
      <c r="R197" s="579"/>
      <c r="S197" s="579"/>
      <c r="T197" s="579"/>
      <c r="U197" s="579"/>
      <c r="V197" s="579"/>
      <c r="W197" s="579"/>
      <c r="X197" s="579"/>
      <c r="Y197" s="579"/>
      <c r="Z197" s="579"/>
      <c r="AA197" s="579"/>
      <c r="AB197" s="579"/>
      <c r="AC197" s="579"/>
      <c r="AD197" s="579"/>
      <c r="AE197" s="579"/>
      <c r="AF197" s="579"/>
      <c r="AG197" s="579"/>
      <c r="AH197" s="577">
        <f t="shared" si="22"/>
        <v>0</v>
      </c>
    </row>
    <row r="198" spans="1:34" ht="13.8">
      <c r="A198" s="580" t="s">
        <v>111</v>
      </c>
      <c r="B198" s="580">
        <f>SUM(B186:B197)</f>
        <v>51.100999999999999</v>
      </c>
      <c r="C198" s="581"/>
      <c r="D198" s="581"/>
      <c r="E198" s="581"/>
      <c r="F198" s="581"/>
      <c r="G198" s="581"/>
      <c r="H198" s="581"/>
      <c r="I198" s="581"/>
      <c r="J198" s="581"/>
      <c r="K198" s="581"/>
      <c r="L198" s="581"/>
      <c r="M198" s="581"/>
      <c r="N198" s="581"/>
      <c r="O198" s="581"/>
      <c r="P198" s="581"/>
      <c r="Q198" s="581"/>
      <c r="R198" s="581"/>
      <c r="S198" s="581"/>
      <c r="T198" s="581"/>
      <c r="U198" s="581"/>
      <c r="V198" s="581"/>
      <c r="W198" s="581"/>
      <c r="X198" s="581"/>
      <c r="Y198" s="581"/>
      <c r="Z198" s="581"/>
      <c r="AA198" s="581"/>
      <c r="AB198" s="581"/>
      <c r="AC198" s="581"/>
      <c r="AD198" s="581"/>
      <c r="AE198" s="581"/>
      <c r="AF198" s="581"/>
      <c r="AG198" s="581"/>
      <c r="AH198" s="577">
        <f t="shared" si="22"/>
        <v>0</v>
      </c>
    </row>
    <row r="199" spans="1:34" ht="13.8" thickBot="1"/>
    <row r="200" spans="1:34" ht="14.4" thickBot="1">
      <c r="A200" s="3864" t="s">
        <v>323</v>
      </c>
      <c r="B200" s="3865"/>
      <c r="C200" s="3865"/>
      <c r="D200" s="789" t="s">
        <v>11</v>
      </c>
      <c r="E200" s="790"/>
      <c r="F200" s="1509" t="s">
        <v>922</v>
      </c>
      <c r="G200" s="1509"/>
    </row>
    <row r="201" spans="1:34" ht="13.8">
      <c r="A201" s="572" t="s">
        <v>142</v>
      </c>
      <c r="B201" s="572" t="s">
        <v>143</v>
      </c>
      <c r="C201" s="574">
        <v>1</v>
      </c>
      <c r="D201" s="788">
        <v>2</v>
      </c>
      <c r="E201" s="788">
        <v>3</v>
      </c>
      <c r="F201" s="573">
        <v>4</v>
      </c>
      <c r="G201" s="573">
        <v>5</v>
      </c>
      <c r="H201" s="573">
        <v>6</v>
      </c>
      <c r="I201" s="573">
        <v>7</v>
      </c>
      <c r="J201" s="573">
        <v>8</v>
      </c>
      <c r="K201" s="573">
        <v>9</v>
      </c>
      <c r="L201" s="573">
        <v>10</v>
      </c>
      <c r="M201" s="573">
        <v>11</v>
      </c>
      <c r="N201" s="573">
        <v>12</v>
      </c>
      <c r="O201" s="573">
        <v>13</v>
      </c>
      <c r="P201" s="573">
        <v>14</v>
      </c>
      <c r="Q201" s="573">
        <v>15</v>
      </c>
      <c r="R201" s="573">
        <v>16</v>
      </c>
      <c r="S201" s="573">
        <v>17</v>
      </c>
      <c r="T201" s="573">
        <v>18</v>
      </c>
      <c r="U201" s="573">
        <v>19</v>
      </c>
      <c r="V201" s="573">
        <v>20</v>
      </c>
      <c r="W201" s="509">
        <v>21</v>
      </c>
      <c r="X201" s="573">
        <v>22</v>
      </c>
      <c r="Y201" s="573">
        <v>23</v>
      </c>
      <c r="Z201" s="573">
        <v>24</v>
      </c>
      <c r="AA201" s="573">
        <v>25</v>
      </c>
      <c r="AB201" s="573">
        <v>26</v>
      </c>
      <c r="AC201" s="573">
        <v>27</v>
      </c>
      <c r="AD201" s="573">
        <v>28</v>
      </c>
      <c r="AE201" s="573">
        <v>29</v>
      </c>
      <c r="AF201" s="573">
        <v>30</v>
      </c>
      <c r="AG201" s="573">
        <v>31</v>
      </c>
      <c r="AH201" s="575" t="s">
        <v>111</v>
      </c>
    </row>
    <row r="202" spans="1:34" ht="13.8">
      <c r="A202" s="603" t="s">
        <v>145</v>
      </c>
      <c r="B202" s="480">
        <f t="shared" ref="B202:B213" si="23">+AH202</f>
        <v>0</v>
      </c>
      <c r="C202" s="576"/>
      <c r="D202" s="576"/>
      <c r="E202" s="576"/>
      <c r="F202" s="576"/>
      <c r="G202" s="576"/>
      <c r="H202" s="576"/>
      <c r="I202" s="576"/>
      <c r="J202" s="576"/>
      <c r="K202" s="576"/>
      <c r="L202" s="576"/>
      <c r="M202" s="576"/>
      <c r="N202" s="576"/>
      <c r="O202" s="576"/>
      <c r="P202" s="576"/>
      <c r="Q202" s="576"/>
      <c r="R202" s="576"/>
      <c r="S202" s="576"/>
      <c r="T202" s="576"/>
      <c r="U202" s="576"/>
      <c r="V202" s="576"/>
      <c r="W202" s="576"/>
      <c r="X202" s="576"/>
      <c r="Y202" s="576"/>
      <c r="Z202" s="576"/>
      <c r="AA202" s="576"/>
      <c r="AB202" s="576"/>
      <c r="AC202" s="576"/>
      <c r="AD202" s="576"/>
      <c r="AE202" s="576"/>
      <c r="AF202" s="576"/>
      <c r="AG202" s="576"/>
      <c r="AH202" s="577">
        <f>SUM(C202:AG202)</f>
        <v>0</v>
      </c>
    </row>
    <row r="203" spans="1:34" ht="13.8">
      <c r="A203" s="603" t="s">
        <v>146</v>
      </c>
      <c r="B203" s="480">
        <f t="shared" si="23"/>
        <v>0</v>
      </c>
      <c r="C203" s="576"/>
      <c r="D203" s="576"/>
      <c r="E203" s="576"/>
      <c r="F203" s="576"/>
      <c r="G203" s="576"/>
      <c r="H203" s="576"/>
      <c r="I203" s="576"/>
      <c r="J203" s="576"/>
      <c r="K203" s="576"/>
      <c r="L203" s="576"/>
      <c r="M203" s="576"/>
      <c r="N203" s="576"/>
      <c r="O203" s="576"/>
      <c r="P203" s="576"/>
      <c r="Q203" s="576"/>
      <c r="R203" s="576"/>
      <c r="S203" s="576"/>
      <c r="T203" s="576"/>
      <c r="U203" s="576"/>
      <c r="V203" s="576"/>
      <c r="W203" s="576"/>
      <c r="X203" s="576"/>
      <c r="Y203" s="576"/>
      <c r="Z203" s="576"/>
      <c r="AA203" s="576"/>
      <c r="AB203" s="576"/>
      <c r="AC203" s="576"/>
      <c r="AD203" s="576"/>
      <c r="AE203" s="576"/>
      <c r="AF203" s="576"/>
      <c r="AG203" s="576"/>
      <c r="AH203" s="577">
        <f>SUM(C203:AG203)</f>
        <v>0</v>
      </c>
    </row>
    <row r="204" spans="1:34" ht="13.8">
      <c r="A204" s="603" t="s">
        <v>147</v>
      </c>
      <c r="B204" s="480">
        <f t="shared" si="23"/>
        <v>601.95800000000008</v>
      </c>
      <c r="C204" s="576"/>
      <c r="D204" s="576"/>
      <c r="E204" s="576"/>
      <c r="F204" s="576"/>
      <c r="G204" s="576"/>
      <c r="H204" s="576"/>
      <c r="I204" s="576"/>
      <c r="J204" s="576"/>
      <c r="K204" s="576"/>
      <c r="L204" s="576"/>
      <c r="M204" s="576"/>
      <c r="N204" s="576"/>
      <c r="O204" s="576"/>
      <c r="P204" s="576"/>
      <c r="Q204" s="576"/>
      <c r="R204" s="576"/>
      <c r="S204" s="576"/>
      <c r="T204" s="576"/>
      <c r="U204" s="576"/>
      <c r="V204" s="576"/>
      <c r="W204" s="576"/>
      <c r="X204" s="576"/>
      <c r="Y204" s="576"/>
      <c r="Z204" s="576"/>
      <c r="AA204" s="576"/>
      <c r="AB204" s="576"/>
      <c r="AC204" s="576"/>
      <c r="AD204" s="576"/>
      <c r="AE204" s="576"/>
      <c r="AF204" s="576">
        <v>419.16200000000003</v>
      </c>
      <c r="AG204" s="576">
        <v>182.79599999999999</v>
      </c>
      <c r="AH204" s="577">
        <f>SUM(C204:AG204)</f>
        <v>601.95800000000008</v>
      </c>
    </row>
    <row r="205" spans="1:34" ht="13.8">
      <c r="A205" s="603" t="s">
        <v>148</v>
      </c>
      <c r="B205" s="480">
        <f t="shared" si="23"/>
        <v>6199.5789999999988</v>
      </c>
      <c r="C205" s="865">
        <v>0</v>
      </c>
      <c r="D205" s="865">
        <v>0</v>
      </c>
      <c r="E205" s="865">
        <v>0</v>
      </c>
      <c r="F205" s="865">
        <v>79.762</v>
      </c>
      <c r="G205" s="865">
        <v>0</v>
      </c>
      <c r="H205" s="865">
        <v>0</v>
      </c>
      <c r="I205" s="865">
        <v>0</v>
      </c>
      <c r="J205" s="865">
        <v>0</v>
      </c>
      <c r="K205" s="865">
        <v>218.82900000000001</v>
      </c>
      <c r="L205" s="865">
        <v>431.15699999999998</v>
      </c>
      <c r="M205" s="865">
        <v>385.779</v>
      </c>
      <c r="N205" s="865">
        <v>252.52699999999999</v>
      </c>
      <c r="O205" s="865">
        <v>121.244</v>
      </c>
      <c r="P205" s="865">
        <v>158.71</v>
      </c>
      <c r="Q205" s="865">
        <v>0</v>
      </c>
      <c r="R205" s="865">
        <v>389.98599999999993</v>
      </c>
      <c r="S205" s="865">
        <v>302.06100000000004</v>
      </c>
      <c r="T205" s="865">
        <v>275.31</v>
      </c>
      <c r="U205" s="865">
        <v>611.45799999999997</v>
      </c>
      <c r="V205" s="865">
        <v>138.56200000000001</v>
      </c>
      <c r="W205" s="865">
        <v>350.19799999999998</v>
      </c>
      <c r="X205" s="865">
        <v>0</v>
      </c>
      <c r="Y205" s="865">
        <v>407.99600000000004</v>
      </c>
      <c r="Z205" s="865">
        <v>490.01800000000003</v>
      </c>
      <c r="AA205" s="865">
        <v>222.82799999999997</v>
      </c>
      <c r="AB205" s="865">
        <v>528.07799999999997</v>
      </c>
      <c r="AC205" s="865">
        <v>359.42599999999999</v>
      </c>
      <c r="AD205" s="865">
        <v>475.65</v>
      </c>
      <c r="AE205" s="865">
        <v>0</v>
      </c>
      <c r="AF205" s="865">
        <v>0</v>
      </c>
      <c r="AG205" s="579"/>
      <c r="AH205" s="577">
        <f>SUM(C205:AG205)</f>
        <v>6199.5789999999988</v>
      </c>
    </row>
    <row r="206" spans="1:34" ht="13.8">
      <c r="A206" s="603" t="s">
        <v>149</v>
      </c>
      <c r="B206" s="480">
        <f t="shared" si="23"/>
        <v>2886.4340000000007</v>
      </c>
      <c r="C206" s="865">
        <v>0</v>
      </c>
      <c r="D206" s="865">
        <v>278.82900000000001</v>
      </c>
      <c r="E206" s="865">
        <v>0</v>
      </c>
      <c r="F206" s="865">
        <v>369.61700000000002</v>
      </c>
      <c r="G206" s="865">
        <v>225.023</v>
      </c>
      <c r="H206" s="865">
        <v>151.54599999999999</v>
      </c>
      <c r="I206" s="865">
        <v>101.16</v>
      </c>
      <c r="J206" s="865">
        <v>142.197</v>
      </c>
      <c r="K206" s="865">
        <v>46.451999999999998</v>
      </c>
      <c r="L206" s="865">
        <v>61.033000000000001</v>
      </c>
      <c r="M206" s="865">
        <v>29.256</v>
      </c>
      <c r="N206" s="865">
        <v>0</v>
      </c>
      <c r="O206" s="865">
        <v>0</v>
      </c>
      <c r="P206" s="865">
        <v>52.802999999999997</v>
      </c>
      <c r="Q206" s="865">
        <v>177.80099999999999</v>
      </c>
      <c r="R206" s="865">
        <v>172.67899999999997</v>
      </c>
      <c r="S206" s="865">
        <v>222.86900000000003</v>
      </c>
      <c r="T206" s="865">
        <v>0</v>
      </c>
      <c r="U206" s="865">
        <v>0</v>
      </c>
      <c r="V206" s="865">
        <v>0</v>
      </c>
      <c r="W206" s="865">
        <v>0</v>
      </c>
      <c r="X206" s="865">
        <v>206.65999999999997</v>
      </c>
      <c r="Y206" s="865">
        <v>163.02200000000002</v>
      </c>
      <c r="Z206" s="865">
        <v>65.052000000000007</v>
      </c>
      <c r="AA206" s="865">
        <v>0</v>
      </c>
      <c r="AB206" s="865">
        <v>0</v>
      </c>
      <c r="AC206" s="865">
        <v>0</v>
      </c>
      <c r="AD206" s="865">
        <v>0</v>
      </c>
      <c r="AE206" s="865">
        <v>0</v>
      </c>
      <c r="AF206" s="865">
        <v>285.423</v>
      </c>
      <c r="AG206" s="865">
        <v>135.012</v>
      </c>
      <c r="AH206" s="577">
        <f t="shared" ref="AH206:AH213" si="24">SUM(C206:AG206)</f>
        <v>2886.4340000000007</v>
      </c>
    </row>
    <row r="207" spans="1:34" ht="13.8">
      <c r="A207" s="603" t="s">
        <v>150</v>
      </c>
      <c r="B207" s="480">
        <f t="shared" si="23"/>
        <v>2445.7750000000001</v>
      </c>
      <c r="C207" s="578">
        <v>423.51499999999993</v>
      </c>
      <c r="D207" s="579">
        <v>269.45599999999996</v>
      </c>
      <c r="E207" s="579">
        <v>0</v>
      </c>
      <c r="F207" s="579">
        <v>228.67700000000002</v>
      </c>
      <c r="G207" s="579">
        <v>264.851</v>
      </c>
      <c r="H207" s="579">
        <v>151.05000000000001</v>
      </c>
      <c r="I207" s="579">
        <v>0</v>
      </c>
      <c r="J207" s="579">
        <v>0</v>
      </c>
      <c r="K207" s="579">
        <v>0</v>
      </c>
      <c r="L207" s="579">
        <v>0</v>
      </c>
      <c r="M207" s="579">
        <v>266.66399999999999</v>
      </c>
      <c r="N207" s="579">
        <v>0</v>
      </c>
      <c r="O207" s="579">
        <v>151.46799999999999</v>
      </c>
      <c r="P207" s="579">
        <v>234.94400000000002</v>
      </c>
      <c r="Q207" s="579">
        <v>158.54</v>
      </c>
      <c r="R207" s="579">
        <v>83.007000000000005</v>
      </c>
      <c r="S207" s="579">
        <v>0</v>
      </c>
      <c r="T207" s="579">
        <v>81.078999999999994</v>
      </c>
      <c r="U207" s="579">
        <v>0</v>
      </c>
      <c r="V207" s="579">
        <v>132.524</v>
      </c>
      <c r="W207" s="579">
        <v>0</v>
      </c>
      <c r="X207" s="579">
        <v>0</v>
      </c>
      <c r="Y207" s="579">
        <v>0</v>
      </c>
      <c r="Z207" s="579">
        <v>0</v>
      </c>
      <c r="AA207" s="579">
        <v>0</v>
      </c>
      <c r="AB207" s="579">
        <v>0</v>
      </c>
      <c r="AC207" s="579">
        <v>0</v>
      </c>
      <c r="AD207" s="579">
        <v>0</v>
      </c>
      <c r="AE207" s="579">
        <v>0</v>
      </c>
      <c r="AF207" s="579">
        <v>0</v>
      </c>
      <c r="AG207" s="579"/>
      <c r="AH207" s="577">
        <f t="shared" si="24"/>
        <v>2445.7750000000001</v>
      </c>
    </row>
    <row r="208" spans="1:34" ht="13.8">
      <c r="A208" s="603" t="s">
        <v>151</v>
      </c>
      <c r="B208" s="480">
        <f t="shared" si="23"/>
        <v>132.56299999999999</v>
      </c>
      <c r="C208" s="578">
        <v>0</v>
      </c>
      <c r="D208" s="579">
        <v>0</v>
      </c>
      <c r="E208" s="579">
        <v>0</v>
      </c>
      <c r="F208" s="579">
        <v>0</v>
      </c>
      <c r="G208" s="579">
        <v>0</v>
      </c>
      <c r="H208" s="579">
        <v>0</v>
      </c>
      <c r="I208" s="579">
        <v>0</v>
      </c>
      <c r="J208" s="579">
        <v>0</v>
      </c>
      <c r="K208" s="579">
        <v>111.407</v>
      </c>
      <c r="L208" s="579">
        <v>0</v>
      </c>
      <c r="M208" s="579">
        <v>21.155999999999999</v>
      </c>
      <c r="N208" s="579">
        <v>0</v>
      </c>
      <c r="O208" s="579">
        <v>0</v>
      </c>
      <c r="P208" s="579">
        <v>0</v>
      </c>
      <c r="Q208" s="579">
        <v>0</v>
      </c>
      <c r="R208" s="579"/>
      <c r="S208" s="579"/>
      <c r="T208" s="579"/>
      <c r="U208" s="579"/>
      <c r="V208" s="579"/>
      <c r="W208" s="579"/>
      <c r="X208" s="579"/>
      <c r="Y208" s="579"/>
      <c r="Z208" s="579"/>
      <c r="AA208" s="579"/>
      <c r="AB208" s="579"/>
      <c r="AC208" s="579"/>
      <c r="AD208" s="579"/>
      <c r="AE208" s="579"/>
      <c r="AF208" s="579"/>
      <c r="AG208" s="579"/>
      <c r="AH208" s="577">
        <f t="shared" si="24"/>
        <v>132.56299999999999</v>
      </c>
    </row>
    <row r="209" spans="1:34" ht="13.8">
      <c r="A209" s="603" t="s">
        <v>152</v>
      </c>
      <c r="B209" s="480">
        <f t="shared" si="23"/>
        <v>0</v>
      </c>
      <c r="C209" s="578"/>
      <c r="D209" s="579"/>
      <c r="E209" s="579"/>
      <c r="F209" s="579"/>
      <c r="G209" s="579"/>
      <c r="H209" s="579"/>
      <c r="I209" s="579"/>
      <c r="J209" s="579"/>
      <c r="K209" s="579"/>
      <c r="L209" s="579"/>
      <c r="M209" s="579"/>
      <c r="N209" s="579"/>
      <c r="O209" s="579"/>
      <c r="P209" s="579"/>
      <c r="Q209" s="579"/>
      <c r="R209" s="579"/>
      <c r="S209" s="579"/>
      <c r="T209" s="579"/>
      <c r="U209" s="579"/>
      <c r="V209" s="579"/>
      <c r="W209" s="579"/>
      <c r="X209" s="579"/>
      <c r="Y209" s="579"/>
      <c r="Z209" s="579"/>
      <c r="AA209" s="579"/>
      <c r="AB209" s="579"/>
      <c r="AC209" s="579"/>
      <c r="AD209" s="579"/>
      <c r="AE209" s="579"/>
      <c r="AF209" s="579"/>
      <c r="AG209" s="579"/>
      <c r="AH209" s="577">
        <f t="shared" si="24"/>
        <v>0</v>
      </c>
    </row>
    <row r="210" spans="1:34" ht="13.8">
      <c r="A210" s="603" t="s">
        <v>153</v>
      </c>
      <c r="B210" s="480">
        <f t="shared" si="23"/>
        <v>0</v>
      </c>
      <c r="C210" s="296"/>
      <c r="D210" s="296"/>
      <c r="E210" s="296"/>
      <c r="F210" s="296"/>
      <c r="G210" s="296"/>
      <c r="H210" s="296"/>
      <c r="I210" s="296"/>
      <c r="J210" s="296"/>
      <c r="K210" s="296"/>
      <c r="L210" s="296"/>
      <c r="M210" s="296"/>
      <c r="N210" s="296"/>
      <c r="O210" s="296"/>
      <c r="P210" s="296"/>
      <c r="Q210" s="296"/>
      <c r="R210" s="296"/>
      <c r="S210" s="296"/>
      <c r="T210" s="296"/>
      <c r="U210" s="296"/>
      <c r="V210" s="296"/>
      <c r="W210" s="296"/>
      <c r="X210" s="296"/>
      <c r="Y210" s="296"/>
      <c r="Z210" s="296"/>
      <c r="AA210" s="296"/>
      <c r="AB210" s="296"/>
      <c r="AC210" s="296"/>
      <c r="AD210" s="296"/>
      <c r="AE210" s="296"/>
      <c r="AF210" s="296"/>
      <c r="AG210" s="579"/>
      <c r="AH210" s="577">
        <f t="shared" si="24"/>
        <v>0</v>
      </c>
    </row>
    <row r="211" spans="1:34" ht="13.8">
      <c r="A211" s="603" t="s">
        <v>154</v>
      </c>
      <c r="B211" s="480">
        <f t="shared" si="23"/>
        <v>0</v>
      </c>
      <c r="C211" s="578"/>
      <c r="D211" s="579"/>
      <c r="E211" s="579"/>
      <c r="F211" s="579"/>
      <c r="G211" s="579"/>
      <c r="H211" s="579"/>
      <c r="I211" s="579"/>
      <c r="J211" s="579"/>
      <c r="K211" s="579"/>
      <c r="L211" s="579"/>
      <c r="M211" s="579"/>
      <c r="N211" s="579"/>
      <c r="O211" s="579"/>
      <c r="P211" s="579"/>
      <c r="Q211" s="579"/>
      <c r="R211" s="579"/>
      <c r="S211" s="579"/>
      <c r="T211" s="579"/>
      <c r="U211" s="579"/>
      <c r="V211" s="579"/>
      <c r="W211" s="579"/>
      <c r="X211" s="579"/>
      <c r="Y211" s="579"/>
      <c r="Z211" s="579"/>
      <c r="AA211" s="579"/>
      <c r="AB211" s="579"/>
      <c r="AC211" s="579"/>
      <c r="AD211" s="579"/>
      <c r="AE211" s="579"/>
      <c r="AF211" s="579"/>
      <c r="AG211" s="579"/>
      <c r="AH211" s="577">
        <f t="shared" si="24"/>
        <v>0</v>
      </c>
    </row>
    <row r="212" spans="1:34" ht="13.8">
      <c r="A212" s="573" t="s">
        <v>155</v>
      </c>
      <c r="B212" s="480">
        <f t="shared" si="23"/>
        <v>0</v>
      </c>
      <c r="C212" s="578"/>
      <c r="D212" s="579"/>
      <c r="E212" s="579"/>
      <c r="F212" s="579"/>
      <c r="G212" s="579"/>
      <c r="H212" s="579"/>
      <c r="I212" s="579"/>
      <c r="J212" s="579"/>
      <c r="K212" s="579"/>
      <c r="L212" s="579"/>
      <c r="M212" s="579"/>
      <c r="N212" s="579"/>
      <c r="O212" s="579"/>
      <c r="P212" s="579"/>
      <c r="Q212" s="579"/>
      <c r="R212" s="579"/>
      <c r="S212" s="579"/>
      <c r="T212" s="579"/>
      <c r="U212" s="579"/>
      <c r="V212" s="579"/>
      <c r="W212" s="579"/>
      <c r="X212" s="579"/>
      <c r="Y212" s="579"/>
      <c r="Z212" s="579"/>
      <c r="AA212" s="579"/>
      <c r="AB212" s="579"/>
      <c r="AC212" s="579"/>
      <c r="AD212" s="579"/>
      <c r="AE212" s="579"/>
      <c r="AF212" s="579"/>
      <c r="AG212" s="579"/>
      <c r="AH212" s="577">
        <f t="shared" si="24"/>
        <v>0</v>
      </c>
    </row>
    <row r="213" spans="1:34" ht="13.8">
      <c r="A213" s="573" t="s">
        <v>156</v>
      </c>
      <c r="B213" s="480">
        <f t="shared" si="23"/>
        <v>0</v>
      </c>
      <c r="C213" s="578"/>
      <c r="D213" s="579"/>
      <c r="E213" s="579"/>
      <c r="F213" s="579"/>
      <c r="G213" s="579"/>
      <c r="H213" s="579"/>
      <c r="I213" s="579"/>
      <c r="J213" s="579"/>
      <c r="K213" s="579"/>
      <c r="L213" s="579"/>
      <c r="M213" s="579"/>
      <c r="N213" s="579"/>
      <c r="O213" s="579"/>
      <c r="P213" s="579"/>
      <c r="Q213" s="579"/>
      <c r="R213" s="579"/>
      <c r="S213" s="579"/>
      <c r="T213" s="579"/>
      <c r="U213" s="579"/>
      <c r="V213" s="579"/>
      <c r="W213" s="579"/>
      <c r="X213" s="579"/>
      <c r="Y213" s="579"/>
      <c r="Z213" s="579"/>
      <c r="AA213" s="579"/>
      <c r="AB213" s="579"/>
      <c r="AC213" s="579"/>
      <c r="AD213" s="579"/>
      <c r="AE213" s="579"/>
      <c r="AF213" s="579"/>
      <c r="AG213" s="579"/>
      <c r="AH213" s="577">
        <f t="shared" si="24"/>
        <v>0</v>
      </c>
    </row>
    <row r="214" spans="1:34" ht="13.8">
      <c r="A214" s="580" t="s">
        <v>111</v>
      </c>
      <c r="B214" s="580">
        <f>SUM(B202:B213)</f>
        <v>12266.308999999999</v>
      </c>
      <c r="C214" s="581"/>
      <c r="D214" s="581"/>
      <c r="E214" s="581"/>
      <c r="F214" s="581"/>
      <c r="G214" s="581"/>
      <c r="H214" s="581"/>
      <c r="I214" s="581"/>
      <c r="J214" s="581"/>
      <c r="K214" s="581"/>
      <c r="L214" s="581"/>
      <c r="M214" s="581"/>
      <c r="N214" s="581"/>
      <c r="O214" s="581"/>
      <c r="P214" s="581"/>
      <c r="Q214" s="581"/>
      <c r="R214" s="581"/>
      <c r="S214" s="581"/>
      <c r="T214" s="581"/>
      <c r="U214" s="581"/>
      <c r="V214" s="581"/>
      <c r="W214" s="581"/>
      <c r="X214" s="581"/>
      <c r="Y214" s="581"/>
      <c r="Z214" s="581"/>
      <c r="AA214" s="581"/>
      <c r="AB214" s="581"/>
      <c r="AC214" s="581"/>
      <c r="AD214" s="581"/>
      <c r="AE214" s="581"/>
      <c r="AF214" s="581"/>
      <c r="AG214" s="581"/>
      <c r="AH214" s="582"/>
    </row>
    <row r="215" spans="1:34" ht="13.8" thickBot="1">
      <c r="F215" s="246"/>
    </row>
    <row r="216" spans="1:34" ht="14.4" thickBot="1">
      <c r="A216" s="3864" t="s">
        <v>323</v>
      </c>
      <c r="B216" s="3865"/>
      <c r="C216" s="3865"/>
      <c r="D216" s="789" t="s">
        <v>36</v>
      </c>
      <c r="E216" s="791"/>
      <c r="F216" s="790"/>
      <c r="G216" s="1509" t="s">
        <v>922</v>
      </c>
      <c r="H216" s="1509"/>
    </row>
    <row r="217" spans="1:34" ht="13.8">
      <c r="A217" s="572" t="s">
        <v>142</v>
      </c>
      <c r="B217" s="572" t="s">
        <v>143</v>
      </c>
      <c r="C217" s="574">
        <v>1</v>
      </c>
      <c r="D217" s="788">
        <v>2</v>
      </c>
      <c r="E217" s="788">
        <v>3</v>
      </c>
      <c r="F217" s="788">
        <v>4</v>
      </c>
      <c r="G217" s="573">
        <v>5</v>
      </c>
      <c r="H217" s="573">
        <v>6</v>
      </c>
      <c r="I217" s="573">
        <v>7</v>
      </c>
      <c r="J217" s="573">
        <v>8</v>
      </c>
      <c r="K217" s="573">
        <v>9</v>
      </c>
      <c r="L217" s="573">
        <v>10</v>
      </c>
      <c r="M217" s="573">
        <v>11</v>
      </c>
      <c r="N217" s="573">
        <v>12</v>
      </c>
      <c r="O217" s="573">
        <v>13</v>
      </c>
      <c r="P217" s="573">
        <v>14</v>
      </c>
      <c r="Q217" s="573">
        <v>15</v>
      </c>
      <c r="R217" s="573">
        <v>16</v>
      </c>
      <c r="S217" s="573">
        <v>17</v>
      </c>
      <c r="T217" s="573">
        <v>18</v>
      </c>
      <c r="U217" s="573">
        <v>19</v>
      </c>
      <c r="V217" s="573">
        <v>20</v>
      </c>
      <c r="W217" s="509">
        <v>21</v>
      </c>
      <c r="X217" s="573">
        <v>22</v>
      </c>
      <c r="Y217" s="573">
        <v>23</v>
      </c>
      <c r="Z217" s="573">
        <v>24</v>
      </c>
      <c r="AA217" s="573">
        <v>25</v>
      </c>
      <c r="AB217" s="573">
        <v>26</v>
      </c>
      <c r="AC217" s="573">
        <v>27</v>
      </c>
      <c r="AD217" s="573">
        <v>28</v>
      </c>
      <c r="AE217" s="573">
        <v>29</v>
      </c>
      <c r="AF217" s="573">
        <v>30</v>
      </c>
      <c r="AG217" s="573">
        <v>31</v>
      </c>
      <c r="AH217" s="575" t="s">
        <v>111</v>
      </c>
    </row>
    <row r="218" spans="1:34" ht="13.8">
      <c r="A218" s="603" t="s">
        <v>145</v>
      </c>
      <c r="B218" s="480">
        <f t="shared" ref="B218:B229" si="25">+AH218</f>
        <v>0</v>
      </c>
      <c r="C218" s="576"/>
      <c r="D218" s="576"/>
      <c r="E218" s="576"/>
      <c r="F218" s="576"/>
      <c r="G218" s="576"/>
      <c r="H218" s="576"/>
      <c r="I218" s="576"/>
      <c r="J218" s="576"/>
      <c r="K218" s="576"/>
      <c r="L218" s="576"/>
      <c r="M218" s="576"/>
      <c r="N218" s="576"/>
      <c r="O218" s="576"/>
      <c r="P218" s="576"/>
      <c r="Q218" s="576"/>
      <c r="R218" s="576"/>
      <c r="S218" s="576"/>
      <c r="T218" s="576"/>
      <c r="U218" s="576"/>
      <c r="V218" s="576"/>
      <c r="W218" s="576"/>
      <c r="X218" s="576"/>
      <c r="Y218" s="576"/>
      <c r="Z218" s="576"/>
      <c r="AA218" s="576"/>
      <c r="AB218" s="576"/>
      <c r="AC218" s="576"/>
      <c r="AD218" s="576"/>
      <c r="AE218" s="576"/>
      <c r="AF218" s="576"/>
      <c r="AG218" s="576"/>
      <c r="AH218" s="577">
        <f>SUM(C218:AG218)</f>
        <v>0</v>
      </c>
    </row>
    <row r="219" spans="1:34" ht="13.8">
      <c r="A219" s="603" t="s">
        <v>146</v>
      </c>
      <c r="B219" s="480">
        <f t="shared" si="25"/>
        <v>0</v>
      </c>
      <c r="C219" s="576"/>
      <c r="D219" s="576"/>
      <c r="E219" s="576"/>
      <c r="F219" s="576"/>
      <c r="G219" s="576"/>
      <c r="H219" s="576"/>
      <c r="I219" s="576"/>
      <c r="J219" s="576"/>
      <c r="K219" s="576"/>
      <c r="L219" s="576"/>
      <c r="M219" s="576"/>
      <c r="N219" s="576"/>
      <c r="O219" s="576"/>
      <c r="P219" s="576"/>
      <c r="Q219" s="576"/>
      <c r="R219" s="576"/>
      <c r="S219" s="576"/>
      <c r="T219" s="576"/>
      <c r="U219" s="576"/>
      <c r="V219" s="576"/>
      <c r="W219" s="576"/>
      <c r="X219" s="576"/>
      <c r="Y219" s="576"/>
      <c r="Z219" s="576"/>
      <c r="AA219" s="576"/>
      <c r="AB219" s="576"/>
      <c r="AC219" s="576"/>
      <c r="AD219" s="576"/>
      <c r="AE219" s="576"/>
      <c r="AF219" s="576"/>
      <c r="AG219" s="576"/>
      <c r="AH219" s="577">
        <f>SUM(C219:AG219)</f>
        <v>0</v>
      </c>
    </row>
    <row r="220" spans="1:34" ht="13.8">
      <c r="A220" s="603" t="s">
        <v>147</v>
      </c>
      <c r="B220" s="480">
        <f t="shared" si="25"/>
        <v>0</v>
      </c>
      <c r="C220" s="576"/>
      <c r="D220" s="576"/>
      <c r="E220" s="576"/>
      <c r="F220" s="576"/>
      <c r="G220" s="576"/>
      <c r="H220" s="576"/>
      <c r="I220" s="576"/>
      <c r="J220" s="576"/>
      <c r="K220" s="576"/>
      <c r="L220" s="576"/>
      <c r="M220" s="576"/>
      <c r="N220" s="576"/>
      <c r="O220" s="576"/>
      <c r="P220" s="576"/>
      <c r="Q220" s="576"/>
      <c r="R220" s="576"/>
      <c r="S220" s="576"/>
      <c r="T220" s="576"/>
      <c r="U220" s="576"/>
      <c r="V220" s="576"/>
      <c r="W220" s="576"/>
      <c r="X220" s="576"/>
      <c r="Y220" s="576"/>
      <c r="Z220" s="576"/>
      <c r="AA220" s="576"/>
      <c r="AB220" s="576"/>
      <c r="AC220" s="576"/>
      <c r="AD220" s="576"/>
      <c r="AE220" s="576"/>
      <c r="AF220" s="576"/>
      <c r="AG220" s="576"/>
      <c r="AH220" s="577">
        <f>SUM(C220:AG220)</f>
        <v>0</v>
      </c>
    </row>
    <row r="221" spans="1:34" ht="13.8">
      <c r="A221" s="603" t="s">
        <v>148</v>
      </c>
      <c r="B221" s="480">
        <f t="shared" si="25"/>
        <v>0</v>
      </c>
      <c r="C221" s="578"/>
      <c r="D221" s="579"/>
      <c r="E221" s="579"/>
      <c r="F221" s="579"/>
      <c r="G221" s="579"/>
      <c r="H221" s="579"/>
      <c r="I221" s="579"/>
      <c r="J221" s="579"/>
      <c r="K221" s="579"/>
      <c r="L221" s="579"/>
      <c r="M221" s="579"/>
      <c r="N221" s="579"/>
      <c r="O221" s="579"/>
      <c r="P221" s="579"/>
      <c r="Q221" s="579"/>
      <c r="R221" s="579"/>
      <c r="S221" s="579"/>
      <c r="T221" s="579"/>
      <c r="U221" s="579"/>
      <c r="V221" s="579"/>
      <c r="W221" s="579"/>
      <c r="X221" s="579"/>
      <c r="Y221" s="579"/>
      <c r="Z221" s="579"/>
      <c r="AA221" s="579"/>
      <c r="AB221" s="579"/>
      <c r="AC221" s="579"/>
      <c r="AD221" s="579"/>
      <c r="AE221" s="579"/>
      <c r="AF221" s="579"/>
      <c r="AG221" s="579"/>
      <c r="AH221" s="577">
        <f>SUM(C221:AG221)</f>
        <v>0</v>
      </c>
    </row>
    <row r="222" spans="1:34" ht="13.8">
      <c r="A222" s="603" t="s">
        <v>149</v>
      </c>
      <c r="B222" s="480">
        <f t="shared" si="25"/>
        <v>0</v>
      </c>
      <c r="C222" s="578"/>
      <c r="D222" s="579"/>
      <c r="E222" s="579"/>
      <c r="F222" s="579"/>
      <c r="G222" s="579"/>
      <c r="H222" s="579"/>
      <c r="I222" s="579"/>
      <c r="J222" s="579"/>
      <c r="K222" s="579"/>
      <c r="L222" s="579"/>
      <c r="M222" s="579"/>
      <c r="N222" s="579"/>
      <c r="O222" s="579"/>
      <c r="P222" s="579"/>
      <c r="Q222" s="579"/>
      <c r="R222" s="579"/>
      <c r="S222" s="579"/>
      <c r="T222" s="579"/>
      <c r="U222" s="579"/>
      <c r="V222" s="579"/>
      <c r="W222" s="579"/>
      <c r="X222" s="579"/>
      <c r="Y222" s="579"/>
      <c r="Z222" s="579"/>
      <c r="AA222" s="579"/>
      <c r="AB222" s="579"/>
      <c r="AC222" s="579"/>
      <c r="AD222" s="579"/>
      <c r="AE222" s="579"/>
      <c r="AF222" s="579"/>
      <c r="AG222" s="579"/>
      <c r="AH222" s="577"/>
    </row>
    <row r="223" spans="1:34" ht="13.8">
      <c r="A223" s="603" t="s">
        <v>150</v>
      </c>
      <c r="B223" s="480">
        <f t="shared" si="25"/>
        <v>0</v>
      </c>
      <c r="C223" s="578"/>
      <c r="D223" s="579"/>
      <c r="E223" s="579"/>
      <c r="F223" s="579"/>
      <c r="G223" s="579"/>
      <c r="H223" s="579"/>
      <c r="I223" s="579"/>
      <c r="J223" s="579"/>
      <c r="K223" s="579"/>
      <c r="L223" s="579"/>
      <c r="M223" s="579"/>
      <c r="N223" s="579"/>
      <c r="O223" s="579"/>
      <c r="P223" s="579"/>
      <c r="Q223" s="579"/>
      <c r="R223" s="579"/>
      <c r="S223" s="579"/>
      <c r="T223" s="579"/>
      <c r="U223" s="579"/>
      <c r="V223" s="579"/>
      <c r="W223" s="579"/>
      <c r="X223" s="579"/>
      <c r="Y223" s="579"/>
      <c r="Z223" s="579"/>
      <c r="AA223" s="579"/>
      <c r="AB223" s="579"/>
      <c r="AC223" s="579"/>
      <c r="AD223" s="579"/>
      <c r="AE223" s="579"/>
      <c r="AF223" s="579"/>
      <c r="AG223" s="579"/>
      <c r="AH223" s="577"/>
    </row>
    <row r="224" spans="1:34" ht="13.8">
      <c r="A224" s="603" t="s">
        <v>151</v>
      </c>
      <c r="B224" s="480">
        <f t="shared" si="25"/>
        <v>0</v>
      </c>
      <c r="C224" s="578"/>
      <c r="D224" s="579"/>
      <c r="E224" s="579"/>
      <c r="F224" s="579"/>
      <c r="G224" s="579"/>
      <c r="H224" s="579"/>
      <c r="I224" s="579"/>
      <c r="J224" s="579"/>
      <c r="K224" s="579"/>
      <c r="L224" s="579"/>
      <c r="M224" s="579"/>
      <c r="N224" s="579"/>
      <c r="O224" s="579"/>
      <c r="P224" s="579"/>
      <c r="Q224" s="579"/>
      <c r="R224" s="579"/>
      <c r="S224" s="579"/>
      <c r="T224" s="579"/>
      <c r="U224" s="579"/>
      <c r="V224" s="579"/>
      <c r="W224" s="579"/>
      <c r="X224" s="579"/>
      <c r="Y224" s="579"/>
      <c r="Z224" s="579"/>
      <c r="AA224" s="579"/>
      <c r="AB224" s="579"/>
      <c r="AC224" s="579"/>
      <c r="AD224" s="579"/>
      <c r="AE224" s="579"/>
      <c r="AF224" s="579"/>
      <c r="AG224" s="579"/>
      <c r="AH224" s="577"/>
    </row>
    <row r="225" spans="1:34" ht="13.8">
      <c r="A225" s="603" t="s">
        <v>152</v>
      </c>
      <c r="B225" s="480">
        <f t="shared" si="25"/>
        <v>0</v>
      </c>
      <c r="C225" s="578"/>
      <c r="D225" s="579"/>
      <c r="E225" s="579"/>
      <c r="F225" s="579"/>
      <c r="G225" s="579"/>
      <c r="H225" s="579"/>
      <c r="I225" s="579"/>
      <c r="J225" s="579"/>
      <c r="K225" s="579"/>
      <c r="L225" s="579"/>
      <c r="M225" s="579"/>
      <c r="N225" s="579"/>
      <c r="O225" s="579"/>
      <c r="P225" s="579"/>
      <c r="Q225" s="579"/>
      <c r="R225" s="579"/>
      <c r="S225" s="579"/>
      <c r="T225" s="579"/>
      <c r="U225" s="579"/>
      <c r="V225" s="579"/>
      <c r="W225" s="579"/>
      <c r="X225" s="579"/>
      <c r="Y225" s="579"/>
      <c r="Z225" s="579"/>
      <c r="AA225" s="579"/>
      <c r="AB225" s="579"/>
      <c r="AC225" s="579"/>
      <c r="AD225" s="579"/>
      <c r="AE225" s="579"/>
      <c r="AF225" s="579"/>
      <c r="AG225" s="579"/>
      <c r="AH225" s="577"/>
    </row>
    <row r="226" spans="1:34" ht="13.8">
      <c r="A226" s="603" t="s">
        <v>153</v>
      </c>
      <c r="B226" s="480">
        <f t="shared" si="25"/>
        <v>0</v>
      </c>
      <c r="C226" s="578"/>
      <c r="D226" s="579"/>
      <c r="E226" s="579"/>
      <c r="F226" s="579"/>
      <c r="G226" s="579"/>
      <c r="H226" s="579"/>
      <c r="I226" s="579"/>
      <c r="J226" s="579"/>
      <c r="K226" s="579"/>
      <c r="L226" s="579"/>
      <c r="M226" s="579"/>
      <c r="N226" s="579"/>
      <c r="O226" s="579"/>
      <c r="P226" s="579"/>
      <c r="Q226" s="579"/>
      <c r="R226" s="579"/>
      <c r="S226" s="579"/>
      <c r="T226" s="579"/>
      <c r="U226" s="579"/>
      <c r="V226" s="579"/>
      <c r="W226" s="579"/>
      <c r="X226" s="579"/>
      <c r="Y226" s="579"/>
      <c r="Z226" s="579"/>
      <c r="AA226" s="579"/>
      <c r="AB226" s="579"/>
      <c r="AC226" s="579"/>
      <c r="AD226" s="579"/>
      <c r="AE226" s="579"/>
      <c r="AF226" s="579"/>
      <c r="AG226" s="579"/>
      <c r="AH226" s="577"/>
    </row>
    <row r="227" spans="1:34" ht="13.8">
      <c r="A227" s="603" t="s">
        <v>154</v>
      </c>
      <c r="B227" s="480">
        <f t="shared" si="25"/>
        <v>0</v>
      </c>
      <c r="C227" s="578"/>
      <c r="D227" s="579"/>
      <c r="E227" s="579"/>
      <c r="F227" s="579"/>
      <c r="G227" s="579"/>
      <c r="H227" s="579"/>
      <c r="I227" s="579"/>
      <c r="J227" s="579"/>
      <c r="K227" s="579"/>
      <c r="L227" s="579"/>
      <c r="M227" s="579"/>
      <c r="N227" s="579"/>
      <c r="O227" s="579"/>
      <c r="P227" s="579"/>
      <c r="Q227" s="579"/>
      <c r="R227" s="579"/>
      <c r="S227" s="579"/>
      <c r="T227" s="579"/>
      <c r="U227" s="579"/>
      <c r="V227" s="579"/>
      <c r="W227" s="579"/>
      <c r="X227" s="579"/>
      <c r="Y227" s="579"/>
      <c r="Z227" s="579"/>
      <c r="AA227" s="579"/>
      <c r="AB227" s="579"/>
      <c r="AC227" s="579"/>
      <c r="AD227" s="579"/>
      <c r="AE227" s="579"/>
      <c r="AF227" s="579"/>
      <c r="AG227" s="579"/>
      <c r="AH227" s="577"/>
    </row>
    <row r="228" spans="1:34" ht="13.8">
      <c r="A228" s="573" t="s">
        <v>155</v>
      </c>
      <c r="B228" s="480">
        <f t="shared" si="25"/>
        <v>0</v>
      </c>
      <c r="C228" s="578"/>
      <c r="D228" s="579"/>
      <c r="E228" s="579"/>
      <c r="F228" s="579"/>
      <c r="G228" s="579"/>
      <c r="H228" s="579"/>
      <c r="I228" s="579"/>
      <c r="J228" s="579"/>
      <c r="K228" s="579"/>
      <c r="L228" s="579"/>
      <c r="M228" s="579"/>
      <c r="N228" s="579"/>
      <c r="O228" s="579"/>
      <c r="P228" s="579"/>
      <c r="Q228" s="579"/>
      <c r="R228" s="579"/>
      <c r="S228" s="579"/>
      <c r="T228" s="579"/>
      <c r="U228" s="579"/>
      <c r="V228" s="579"/>
      <c r="W228" s="579"/>
      <c r="X228" s="579"/>
      <c r="Y228" s="579"/>
      <c r="Z228" s="579"/>
      <c r="AA228" s="579"/>
      <c r="AB228" s="579"/>
      <c r="AC228" s="579"/>
      <c r="AD228" s="579"/>
      <c r="AE228" s="579"/>
      <c r="AF228" s="579"/>
      <c r="AG228" s="579"/>
      <c r="AH228" s="577"/>
    </row>
    <row r="229" spans="1:34" ht="13.8">
      <c r="A229" s="573" t="s">
        <v>156</v>
      </c>
      <c r="B229" s="480">
        <f t="shared" si="25"/>
        <v>0</v>
      </c>
      <c r="C229" s="578"/>
      <c r="D229" s="579"/>
      <c r="E229" s="579"/>
      <c r="F229" s="579"/>
      <c r="G229" s="579"/>
      <c r="H229" s="579"/>
      <c r="I229" s="579"/>
      <c r="J229" s="579"/>
      <c r="K229" s="579"/>
      <c r="L229" s="579"/>
      <c r="M229" s="579"/>
      <c r="N229" s="579"/>
      <c r="O229" s="579"/>
      <c r="P229" s="579"/>
      <c r="Q229" s="579"/>
      <c r="R229" s="579"/>
      <c r="S229" s="579"/>
      <c r="T229" s="579"/>
      <c r="U229" s="579"/>
      <c r="V229" s="579"/>
      <c r="W229" s="579"/>
      <c r="X229" s="579"/>
      <c r="Y229" s="579"/>
      <c r="Z229" s="579"/>
      <c r="AA229" s="579"/>
      <c r="AB229" s="579"/>
      <c r="AC229" s="579"/>
      <c r="AD229" s="579"/>
      <c r="AE229" s="579"/>
      <c r="AF229" s="579"/>
      <c r="AG229" s="579"/>
      <c r="AH229" s="577"/>
    </row>
    <row r="230" spans="1:34" ht="13.8">
      <c r="A230" s="580" t="s">
        <v>111</v>
      </c>
      <c r="B230" s="580">
        <f>SUM(B218:B229)</f>
        <v>0</v>
      </c>
      <c r="C230" s="581"/>
      <c r="D230" s="581"/>
      <c r="E230" s="581"/>
      <c r="F230" s="581"/>
      <c r="G230" s="581"/>
      <c r="H230" s="581"/>
      <c r="I230" s="581"/>
      <c r="J230" s="581"/>
      <c r="K230" s="581"/>
      <c r="L230" s="581"/>
      <c r="M230" s="581"/>
      <c r="N230" s="581"/>
      <c r="O230" s="581"/>
      <c r="P230" s="581"/>
      <c r="Q230" s="581"/>
      <c r="R230" s="581"/>
      <c r="S230" s="581"/>
      <c r="T230" s="581"/>
      <c r="U230" s="581"/>
      <c r="V230" s="581"/>
      <c r="W230" s="581"/>
      <c r="X230" s="581"/>
      <c r="Y230" s="581"/>
      <c r="Z230" s="581"/>
      <c r="AA230" s="581"/>
      <c r="AB230" s="581"/>
      <c r="AC230" s="581"/>
      <c r="AD230" s="581"/>
      <c r="AE230" s="581"/>
      <c r="AF230" s="581"/>
      <c r="AG230" s="581"/>
      <c r="AH230" s="582"/>
    </row>
    <row r="231" spans="1:34" ht="14.4" thickBot="1">
      <c r="A231" s="1652"/>
      <c r="B231" s="1652"/>
      <c r="C231" s="1653"/>
      <c r="D231" s="1653"/>
      <c r="E231" s="1653"/>
      <c r="F231" s="1448"/>
      <c r="G231" s="1448"/>
      <c r="H231" s="1448"/>
      <c r="I231" s="1448"/>
      <c r="J231" s="1448"/>
      <c r="K231" s="1448"/>
      <c r="L231" s="1448"/>
      <c r="M231" s="1448"/>
      <c r="N231" s="1448"/>
      <c r="O231" s="1448"/>
      <c r="P231" s="1448"/>
      <c r="Q231" s="1448"/>
      <c r="R231" s="1448"/>
      <c r="S231" s="1448"/>
      <c r="T231" s="1448"/>
      <c r="U231" s="1448"/>
      <c r="V231" s="1448"/>
      <c r="W231" s="1448"/>
      <c r="X231" s="1448"/>
      <c r="Y231" s="1448"/>
      <c r="Z231" s="1448"/>
      <c r="AA231" s="1448"/>
      <c r="AB231" s="1448"/>
      <c r="AC231" s="1448"/>
      <c r="AD231" s="1448"/>
      <c r="AE231" s="1448"/>
      <c r="AF231" s="1448"/>
      <c r="AG231" s="1448"/>
      <c r="AH231" s="1651"/>
    </row>
    <row r="232" spans="1:34" ht="14.4" thickBot="1">
      <c r="A232" s="4264" t="s">
        <v>854</v>
      </c>
      <c r="B232" s="4265"/>
      <c r="C232" s="4265"/>
      <c r="D232" s="789" t="s">
        <v>935</v>
      </c>
      <c r="E232" s="791"/>
      <c r="F232" s="790"/>
      <c r="G232" s="1851"/>
      <c r="H232" s="1852"/>
    </row>
    <row r="233" spans="1:34" ht="13.8">
      <c r="A233" s="1383" t="s">
        <v>142</v>
      </c>
      <c r="B233" s="1383" t="s">
        <v>143</v>
      </c>
      <c r="C233" s="788">
        <v>1</v>
      </c>
      <c r="D233" s="788">
        <v>2</v>
      </c>
      <c r="E233" s="788">
        <v>3</v>
      </c>
      <c r="F233" s="788">
        <v>4</v>
      </c>
      <c r="G233" s="788">
        <v>5</v>
      </c>
      <c r="H233" s="788">
        <v>6</v>
      </c>
      <c r="I233" s="573">
        <v>7</v>
      </c>
      <c r="J233" s="573">
        <v>8</v>
      </c>
      <c r="K233" s="573">
        <v>9</v>
      </c>
      <c r="L233" s="573">
        <v>10</v>
      </c>
      <c r="M233" s="573">
        <v>11</v>
      </c>
      <c r="N233" s="573">
        <v>12</v>
      </c>
      <c r="O233" s="573">
        <v>13</v>
      </c>
      <c r="P233" s="573">
        <v>14</v>
      </c>
      <c r="Q233" s="573">
        <v>15</v>
      </c>
      <c r="R233" s="573">
        <v>16</v>
      </c>
      <c r="S233" s="573">
        <v>17</v>
      </c>
      <c r="T233" s="573">
        <v>18</v>
      </c>
      <c r="U233" s="573">
        <v>19</v>
      </c>
      <c r="V233" s="573">
        <v>20</v>
      </c>
      <c r="W233" s="509">
        <v>21</v>
      </c>
      <c r="X233" s="573">
        <v>22</v>
      </c>
      <c r="Y233" s="573">
        <v>23</v>
      </c>
      <c r="Z233" s="573">
        <v>24</v>
      </c>
      <c r="AA233" s="573">
        <v>25</v>
      </c>
      <c r="AB233" s="573">
        <v>26</v>
      </c>
      <c r="AC233" s="573">
        <v>27</v>
      </c>
      <c r="AD233" s="573">
        <v>28</v>
      </c>
      <c r="AE233" s="573">
        <v>29</v>
      </c>
      <c r="AF233" s="573">
        <v>30</v>
      </c>
      <c r="AG233" s="573">
        <v>31</v>
      </c>
      <c r="AH233" s="575" t="s">
        <v>111</v>
      </c>
    </row>
    <row r="234" spans="1:34" ht="13.8">
      <c r="A234" s="603" t="s">
        <v>145</v>
      </c>
      <c r="B234" s="480">
        <f t="shared" ref="B234:B245" si="26">+AH234</f>
        <v>0</v>
      </c>
      <c r="C234" s="576"/>
      <c r="D234" s="576"/>
      <c r="E234" s="576"/>
      <c r="F234" s="576"/>
      <c r="G234" s="576"/>
      <c r="H234" s="576"/>
      <c r="I234" s="576"/>
      <c r="J234" s="576"/>
      <c r="K234" s="576"/>
      <c r="L234" s="576"/>
      <c r="M234" s="576"/>
      <c r="N234" s="576"/>
      <c r="O234" s="576"/>
      <c r="P234" s="576"/>
      <c r="Q234" s="576"/>
      <c r="R234" s="576"/>
      <c r="S234" s="576"/>
      <c r="T234" s="576"/>
      <c r="U234" s="576"/>
      <c r="V234" s="576"/>
      <c r="W234" s="576"/>
      <c r="X234" s="576"/>
      <c r="Y234" s="576"/>
      <c r="Z234" s="576"/>
      <c r="AA234" s="576"/>
      <c r="AB234" s="576"/>
      <c r="AC234" s="576"/>
      <c r="AD234" s="576"/>
      <c r="AE234" s="576"/>
      <c r="AF234" s="576"/>
      <c r="AG234" s="576"/>
      <c r="AH234" s="577">
        <f>SUM(C234:AG234)</f>
        <v>0</v>
      </c>
    </row>
    <row r="235" spans="1:34" ht="13.8">
      <c r="A235" s="603" t="s">
        <v>146</v>
      </c>
      <c r="B235" s="480">
        <f t="shared" si="26"/>
        <v>0</v>
      </c>
      <c r="C235" s="576"/>
      <c r="D235" s="576"/>
      <c r="E235" s="576"/>
      <c r="F235" s="576"/>
      <c r="G235" s="576"/>
      <c r="H235" s="576"/>
      <c r="I235" s="576"/>
      <c r="J235" s="576"/>
      <c r="K235" s="576"/>
      <c r="L235" s="576"/>
      <c r="M235" s="576"/>
      <c r="N235" s="576"/>
      <c r="O235" s="576"/>
      <c r="P235" s="576"/>
      <c r="Q235" s="576"/>
      <c r="R235" s="576"/>
      <c r="S235" s="576"/>
      <c r="T235" s="576"/>
      <c r="U235" s="576"/>
      <c r="V235" s="576"/>
      <c r="W235" s="576"/>
      <c r="X235" s="576"/>
      <c r="Y235" s="576"/>
      <c r="Z235" s="576"/>
      <c r="AA235" s="576"/>
      <c r="AB235" s="576"/>
      <c r="AC235" s="576"/>
      <c r="AD235" s="576"/>
      <c r="AE235" s="576"/>
      <c r="AF235" s="576"/>
      <c r="AG235" s="576"/>
      <c r="AH235" s="577">
        <f t="shared" ref="AH235:AH245" si="27">SUM(C235:AG235)</f>
        <v>0</v>
      </c>
    </row>
    <row r="236" spans="1:34" ht="13.8">
      <c r="A236" s="603" t="s">
        <v>147</v>
      </c>
      <c r="B236" s="480">
        <f t="shared" si="26"/>
        <v>0</v>
      </c>
      <c r="C236" s="576"/>
      <c r="D236" s="576"/>
      <c r="E236" s="576"/>
      <c r="F236" s="576"/>
      <c r="G236" s="576"/>
      <c r="H236" s="576"/>
      <c r="I236" s="576"/>
      <c r="J236" s="576"/>
      <c r="K236" s="576"/>
      <c r="L236" s="576"/>
      <c r="M236" s="576"/>
      <c r="N236" s="576"/>
      <c r="O236" s="576"/>
      <c r="P236" s="576"/>
      <c r="Q236" s="576"/>
      <c r="R236" s="576"/>
      <c r="S236" s="576"/>
      <c r="T236" s="576"/>
      <c r="U236" s="576"/>
      <c r="V236" s="576"/>
      <c r="W236" s="576"/>
      <c r="X236" s="576"/>
      <c r="Y236" s="576"/>
      <c r="Z236" s="576"/>
      <c r="AA236" s="576"/>
      <c r="AB236" s="576"/>
      <c r="AC236" s="576"/>
      <c r="AD236" s="576"/>
      <c r="AE236" s="576"/>
      <c r="AF236" s="576"/>
      <c r="AG236" s="576"/>
      <c r="AH236" s="577">
        <f t="shared" si="27"/>
        <v>0</v>
      </c>
    </row>
    <row r="237" spans="1:34" ht="13.8">
      <c r="A237" s="603" t="s">
        <v>148</v>
      </c>
      <c r="B237" s="480">
        <f t="shared" si="26"/>
        <v>0</v>
      </c>
      <c r="C237" s="578"/>
      <c r="D237" s="579"/>
      <c r="E237" s="579"/>
      <c r="F237" s="579"/>
      <c r="G237" s="579"/>
      <c r="H237" s="579"/>
      <c r="I237" s="579"/>
      <c r="J237" s="579"/>
      <c r="K237" s="579"/>
      <c r="L237" s="579"/>
      <c r="M237" s="579"/>
      <c r="N237" s="579"/>
      <c r="O237" s="579"/>
      <c r="P237" s="579"/>
      <c r="Q237" s="579"/>
      <c r="R237" s="579"/>
      <c r="S237" s="579"/>
      <c r="T237" s="579"/>
      <c r="U237" s="579"/>
      <c r="V237" s="579"/>
      <c r="W237" s="579"/>
      <c r="X237" s="579"/>
      <c r="Y237" s="579"/>
      <c r="Z237" s="579"/>
      <c r="AA237" s="579"/>
      <c r="AB237" s="579"/>
      <c r="AC237" s="579"/>
      <c r="AD237" s="579"/>
      <c r="AE237" s="579"/>
      <c r="AF237" s="579"/>
      <c r="AG237" s="579"/>
      <c r="AH237" s="577">
        <f t="shared" si="27"/>
        <v>0</v>
      </c>
    </row>
    <row r="238" spans="1:34" ht="13.8">
      <c r="A238" s="603" t="s">
        <v>149</v>
      </c>
      <c r="B238" s="480">
        <f t="shared" si="26"/>
        <v>0</v>
      </c>
      <c r="C238" s="578"/>
      <c r="D238" s="579"/>
      <c r="E238" s="579"/>
      <c r="F238" s="579"/>
      <c r="G238" s="579"/>
      <c r="H238" s="579"/>
      <c r="I238" s="579"/>
      <c r="J238" s="579"/>
      <c r="K238" s="579"/>
      <c r="L238" s="579"/>
      <c r="M238" s="579"/>
      <c r="N238" s="579"/>
      <c r="O238" s="579"/>
      <c r="P238" s="579"/>
      <c r="Q238" s="579"/>
      <c r="R238" s="579"/>
      <c r="S238" s="579"/>
      <c r="T238" s="579"/>
      <c r="U238" s="579"/>
      <c r="V238" s="579"/>
      <c r="W238" s="579"/>
      <c r="X238" s="579"/>
      <c r="Y238" s="579"/>
      <c r="Z238" s="579"/>
      <c r="AA238" s="579"/>
      <c r="AB238" s="579"/>
      <c r="AC238" s="579"/>
      <c r="AD238" s="579"/>
      <c r="AE238" s="579"/>
      <c r="AF238" s="579"/>
      <c r="AG238" s="579"/>
      <c r="AH238" s="577">
        <f t="shared" si="27"/>
        <v>0</v>
      </c>
    </row>
    <row r="239" spans="1:34" ht="13.8">
      <c r="A239" s="603" t="s">
        <v>150</v>
      </c>
      <c r="B239" s="480">
        <f t="shared" si="26"/>
        <v>0</v>
      </c>
      <c r="C239" s="578"/>
      <c r="D239" s="579"/>
      <c r="E239" s="579"/>
      <c r="F239" s="579"/>
      <c r="G239" s="579"/>
      <c r="H239" s="579"/>
      <c r="I239" s="579"/>
      <c r="J239" s="579"/>
      <c r="K239" s="579"/>
      <c r="L239" s="579"/>
      <c r="M239" s="579"/>
      <c r="N239" s="579"/>
      <c r="O239" s="579"/>
      <c r="P239" s="579"/>
      <c r="Q239" s="579"/>
      <c r="R239" s="579"/>
      <c r="S239" s="579"/>
      <c r="T239" s="579"/>
      <c r="U239" s="579"/>
      <c r="V239" s="579"/>
      <c r="W239" s="579"/>
      <c r="X239" s="579"/>
      <c r="Y239" s="579"/>
      <c r="Z239" s="579"/>
      <c r="AA239" s="579"/>
      <c r="AB239" s="579"/>
      <c r="AC239" s="579"/>
      <c r="AD239" s="579"/>
      <c r="AE239" s="579"/>
      <c r="AF239" s="579"/>
      <c r="AG239" s="579"/>
      <c r="AH239" s="577">
        <f t="shared" si="27"/>
        <v>0</v>
      </c>
    </row>
    <row r="240" spans="1:34" ht="13.8">
      <c r="A240" s="603" t="s">
        <v>151</v>
      </c>
      <c r="B240" s="480">
        <f t="shared" si="26"/>
        <v>219.51800000000003</v>
      </c>
      <c r="C240" s="578"/>
      <c r="D240" s="579"/>
      <c r="E240" s="579"/>
      <c r="F240" s="579"/>
      <c r="G240" s="579"/>
      <c r="H240" s="579"/>
      <c r="I240" s="579"/>
      <c r="J240" s="579"/>
      <c r="K240" s="579"/>
      <c r="L240" s="579"/>
      <c r="M240" s="579"/>
      <c r="N240" s="579"/>
      <c r="O240" s="579"/>
      <c r="P240" s="579"/>
      <c r="Q240" s="579"/>
      <c r="R240" s="579"/>
      <c r="S240" s="579"/>
      <c r="T240" s="579"/>
      <c r="U240" s="579"/>
      <c r="V240" s="579"/>
      <c r="W240" s="579"/>
      <c r="X240" s="579"/>
      <c r="Y240" s="579">
        <v>58.406999999999996</v>
      </c>
      <c r="Z240" s="579">
        <v>82.691000000000003</v>
      </c>
      <c r="AA240" s="579"/>
      <c r="AB240" s="579"/>
      <c r="AC240" s="579"/>
      <c r="AD240" s="579">
        <v>78.42</v>
      </c>
      <c r="AE240" s="579"/>
      <c r="AF240" s="579"/>
      <c r="AG240" s="579"/>
      <c r="AH240" s="577">
        <f t="shared" si="27"/>
        <v>219.51800000000003</v>
      </c>
    </row>
    <row r="241" spans="1:34" ht="13.8">
      <c r="A241" s="603" t="s">
        <v>152</v>
      </c>
      <c r="B241" s="480">
        <f t="shared" si="26"/>
        <v>512.91199999999992</v>
      </c>
      <c r="C241" s="578"/>
      <c r="D241" s="579"/>
      <c r="E241" s="579"/>
      <c r="F241" s="579"/>
      <c r="G241" s="579"/>
      <c r="H241" s="579">
        <v>57.030999999999992</v>
      </c>
      <c r="I241" s="579"/>
      <c r="J241" s="579"/>
      <c r="K241" s="579">
        <v>55.941000000000003</v>
      </c>
      <c r="L241" s="579">
        <v>196.75299999999999</v>
      </c>
      <c r="M241" s="579">
        <v>32.216000000000001</v>
      </c>
      <c r="N241" s="579"/>
      <c r="O241" s="579">
        <v>47.170999999999999</v>
      </c>
      <c r="P241" s="579"/>
      <c r="Q241" s="579"/>
      <c r="R241" s="579"/>
      <c r="S241" s="579"/>
      <c r="T241" s="579"/>
      <c r="U241" s="579"/>
      <c r="V241" s="579"/>
      <c r="W241" s="579"/>
      <c r="X241" s="579"/>
      <c r="Y241" s="579"/>
      <c r="Z241" s="579"/>
      <c r="AA241" s="579"/>
      <c r="AB241" s="579">
        <v>123.8</v>
      </c>
      <c r="AC241" s="579"/>
      <c r="AD241" s="579"/>
      <c r="AE241" s="579"/>
      <c r="AF241" s="579"/>
      <c r="AG241" s="579"/>
      <c r="AH241" s="577">
        <f t="shared" si="27"/>
        <v>512.91199999999992</v>
      </c>
    </row>
    <row r="242" spans="1:34" ht="13.8">
      <c r="A242" s="603" t="s">
        <v>153</v>
      </c>
      <c r="B242" s="480">
        <f t="shared" si="26"/>
        <v>0</v>
      </c>
      <c r="C242" s="578"/>
      <c r="D242" s="579"/>
      <c r="E242" s="579"/>
      <c r="F242" s="579"/>
      <c r="G242" s="579"/>
      <c r="H242" s="579"/>
      <c r="I242" s="579"/>
      <c r="J242" s="579"/>
      <c r="K242" s="579"/>
      <c r="L242" s="579"/>
      <c r="M242" s="579"/>
      <c r="N242" s="579"/>
      <c r="O242" s="579"/>
      <c r="P242" s="579"/>
      <c r="Q242" s="579"/>
      <c r="R242" s="579"/>
      <c r="S242" s="579"/>
      <c r="T242" s="579"/>
      <c r="U242" s="579"/>
      <c r="V242" s="579"/>
      <c r="W242" s="579"/>
      <c r="X242" s="579"/>
      <c r="Y242" s="579"/>
      <c r="Z242" s="579"/>
      <c r="AA242" s="579"/>
      <c r="AB242" s="579"/>
      <c r="AC242" s="579"/>
      <c r="AD242" s="579"/>
      <c r="AE242" s="579"/>
      <c r="AF242" s="579"/>
      <c r="AG242" s="579"/>
      <c r="AH242" s="577">
        <f t="shared" si="27"/>
        <v>0</v>
      </c>
    </row>
    <row r="243" spans="1:34" ht="13.8">
      <c r="A243" s="603" t="s">
        <v>154</v>
      </c>
      <c r="B243" s="480">
        <f t="shared" si="26"/>
        <v>667.57</v>
      </c>
      <c r="C243" s="578">
        <v>31.67</v>
      </c>
      <c r="D243" s="579">
        <v>0</v>
      </c>
      <c r="E243" s="579">
        <v>0</v>
      </c>
      <c r="F243" s="579">
        <v>0</v>
      </c>
      <c r="G243" s="579">
        <v>0</v>
      </c>
      <c r="H243" s="579">
        <v>0</v>
      </c>
      <c r="I243" s="579">
        <v>0</v>
      </c>
      <c r="J243" s="579">
        <v>0</v>
      </c>
      <c r="K243" s="579">
        <v>140.61000000000001</v>
      </c>
      <c r="L243" s="579">
        <v>0</v>
      </c>
      <c r="M243" s="579">
        <v>0</v>
      </c>
      <c r="N243" s="579">
        <v>0</v>
      </c>
      <c r="O243" s="579">
        <v>9.3339999999999996</v>
      </c>
      <c r="P243" s="579">
        <v>0</v>
      </c>
      <c r="Q243" s="579">
        <v>0</v>
      </c>
      <c r="R243" s="579">
        <v>0</v>
      </c>
      <c r="S243" s="579">
        <v>0</v>
      </c>
      <c r="T243" s="579">
        <v>414.94799999999998</v>
      </c>
      <c r="U243" s="579">
        <v>63.81</v>
      </c>
      <c r="V243" s="579">
        <v>0</v>
      </c>
      <c r="W243" s="579">
        <v>0</v>
      </c>
      <c r="X243" s="579">
        <v>0</v>
      </c>
      <c r="Y243" s="579">
        <v>0</v>
      </c>
      <c r="Z243" s="579">
        <v>0</v>
      </c>
      <c r="AA243" s="579">
        <v>0</v>
      </c>
      <c r="AB243" s="579">
        <v>0</v>
      </c>
      <c r="AC243" s="579">
        <v>0</v>
      </c>
      <c r="AD243" s="579">
        <v>0</v>
      </c>
      <c r="AE243" s="579">
        <v>7.1980000000000004</v>
      </c>
      <c r="AF243" s="579">
        <v>0</v>
      </c>
      <c r="AG243" s="579">
        <v>0</v>
      </c>
      <c r="AH243" s="577">
        <f t="shared" si="27"/>
        <v>667.57</v>
      </c>
    </row>
    <row r="244" spans="1:34" ht="13.8">
      <c r="A244" s="573" t="s">
        <v>155</v>
      </c>
      <c r="B244" s="480">
        <f t="shared" si="26"/>
        <v>0</v>
      </c>
      <c r="C244" s="578"/>
      <c r="D244" s="579"/>
      <c r="E244" s="579"/>
      <c r="F244" s="579"/>
      <c r="G244" s="579"/>
      <c r="H244" s="579"/>
      <c r="I244" s="579"/>
      <c r="J244" s="579"/>
      <c r="K244" s="579"/>
      <c r="L244" s="579"/>
      <c r="M244" s="579"/>
      <c r="N244" s="579"/>
      <c r="O244" s="579"/>
      <c r="P244" s="579"/>
      <c r="Q244" s="579"/>
      <c r="R244" s="579"/>
      <c r="S244" s="579"/>
      <c r="T244" s="579"/>
      <c r="U244" s="579"/>
      <c r="V244" s="579"/>
      <c r="W244" s="579"/>
      <c r="X244" s="579"/>
      <c r="Y244" s="579"/>
      <c r="Z244" s="579"/>
      <c r="AA244" s="579"/>
      <c r="AB244" s="579"/>
      <c r="AC244" s="579"/>
      <c r="AD244" s="579"/>
      <c r="AE244" s="579"/>
      <c r="AF244" s="579"/>
      <c r="AG244" s="579"/>
      <c r="AH244" s="577">
        <f t="shared" si="27"/>
        <v>0</v>
      </c>
    </row>
    <row r="245" spans="1:34" ht="13.8">
      <c r="A245" s="573" t="s">
        <v>156</v>
      </c>
      <c r="B245" s="480">
        <f t="shared" si="26"/>
        <v>0</v>
      </c>
      <c r="C245" s="578"/>
      <c r="D245" s="579"/>
      <c r="E245" s="579"/>
      <c r="F245" s="579"/>
      <c r="G245" s="579"/>
      <c r="H245" s="579"/>
      <c r="I245" s="579"/>
      <c r="J245" s="579"/>
      <c r="K245" s="579"/>
      <c r="L245" s="579"/>
      <c r="M245" s="579"/>
      <c r="N245" s="579"/>
      <c r="O245" s="579"/>
      <c r="P245" s="579"/>
      <c r="Q245" s="579"/>
      <c r="R245" s="579"/>
      <c r="S245" s="579"/>
      <c r="T245" s="579"/>
      <c r="U245" s="579"/>
      <c r="V245" s="579"/>
      <c r="W245" s="579"/>
      <c r="X245" s="579"/>
      <c r="Y245" s="579"/>
      <c r="Z245" s="579"/>
      <c r="AA245" s="579"/>
      <c r="AB245" s="579"/>
      <c r="AC245" s="579"/>
      <c r="AD245" s="579"/>
      <c r="AE245" s="579"/>
      <c r="AF245" s="579"/>
      <c r="AG245" s="579"/>
      <c r="AH245" s="577">
        <f t="shared" si="27"/>
        <v>0</v>
      </c>
    </row>
    <row r="246" spans="1:34" ht="13.8">
      <c r="A246" s="580" t="s">
        <v>111</v>
      </c>
      <c r="B246" s="1891">
        <f>SUM(B234:B245)</f>
        <v>1400</v>
      </c>
      <c r="C246" s="581"/>
      <c r="D246" s="581"/>
      <c r="E246" s="581"/>
      <c r="F246" s="581"/>
      <c r="G246" s="581"/>
      <c r="H246" s="581"/>
      <c r="I246" s="581"/>
      <c r="J246" s="581"/>
      <c r="K246" s="581"/>
      <c r="L246" s="581"/>
      <c r="M246" s="581"/>
      <c r="N246" s="581"/>
      <c r="O246" s="581"/>
      <c r="P246" s="581"/>
      <c r="Q246" s="581"/>
      <c r="R246" s="581"/>
      <c r="S246" s="581"/>
      <c r="T246" s="581"/>
      <c r="U246" s="581"/>
      <c r="V246" s="581"/>
      <c r="W246" s="581"/>
      <c r="X246" s="581"/>
      <c r="Y246" s="581"/>
      <c r="Z246" s="581"/>
      <c r="AA246" s="581"/>
      <c r="AB246" s="581"/>
      <c r="AC246" s="581"/>
      <c r="AD246" s="581"/>
      <c r="AE246" s="581"/>
      <c r="AF246" s="581"/>
      <c r="AG246" s="581"/>
      <c r="AH246" s="582"/>
    </row>
    <row r="247" spans="1:34" ht="14.4" thickBot="1">
      <c r="A247" s="1652"/>
      <c r="B247" s="1652"/>
      <c r="C247" s="1448"/>
      <c r="D247" s="1448"/>
      <c r="E247" s="1448"/>
      <c r="F247" s="1448"/>
      <c r="G247" s="1448"/>
      <c r="H247" s="1448"/>
      <c r="I247" s="1448"/>
      <c r="J247" s="1448"/>
      <c r="K247" s="1448"/>
      <c r="L247" s="1448"/>
      <c r="M247" s="1448"/>
      <c r="N247" s="1448"/>
      <c r="O247" s="1448"/>
      <c r="P247" s="1448"/>
      <c r="Q247" s="1448"/>
      <c r="R247" s="1448"/>
      <c r="S247" s="1448"/>
      <c r="T247" s="1448"/>
      <c r="U247" s="1448"/>
      <c r="V247" s="1448"/>
      <c r="W247" s="1448"/>
      <c r="X247" s="1448"/>
      <c r="Y247" s="1448"/>
      <c r="Z247" s="1448"/>
      <c r="AA247" s="1448"/>
      <c r="AB247" s="1448"/>
      <c r="AC247" s="1448"/>
      <c r="AD247" s="1448"/>
      <c r="AE247" s="1448"/>
      <c r="AF247" s="1448"/>
      <c r="AG247" s="1448"/>
      <c r="AH247" s="1651"/>
    </row>
    <row r="248" spans="1:34" ht="14.4" thickBot="1">
      <c r="A248" s="3864" t="s">
        <v>854</v>
      </c>
      <c r="B248" s="3865"/>
      <c r="C248" s="3865"/>
      <c r="D248" s="789" t="s">
        <v>925</v>
      </c>
      <c r="E248" s="791"/>
      <c r="F248" s="790"/>
      <c r="G248" s="1852"/>
    </row>
    <row r="249" spans="1:34" ht="13.8">
      <c r="A249" s="572" t="s">
        <v>142</v>
      </c>
      <c r="B249" s="572" t="s">
        <v>143</v>
      </c>
      <c r="C249" s="573">
        <v>1</v>
      </c>
      <c r="D249" s="788">
        <v>2</v>
      </c>
      <c r="E249" s="788">
        <v>3</v>
      </c>
      <c r="F249" s="788">
        <v>4</v>
      </c>
      <c r="G249" s="788">
        <v>5</v>
      </c>
      <c r="H249" s="573">
        <v>6</v>
      </c>
      <c r="I249" s="573">
        <v>7</v>
      </c>
      <c r="J249" s="573">
        <v>8</v>
      </c>
      <c r="K249" s="573">
        <v>9</v>
      </c>
      <c r="L249" s="573">
        <v>10</v>
      </c>
      <c r="M249" s="573">
        <v>11</v>
      </c>
      <c r="N249" s="573">
        <v>12</v>
      </c>
      <c r="O249" s="573">
        <v>13</v>
      </c>
      <c r="P249" s="573">
        <v>14</v>
      </c>
      <c r="Q249" s="573">
        <v>15</v>
      </c>
      <c r="R249" s="573">
        <v>16</v>
      </c>
      <c r="S249" s="573">
        <v>17</v>
      </c>
      <c r="T249" s="573">
        <v>18</v>
      </c>
      <c r="U249" s="573">
        <v>19</v>
      </c>
      <c r="V249" s="573">
        <v>20</v>
      </c>
      <c r="W249" s="509">
        <v>21</v>
      </c>
      <c r="X249" s="573">
        <v>22</v>
      </c>
      <c r="Y249" s="573">
        <v>23</v>
      </c>
      <c r="Z249" s="573">
        <v>24</v>
      </c>
      <c r="AA249" s="573">
        <v>25</v>
      </c>
      <c r="AB249" s="573">
        <v>26</v>
      </c>
      <c r="AC249" s="573">
        <v>27</v>
      </c>
      <c r="AD249" s="573">
        <v>28</v>
      </c>
      <c r="AE249" s="573">
        <v>29</v>
      </c>
      <c r="AF249" s="573">
        <v>30</v>
      </c>
      <c r="AG249" s="573">
        <v>31</v>
      </c>
      <c r="AH249" s="575" t="s">
        <v>111</v>
      </c>
    </row>
    <row r="250" spans="1:34" ht="13.8">
      <c r="A250" s="603" t="s">
        <v>145</v>
      </c>
      <c r="B250" s="480">
        <f t="shared" ref="B250:B261" si="28">+AH250</f>
        <v>0</v>
      </c>
      <c r="C250" s="576"/>
      <c r="D250" s="576"/>
      <c r="E250" s="576"/>
      <c r="F250" s="576"/>
      <c r="G250" s="576"/>
      <c r="H250" s="576"/>
      <c r="I250" s="576"/>
      <c r="J250" s="576"/>
      <c r="K250" s="576"/>
      <c r="L250" s="576"/>
      <c r="M250" s="576"/>
      <c r="N250" s="576"/>
      <c r="O250" s="576"/>
      <c r="P250" s="576"/>
      <c r="Q250" s="576"/>
      <c r="R250" s="576"/>
      <c r="S250" s="576"/>
      <c r="T250" s="576"/>
      <c r="U250" s="576"/>
      <c r="V250" s="576"/>
      <c r="W250" s="576"/>
      <c r="X250" s="576"/>
      <c r="Y250" s="576"/>
      <c r="Z250" s="576"/>
      <c r="AA250" s="576"/>
      <c r="AB250" s="576"/>
      <c r="AC250" s="576"/>
      <c r="AD250" s="576"/>
      <c r="AE250" s="576"/>
      <c r="AF250" s="576"/>
      <c r="AG250" s="576"/>
      <c r="AH250" s="577">
        <f>SUM(C250:AG250)</f>
        <v>0</v>
      </c>
    </row>
    <row r="251" spans="1:34" ht="13.8">
      <c r="A251" s="603" t="s">
        <v>146</v>
      </c>
      <c r="B251" s="480">
        <f t="shared" si="28"/>
        <v>0</v>
      </c>
      <c r="C251" s="576"/>
      <c r="D251" s="576"/>
      <c r="E251" s="576"/>
      <c r="F251" s="576"/>
      <c r="G251" s="576"/>
      <c r="H251" s="576"/>
      <c r="I251" s="576"/>
      <c r="J251" s="576"/>
      <c r="K251" s="576"/>
      <c r="L251" s="576"/>
      <c r="M251" s="576"/>
      <c r="N251" s="576"/>
      <c r="O251" s="576"/>
      <c r="P251" s="576"/>
      <c r="Q251" s="576"/>
      <c r="R251" s="576"/>
      <c r="S251" s="576"/>
      <c r="T251" s="576"/>
      <c r="U251" s="576"/>
      <c r="V251" s="576"/>
      <c r="W251" s="576"/>
      <c r="X251" s="576"/>
      <c r="Y251" s="576"/>
      <c r="Z251" s="576"/>
      <c r="AA251" s="576"/>
      <c r="AB251" s="576"/>
      <c r="AC251" s="576"/>
      <c r="AD251" s="576"/>
      <c r="AE251" s="576"/>
      <c r="AF251" s="576"/>
      <c r="AG251" s="576"/>
      <c r="AH251" s="577">
        <f>SUM(C251:AG251)</f>
        <v>0</v>
      </c>
    </row>
    <row r="252" spans="1:34" ht="13.8">
      <c r="A252" s="603" t="s">
        <v>147</v>
      </c>
      <c r="B252" s="480">
        <f t="shared" si="28"/>
        <v>0</v>
      </c>
      <c r="C252" s="576"/>
      <c r="D252" s="576"/>
      <c r="E252" s="576"/>
      <c r="F252" s="576"/>
      <c r="G252" s="576"/>
      <c r="H252" s="576"/>
      <c r="I252" s="576"/>
      <c r="J252" s="576"/>
      <c r="K252" s="576"/>
      <c r="L252" s="576"/>
      <c r="M252" s="576"/>
      <c r="N252" s="576"/>
      <c r="O252" s="576"/>
      <c r="P252" s="576"/>
      <c r="Q252" s="576"/>
      <c r="R252" s="576"/>
      <c r="S252" s="576"/>
      <c r="T252" s="576"/>
      <c r="U252" s="576"/>
      <c r="V252" s="576"/>
      <c r="W252" s="576"/>
      <c r="X252" s="576"/>
      <c r="Y252" s="576"/>
      <c r="Z252" s="576"/>
      <c r="AA252" s="576"/>
      <c r="AB252" s="576"/>
      <c r="AC252" s="576"/>
      <c r="AD252" s="576"/>
      <c r="AE252" s="576"/>
      <c r="AF252" s="576"/>
      <c r="AG252" s="576"/>
      <c r="AH252" s="577">
        <f>SUM(C252:AG252)</f>
        <v>0</v>
      </c>
    </row>
    <row r="253" spans="1:34" ht="13.8">
      <c r="A253" s="603" t="s">
        <v>148</v>
      </c>
      <c r="B253" s="480">
        <f t="shared" si="28"/>
        <v>0</v>
      </c>
      <c r="C253" s="578"/>
      <c r="D253" s="579"/>
      <c r="E253" s="579"/>
      <c r="F253" s="579"/>
      <c r="G253" s="579"/>
      <c r="H253" s="579"/>
      <c r="I253" s="579"/>
      <c r="J253" s="579"/>
      <c r="K253" s="579"/>
      <c r="L253" s="579"/>
      <c r="M253" s="579"/>
      <c r="N253" s="579"/>
      <c r="O253" s="579"/>
      <c r="P253" s="579"/>
      <c r="Q253" s="579"/>
      <c r="R253" s="579"/>
      <c r="S253" s="579"/>
      <c r="T253" s="579"/>
      <c r="U253" s="579"/>
      <c r="V253" s="579"/>
      <c r="W253" s="579"/>
      <c r="X253" s="579"/>
      <c r="Y253" s="579"/>
      <c r="Z253" s="579"/>
      <c r="AA253" s="579"/>
      <c r="AB253" s="579"/>
      <c r="AC253" s="579"/>
      <c r="AD253" s="579"/>
      <c r="AE253" s="579"/>
      <c r="AF253" s="579"/>
      <c r="AG253" s="579"/>
      <c r="AH253" s="577">
        <f>SUM(C253:AG253)</f>
        <v>0</v>
      </c>
    </row>
    <row r="254" spans="1:34" ht="13.8">
      <c r="A254" s="603" t="s">
        <v>149</v>
      </c>
      <c r="B254" s="480">
        <f t="shared" si="28"/>
        <v>0</v>
      </c>
      <c r="C254" s="578"/>
      <c r="D254" s="579"/>
      <c r="E254" s="579"/>
      <c r="F254" s="579"/>
      <c r="G254" s="579"/>
      <c r="H254" s="579"/>
      <c r="I254" s="579"/>
      <c r="J254" s="579"/>
      <c r="K254" s="579"/>
      <c r="L254" s="579"/>
      <c r="M254" s="579"/>
      <c r="N254" s="579"/>
      <c r="O254" s="579"/>
      <c r="P254" s="579"/>
      <c r="Q254" s="579"/>
      <c r="R254" s="579"/>
      <c r="S254" s="579"/>
      <c r="T254" s="579"/>
      <c r="U254" s="579"/>
      <c r="V254" s="579"/>
      <c r="W254" s="579"/>
      <c r="X254" s="579"/>
      <c r="Y254" s="579"/>
      <c r="Z254" s="579"/>
      <c r="AA254" s="579"/>
      <c r="AB254" s="579"/>
      <c r="AC254" s="579"/>
      <c r="AD254" s="579"/>
      <c r="AE254" s="579"/>
      <c r="AF254" s="579"/>
      <c r="AG254" s="579"/>
      <c r="AH254" s="577">
        <f t="shared" ref="AH254:AH261" si="29">SUM(C254:AG254)</f>
        <v>0</v>
      </c>
    </row>
    <row r="255" spans="1:34" ht="13.8">
      <c r="A255" s="603" t="s">
        <v>150</v>
      </c>
      <c r="B255" s="480">
        <f t="shared" si="28"/>
        <v>0</v>
      </c>
      <c r="C255" s="578"/>
      <c r="D255" s="579"/>
      <c r="E255" s="579"/>
      <c r="F255" s="579"/>
      <c r="G255" s="579"/>
      <c r="H255" s="579"/>
      <c r="I255" s="579"/>
      <c r="J255" s="579"/>
      <c r="K255" s="579"/>
      <c r="L255" s="579"/>
      <c r="M255" s="579"/>
      <c r="N255" s="579"/>
      <c r="O255" s="579"/>
      <c r="P255" s="579"/>
      <c r="Q255" s="579"/>
      <c r="R255" s="579"/>
      <c r="S255" s="579"/>
      <c r="T255" s="579"/>
      <c r="U255" s="579"/>
      <c r="V255" s="579"/>
      <c r="W255" s="579"/>
      <c r="X255" s="579"/>
      <c r="Y255" s="579"/>
      <c r="Z255" s="579"/>
      <c r="AA255" s="579"/>
      <c r="AB255" s="579"/>
      <c r="AC255" s="579"/>
      <c r="AD255" s="579"/>
      <c r="AE255" s="579"/>
      <c r="AF255" s="579"/>
      <c r="AG255" s="579"/>
      <c r="AH255" s="577">
        <f t="shared" si="29"/>
        <v>0</v>
      </c>
    </row>
    <row r="256" spans="1:34" ht="13.8">
      <c r="A256" s="603" t="s">
        <v>151</v>
      </c>
      <c r="B256" s="480">
        <f t="shared" si="28"/>
        <v>5</v>
      </c>
      <c r="C256" s="578"/>
      <c r="D256" s="579"/>
      <c r="E256" s="579"/>
      <c r="F256" s="579"/>
      <c r="G256" s="579"/>
      <c r="H256" s="579"/>
      <c r="I256" s="579"/>
      <c r="J256" s="579"/>
      <c r="K256" s="579"/>
      <c r="L256" s="579"/>
      <c r="M256" s="579"/>
      <c r="N256" s="579"/>
      <c r="O256" s="579"/>
      <c r="P256" s="579"/>
      <c r="Q256" s="579"/>
      <c r="R256" s="579"/>
      <c r="S256" s="579"/>
      <c r="T256" s="579"/>
      <c r="U256" s="579"/>
      <c r="V256" s="579">
        <v>5</v>
      </c>
      <c r="W256" s="579">
        <v>0</v>
      </c>
      <c r="X256" s="579">
        <v>0</v>
      </c>
      <c r="Y256" s="579">
        <v>0</v>
      </c>
      <c r="Z256" s="579">
        <v>0</v>
      </c>
      <c r="AA256" s="579">
        <v>0</v>
      </c>
      <c r="AB256" s="579">
        <v>0</v>
      </c>
      <c r="AC256" s="579">
        <v>0</v>
      </c>
      <c r="AD256" s="579">
        <v>0</v>
      </c>
      <c r="AE256" s="579">
        <v>0</v>
      </c>
      <c r="AF256" s="579">
        <v>0</v>
      </c>
      <c r="AG256" s="579">
        <v>0</v>
      </c>
      <c r="AH256" s="577">
        <f t="shared" si="29"/>
        <v>5</v>
      </c>
    </row>
    <row r="257" spans="1:34" ht="13.8">
      <c r="A257" s="603" t="s">
        <v>152</v>
      </c>
      <c r="B257" s="480">
        <f t="shared" si="28"/>
        <v>55.260000000000005</v>
      </c>
      <c r="C257" s="578">
        <v>0</v>
      </c>
      <c r="D257" s="579">
        <v>0</v>
      </c>
      <c r="E257" s="579">
        <v>0</v>
      </c>
      <c r="F257" s="579">
        <v>0</v>
      </c>
      <c r="G257" s="579">
        <v>0</v>
      </c>
      <c r="H257" s="579">
        <v>0</v>
      </c>
      <c r="I257" s="579">
        <v>0</v>
      </c>
      <c r="J257" s="579">
        <v>0</v>
      </c>
      <c r="K257" s="579">
        <v>0</v>
      </c>
      <c r="L257" s="579">
        <v>7</v>
      </c>
      <c r="M257" s="579">
        <v>8</v>
      </c>
      <c r="N257" s="579">
        <v>0</v>
      </c>
      <c r="O257" s="579">
        <v>0</v>
      </c>
      <c r="P257" s="579">
        <v>0</v>
      </c>
      <c r="Q257" s="579">
        <v>6.5</v>
      </c>
      <c r="R257" s="579">
        <v>6</v>
      </c>
      <c r="S257" s="579">
        <v>0</v>
      </c>
      <c r="T257" s="579">
        <v>0</v>
      </c>
      <c r="U257" s="579">
        <v>0</v>
      </c>
      <c r="V257" s="579">
        <v>0</v>
      </c>
      <c r="W257" s="579">
        <v>3</v>
      </c>
      <c r="X257" s="579">
        <v>24.76</v>
      </c>
      <c r="Y257" s="579">
        <v>0</v>
      </c>
      <c r="Z257" s="579">
        <v>0</v>
      </c>
      <c r="AA257" s="579">
        <v>0</v>
      </c>
      <c r="AB257" s="579">
        <v>0</v>
      </c>
      <c r="AC257" s="579">
        <v>0</v>
      </c>
      <c r="AD257" s="579">
        <v>0</v>
      </c>
      <c r="AE257" s="579">
        <v>0</v>
      </c>
      <c r="AF257" s="579">
        <v>0</v>
      </c>
      <c r="AG257" s="579">
        <v>0</v>
      </c>
      <c r="AH257" s="577">
        <f t="shared" si="29"/>
        <v>55.260000000000005</v>
      </c>
    </row>
    <row r="258" spans="1:34" ht="13.8">
      <c r="A258" s="603" t="s">
        <v>153</v>
      </c>
      <c r="B258" s="480">
        <f t="shared" si="28"/>
        <v>12</v>
      </c>
      <c r="C258" s="578">
        <v>0</v>
      </c>
      <c r="D258" s="579">
        <v>0</v>
      </c>
      <c r="E258" s="579">
        <v>0</v>
      </c>
      <c r="F258" s="579">
        <v>0</v>
      </c>
      <c r="G258" s="579">
        <v>0</v>
      </c>
      <c r="H258" s="579">
        <v>0</v>
      </c>
      <c r="I258" s="579">
        <v>0</v>
      </c>
      <c r="J258" s="579">
        <v>0</v>
      </c>
      <c r="K258" s="579">
        <v>0</v>
      </c>
      <c r="L258" s="579">
        <v>0</v>
      </c>
      <c r="M258" s="579">
        <v>12</v>
      </c>
      <c r="N258" s="579">
        <v>0</v>
      </c>
      <c r="O258" s="579">
        <v>0</v>
      </c>
      <c r="P258" s="579">
        <v>0</v>
      </c>
      <c r="Q258" s="579">
        <v>0</v>
      </c>
      <c r="R258" s="579">
        <v>0</v>
      </c>
      <c r="S258" s="579">
        <v>0</v>
      </c>
      <c r="T258" s="579">
        <v>0</v>
      </c>
      <c r="U258" s="579">
        <v>0</v>
      </c>
      <c r="V258" s="579">
        <v>0</v>
      </c>
      <c r="W258" s="579">
        <v>0</v>
      </c>
      <c r="X258" s="579">
        <v>0</v>
      </c>
      <c r="Y258" s="579">
        <v>0</v>
      </c>
      <c r="Z258" s="579">
        <v>0</v>
      </c>
      <c r="AA258" s="579">
        <v>0</v>
      </c>
      <c r="AB258" s="579">
        <v>0</v>
      </c>
      <c r="AC258" s="579">
        <v>0</v>
      </c>
      <c r="AD258" s="579">
        <v>0</v>
      </c>
      <c r="AE258" s="579">
        <v>0</v>
      </c>
      <c r="AF258" s="579">
        <v>0</v>
      </c>
      <c r="AG258" s="579"/>
      <c r="AH258" s="577">
        <f t="shared" si="29"/>
        <v>12</v>
      </c>
    </row>
    <row r="259" spans="1:34" ht="13.8">
      <c r="A259" s="603" t="s">
        <v>154</v>
      </c>
      <c r="B259" s="480">
        <f t="shared" si="28"/>
        <v>0</v>
      </c>
      <c r="C259" s="578"/>
      <c r="D259" s="579"/>
      <c r="E259" s="579"/>
      <c r="F259" s="579"/>
      <c r="G259" s="579"/>
      <c r="H259" s="579"/>
      <c r="I259" s="579"/>
      <c r="J259" s="579"/>
      <c r="K259" s="579"/>
      <c r="L259" s="579"/>
      <c r="M259" s="579"/>
      <c r="N259" s="579"/>
      <c r="O259" s="579"/>
      <c r="P259" s="579"/>
      <c r="Q259" s="579"/>
      <c r="R259" s="579"/>
      <c r="S259" s="579"/>
      <c r="T259" s="579"/>
      <c r="U259" s="579"/>
      <c r="V259" s="579"/>
      <c r="W259" s="579"/>
      <c r="X259" s="579"/>
      <c r="Y259" s="579"/>
      <c r="Z259" s="579"/>
      <c r="AA259" s="579"/>
      <c r="AB259" s="579"/>
      <c r="AC259" s="579"/>
      <c r="AD259" s="579"/>
      <c r="AE259" s="579"/>
      <c r="AF259" s="579"/>
      <c r="AG259" s="579"/>
      <c r="AH259" s="577">
        <f t="shared" si="29"/>
        <v>0</v>
      </c>
    </row>
    <row r="260" spans="1:34" ht="13.8">
      <c r="A260" s="573" t="s">
        <v>155</v>
      </c>
      <c r="B260" s="480">
        <f t="shared" si="28"/>
        <v>19.5</v>
      </c>
      <c r="C260" s="578"/>
      <c r="D260" s="579"/>
      <c r="E260" s="579"/>
      <c r="F260" s="579"/>
      <c r="G260" s="579"/>
      <c r="H260" s="579"/>
      <c r="I260" s="579">
        <v>7.5</v>
      </c>
      <c r="J260" s="579"/>
      <c r="K260" s="579"/>
      <c r="L260" s="579"/>
      <c r="M260" s="579"/>
      <c r="N260" s="579"/>
      <c r="O260" s="579">
        <v>3</v>
      </c>
      <c r="P260" s="579"/>
      <c r="Q260" s="579"/>
      <c r="R260" s="579"/>
      <c r="S260" s="579"/>
      <c r="T260" s="579"/>
      <c r="U260" s="579"/>
      <c r="V260" s="579">
        <v>9</v>
      </c>
      <c r="W260" s="579"/>
      <c r="X260" s="579"/>
      <c r="Y260" s="579"/>
      <c r="Z260" s="579"/>
      <c r="AA260" s="579"/>
      <c r="AB260" s="579"/>
      <c r="AC260" s="579"/>
      <c r="AD260" s="579"/>
      <c r="AE260" s="579"/>
      <c r="AF260" s="579"/>
      <c r="AG260" s="579"/>
      <c r="AH260" s="577">
        <f t="shared" si="29"/>
        <v>19.5</v>
      </c>
    </row>
    <row r="261" spans="1:34" ht="13.8">
      <c r="A261" s="573" t="s">
        <v>156</v>
      </c>
      <c r="B261" s="480">
        <f t="shared" si="28"/>
        <v>0</v>
      </c>
      <c r="C261" s="578"/>
      <c r="D261" s="579"/>
      <c r="E261" s="579"/>
      <c r="F261" s="579"/>
      <c r="G261" s="579"/>
      <c r="H261" s="579"/>
      <c r="I261" s="579"/>
      <c r="J261" s="579"/>
      <c r="K261" s="579"/>
      <c r="L261" s="579"/>
      <c r="M261" s="579"/>
      <c r="N261" s="579"/>
      <c r="O261" s="579"/>
      <c r="P261" s="579"/>
      <c r="Q261" s="579"/>
      <c r="R261" s="579"/>
      <c r="S261" s="579"/>
      <c r="T261" s="579"/>
      <c r="U261" s="579"/>
      <c r="V261" s="579"/>
      <c r="W261" s="579"/>
      <c r="X261" s="579"/>
      <c r="Y261" s="579"/>
      <c r="Z261" s="579"/>
      <c r="AA261" s="579"/>
      <c r="AB261" s="579"/>
      <c r="AC261" s="579"/>
      <c r="AD261" s="579"/>
      <c r="AE261" s="579"/>
      <c r="AF261" s="579"/>
      <c r="AG261" s="579"/>
      <c r="AH261" s="577">
        <f t="shared" si="29"/>
        <v>0</v>
      </c>
    </row>
    <row r="262" spans="1:34" ht="13.8">
      <c r="A262" s="580" t="s">
        <v>111</v>
      </c>
      <c r="B262" s="580">
        <f>SUM(B250:B261)</f>
        <v>91.76</v>
      </c>
      <c r="C262" s="581"/>
      <c r="D262" s="581"/>
      <c r="E262" s="581"/>
      <c r="F262" s="581"/>
      <c r="G262" s="581"/>
      <c r="H262" s="581"/>
      <c r="I262" s="581"/>
      <c r="J262" s="581"/>
      <c r="K262" s="581"/>
      <c r="L262" s="581"/>
      <c r="M262" s="581"/>
      <c r="N262" s="581"/>
      <c r="O262" s="581"/>
      <c r="P262" s="581"/>
      <c r="Q262" s="581"/>
      <c r="R262" s="581"/>
      <c r="S262" s="581"/>
      <c r="T262" s="581"/>
      <c r="U262" s="581"/>
      <c r="V262" s="581"/>
      <c r="W262" s="581"/>
      <c r="X262" s="581"/>
      <c r="Y262" s="581"/>
      <c r="Z262" s="581"/>
      <c r="AA262" s="581"/>
      <c r="AB262" s="581"/>
      <c r="AC262" s="581"/>
      <c r="AD262" s="581"/>
      <c r="AE262" s="581"/>
      <c r="AF262" s="581"/>
      <c r="AG262" s="581"/>
      <c r="AH262" s="582">
        <f>SUM(AH250:AH261)</f>
        <v>91.76</v>
      </c>
    </row>
    <row r="263" spans="1:34" ht="14.4" thickBot="1">
      <c r="A263" s="1652"/>
      <c r="B263" s="1652"/>
      <c r="C263" s="1653"/>
      <c r="D263" s="1448"/>
      <c r="E263" s="1448"/>
      <c r="F263" s="1448"/>
      <c r="G263" s="1448"/>
      <c r="H263" s="1448"/>
      <c r="I263" s="1448"/>
      <c r="J263" s="1448"/>
      <c r="K263" s="1448"/>
      <c r="L263" s="1448"/>
      <c r="M263" s="1448"/>
      <c r="N263" s="1448"/>
      <c r="O263" s="1448"/>
      <c r="P263" s="1448"/>
      <c r="Q263" s="1448"/>
      <c r="R263" s="1448"/>
      <c r="S263" s="1448"/>
      <c r="T263" s="1448"/>
      <c r="U263" s="1448"/>
      <c r="V263" s="1448"/>
      <c r="W263" s="1448"/>
      <c r="X263" s="1448"/>
      <c r="Y263" s="1448"/>
      <c r="Z263" s="1448"/>
      <c r="AA263" s="1448"/>
      <c r="AB263" s="1448"/>
      <c r="AC263" s="1448"/>
      <c r="AD263" s="1448"/>
      <c r="AE263" s="1448"/>
      <c r="AF263" s="1448"/>
      <c r="AG263" s="1448"/>
      <c r="AH263" s="1651"/>
    </row>
    <row r="264" spans="1:34" ht="14.4" thickBot="1">
      <c r="A264" s="3864" t="s">
        <v>854</v>
      </c>
      <c r="B264" s="3865"/>
      <c r="C264" s="3865"/>
      <c r="D264" s="789" t="s">
        <v>1075</v>
      </c>
      <c r="E264" s="791"/>
      <c r="F264" s="790"/>
      <c r="G264" s="1852"/>
    </row>
    <row r="265" spans="1:34" ht="13.8">
      <c r="A265" s="572" t="s">
        <v>142</v>
      </c>
      <c r="B265" s="572" t="s">
        <v>143</v>
      </c>
      <c r="C265" s="573">
        <v>1</v>
      </c>
      <c r="D265" s="788">
        <v>2</v>
      </c>
      <c r="E265" s="788">
        <v>3</v>
      </c>
      <c r="F265" s="788">
        <v>4</v>
      </c>
      <c r="G265" s="788">
        <v>5</v>
      </c>
      <c r="H265" s="573">
        <v>6</v>
      </c>
      <c r="I265" s="573">
        <v>7</v>
      </c>
      <c r="J265" s="573">
        <v>8</v>
      </c>
      <c r="K265" s="573">
        <v>9</v>
      </c>
      <c r="L265" s="573">
        <v>10</v>
      </c>
      <c r="M265" s="573">
        <v>11</v>
      </c>
      <c r="N265" s="573">
        <v>12</v>
      </c>
      <c r="O265" s="573">
        <v>13</v>
      </c>
      <c r="P265" s="573">
        <v>14</v>
      </c>
      <c r="Q265" s="573">
        <v>15</v>
      </c>
      <c r="R265" s="573">
        <v>16</v>
      </c>
      <c r="S265" s="573">
        <v>17</v>
      </c>
      <c r="T265" s="573">
        <v>18</v>
      </c>
      <c r="U265" s="573">
        <v>19</v>
      </c>
      <c r="V265" s="573">
        <v>20</v>
      </c>
      <c r="W265" s="509">
        <v>21</v>
      </c>
      <c r="X265" s="573">
        <v>22</v>
      </c>
      <c r="Y265" s="573">
        <v>23</v>
      </c>
      <c r="Z265" s="573">
        <v>24</v>
      </c>
      <c r="AA265" s="573">
        <v>25</v>
      </c>
      <c r="AB265" s="573">
        <v>26</v>
      </c>
      <c r="AC265" s="573">
        <v>27</v>
      </c>
      <c r="AD265" s="573">
        <v>28</v>
      </c>
      <c r="AE265" s="573">
        <v>29</v>
      </c>
      <c r="AF265" s="573">
        <v>30</v>
      </c>
      <c r="AG265" s="573">
        <v>31</v>
      </c>
      <c r="AH265" s="575" t="s">
        <v>111</v>
      </c>
    </row>
    <row r="266" spans="1:34" ht="13.8">
      <c r="A266" s="603" t="s">
        <v>145</v>
      </c>
      <c r="B266" s="480">
        <f t="shared" ref="B266:B277" si="30">+AH266</f>
        <v>0</v>
      </c>
      <c r="C266" s="576"/>
      <c r="D266" s="576"/>
      <c r="E266" s="576"/>
      <c r="F266" s="576"/>
      <c r="G266" s="576"/>
      <c r="H266" s="576"/>
      <c r="I266" s="576"/>
      <c r="J266" s="576"/>
      <c r="K266" s="576"/>
      <c r="L266" s="576"/>
      <c r="M266" s="576"/>
      <c r="N266" s="576"/>
      <c r="O266" s="576"/>
      <c r="P266" s="576"/>
      <c r="Q266" s="576"/>
      <c r="R266" s="576"/>
      <c r="S266" s="576"/>
      <c r="T266" s="576"/>
      <c r="U266" s="576"/>
      <c r="V266" s="576"/>
      <c r="W266" s="576"/>
      <c r="X266" s="576"/>
      <c r="Y266" s="576"/>
      <c r="Z266" s="576"/>
      <c r="AA266" s="576"/>
      <c r="AB266" s="576"/>
      <c r="AC266" s="576"/>
      <c r="AD266" s="576"/>
      <c r="AE266" s="576"/>
      <c r="AF266" s="576"/>
      <c r="AG266" s="576"/>
      <c r="AH266" s="577">
        <f>SUM(C266:AG266)</f>
        <v>0</v>
      </c>
    </row>
    <row r="267" spans="1:34" ht="13.8">
      <c r="A267" s="603" t="s">
        <v>146</v>
      </c>
      <c r="B267" s="480">
        <f t="shared" si="30"/>
        <v>0</v>
      </c>
      <c r="C267" s="576"/>
      <c r="D267" s="576"/>
      <c r="E267" s="576"/>
      <c r="F267" s="576"/>
      <c r="G267" s="576"/>
      <c r="H267" s="576"/>
      <c r="I267" s="576"/>
      <c r="J267" s="576"/>
      <c r="K267" s="576"/>
      <c r="L267" s="576"/>
      <c r="M267" s="576"/>
      <c r="N267" s="576"/>
      <c r="O267" s="576"/>
      <c r="P267" s="576"/>
      <c r="Q267" s="576"/>
      <c r="R267" s="576"/>
      <c r="S267" s="576"/>
      <c r="T267" s="576"/>
      <c r="U267" s="576"/>
      <c r="V267" s="576"/>
      <c r="W267" s="576"/>
      <c r="X267" s="576"/>
      <c r="Y267" s="576"/>
      <c r="Z267" s="576"/>
      <c r="AA267" s="576"/>
      <c r="AB267" s="576"/>
      <c r="AC267" s="576"/>
      <c r="AD267" s="576"/>
      <c r="AE267" s="576"/>
      <c r="AF267" s="576"/>
      <c r="AG267" s="576"/>
      <c r="AH267" s="577">
        <f>SUM(C267:AG267)</f>
        <v>0</v>
      </c>
    </row>
    <row r="268" spans="1:34" ht="13.8">
      <c r="A268" s="603" t="s">
        <v>147</v>
      </c>
      <c r="B268" s="480">
        <f t="shared" si="30"/>
        <v>0</v>
      </c>
      <c r="C268" s="576"/>
      <c r="D268" s="576"/>
      <c r="E268" s="576"/>
      <c r="F268" s="576"/>
      <c r="G268" s="576"/>
      <c r="H268" s="576"/>
      <c r="I268" s="576"/>
      <c r="J268" s="576"/>
      <c r="K268" s="576"/>
      <c r="L268" s="576"/>
      <c r="M268" s="576"/>
      <c r="N268" s="576"/>
      <c r="O268" s="576"/>
      <c r="P268" s="576"/>
      <c r="Q268" s="576"/>
      <c r="R268" s="576"/>
      <c r="S268" s="576"/>
      <c r="T268" s="576"/>
      <c r="U268" s="576"/>
      <c r="V268" s="576"/>
      <c r="W268" s="576"/>
      <c r="X268" s="576"/>
      <c r="Y268" s="576"/>
      <c r="Z268" s="576"/>
      <c r="AA268" s="576"/>
      <c r="AB268" s="576"/>
      <c r="AC268" s="576"/>
      <c r="AD268" s="576"/>
      <c r="AE268" s="576"/>
      <c r="AF268" s="576"/>
      <c r="AG268" s="576"/>
      <c r="AH268" s="577">
        <f>SUM(C268:AG268)</f>
        <v>0</v>
      </c>
    </row>
    <row r="269" spans="1:34" ht="13.8">
      <c r="A269" s="603" t="s">
        <v>148</v>
      </c>
      <c r="B269" s="480">
        <f t="shared" si="30"/>
        <v>0</v>
      </c>
      <c r="C269" s="578"/>
      <c r="D269" s="579"/>
      <c r="E269" s="579"/>
      <c r="F269" s="579"/>
      <c r="G269" s="579"/>
      <c r="H269" s="579"/>
      <c r="I269" s="579"/>
      <c r="J269" s="579"/>
      <c r="K269" s="579"/>
      <c r="L269" s="579"/>
      <c r="M269" s="579"/>
      <c r="N269" s="579"/>
      <c r="O269" s="579"/>
      <c r="P269" s="579"/>
      <c r="Q269" s="579"/>
      <c r="R269" s="579"/>
      <c r="S269" s="579"/>
      <c r="T269" s="579"/>
      <c r="U269" s="579"/>
      <c r="V269" s="579"/>
      <c r="W269" s="579"/>
      <c r="X269" s="579"/>
      <c r="Y269" s="579"/>
      <c r="Z269" s="579"/>
      <c r="AA269" s="579"/>
      <c r="AB269" s="579"/>
      <c r="AC269" s="579"/>
      <c r="AD269" s="579"/>
      <c r="AE269" s="579"/>
      <c r="AF269" s="579"/>
      <c r="AG269" s="579"/>
      <c r="AH269" s="577">
        <f>SUM(C269:AG269)</f>
        <v>0</v>
      </c>
    </row>
    <row r="270" spans="1:34" ht="13.8">
      <c r="A270" s="603" t="s">
        <v>149</v>
      </c>
      <c r="B270" s="480">
        <f t="shared" si="30"/>
        <v>0</v>
      </c>
      <c r="C270" s="578"/>
      <c r="D270" s="579"/>
      <c r="E270" s="579"/>
      <c r="F270" s="579"/>
      <c r="G270" s="579"/>
      <c r="H270" s="579"/>
      <c r="I270" s="579"/>
      <c r="J270" s="579"/>
      <c r="K270" s="579"/>
      <c r="L270" s="579"/>
      <c r="M270" s="579"/>
      <c r="N270" s="579"/>
      <c r="O270" s="579"/>
      <c r="P270" s="579"/>
      <c r="Q270" s="579"/>
      <c r="R270" s="579"/>
      <c r="S270" s="579"/>
      <c r="T270" s="579"/>
      <c r="U270" s="579"/>
      <c r="V270" s="579"/>
      <c r="W270" s="579"/>
      <c r="X270" s="579"/>
      <c r="Y270" s="579"/>
      <c r="Z270" s="579"/>
      <c r="AA270" s="579"/>
      <c r="AB270" s="579"/>
      <c r="AC270" s="579"/>
      <c r="AD270" s="579"/>
      <c r="AE270" s="579"/>
      <c r="AF270" s="579"/>
      <c r="AG270" s="579"/>
      <c r="AH270" s="577">
        <f t="shared" ref="AH270:AH277" si="31">SUM(C270:AG270)</f>
        <v>0</v>
      </c>
    </row>
    <row r="271" spans="1:34" ht="13.8">
      <c r="A271" s="603" t="s">
        <v>150</v>
      </c>
      <c r="B271" s="480">
        <f t="shared" si="30"/>
        <v>0</v>
      </c>
      <c r="C271" s="578"/>
      <c r="D271" s="579"/>
      <c r="E271" s="579"/>
      <c r="F271" s="579"/>
      <c r="G271" s="579"/>
      <c r="H271" s="579"/>
      <c r="I271" s="579"/>
      <c r="J271" s="579"/>
      <c r="K271" s="579"/>
      <c r="L271" s="579"/>
      <c r="M271" s="579"/>
      <c r="N271" s="579"/>
      <c r="O271" s="579"/>
      <c r="P271" s="579"/>
      <c r="Q271" s="579"/>
      <c r="R271" s="579"/>
      <c r="S271" s="579"/>
      <c r="T271" s="579"/>
      <c r="U271" s="579"/>
      <c r="V271" s="579"/>
      <c r="W271" s="579"/>
      <c r="X271" s="579"/>
      <c r="Y271" s="579"/>
      <c r="Z271" s="579"/>
      <c r="AA271" s="579"/>
      <c r="AB271" s="579"/>
      <c r="AC271" s="579"/>
      <c r="AD271" s="579"/>
      <c r="AE271" s="579"/>
      <c r="AF271" s="579"/>
      <c r="AG271" s="579"/>
      <c r="AH271" s="577">
        <f t="shared" si="31"/>
        <v>0</v>
      </c>
    </row>
    <row r="272" spans="1:34" ht="13.8">
      <c r="A272" s="603" t="s">
        <v>151</v>
      </c>
      <c r="B272" s="480">
        <f t="shared" si="30"/>
        <v>0</v>
      </c>
      <c r="C272" s="578"/>
      <c r="D272" s="579"/>
      <c r="E272" s="579"/>
      <c r="F272" s="579"/>
      <c r="G272" s="579"/>
      <c r="H272" s="579"/>
      <c r="I272" s="579"/>
      <c r="J272" s="579"/>
      <c r="K272" s="579"/>
      <c r="L272" s="579"/>
      <c r="M272" s="579"/>
      <c r="N272" s="579"/>
      <c r="O272" s="579"/>
      <c r="P272" s="579"/>
      <c r="Q272" s="579"/>
      <c r="R272" s="579"/>
      <c r="S272" s="579"/>
      <c r="T272" s="579"/>
      <c r="U272" s="579"/>
      <c r="V272" s="579"/>
      <c r="W272" s="579"/>
      <c r="X272" s="579"/>
      <c r="Y272" s="579"/>
      <c r="Z272" s="579"/>
      <c r="AA272" s="579"/>
      <c r="AB272" s="579"/>
      <c r="AC272" s="579"/>
      <c r="AD272" s="579"/>
      <c r="AE272" s="579"/>
      <c r="AF272" s="579"/>
      <c r="AG272" s="579"/>
      <c r="AH272" s="577">
        <f t="shared" si="31"/>
        <v>0</v>
      </c>
    </row>
    <row r="273" spans="1:35" ht="13.8">
      <c r="A273" s="603" t="s">
        <v>152</v>
      </c>
      <c r="B273" s="480">
        <f t="shared" si="30"/>
        <v>0</v>
      </c>
      <c r="C273" s="578"/>
      <c r="D273" s="579"/>
      <c r="E273" s="579"/>
      <c r="F273" s="579"/>
      <c r="G273" s="579"/>
      <c r="H273" s="579"/>
      <c r="I273" s="579"/>
      <c r="J273" s="579"/>
      <c r="K273" s="579"/>
      <c r="L273" s="579"/>
      <c r="M273" s="579"/>
      <c r="N273" s="579"/>
      <c r="O273" s="579"/>
      <c r="P273" s="579"/>
      <c r="Q273" s="579"/>
      <c r="R273" s="579"/>
      <c r="S273" s="579"/>
      <c r="T273" s="579"/>
      <c r="U273" s="579"/>
      <c r="V273" s="579"/>
      <c r="W273" s="579"/>
      <c r="X273" s="579"/>
      <c r="Y273" s="579"/>
      <c r="Z273" s="579"/>
      <c r="AA273" s="579"/>
      <c r="AB273" s="579"/>
      <c r="AC273" s="579"/>
      <c r="AD273" s="579"/>
      <c r="AE273" s="579"/>
      <c r="AF273" s="579"/>
      <c r="AG273" s="579"/>
      <c r="AH273" s="577">
        <f t="shared" si="31"/>
        <v>0</v>
      </c>
    </row>
    <row r="274" spans="1:35" ht="13.8">
      <c r="A274" s="603" t="s">
        <v>153</v>
      </c>
      <c r="B274" s="480">
        <f t="shared" si="30"/>
        <v>0</v>
      </c>
      <c r="C274" s="578"/>
      <c r="D274" s="579"/>
      <c r="E274" s="579"/>
      <c r="F274" s="579"/>
      <c r="G274" s="579"/>
      <c r="H274" s="579"/>
      <c r="I274" s="579"/>
      <c r="J274" s="579"/>
      <c r="K274" s="579"/>
      <c r="L274" s="579"/>
      <c r="M274" s="579"/>
      <c r="N274" s="579"/>
      <c r="O274" s="579"/>
      <c r="P274" s="579"/>
      <c r="Q274" s="579"/>
      <c r="R274" s="579"/>
      <c r="S274" s="579"/>
      <c r="T274" s="579"/>
      <c r="U274" s="579"/>
      <c r="V274" s="579"/>
      <c r="W274" s="579"/>
      <c r="X274" s="579"/>
      <c r="Y274" s="579"/>
      <c r="Z274" s="579"/>
      <c r="AA274" s="579"/>
      <c r="AB274" s="579"/>
      <c r="AC274" s="579"/>
      <c r="AD274" s="579"/>
      <c r="AE274" s="579"/>
      <c r="AF274" s="579"/>
      <c r="AG274" s="579"/>
      <c r="AH274" s="577">
        <f t="shared" si="31"/>
        <v>0</v>
      </c>
    </row>
    <row r="275" spans="1:35" ht="13.8">
      <c r="A275" s="603" t="s">
        <v>154</v>
      </c>
      <c r="B275" s="480">
        <f t="shared" si="30"/>
        <v>339.68099999999998</v>
      </c>
      <c r="C275" s="578"/>
      <c r="D275" s="579"/>
      <c r="E275" s="579"/>
      <c r="F275" s="579"/>
      <c r="G275" s="579"/>
      <c r="H275" s="579"/>
      <c r="I275" s="579"/>
      <c r="J275" s="579"/>
      <c r="K275" s="579"/>
      <c r="L275" s="579"/>
      <c r="M275" s="579"/>
      <c r="N275" s="579"/>
      <c r="O275" s="579"/>
      <c r="P275" s="579"/>
      <c r="Q275" s="579"/>
      <c r="R275" s="579"/>
      <c r="S275" s="579"/>
      <c r="T275" s="579"/>
      <c r="U275" s="579"/>
      <c r="V275" s="579"/>
      <c r="W275" s="579"/>
      <c r="X275" s="579"/>
      <c r="Y275" s="579"/>
      <c r="Z275" s="579"/>
      <c r="AA275" s="579"/>
      <c r="AB275" s="579"/>
      <c r="AC275" s="579"/>
      <c r="AD275" s="579"/>
      <c r="AE275" s="579">
        <v>339.68099999999998</v>
      </c>
      <c r="AF275" s="579"/>
      <c r="AG275" s="579"/>
      <c r="AH275" s="577">
        <f t="shared" si="31"/>
        <v>339.68099999999998</v>
      </c>
    </row>
    <row r="276" spans="1:35" ht="13.8">
      <c r="A276" s="573" t="s">
        <v>155</v>
      </c>
      <c r="B276" s="480">
        <f t="shared" si="30"/>
        <v>32.200000000000003</v>
      </c>
      <c r="C276" s="578"/>
      <c r="D276" s="579"/>
      <c r="E276" s="579"/>
      <c r="F276" s="579"/>
      <c r="G276" s="579"/>
      <c r="H276" s="579"/>
      <c r="I276" s="579"/>
      <c r="J276" s="579"/>
      <c r="K276" s="579"/>
      <c r="L276" s="579"/>
      <c r="M276" s="579"/>
      <c r="N276" s="579"/>
      <c r="O276" s="579"/>
      <c r="P276" s="579"/>
      <c r="Q276" s="579"/>
      <c r="R276" s="579"/>
      <c r="S276" s="579"/>
      <c r="T276" s="579"/>
      <c r="U276" s="579"/>
      <c r="V276" s="579"/>
      <c r="W276" s="579"/>
      <c r="X276" s="579">
        <v>32.200000000000003</v>
      </c>
      <c r="Y276" s="579"/>
      <c r="Z276" s="579"/>
      <c r="AA276" s="579"/>
      <c r="AB276" s="579"/>
      <c r="AC276" s="579"/>
      <c r="AD276" s="579"/>
      <c r="AE276" s="579"/>
      <c r="AF276" s="579"/>
      <c r="AG276" s="579"/>
      <c r="AH276" s="577">
        <f t="shared" si="31"/>
        <v>32.200000000000003</v>
      </c>
    </row>
    <row r="277" spans="1:35" ht="13.8">
      <c r="A277" s="573" t="s">
        <v>156</v>
      </c>
      <c r="B277" s="480">
        <f t="shared" si="30"/>
        <v>161.66500000000002</v>
      </c>
      <c r="C277" s="578"/>
      <c r="D277" s="579"/>
      <c r="E277" s="579">
        <v>76.412000000000006</v>
      </c>
      <c r="F277" s="579">
        <v>85.253</v>
      </c>
      <c r="G277" s="579"/>
      <c r="H277" s="579"/>
      <c r="I277" s="579"/>
      <c r="J277" s="579"/>
      <c r="K277" s="579"/>
      <c r="L277" s="579"/>
      <c r="M277" s="579"/>
      <c r="N277" s="579"/>
      <c r="O277" s="579"/>
      <c r="P277" s="579"/>
      <c r="Q277" s="579"/>
      <c r="R277" s="579"/>
      <c r="S277" s="579"/>
      <c r="T277" s="579"/>
      <c r="U277" s="579"/>
      <c r="V277" s="579"/>
      <c r="W277" s="579"/>
      <c r="X277" s="579"/>
      <c r="Y277" s="579"/>
      <c r="Z277" s="579"/>
      <c r="AA277" s="579"/>
      <c r="AB277" s="579"/>
      <c r="AC277" s="579"/>
      <c r="AD277" s="579"/>
      <c r="AE277" s="579"/>
      <c r="AF277" s="579"/>
      <c r="AG277" s="579"/>
      <c r="AH277" s="577">
        <f t="shared" si="31"/>
        <v>161.66500000000002</v>
      </c>
    </row>
    <row r="278" spans="1:35" ht="13.8">
      <c r="A278" s="580" t="s">
        <v>111</v>
      </c>
      <c r="B278" s="580">
        <f>SUM(B266:B277)</f>
        <v>533.54600000000005</v>
      </c>
      <c r="C278" s="581"/>
      <c r="D278" s="581"/>
      <c r="E278" s="581"/>
      <c r="F278" s="581"/>
      <c r="G278" s="581"/>
      <c r="H278" s="581"/>
      <c r="I278" s="581"/>
      <c r="J278" s="581"/>
      <c r="K278" s="581"/>
      <c r="L278" s="581"/>
      <c r="M278" s="581"/>
      <c r="N278" s="581"/>
      <c r="O278" s="581"/>
      <c r="P278" s="581"/>
      <c r="Q278" s="581"/>
      <c r="R278" s="581"/>
      <c r="S278" s="581"/>
      <c r="T278" s="581"/>
      <c r="U278" s="581"/>
      <c r="V278" s="581"/>
      <c r="W278" s="581"/>
      <c r="X278" s="581"/>
      <c r="Y278" s="581"/>
      <c r="Z278" s="581"/>
      <c r="AA278" s="581"/>
      <c r="AB278" s="581"/>
      <c r="AC278" s="581"/>
      <c r="AD278" s="581"/>
      <c r="AE278" s="581"/>
      <c r="AF278" s="581"/>
      <c r="AG278" s="581"/>
      <c r="AH278" s="582">
        <f>SUM(AH266:AH277)</f>
        <v>533.54600000000005</v>
      </c>
      <c r="AI278" s="3198" t="s">
        <v>1230</v>
      </c>
    </row>
    <row r="279" spans="1:35" s="3162" customFormat="1" ht="14.4" thickBot="1">
      <c r="A279" s="3163"/>
      <c r="B279" s="3163"/>
      <c r="C279" s="1448"/>
      <c r="D279" s="1448"/>
      <c r="E279" s="1448"/>
      <c r="F279" s="1448"/>
      <c r="G279" s="1448"/>
      <c r="H279" s="1448"/>
      <c r="I279" s="1448"/>
      <c r="J279" s="1448"/>
      <c r="K279" s="1448"/>
      <c r="L279" s="1448"/>
      <c r="M279" s="1448"/>
      <c r="N279" s="1448"/>
      <c r="O279" s="1448"/>
      <c r="P279" s="1448"/>
      <c r="Q279" s="1448"/>
      <c r="R279" s="1448"/>
      <c r="S279" s="1448"/>
      <c r="T279" s="1448"/>
      <c r="U279" s="1448"/>
      <c r="V279" s="1448"/>
      <c r="W279" s="1448"/>
      <c r="X279" s="1448"/>
      <c r="Y279" s="1448"/>
      <c r="Z279" s="1448"/>
      <c r="AA279" s="1448"/>
      <c r="AB279" s="1448"/>
      <c r="AC279" s="1448"/>
      <c r="AD279" s="1448"/>
      <c r="AE279" s="1448"/>
      <c r="AF279" s="1448"/>
      <c r="AG279" s="1448"/>
      <c r="AH279" s="1651"/>
    </row>
    <row r="280" spans="1:35" s="3162" customFormat="1" ht="14.4" thickBot="1">
      <c r="A280" s="3864" t="s">
        <v>854</v>
      </c>
      <c r="B280" s="3865"/>
      <c r="C280" s="3865"/>
      <c r="D280" s="789" t="s">
        <v>1217</v>
      </c>
      <c r="E280" s="791"/>
      <c r="F280" s="790"/>
      <c r="G280" s="1852"/>
    </row>
    <row r="281" spans="1:35" s="3162" customFormat="1" ht="13.8">
      <c r="A281" s="572" t="s">
        <v>142</v>
      </c>
      <c r="B281" s="572" t="s">
        <v>143</v>
      </c>
      <c r="C281" s="573">
        <v>1</v>
      </c>
      <c r="D281" s="788">
        <v>2</v>
      </c>
      <c r="E281" s="788">
        <v>3</v>
      </c>
      <c r="F281" s="788">
        <v>4</v>
      </c>
      <c r="G281" s="788">
        <v>5</v>
      </c>
      <c r="H281" s="573">
        <v>6</v>
      </c>
      <c r="I281" s="573">
        <v>7</v>
      </c>
      <c r="J281" s="573">
        <v>8</v>
      </c>
      <c r="K281" s="573">
        <v>9</v>
      </c>
      <c r="L281" s="573">
        <v>10</v>
      </c>
      <c r="M281" s="573">
        <v>11</v>
      </c>
      <c r="N281" s="573">
        <v>12</v>
      </c>
      <c r="O281" s="573">
        <v>13</v>
      </c>
      <c r="P281" s="573">
        <v>14</v>
      </c>
      <c r="Q281" s="573">
        <v>15</v>
      </c>
      <c r="R281" s="573">
        <v>16</v>
      </c>
      <c r="S281" s="573">
        <v>17</v>
      </c>
      <c r="T281" s="573">
        <v>18</v>
      </c>
      <c r="U281" s="573">
        <v>19</v>
      </c>
      <c r="V281" s="573">
        <v>20</v>
      </c>
      <c r="W281" s="509">
        <v>21</v>
      </c>
      <c r="X281" s="573">
        <v>22</v>
      </c>
      <c r="Y281" s="573">
        <v>23</v>
      </c>
      <c r="Z281" s="573">
        <v>24</v>
      </c>
      <c r="AA281" s="573">
        <v>25</v>
      </c>
      <c r="AB281" s="573">
        <v>26</v>
      </c>
      <c r="AC281" s="573">
        <v>27</v>
      </c>
      <c r="AD281" s="573">
        <v>28</v>
      </c>
      <c r="AE281" s="573">
        <v>29</v>
      </c>
      <c r="AF281" s="573">
        <v>30</v>
      </c>
      <c r="AG281" s="573">
        <v>31</v>
      </c>
      <c r="AH281" s="575" t="s">
        <v>111</v>
      </c>
    </row>
    <row r="282" spans="1:35" s="3162" customFormat="1" ht="13.8">
      <c r="A282" s="603" t="s">
        <v>145</v>
      </c>
      <c r="B282" s="480">
        <f t="shared" ref="B282:B293" si="32">+AH282</f>
        <v>0</v>
      </c>
      <c r="C282" s="576"/>
      <c r="D282" s="576"/>
      <c r="E282" s="576"/>
      <c r="F282" s="576"/>
      <c r="G282" s="576"/>
      <c r="H282" s="576"/>
      <c r="I282" s="576"/>
      <c r="J282" s="576"/>
      <c r="K282" s="576"/>
      <c r="L282" s="576"/>
      <c r="M282" s="576"/>
      <c r="N282" s="576"/>
      <c r="O282" s="576"/>
      <c r="P282" s="576"/>
      <c r="Q282" s="576"/>
      <c r="R282" s="576"/>
      <c r="S282" s="576"/>
      <c r="T282" s="576"/>
      <c r="U282" s="576"/>
      <c r="V282" s="576"/>
      <c r="W282" s="576"/>
      <c r="X282" s="576"/>
      <c r="Y282" s="576"/>
      <c r="Z282" s="576"/>
      <c r="AA282" s="576"/>
      <c r="AB282" s="576"/>
      <c r="AC282" s="576"/>
      <c r="AD282" s="576"/>
      <c r="AE282" s="576"/>
      <c r="AF282" s="576"/>
      <c r="AG282" s="576"/>
      <c r="AH282" s="577">
        <f>SUM(C282:AG282)</f>
        <v>0</v>
      </c>
    </row>
    <row r="283" spans="1:35" s="3162" customFormat="1" ht="13.8">
      <c r="A283" s="603" t="s">
        <v>146</v>
      </c>
      <c r="B283" s="480">
        <f t="shared" si="32"/>
        <v>0</v>
      </c>
      <c r="C283" s="576"/>
      <c r="D283" s="576"/>
      <c r="E283" s="576"/>
      <c r="F283" s="576"/>
      <c r="G283" s="576"/>
      <c r="H283" s="576"/>
      <c r="I283" s="576"/>
      <c r="J283" s="576"/>
      <c r="K283" s="576"/>
      <c r="L283" s="576"/>
      <c r="M283" s="576"/>
      <c r="N283" s="576"/>
      <c r="O283" s="576"/>
      <c r="P283" s="576"/>
      <c r="Q283" s="576"/>
      <c r="R283" s="576"/>
      <c r="S283" s="576"/>
      <c r="T283" s="576"/>
      <c r="U283" s="576"/>
      <c r="V283" s="576"/>
      <c r="W283" s="576"/>
      <c r="X283" s="576"/>
      <c r="Y283" s="576"/>
      <c r="Z283" s="576"/>
      <c r="AA283" s="576"/>
      <c r="AB283" s="576"/>
      <c r="AC283" s="576"/>
      <c r="AD283" s="576"/>
      <c r="AE283" s="576"/>
      <c r="AF283" s="576"/>
      <c r="AG283" s="576"/>
      <c r="AH283" s="577">
        <f>SUM(C283:AG283)</f>
        <v>0</v>
      </c>
    </row>
    <row r="284" spans="1:35" s="3162" customFormat="1" ht="13.8">
      <c r="A284" s="603" t="s">
        <v>147</v>
      </c>
      <c r="B284" s="480">
        <f t="shared" si="32"/>
        <v>0</v>
      </c>
      <c r="C284" s="576"/>
      <c r="D284" s="576"/>
      <c r="E284" s="576"/>
      <c r="F284" s="576"/>
      <c r="G284" s="576"/>
      <c r="H284" s="576"/>
      <c r="I284" s="576"/>
      <c r="J284" s="576"/>
      <c r="K284" s="576"/>
      <c r="L284" s="576"/>
      <c r="M284" s="576"/>
      <c r="N284" s="576"/>
      <c r="O284" s="576"/>
      <c r="P284" s="576"/>
      <c r="Q284" s="576"/>
      <c r="R284" s="576"/>
      <c r="S284" s="576"/>
      <c r="T284" s="576"/>
      <c r="U284" s="576"/>
      <c r="V284" s="576"/>
      <c r="W284" s="576"/>
      <c r="X284" s="576"/>
      <c r="Y284" s="576"/>
      <c r="Z284" s="576"/>
      <c r="AA284" s="576"/>
      <c r="AB284" s="576"/>
      <c r="AC284" s="576"/>
      <c r="AD284" s="576"/>
      <c r="AE284" s="576"/>
      <c r="AF284" s="576"/>
      <c r="AG284" s="576"/>
      <c r="AH284" s="577">
        <f>SUM(C284:AG284)</f>
        <v>0</v>
      </c>
    </row>
    <row r="285" spans="1:35" s="3162" customFormat="1" ht="13.8">
      <c r="A285" s="603" t="s">
        <v>148</v>
      </c>
      <c r="B285" s="480">
        <f t="shared" si="32"/>
        <v>0</v>
      </c>
      <c r="C285" s="578"/>
      <c r="D285" s="579"/>
      <c r="E285" s="579"/>
      <c r="F285" s="579"/>
      <c r="G285" s="579"/>
      <c r="H285" s="579"/>
      <c r="I285" s="579"/>
      <c r="J285" s="579"/>
      <c r="K285" s="579"/>
      <c r="L285" s="579"/>
      <c r="M285" s="579"/>
      <c r="N285" s="579"/>
      <c r="O285" s="579"/>
      <c r="P285" s="579"/>
      <c r="Q285" s="579"/>
      <c r="R285" s="579"/>
      <c r="S285" s="579"/>
      <c r="T285" s="579"/>
      <c r="U285" s="579"/>
      <c r="V285" s="579"/>
      <c r="W285" s="579"/>
      <c r="X285" s="579"/>
      <c r="Y285" s="579"/>
      <c r="Z285" s="579"/>
      <c r="AA285" s="579"/>
      <c r="AB285" s="579"/>
      <c r="AC285" s="579"/>
      <c r="AD285" s="579"/>
      <c r="AE285" s="579"/>
      <c r="AF285" s="579"/>
      <c r="AG285" s="579"/>
      <c r="AH285" s="577">
        <f>SUM(C285:AG285)</f>
        <v>0</v>
      </c>
    </row>
    <row r="286" spans="1:35" s="3162" customFormat="1" ht="13.8">
      <c r="A286" s="603" t="s">
        <v>149</v>
      </c>
      <c r="B286" s="480">
        <f t="shared" si="32"/>
        <v>0</v>
      </c>
      <c r="C286" s="578"/>
      <c r="D286" s="579"/>
      <c r="E286" s="579"/>
      <c r="F286" s="579"/>
      <c r="G286" s="579"/>
      <c r="H286" s="579"/>
      <c r="I286" s="579"/>
      <c r="J286" s="579"/>
      <c r="K286" s="579"/>
      <c r="L286" s="579"/>
      <c r="M286" s="579"/>
      <c r="N286" s="579"/>
      <c r="O286" s="579"/>
      <c r="P286" s="579"/>
      <c r="Q286" s="579"/>
      <c r="R286" s="579"/>
      <c r="S286" s="579"/>
      <c r="T286" s="579"/>
      <c r="U286" s="579"/>
      <c r="V286" s="579"/>
      <c r="W286" s="579"/>
      <c r="X286" s="579"/>
      <c r="Y286" s="579"/>
      <c r="Z286" s="579"/>
      <c r="AA286" s="579"/>
      <c r="AB286" s="579"/>
      <c r="AC286" s="579"/>
      <c r="AD286" s="579"/>
      <c r="AE286" s="579"/>
      <c r="AF286" s="579"/>
      <c r="AG286" s="579"/>
      <c r="AH286" s="577">
        <f t="shared" ref="AH286:AH293" si="33">SUM(C286:AG286)</f>
        <v>0</v>
      </c>
    </row>
    <row r="287" spans="1:35" s="3162" customFormat="1" ht="13.8">
      <c r="A287" s="603" t="s">
        <v>150</v>
      </c>
      <c r="B287" s="480">
        <f t="shared" si="32"/>
        <v>0</v>
      </c>
      <c r="C287" s="578"/>
      <c r="D287" s="579"/>
      <c r="E287" s="579"/>
      <c r="F287" s="579"/>
      <c r="G287" s="579"/>
      <c r="H287" s="579"/>
      <c r="I287" s="579"/>
      <c r="J287" s="579"/>
      <c r="K287" s="579"/>
      <c r="L287" s="579"/>
      <c r="M287" s="579"/>
      <c r="N287" s="579"/>
      <c r="O287" s="579"/>
      <c r="P287" s="579"/>
      <c r="Q287" s="579"/>
      <c r="R287" s="579"/>
      <c r="S287" s="579"/>
      <c r="T287" s="579"/>
      <c r="U287" s="579"/>
      <c r="V287" s="579"/>
      <c r="W287" s="579"/>
      <c r="X287" s="579"/>
      <c r="Y287" s="579"/>
      <c r="Z287" s="579"/>
      <c r="AA287" s="579"/>
      <c r="AB287" s="579"/>
      <c r="AC287" s="579"/>
      <c r="AD287" s="579"/>
      <c r="AE287" s="579"/>
      <c r="AF287" s="579"/>
      <c r="AG287" s="579"/>
      <c r="AH287" s="577">
        <f t="shared" si="33"/>
        <v>0</v>
      </c>
    </row>
    <row r="288" spans="1:35" s="3162" customFormat="1" ht="13.8">
      <c r="A288" s="603" t="s">
        <v>151</v>
      </c>
      <c r="B288" s="480">
        <f t="shared" si="32"/>
        <v>0</v>
      </c>
      <c r="C288" s="578"/>
      <c r="D288" s="579"/>
      <c r="E288" s="579"/>
      <c r="F288" s="579"/>
      <c r="G288" s="579"/>
      <c r="H288" s="579"/>
      <c r="I288" s="579"/>
      <c r="J288" s="579"/>
      <c r="K288" s="579"/>
      <c r="L288" s="579"/>
      <c r="M288" s="579"/>
      <c r="N288" s="579"/>
      <c r="O288" s="579"/>
      <c r="P288" s="579"/>
      <c r="Q288" s="579"/>
      <c r="R288" s="579"/>
      <c r="S288" s="579"/>
      <c r="T288" s="579"/>
      <c r="U288" s="579"/>
      <c r="V288" s="579"/>
      <c r="W288" s="579"/>
      <c r="X288" s="579"/>
      <c r="Y288" s="579"/>
      <c r="Z288" s="579"/>
      <c r="AA288" s="579"/>
      <c r="AB288" s="579"/>
      <c r="AC288" s="579"/>
      <c r="AD288" s="579"/>
      <c r="AE288" s="579"/>
      <c r="AF288" s="579"/>
      <c r="AG288" s="579"/>
      <c r="AH288" s="577">
        <f t="shared" si="33"/>
        <v>0</v>
      </c>
    </row>
    <row r="289" spans="1:34" s="3162" customFormat="1" ht="13.8">
      <c r="A289" s="603" t="s">
        <v>152</v>
      </c>
      <c r="B289" s="480">
        <f t="shared" si="32"/>
        <v>0</v>
      </c>
      <c r="C289" s="578"/>
      <c r="D289" s="579"/>
      <c r="E289" s="579"/>
      <c r="F289" s="579"/>
      <c r="G289" s="579"/>
      <c r="H289" s="579"/>
      <c r="I289" s="579"/>
      <c r="J289" s="579"/>
      <c r="K289" s="579"/>
      <c r="L289" s="579"/>
      <c r="M289" s="579"/>
      <c r="N289" s="579"/>
      <c r="O289" s="579"/>
      <c r="P289" s="579"/>
      <c r="Q289" s="579"/>
      <c r="R289" s="579"/>
      <c r="S289" s="579"/>
      <c r="T289" s="579"/>
      <c r="U289" s="579"/>
      <c r="V289" s="579"/>
      <c r="W289" s="579"/>
      <c r="X289" s="579"/>
      <c r="Y289" s="579"/>
      <c r="Z289" s="579"/>
      <c r="AA289" s="579"/>
      <c r="AB289" s="579"/>
      <c r="AC289" s="579"/>
      <c r="AD289" s="579"/>
      <c r="AE289" s="579"/>
      <c r="AF289" s="579"/>
      <c r="AG289" s="579"/>
      <c r="AH289" s="577">
        <f t="shared" si="33"/>
        <v>0</v>
      </c>
    </row>
    <row r="290" spans="1:34" s="3162" customFormat="1" ht="13.8">
      <c r="A290" s="603" t="s">
        <v>153</v>
      </c>
      <c r="B290" s="480">
        <f t="shared" si="32"/>
        <v>0</v>
      </c>
      <c r="C290" s="578"/>
      <c r="D290" s="579"/>
      <c r="E290" s="579"/>
      <c r="F290" s="579"/>
      <c r="G290" s="579"/>
      <c r="H290" s="579"/>
      <c r="I290" s="579"/>
      <c r="J290" s="579"/>
      <c r="K290" s="579"/>
      <c r="L290" s="579"/>
      <c r="M290" s="579"/>
      <c r="N290" s="579"/>
      <c r="O290" s="579"/>
      <c r="P290" s="579"/>
      <c r="Q290" s="579"/>
      <c r="R290" s="579"/>
      <c r="S290" s="579"/>
      <c r="T290" s="579"/>
      <c r="U290" s="579"/>
      <c r="V290" s="579"/>
      <c r="W290" s="579"/>
      <c r="X290" s="579"/>
      <c r="Y290" s="579"/>
      <c r="Z290" s="579"/>
      <c r="AA290" s="579"/>
      <c r="AB290" s="579"/>
      <c r="AC290" s="579"/>
      <c r="AD290" s="579"/>
      <c r="AE290" s="579"/>
      <c r="AF290" s="579"/>
      <c r="AG290" s="579"/>
      <c r="AH290" s="577">
        <f t="shared" si="33"/>
        <v>0</v>
      </c>
    </row>
    <row r="291" spans="1:34" s="3162" customFormat="1" ht="13.8">
      <c r="A291" s="603" t="s">
        <v>154</v>
      </c>
      <c r="B291" s="480">
        <f t="shared" si="32"/>
        <v>0</v>
      </c>
      <c r="C291" s="578"/>
      <c r="D291" s="579"/>
      <c r="E291" s="579"/>
      <c r="F291" s="579"/>
      <c r="G291" s="579"/>
      <c r="H291" s="579"/>
      <c r="I291" s="579"/>
      <c r="J291" s="579"/>
      <c r="K291" s="579"/>
      <c r="L291" s="579"/>
      <c r="M291" s="579"/>
      <c r="N291" s="579"/>
      <c r="O291" s="579"/>
      <c r="P291" s="579"/>
      <c r="Q291" s="579"/>
      <c r="R291" s="579"/>
      <c r="S291" s="579"/>
      <c r="T291" s="579"/>
      <c r="U291" s="579"/>
      <c r="V291" s="579"/>
      <c r="W291" s="579"/>
      <c r="X291" s="579"/>
      <c r="Y291" s="579"/>
      <c r="Z291" s="579"/>
      <c r="AA291" s="579"/>
      <c r="AB291" s="579"/>
      <c r="AC291" s="579"/>
      <c r="AD291" s="579"/>
      <c r="AE291" s="579"/>
      <c r="AF291" s="579"/>
      <c r="AG291" s="579"/>
      <c r="AH291" s="577">
        <f t="shared" si="33"/>
        <v>0</v>
      </c>
    </row>
    <row r="292" spans="1:34" s="3162" customFormat="1" ht="13.8">
      <c r="A292" s="573" t="s">
        <v>155</v>
      </c>
      <c r="B292" s="480">
        <f t="shared" si="32"/>
        <v>0</v>
      </c>
      <c r="C292" s="578"/>
      <c r="D292" s="579"/>
      <c r="E292" s="579"/>
      <c r="F292" s="579"/>
      <c r="G292" s="579"/>
      <c r="H292" s="579"/>
      <c r="I292" s="579"/>
      <c r="J292" s="579"/>
      <c r="K292" s="579"/>
      <c r="L292" s="579"/>
      <c r="M292" s="579"/>
      <c r="N292" s="579"/>
      <c r="O292" s="579"/>
      <c r="P292" s="579"/>
      <c r="Q292" s="579"/>
      <c r="R292" s="579"/>
      <c r="S292" s="579"/>
      <c r="T292" s="579"/>
      <c r="U292" s="579"/>
      <c r="V292" s="579"/>
      <c r="W292" s="579"/>
      <c r="X292" s="579"/>
      <c r="Y292" s="579"/>
      <c r="Z292" s="579"/>
      <c r="AA292" s="579"/>
      <c r="AB292" s="579"/>
      <c r="AC292" s="579"/>
      <c r="AD292" s="579"/>
      <c r="AE292" s="579"/>
      <c r="AF292" s="579"/>
      <c r="AG292" s="579"/>
      <c r="AH292" s="577">
        <f t="shared" si="33"/>
        <v>0</v>
      </c>
    </row>
    <row r="293" spans="1:34" s="3162" customFormat="1" ht="13.8">
      <c r="A293" s="573" t="s">
        <v>156</v>
      </c>
      <c r="B293" s="480">
        <f t="shared" si="32"/>
        <v>220.721</v>
      </c>
      <c r="C293" s="578"/>
      <c r="D293" s="579"/>
      <c r="E293" s="579"/>
      <c r="F293" s="3164">
        <v>37.337000000000003</v>
      </c>
      <c r="G293" s="579">
        <v>28.178999999999998</v>
      </c>
      <c r="H293" s="579"/>
      <c r="I293" s="579"/>
      <c r="J293" s="579"/>
      <c r="K293" s="579"/>
      <c r="L293" s="579"/>
      <c r="M293" s="579"/>
      <c r="N293" s="579"/>
      <c r="O293" s="579"/>
      <c r="P293" s="579"/>
      <c r="Q293" s="579"/>
      <c r="R293" s="579"/>
      <c r="S293" s="579"/>
      <c r="T293" s="579">
        <v>155.20500000000001</v>
      </c>
      <c r="U293" s="579"/>
      <c r="V293" s="579"/>
      <c r="W293" s="579"/>
      <c r="X293" s="579"/>
      <c r="Y293" s="579"/>
      <c r="Z293" s="579"/>
      <c r="AA293" s="579"/>
      <c r="AB293" s="579"/>
      <c r="AC293" s="579"/>
      <c r="AD293" s="579"/>
      <c r="AE293" s="579"/>
      <c r="AF293" s="579"/>
      <c r="AG293" s="579"/>
      <c r="AH293" s="577">
        <f t="shared" si="33"/>
        <v>220.721</v>
      </c>
    </row>
    <row r="294" spans="1:34" s="3162" customFormat="1" ht="13.8">
      <c r="A294" s="580" t="s">
        <v>111</v>
      </c>
      <c r="B294" s="1891">
        <f>SUM(B282:B293)</f>
        <v>220.721</v>
      </c>
      <c r="C294" s="581"/>
      <c r="D294" s="581"/>
      <c r="E294" s="581"/>
      <c r="F294" s="581"/>
      <c r="G294" s="581"/>
      <c r="H294" s="581"/>
      <c r="I294" s="581"/>
      <c r="J294" s="581"/>
      <c r="K294" s="581"/>
      <c r="L294" s="581"/>
      <c r="M294" s="581"/>
      <c r="N294" s="581"/>
      <c r="O294" s="581"/>
      <c r="P294" s="581"/>
      <c r="Q294" s="581"/>
      <c r="R294" s="581"/>
      <c r="S294" s="581"/>
      <c r="T294" s="581"/>
      <c r="U294" s="581"/>
      <c r="V294" s="581"/>
      <c r="W294" s="581"/>
      <c r="X294" s="581"/>
      <c r="Y294" s="581"/>
      <c r="Z294" s="581"/>
      <c r="AA294" s="581"/>
      <c r="AB294" s="581"/>
      <c r="AC294" s="581"/>
      <c r="AD294" s="581"/>
      <c r="AE294" s="581"/>
      <c r="AF294" s="581"/>
      <c r="AG294" s="581"/>
      <c r="AH294" s="582">
        <f>SUM(AH282:AH293)</f>
        <v>220.721</v>
      </c>
    </row>
    <row r="295" spans="1:34" s="3162" customFormat="1" ht="14.4" thickBot="1">
      <c r="A295" s="3163"/>
      <c r="B295" s="3163"/>
      <c r="C295" s="1448"/>
      <c r="D295" s="1448"/>
      <c r="E295" s="1448"/>
      <c r="F295" s="1448"/>
      <c r="G295" s="1448"/>
      <c r="H295" s="1448"/>
      <c r="I295" s="1448"/>
      <c r="J295" s="1448"/>
      <c r="K295" s="1448"/>
      <c r="L295" s="1448"/>
      <c r="M295" s="1448"/>
      <c r="N295" s="1448"/>
      <c r="O295" s="1448"/>
      <c r="P295" s="1448"/>
      <c r="Q295" s="1448"/>
      <c r="R295" s="1448"/>
      <c r="S295" s="1448"/>
      <c r="T295" s="1448"/>
      <c r="U295" s="1448"/>
      <c r="V295" s="1448"/>
      <c r="W295" s="1448"/>
      <c r="X295" s="1448"/>
      <c r="Y295" s="1448"/>
      <c r="Z295" s="1448"/>
      <c r="AA295" s="1448"/>
      <c r="AB295" s="1448"/>
      <c r="AC295" s="1448"/>
      <c r="AD295" s="1448"/>
      <c r="AE295" s="1448"/>
      <c r="AF295" s="1448"/>
      <c r="AG295" s="1448"/>
      <c r="AH295" s="1651"/>
    </row>
    <row r="296" spans="1:34" ht="13.8" thickBot="1">
      <c r="A296" s="4248" t="s">
        <v>821</v>
      </c>
      <c r="B296" s="4249"/>
      <c r="C296" s="4249"/>
      <c r="D296" s="4249"/>
      <c r="E296" s="4249"/>
      <c r="F296" s="4249"/>
      <c r="G296" s="4249"/>
      <c r="H296" s="4249"/>
      <c r="I296" s="4249"/>
      <c r="J296" s="4249"/>
      <c r="K296" s="4249"/>
      <c r="L296" s="4249"/>
      <c r="M296" s="4249"/>
      <c r="N296" s="4249"/>
      <c r="O296" s="4250"/>
    </row>
    <row r="297" spans="1:34" ht="14.4" thickBot="1">
      <c r="A297" s="4257" t="s">
        <v>822</v>
      </c>
      <c r="B297" s="4258"/>
      <c r="C297" s="4258"/>
      <c r="D297" s="1375" t="s">
        <v>73</v>
      </c>
      <c r="E297" s="1376"/>
      <c r="F297" s="1377"/>
    </row>
    <row r="298" spans="1:34" ht="13.8">
      <c r="A298" s="572" t="s">
        <v>142</v>
      </c>
      <c r="B298" s="572" t="s">
        <v>143</v>
      </c>
      <c r="C298" s="574">
        <v>1</v>
      </c>
      <c r="D298" s="788">
        <v>2</v>
      </c>
      <c r="E298" s="788">
        <v>3</v>
      </c>
      <c r="F298" s="788">
        <v>4</v>
      </c>
      <c r="G298" s="573">
        <v>5</v>
      </c>
      <c r="H298" s="573">
        <v>6</v>
      </c>
      <c r="I298" s="573">
        <v>7</v>
      </c>
      <c r="J298" s="573">
        <v>8</v>
      </c>
      <c r="K298" s="573">
        <v>9</v>
      </c>
      <c r="L298" s="573">
        <v>10</v>
      </c>
      <c r="M298" s="573">
        <v>11</v>
      </c>
      <c r="N298" s="573">
        <v>12</v>
      </c>
      <c r="O298" s="573">
        <v>13</v>
      </c>
      <c r="P298" s="573">
        <v>14</v>
      </c>
      <c r="Q298" s="573">
        <v>15</v>
      </c>
      <c r="R298" s="573">
        <v>16</v>
      </c>
      <c r="S298" s="573">
        <v>17</v>
      </c>
      <c r="T298" s="573">
        <v>18</v>
      </c>
      <c r="U298" s="573">
        <v>19</v>
      </c>
      <c r="V298" s="573">
        <v>20</v>
      </c>
      <c r="W298" s="509">
        <v>21</v>
      </c>
      <c r="X298" s="573">
        <v>22</v>
      </c>
      <c r="Y298" s="573">
        <v>23</v>
      </c>
      <c r="Z298" s="573">
        <v>24</v>
      </c>
      <c r="AA298" s="573">
        <v>25</v>
      </c>
      <c r="AB298" s="573">
        <v>26</v>
      </c>
      <c r="AC298" s="573">
        <v>27</v>
      </c>
      <c r="AD298" s="573">
        <v>28</v>
      </c>
      <c r="AE298" s="573">
        <v>29</v>
      </c>
      <c r="AF298" s="573">
        <v>30</v>
      </c>
      <c r="AG298" s="573">
        <v>31</v>
      </c>
      <c r="AH298" s="575" t="s">
        <v>111</v>
      </c>
    </row>
    <row r="299" spans="1:34" ht="13.8">
      <c r="A299" s="509" t="s">
        <v>145</v>
      </c>
      <c r="B299" s="480">
        <f t="shared" ref="B299:B310" si="34">+AH299</f>
        <v>0</v>
      </c>
      <c r="C299" s="576"/>
      <c r="D299" s="576"/>
      <c r="E299" s="576"/>
      <c r="F299" s="576"/>
      <c r="G299" s="576"/>
      <c r="H299" s="576"/>
      <c r="I299" s="576"/>
      <c r="J299" s="576"/>
      <c r="K299" s="576"/>
      <c r="L299" s="576"/>
      <c r="M299" s="576"/>
      <c r="N299" s="576"/>
      <c r="O299" s="576"/>
      <c r="P299" s="576"/>
      <c r="Q299" s="576"/>
      <c r="R299" s="576"/>
      <c r="S299" s="576"/>
      <c r="T299" s="576"/>
      <c r="U299" s="576"/>
      <c r="V299" s="576"/>
      <c r="W299" s="576"/>
      <c r="X299" s="576"/>
      <c r="Y299" s="576"/>
      <c r="Z299" s="576"/>
      <c r="AA299" s="576"/>
      <c r="AB299" s="576"/>
      <c r="AC299" s="576"/>
      <c r="AD299" s="576"/>
      <c r="AE299" s="576"/>
      <c r="AF299" s="576"/>
      <c r="AG299" s="576"/>
      <c r="AH299" s="577">
        <f>SUM(C299:AG299)</f>
        <v>0</v>
      </c>
    </row>
    <row r="300" spans="1:34" ht="13.8">
      <c r="A300" s="509" t="s">
        <v>146</v>
      </c>
      <c r="B300" s="480">
        <f t="shared" si="34"/>
        <v>0</v>
      </c>
      <c r="C300" s="576"/>
      <c r="D300" s="576"/>
      <c r="E300" s="576"/>
      <c r="F300" s="576"/>
      <c r="G300" s="576"/>
      <c r="H300" s="576"/>
      <c r="I300" s="576"/>
      <c r="J300" s="576"/>
      <c r="K300" s="576"/>
      <c r="L300" s="576"/>
      <c r="M300" s="576"/>
      <c r="N300" s="576"/>
      <c r="O300" s="576"/>
      <c r="P300" s="576"/>
      <c r="Q300" s="576"/>
      <c r="R300" s="576"/>
      <c r="S300" s="576"/>
      <c r="T300" s="576"/>
      <c r="U300" s="576"/>
      <c r="V300" s="576"/>
      <c r="W300" s="576"/>
      <c r="X300" s="576"/>
      <c r="Y300" s="576"/>
      <c r="Z300" s="576"/>
      <c r="AA300" s="576"/>
      <c r="AB300" s="576"/>
      <c r="AC300" s="576"/>
      <c r="AD300" s="576"/>
      <c r="AE300" s="576"/>
      <c r="AF300" s="576"/>
      <c r="AG300" s="576"/>
      <c r="AH300" s="577">
        <f t="shared" ref="AH300:AH310" si="35">SUM(C300:AG300)</f>
        <v>0</v>
      </c>
    </row>
    <row r="301" spans="1:34" ht="13.8">
      <c r="A301" s="509" t="s">
        <v>147</v>
      </c>
      <c r="B301" s="480">
        <f t="shared" si="34"/>
        <v>6.9000000000000006E-2</v>
      </c>
      <c r="C301" s="576"/>
      <c r="D301" s="576"/>
      <c r="E301" s="576"/>
      <c r="F301" s="576"/>
      <c r="G301" s="576"/>
      <c r="H301" s="576"/>
      <c r="I301" s="576"/>
      <c r="J301" s="576"/>
      <c r="K301" s="576"/>
      <c r="L301" s="576"/>
      <c r="M301" s="576"/>
      <c r="N301" s="576"/>
      <c r="O301" s="576"/>
      <c r="P301" s="576"/>
      <c r="Q301" s="576"/>
      <c r="R301" s="576"/>
      <c r="S301" s="576"/>
      <c r="T301" s="576"/>
      <c r="U301" s="576"/>
      <c r="V301" s="576"/>
      <c r="W301" s="576"/>
      <c r="X301" s="576"/>
      <c r="Y301" s="576"/>
      <c r="Z301" s="576"/>
      <c r="AA301" s="576"/>
      <c r="AB301" s="576"/>
      <c r="AC301" s="576"/>
      <c r="AD301" s="576"/>
      <c r="AE301" s="576">
        <v>6.9000000000000006E-2</v>
      </c>
      <c r="AF301" s="576"/>
      <c r="AG301" s="576"/>
      <c r="AH301" s="577">
        <f t="shared" si="35"/>
        <v>6.9000000000000006E-2</v>
      </c>
    </row>
    <row r="302" spans="1:34" ht="13.8">
      <c r="A302" s="509" t="s">
        <v>148</v>
      </c>
      <c r="B302" s="480">
        <f t="shared" si="34"/>
        <v>0.48899999999999999</v>
      </c>
      <c r="C302" s="578"/>
      <c r="D302" s="579">
        <v>2.5000000000000001E-2</v>
      </c>
      <c r="E302" s="579">
        <v>6.9000000000000006E-2</v>
      </c>
      <c r="F302" s="579"/>
      <c r="G302" s="579"/>
      <c r="H302" s="579"/>
      <c r="I302" s="579"/>
      <c r="J302" s="579"/>
      <c r="K302" s="579"/>
      <c r="L302" s="579">
        <v>0.15</v>
      </c>
      <c r="M302" s="579"/>
      <c r="N302" s="579"/>
      <c r="O302" s="579">
        <v>0.03</v>
      </c>
      <c r="P302" s="579">
        <v>0.06</v>
      </c>
      <c r="Q302" s="579"/>
      <c r="R302" s="579"/>
      <c r="S302" s="579"/>
      <c r="T302" s="579"/>
      <c r="U302" s="579"/>
      <c r="V302" s="579"/>
      <c r="W302" s="579">
        <v>0.115</v>
      </c>
      <c r="X302" s="579"/>
      <c r="Y302" s="579"/>
      <c r="Z302" s="579"/>
      <c r="AA302" s="579">
        <v>0.04</v>
      </c>
      <c r="AB302" s="579"/>
      <c r="AC302" s="579"/>
      <c r="AD302" s="579"/>
      <c r="AE302" s="579"/>
      <c r="AF302" s="579"/>
      <c r="AG302" s="579"/>
      <c r="AH302" s="577">
        <f t="shared" si="35"/>
        <v>0.48899999999999999</v>
      </c>
    </row>
    <row r="303" spans="1:34" ht="13.8">
      <c r="A303" s="509" t="s">
        <v>149</v>
      </c>
      <c r="B303" s="480">
        <f t="shared" si="34"/>
        <v>1.109</v>
      </c>
      <c r="C303" s="578"/>
      <c r="D303" s="579">
        <v>1.4999999999999999E-2</v>
      </c>
      <c r="E303" s="579"/>
      <c r="F303" s="579"/>
      <c r="G303" s="579">
        <v>9.1999999999999998E-2</v>
      </c>
      <c r="H303" s="579"/>
      <c r="I303" s="579"/>
      <c r="J303" s="579"/>
      <c r="K303" s="579">
        <v>0.161</v>
      </c>
      <c r="L303" s="579">
        <v>0.36799999999999999</v>
      </c>
      <c r="M303" s="579"/>
      <c r="N303" s="579"/>
      <c r="O303" s="579"/>
      <c r="P303" s="579"/>
      <c r="Q303" s="579"/>
      <c r="R303" s="579"/>
      <c r="S303" s="579"/>
      <c r="T303" s="579"/>
      <c r="U303" s="579"/>
      <c r="V303" s="579"/>
      <c r="W303" s="579"/>
      <c r="X303" s="579"/>
      <c r="Y303" s="579">
        <v>2.3E-2</v>
      </c>
      <c r="Z303" s="579"/>
      <c r="AA303" s="579"/>
      <c r="AB303" s="579"/>
      <c r="AC303" s="579"/>
      <c r="AD303" s="579">
        <v>0.04</v>
      </c>
      <c r="AE303" s="579"/>
      <c r="AF303" s="579">
        <v>0.41</v>
      </c>
      <c r="AG303" s="579"/>
      <c r="AH303" s="577">
        <f t="shared" si="35"/>
        <v>1.109</v>
      </c>
    </row>
    <row r="304" spans="1:34" ht="13.8">
      <c r="A304" s="509" t="s">
        <v>150</v>
      </c>
      <c r="B304" s="480">
        <f t="shared" si="34"/>
        <v>0.45</v>
      </c>
      <c r="C304" s="578"/>
      <c r="D304" s="579"/>
      <c r="E304" s="579">
        <v>0.08</v>
      </c>
      <c r="F304" s="579"/>
      <c r="G304" s="579"/>
      <c r="H304" s="579">
        <v>0.02</v>
      </c>
      <c r="I304" s="579"/>
      <c r="J304" s="579"/>
      <c r="K304" s="579"/>
      <c r="L304" s="579"/>
      <c r="M304" s="579"/>
      <c r="N304" s="579"/>
      <c r="O304" s="579"/>
      <c r="P304" s="579"/>
      <c r="Q304" s="579"/>
      <c r="R304" s="579"/>
      <c r="S304" s="579"/>
      <c r="T304" s="579"/>
      <c r="U304" s="579"/>
      <c r="V304" s="579"/>
      <c r="W304" s="579"/>
      <c r="X304" s="579">
        <v>0.18</v>
      </c>
      <c r="Y304" s="579">
        <v>0.12</v>
      </c>
      <c r="Z304" s="579"/>
      <c r="AA304" s="579"/>
      <c r="AB304" s="579">
        <v>0.05</v>
      </c>
      <c r="AC304" s="579"/>
      <c r="AD304" s="579"/>
      <c r="AE304" s="579"/>
      <c r="AF304" s="579"/>
      <c r="AG304" s="579"/>
      <c r="AH304" s="577">
        <f t="shared" si="35"/>
        <v>0.45</v>
      </c>
    </row>
    <row r="305" spans="1:34" ht="13.8">
      <c r="A305" s="509" t="s">
        <v>151</v>
      </c>
      <c r="B305" s="480">
        <f t="shared" si="34"/>
        <v>3.238</v>
      </c>
      <c r="C305" s="578"/>
      <c r="D305" s="579"/>
      <c r="E305" s="579"/>
      <c r="F305" s="579"/>
      <c r="G305" s="579"/>
      <c r="H305" s="579"/>
      <c r="I305" s="579"/>
      <c r="J305" s="579"/>
      <c r="K305" s="579">
        <v>1.5</v>
      </c>
      <c r="L305" s="579"/>
      <c r="M305" s="579">
        <v>1</v>
      </c>
      <c r="N305" s="579">
        <v>0.12</v>
      </c>
      <c r="O305" s="579">
        <v>0.3</v>
      </c>
      <c r="P305" s="579">
        <v>2.1000000000000001E-2</v>
      </c>
      <c r="Q305" s="579">
        <v>0.02</v>
      </c>
      <c r="R305" s="579">
        <v>5.5E-2</v>
      </c>
      <c r="S305" s="579"/>
      <c r="T305" s="579">
        <v>1.4999999999999999E-2</v>
      </c>
      <c r="U305" s="579">
        <v>2.5000000000000001E-2</v>
      </c>
      <c r="V305" s="579"/>
      <c r="W305" s="579"/>
      <c r="X305" s="579">
        <v>2.1999999999999999E-2</v>
      </c>
      <c r="Y305" s="579"/>
      <c r="Z305" s="579"/>
      <c r="AA305" s="579"/>
      <c r="AB305" s="579"/>
      <c r="AC305" s="579"/>
      <c r="AD305" s="579">
        <v>0.16</v>
      </c>
      <c r="AE305" s="579"/>
      <c r="AF305" s="579"/>
      <c r="AG305" s="579"/>
      <c r="AH305" s="577">
        <f t="shared" si="35"/>
        <v>3.238</v>
      </c>
    </row>
    <row r="306" spans="1:34" ht="13.8">
      <c r="A306" s="509" t="s">
        <v>152</v>
      </c>
      <c r="B306" s="480">
        <f t="shared" si="34"/>
        <v>6.5000000000000002E-2</v>
      </c>
      <c r="C306" s="578">
        <v>4.4999999999999998E-2</v>
      </c>
      <c r="D306" s="579"/>
      <c r="E306" s="579"/>
      <c r="F306" s="579"/>
      <c r="G306" s="579"/>
      <c r="H306" s="579"/>
      <c r="I306" s="579"/>
      <c r="J306" s="579"/>
      <c r="K306" s="579">
        <v>0.02</v>
      </c>
      <c r="L306" s="579"/>
      <c r="M306" s="579"/>
      <c r="N306" s="579"/>
      <c r="O306" s="579"/>
      <c r="P306" s="579"/>
      <c r="Q306" s="579"/>
      <c r="R306" s="579"/>
      <c r="S306" s="579"/>
      <c r="T306" s="579"/>
      <c r="U306" s="579"/>
      <c r="V306" s="579"/>
      <c r="W306" s="579"/>
      <c r="X306" s="579"/>
      <c r="Y306" s="579"/>
      <c r="Z306" s="579"/>
      <c r="AA306" s="579"/>
      <c r="AB306" s="579"/>
      <c r="AC306" s="579"/>
      <c r="AD306" s="579"/>
      <c r="AE306" s="579"/>
      <c r="AF306" s="579"/>
      <c r="AG306" s="579"/>
      <c r="AH306" s="577">
        <f t="shared" si="35"/>
        <v>6.5000000000000002E-2</v>
      </c>
    </row>
    <row r="307" spans="1:34" ht="13.8">
      <c r="A307" s="509" t="s">
        <v>153</v>
      </c>
      <c r="B307" s="480">
        <f t="shared" si="34"/>
        <v>4.4999999999999998E-2</v>
      </c>
      <c r="C307" s="578"/>
      <c r="D307" s="579"/>
      <c r="E307" s="579"/>
      <c r="F307" s="579"/>
      <c r="G307" s="579"/>
      <c r="H307" s="579"/>
      <c r="I307" s="579"/>
      <c r="J307" s="579"/>
      <c r="K307" s="579"/>
      <c r="L307" s="579"/>
      <c r="M307" s="579"/>
      <c r="N307" s="579"/>
      <c r="O307" s="579"/>
      <c r="P307" s="579"/>
      <c r="Q307" s="579"/>
      <c r="R307" s="579"/>
      <c r="S307" s="579"/>
      <c r="T307" s="579"/>
      <c r="U307" s="579"/>
      <c r="V307" s="579"/>
      <c r="W307" s="579"/>
      <c r="X307" s="579"/>
      <c r="Y307" s="579"/>
      <c r="Z307" s="579"/>
      <c r="AA307" s="579">
        <v>0.02</v>
      </c>
      <c r="AB307" s="579">
        <v>2.5000000000000001E-2</v>
      </c>
      <c r="AC307" s="579"/>
      <c r="AD307" s="579"/>
      <c r="AE307" s="579"/>
      <c r="AF307" s="579"/>
      <c r="AG307" s="579"/>
      <c r="AH307" s="577">
        <f t="shared" si="35"/>
        <v>4.4999999999999998E-2</v>
      </c>
    </row>
    <row r="308" spans="1:34" ht="13.8">
      <c r="A308" s="509" t="s">
        <v>154</v>
      </c>
      <c r="B308" s="480">
        <f t="shared" si="34"/>
        <v>0.20699999999999999</v>
      </c>
      <c r="C308" s="578"/>
      <c r="D308" s="579"/>
      <c r="E308" s="579"/>
      <c r="F308" s="579">
        <v>7.0000000000000007E-2</v>
      </c>
      <c r="G308" s="579"/>
      <c r="H308" s="579"/>
      <c r="I308" s="579">
        <v>4.4999999999999998E-2</v>
      </c>
      <c r="J308" s="579">
        <v>6.5000000000000002E-2</v>
      </c>
      <c r="K308" s="579"/>
      <c r="L308" s="579"/>
      <c r="M308" s="579">
        <v>2.7E-2</v>
      </c>
      <c r="N308" s="579"/>
      <c r="O308" s="579"/>
      <c r="P308" s="579"/>
      <c r="Q308" s="579"/>
      <c r="R308" s="579"/>
      <c r="S308" s="579"/>
      <c r="T308" s="579"/>
      <c r="U308" s="579"/>
      <c r="V308" s="579"/>
      <c r="W308" s="579"/>
      <c r="X308" s="579"/>
      <c r="Y308" s="579"/>
      <c r="Z308" s="579"/>
      <c r="AA308" s="579"/>
      <c r="AB308" s="579"/>
      <c r="AC308" s="579"/>
      <c r="AD308" s="579"/>
      <c r="AE308" s="579"/>
      <c r="AF308" s="579"/>
      <c r="AG308" s="579"/>
      <c r="AH308" s="577">
        <f t="shared" si="35"/>
        <v>0.20699999999999999</v>
      </c>
    </row>
    <row r="309" spans="1:34" ht="13.8">
      <c r="A309" s="573" t="s">
        <v>155</v>
      </c>
      <c r="B309" s="480">
        <f t="shared" si="34"/>
        <v>0</v>
      </c>
      <c r="C309" s="578"/>
      <c r="D309" s="579"/>
      <c r="E309" s="579"/>
      <c r="F309" s="579"/>
      <c r="G309" s="579"/>
      <c r="H309" s="579"/>
      <c r="I309" s="579"/>
      <c r="J309" s="579"/>
      <c r="K309" s="579"/>
      <c r="L309" s="579"/>
      <c r="M309" s="579"/>
      <c r="N309" s="579"/>
      <c r="O309" s="579"/>
      <c r="P309" s="579"/>
      <c r="Q309" s="579"/>
      <c r="R309" s="579"/>
      <c r="S309" s="579"/>
      <c r="T309" s="579"/>
      <c r="U309" s="579"/>
      <c r="V309" s="579"/>
      <c r="W309" s="579"/>
      <c r="X309" s="579"/>
      <c r="Y309" s="579"/>
      <c r="Z309" s="579"/>
      <c r="AA309" s="579"/>
      <c r="AB309" s="579"/>
      <c r="AC309" s="579"/>
      <c r="AD309" s="579"/>
      <c r="AE309" s="579"/>
      <c r="AF309" s="579"/>
      <c r="AG309" s="579"/>
      <c r="AH309" s="577">
        <f t="shared" si="35"/>
        <v>0</v>
      </c>
    </row>
    <row r="310" spans="1:34" ht="13.8">
      <c r="A310" s="573" t="s">
        <v>156</v>
      </c>
      <c r="B310" s="480">
        <f t="shared" si="34"/>
        <v>0</v>
      </c>
      <c r="C310" s="578"/>
      <c r="D310" s="579"/>
      <c r="E310" s="579"/>
      <c r="F310" s="579"/>
      <c r="G310" s="579"/>
      <c r="H310" s="579"/>
      <c r="I310" s="579"/>
      <c r="J310" s="579"/>
      <c r="K310" s="579"/>
      <c r="L310" s="579"/>
      <c r="M310" s="579"/>
      <c r="N310" s="579"/>
      <c r="O310" s="579"/>
      <c r="P310" s="579"/>
      <c r="Q310" s="579"/>
      <c r="R310" s="579"/>
      <c r="S310" s="579"/>
      <c r="T310" s="579"/>
      <c r="U310" s="579"/>
      <c r="V310" s="579"/>
      <c r="W310" s="579"/>
      <c r="X310" s="579"/>
      <c r="Y310" s="579"/>
      <c r="Z310" s="579"/>
      <c r="AA310" s="579"/>
      <c r="AB310" s="579"/>
      <c r="AC310" s="579"/>
      <c r="AD310" s="579"/>
      <c r="AE310" s="579"/>
      <c r="AF310" s="579"/>
      <c r="AG310" s="579"/>
      <c r="AH310" s="577">
        <f t="shared" si="35"/>
        <v>0</v>
      </c>
    </row>
    <row r="311" spans="1:34" ht="13.8">
      <c r="A311" s="580" t="s">
        <v>111</v>
      </c>
      <c r="B311" s="1891">
        <f>SUM(B299:B310)</f>
        <v>5.6720000000000006</v>
      </c>
      <c r="C311" s="581"/>
      <c r="D311" s="581"/>
      <c r="E311" s="581"/>
      <c r="F311" s="581"/>
      <c r="G311" s="581"/>
      <c r="H311" s="581"/>
      <c r="I311" s="581"/>
      <c r="J311" s="581"/>
      <c r="K311" s="581"/>
      <c r="L311" s="581"/>
      <c r="M311" s="581"/>
      <c r="N311" s="581"/>
      <c r="O311" s="581"/>
      <c r="P311" s="581"/>
      <c r="Q311" s="581"/>
      <c r="R311" s="581"/>
      <c r="S311" s="581"/>
      <c r="T311" s="581"/>
      <c r="U311" s="581"/>
      <c r="V311" s="581"/>
      <c r="W311" s="581"/>
      <c r="X311" s="581"/>
      <c r="Y311" s="581"/>
      <c r="Z311" s="581"/>
      <c r="AA311" s="581"/>
      <c r="AB311" s="581"/>
      <c r="AC311" s="581"/>
      <c r="AD311" s="581"/>
      <c r="AE311" s="581"/>
      <c r="AF311" s="581"/>
      <c r="AG311" s="581"/>
      <c r="AH311" s="582"/>
    </row>
    <row r="313" spans="1:34" ht="13.8" thickBot="1"/>
    <row r="314" spans="1:34" ht="14.4" thickBot="1">
      <c r="A314" s="4259" t="s">
        <v>823</v>
      </c>
      <c r="B314" s="4260"/>
      <c r="C314" s="4260"/>
      <c r="D314" s="1378" t="s">
        <v>73</v>
      </c>
      <c r="E314" s="1374"/>
      <c r="F314" s="1379"/>
    </row>
    <row r="315" spans="1:34" ht="13.8">
      <c r="A315" s="572" t="s">
        <v>142</v>
      </c>
      <c r="B315" s="572" t="s">
        <v>143</v>
      </c>
      <c r="C315" s="574">
        <v>1</v>
      </c>
      <c r="D315" s="788">
        <v>2</v>
      </c>
      <c r="E315" s="788">
        <v>3</v>
      </c>
      <c r="F315" s="788">
        <v>4</v>
      </c>
      <c r="G315" s="573">
        <v>5</v>
      </c>
      <c r="H315" s="573">
        <v>6</v>
      </c>
      <c r="I315" s="573">
        <v>7</v>
      </c>
      <c r="J315" s="573">
        <v>8</v>
      </c>
      <c r="K315" s="573">
        <v>9</v>
      </c>
      <c r="L315" s="573">
        <v>10</v>
      </c>
      <c r="M315" s="573">
        <v>11</v>
      </c>
      <c r="N315" s="573">
        <v>12</v>
      </c>
      <c r="O315" s="573">
        <v>13</v>
      </c>
      <c r="P315" s="573">
        <v>14</v>
      </c>
      <c r="Q315" s="573">
        <v>15</v>
      </c>
      <c r="R315" s="573">
        <v>16</v>
      </c>
      <c r="S315" s="573">
        <v>17</v>
      </c>
      <c r="T315" s="573">
        <v>18</v>
      </c>
      <c r="U315" s="573">
        <v>19</v>
      </c>
      <c r="V315" s="573">
        <v>20</v>
      </c>
      <c r="W315" s="509">
        <v>21</v>
      </c>
      <c r="X315" s="573">
        <v>22</v>
      </c>
      <c r="Y315" s="573">
        <v>23</v>
      </c>
      <c r="Z315" s="573">
        <v>24</v>
      </c>
      <c r="AA315" s="573">
        <v>25</v>
      </c>
      <c r="AB315" s="573">
        <v>26</v>
      </c>
      <c r="AC315" s="573">
        <v>27</v>
      </c>
      <c r="AD315" s="573">
        <v>28</v>
      </c>
      <c r="AE315" s="573">
        <v>29</v>
      </c>
      <c r="AF315" s="573">
        <v>30</v>
      </c>
      <c r="AG315" s="573">
        <v>31</v>
      </c>
      <c r="AH315" s="575" t="s">
        <v>111</v>
      </c>
    </row>
    <row r="316" spans="1:34" ht="13.8">
      <c r="A316" s="509" t="s">
        <v>145</v>
      </c>
      <c r="B316" s="480">
        <f t="shared" ref="B316:B327" si="36">+AH316</f>
        <v>0</v>
      </c>
      <c r="C316" s="576"/>
      <c r="D316" s="576"/>
      <c r="E316" s="576"/>
      <c r="F316" s="576"/>
      <c r="G316" s="576"/>
      <c r="H316" s="576"/>
      <c r="I316" s="576"/>
      <c r="J316" s="576"/>
      <c r="K316" s="576"/>
      <c r="L316" s="576"/>
      <c r="M316" s="576"/>
      <c r="N316" s="576"/>
      <c r="O316" s="576"/>
      <c r="P316" s="576"/>
      <c r="Q316" s="576"/>
      <c r="R316" s="576"/>
      <c r="S316" s="576"/>
      <c r="T316" s="576"/>
      <c r="U316" s="576"/>
      <c r="V316" s="576"/>
      <c r="W316" s="576"/>
      <c r="X316" s="576"/>
      <c r="Y316" s="576"/>
      <c r="Z316" s="576"/>
      <c r="AA316" s="576"/>
      <c r="AB316" s="576"/>
      <c r="AC316" s="576"/>
      <c r="AD316" s="576"/>
      <c r="AE316" s="576"/>
      <c r="AF316" s="576"/>
      <c r="AG316" s="576"/>
      <c r="AH316" s="577">
        <f>SUM(C316:AG316)</f>
        <v>0</v>
      </c>
    </row>
    <row r="317" spans="1:34" ht="13.8">
      <c r="A317" s="509" t="s">
        <v>146</v>
      </c>
      <c r="B317" s="480">
        <f t="shared" si="36"/>
        <v>0</v>
      </c>
      <c r="C317" s="576"/>
      <c r="D317" s="576"/>
      <c r="E317" s="576"/>
      <c r="F317" s="576"/>
      <c r="G317" s="576"/>
      <c r="H317" s="576"/>
      <c r="I317" s="576"/>
      <c r="J317" s="576"/>
      <c r="K317" s="576"/>
      <c r="L317" s="576"/>
      <c r="M317" s="576"/>
      <c r="N317" s="576"/>
      <c r="O317" s="576"/>
      <c r="P317" s="576"/>
      <c r="Q317" s="576"/>
      <c r="R317" s="576"/>
      <c r="S317" s="576"/>
      <c r="T317" s="576"/>
      <c r="U317" s="576"/>
      <c r="V317" s="576"/>
      <c r="W317" s="576"/>
      <c r="X317" s="576"/>
      <c r="Y317" s="576"/>
      <c r="Z317" s="576"/>
      <c r="AA317" s="576"/>
      <c r="AB317" s="576"/>
      <c r="AC317" s="576"/>
      <c r="AD317" s="576"/>
      <c r="AE317" s="576"/>
      <c r="AF317" s="576"/>
      <c r="AG317" s="576"/>
      <c r="AH317" s="577">
        <f t="shared" ref="AH317:AH327" si="37">SUM(C317:AG317)</f>
        <v>0</v>
      </c>
    </row>
    <row r="318" spans="1:34" ht="13.8">
      <c r="A318" s="509" t="s">
        <v>147</v>
      </c>
      <c r="B318" s="480">
        <f t="shared" si="36"/>
        <v>0</v>
      </c>
      <c r="C318" s="576"/>
      <c r="D318" s="576"/>
      <c r="E318" s="576"/>
      <c r="F318" s="576"/>
      <c r="G318" s="576"/>
      <c r="H318" s="576"/>
      <c r="I318" s="576"/>
      <c r="J318" s="576"/>
      <c r="K318" s="576"/>
      <c r="L318" s="576"/>
      <c r="M318" s="576"/>
      <c r="N318" s="576"/>
      <c r="O318" s="576"/>
      <c r="P318" s="576"/>
      <c r="Q318" s="576"/>
      <c r="R318" s="576"/>
      <c r="S318" s="576"/>
      <c r="T318" s="576"/>
      <c r="U318" s="576"/>
      <c r="V318" s="576"/>
      <c r="W318" s="576"/>
      <c r="X318" s="576"/>
      <c r="Y318" s="576"/>
      <c r="Z318" s="576"/>
      <c r="AA318" s="576"/>
      <c r="AB318" s="576"/>
      <c r="AC318" s="576"/>
      <c r="AD318" s="576"/>
      <c r="AE318" s="576"/>
      <c r="AF318" s="576"/>
      <c r="AG318" s="576"/>
      <c r="AH318" s="577">
        <f t="shared" si="37"/>
        <v>0</v>
      </c>
    </row>
    <row r="319" spans="1:34" ht="13.8">
      <c r="A319" s="509" t="s">
        <v>148</v>
      </c>
      <c r="B319" s="480">
        <f t="shared" si="36"/>
        <v>7</v>
      </c>
      <c r="C319" s="578"/>
      <c r="D319" s="579"/>
      <c r="E319" s="579"/>
      <c r="F319" s="579"/>
      <c r="G319" s="579"/>
      <c r="H319" s="579"/>
      <c r="I319" s="579"/>
      <c r="J319" s="579"/>
      <c r="K319" s="579"/>
      <c r="L319" s="579"/>
      <c r="M319" s="579"/>
      <c r="N319" s="579"/>
      <c r="O319" s="579"/>
      <c r="P319" s="579"/>
      <c r="Q319" s="579"/>
      <c r="R319" s="579"/>
      <c r="S319" s="579"/>
      <c r="T319" s="579"/>
      <c r="U319" s="579"/>
      <c r="V319" s="579"/>
      <c r="W319" s="579"/>
      <c r="X319" s="579"/>
      <c r="Y319" s="579"/>
      <c r="Z319" s="579"/>
      <c r="AA319" s="579"/>
      <c r="AB319" s="579"/>
      <c r="AC319" s="579">
        <v>7</v>
      </c>
      <c r="AD319" s="579"/>
      <c r="AE319" s="579"/>
      <c r="AF319" s="579"/>
      <c r="AG319" s="579"/>
      <c r="AH319" s="577">
        <f t="shared" si="37"/>
        <v>7</v>
      </c>
    </row>
    <row r="320" spans="1:34" ht="13.8">
      <c r="A320" s="509" t="s">
        <v>149</v>
      </c>
      <c r="B320" s="480">
        <f t="shared" si="36"/>
        <v>2.637</v>
      </c>
      <c r="C320" s="578"/>
      <c r="D320" s="579">
        <v>2</v>
      </c>
      <c r="E320" s="579"/>
      <c r="F320" s="579"/>
      <c r="G320" s="579"/>
      <c r="H320" s="579"/>
      <c r="I320" s="579"/>
      <c r="J320" s="579"/>
      <c r="K320" s="579"/>
      <c r="L320" s="579"/>
      <c r="M320" s="579"/>
      <c r="N320" s="579"/>
      <c r="O320" s="579"/>
      <c r="P320" s="579"/>
      <c r="Q320" s="579"/>
      <c r="R320" s="579"/>
      <c r="S320" s="579"/>
      <c r="T320" s="579"/>
      <c r="U320" s="579"/>
      <c r="V320" s="579"/>
      <c r="W320" s="579"/>
      <c r="X320" s="579">
        <v>0.2</v>
      </c>
      <c r="Y320" s="579"/>
      <c r="Z320" s="579">
        <v>0.437</v>
      </c>
      <c r="AA320" s="579"/>
      <c r="AB320" s="579"/>
      <c r="AC320" s="579"/>
      <c r="AD320" s="579"/>
      <c r="AE320" s="579"/>
      <c r="AF320" s="579"/>
      <c r="AG320" s="579"/>
      <c r="AH320" s="577">
        <f t="shared" si="37"/>
        <v>2.637</v>
      </c>
    </row>
    <row r="321" spans="1:34" ht="13.8">
      <c r="A321" s="509" t="s">
        <v>150</v>
      </c>
      <c r="B321" s="480">
        <f t="shared" si="36"/>
        <v>9</v>
      </c>
      <c r="C321" s="578"/>
      <c r="D321" s="579"/>
      <c r="E321" s="579"/>
      <c r="F321" s="579"/>
      <c r="G321" s="579"/>
      <c r="H321" s="579"/>
      <c r="I321" s="579"/>
      <c r="J321" s="579"/>
      <c r="K321" s="579"/>
      <c r="L321" s="579"/>
      <c r="M321" s="579"/>
      <c r="N321" s="579"/>
      <c r="O321" s="579"/>
      <c r="P321" s="579"/>
      <c r="Q321" s="579"/>
      <c r="R321" s="579"/>
      <c r="S321" s="579"/>
      <c r="T321" s="579"/>
      <c r="U321" s="579"/>
      <c r="V321" s="579"/>
      <c r="W321" s="579"/>
      <c r="X321" s="579"/>
      <c r="Y321" s="579"/>
      <c r="Z321" s="579"/>
      <c r="AA321" s="579"/>
      <c r="AB321" s="579"/>
      <c r="AC321" s="579"/>
      <c r="AD321" s="579"/>
      <c r="AE321" s="579">
        <v>9</v>
      </c>
      <c r="AF321" s="579"/>
      <c r="AG321" s="579"/>
      <c r="AH321" s="577">
        <f t="shared" si="37"/>
        <v>9</v>
      </c>
    </row>
    <row r="322" spans="1:34" ht="13.8">
      <c r="A322" s="509" t="s">
        <v>151</v>
      </c>
      <c r="B322" s="480">
        <f t="shared" si="36"/>
        <v>0</v>
      </c>
      <c r="C322" s="578"/>
      <c r="D322" s="579"/>
      <c r="E322" s="579"/>
      <c r="F322" s="579"/>
      <c r="G322" s="579"/>
      <c r="H322" s="579"/>
      <c r="I322" s="579"/>
      <c r="J322" s="579"/>
      <c r="K322" s="579"/>
      <c r="L322" s="579"/>
      <c r="M322" s="579"/>
      <c r="N322" s="579"/>
      <c r="O322" s="579"/>
      <c r="P322" s="579"/>
      <c r="Q322" s="579"/>
      <c r="R322" s="579"/>
      <c r="S322" s="579"/>
      <c r="T322" s="579"/>
      <c r="U322" s="579"/>
      <c r="V322" s="579"/>
      <c r="W322" s="579"/>
      <c r="X322" s="579"/>
      <c r="Y322" s="579"/>
      <c r="Z322" s="579"/>
      <c r="AA322" s="579"/>
      <c r="AB322" s="579"/>
      <c r="AC322" s="579"/>
      <c r="AD322" s="579"/>
      <c r="AE322" s="579"/>
      <c r="AF322" s="579"/>
      <c r="AG322" s="579"/>
      <c r="AH322" s="577">
        <f t="shared" si="37"/>
        <v>0</v>
      </c>
    </row>
    <row r="323" spans="1:34" ht="13.8">
      <c r="A323" s="509" t="s">
        <v>152</v>
      </c>
      <c r="B323" s="480">
        <f t="shared" si="36"/>
        <v>0</v>
      </c>
      <c r="C323" s="578"/>
      <c r="D323" s="579"/>
      <c r="E323" s="579"/>
      <c r="F323" s="579"/>
      <c r="G323" s="579"/>
      <c r="H323" s="579"/>
      <c r="I323" s="579"/>
      <c r="J323" s="579"/>
      <c r="K323" s="579"/>
      <c r="L323" s="579"/>
      <c r="M323" s="579"/>
      <c r="N323" s="579"/>
      <c r="O323" s="579"/>
      <c r="P323" s="579"/>
      <c r="Q323" s="579"/>
      <c r="R323" s="579"/>
      <c r="S323" s="579"/>
      <c r="T323" s="579"/>
      <c r="U323" s="579"/>
      <c r="V323" s="579"/>
      <c r="W323" s="579"/>
      <c r="X323" s="579"/>
      <c r="Y323" s="579"/>
      <c r="Z323" s="579"/>
      <c r="AA323" s="579"/>
      <c r="AB323" s="579"/>
      <c r="AC323" s="579"/>
      <c r="AD323" s="579"/>
      <c r="AE323" s="579"/>
      <c r="AF323" s="579"/>
      <c r="AG323" s="579"/>
      <c r="AH323" s="577">
        <f t="shared" si="37"/>
        <v>0</v>
      </c>
    </row>
    <row r="324" spans="1:34" ht="13.8">
      <c r="A324" s="509" t="s">
        <v>153</v>
      </c>
      <c r="B324" s="480">
        <f t="shared" si="36"/>
        <v>27.67</v>
      </c>
      <c r="C324" s="578"/>
      <c r="D324" s="579"/>
      <c r="E324" s="579"/>
      <c r="F324" s="579"/>
      <c r="G324" s="579">
        <v>4</v>
      </c>
      <c r="H324" s="579"/>
      <c r="I324" s="579"/>
      <c r="J324" s="579"/>
      <c r="K324" s="579"/>
      <c r="L324" s="579"/>
      <c r="M324" s="579">
        <v>23.67</v>
      </c>
      <c r="N324" s="579"/>
      <c r="O324" s="579"/>
      <c r="P324" s="579"/>
      <c r="Q324" s="579"/>
      <c r="R324" s="579"/>
      <c r="S324" s="579"/>
      <c r="T324" s="579"/>
      <c r="U324" s="579"/>
      <c r="V324" s="579"/>
      <c r="W324" s="579"/>
      <c r="X324" s="579"/>
      <c r="Y324" s="579"/>
      <c r="Z324" s="579"/>
      <c r="AA324" s="579"/>
      <c r="AB324" s="579"/>
      <c r="AC324" s="579"/>
      <c r="AD324" s="579"/>
      <c r="AE324" s="579"/>
      <c r="AF324" s="579"/>
      <c r="AG324" s="579"/>
      <c r="AH324" s="577">
        <f t="shared" si="37"/>
        <v>27.67</v>
      </c>
    </row>
    <row r="325" spans="1:34" ht="13.8">
      <c r="A325" s="509" t="s">
        <v>154</v>
      </c>
      <c r="B325" s="480">
        <f t="shared" si="36"/>
        <v>124.291</v>
      </c>
      <c r="C325" s="1451"/>
      <c r="D325" s="1451"/>
      <c r="E325" s="1451"/>
      <c r="F325" s="1451"/>
      <c r="G325" s="1451">
        <v>47.290999999999997</v>
      </c>
      <c r="H325" s="1451"/>
      <c r="I325" s="1451">
        <v>34</v>
      </c>
      <c r="J325" s="1451"/>
      <c r="K325" s="1451"/>
      <c r="L325" s="1451"/>
      <c r="M325" s="1451">
        <v>43</v>
      </c>
      <c r="N325" s="1451"/>
      <c r="O325" s="1451"/>
      <c r="P325" s="1451"/>
      <c r="Q325" s="1451"/>
      <c r="R325" s="1451"/>
      <c r="S325" s="1451"/>
      <c r="T325" s="1451"/>
      <c r="U325" s="1451"/>
      <c r="V325" s="1451"/>
      <c r="W325" s="1451"/>
      <c r="X325" s="1451"/>
      <c r="Y325" s="1451"/>
      <c r="Z325" s="1451"/>
      <c r="AA325" s="1451"/>
      <c r="AB325" s="1451"/>
      <c r="AC325" s="1451"/>
      <c r="AD325" s="1451"/>
      <c r="AE325" s="1451"/>
      <c r="AF325" s="1451"/>
      <c r="AG325" s="1451"/>
      <c r="AH325" s="2431">
        <f t="shared" si="37"/>
        <v>124.291</v>
      </c>
    </row>
    <row r="326" spans="1:34" ht="13.8">
      <c r="A326" s="509" t="s">
        <v>155</v>
      </c>
      <c r="B326" s="480">
        <f t="shared" si="36"/>
        <v>0</v>
      </c>
      <c r="C326" s="2432"/>
      <c r="D326" s="2433"/>
      <c r="E326" s="2433"/>
      <c r="F326" s="2433"/>
      <c r="G326" s="2433"/>
      <c r="H326" s="2433"/>
      <c r="I326" s="2433"/>
      <c r="J326" s="2433"/>
      <c r="K326" s="2433"/>
      <c r="L326" s="2433"/>
      <c r="M326" s="2433"/>
      <c r="N326" s="2433"/>
      <c r="O326" s="2433"/>
      <c r="P326" s="2433"/>
      <c r="Q326" s="2433"/>
      <c r="R326" s="2433"/>
      <c r="S326" s="2433"/>
      <c r="T326" s="2433"/>
      <c r="U326" s="2433"/>
      <c r="V326" s="2433"/>
      <c r="W326" s="2433"/>
      <c r="X326" s="2433"/>
      <c r="Y326" s="2433"/>
      <c r="Z326" s="2433"/>
      <c r="AA326" s="2433"/>
      <c r="AB326" s="2433"/>
      <c r="AC326" s="2433"/>
      <c r="AD326" s="2433"/>
      <c r="AE326" s="2433"/>
      <c r="AF326" s="2433"/>
      <c r="AG326" s="2433"/>
      <c r="AH326" s="577">
        <f t="shared" si="37"/>
        <v>0</v>
      </c>
    </row>
    <row r="327" spans="1:34" ht="13.8">
      <c r="A327" s="573" t="s">
        <v>156</v>
      </c>
      <c r="B327" s="480">
        <f t="shared" si="36"/>
        <v>0</v>
      </c>
      <c r="C327" s="578"/>
      <c r="D327" s="579"/>
      <c r="E327" s="579"/>
      <c r="F327" s="579"/>
      <c r="G327" s="579"/>
      <c r="H327" s="579"/>
      <c r="I327" s="579"/>
      <c r="J327" s="579"/>
      <c r="K327" s="579"/>
      <c r="L327" s="579"/>
      <c r="M327" s="579"/>
      <c r="N327" s="579"/>
      <c r="O327" s="579"/>
      <c r="P327" s="579"/>
      <c r="Q327" s="579"/>
      <c r="R327" s="579"/>
      <c r="S327" s="579"/>
      <c r="T327" s="579"/>
      <c r="U327" s="579"/>
      <c r="V327" s="579"/>
      <c r="W327" s="579"/>
      <c r="X327" s="579"/>
      <c r="Y327" s="579"/>
      <c r="Z327" s="579"/>
      <c r="AA327" s="579"/>
      <c r="AB327" s="579"/>
      <c r="AC327" s="579"/>
      <c r="AD327" s="579"/>
      <c r="AE327" s="579"/>
      <c r="AF327" s="579"/>
      <c r="AG327" s="579"/>
      <c r="AH327" s="577">
        <f t="shared" si="37"/>
        <v>0</v>
      </c>
    </row>
    <row r="328" spans="1:34" ht="13.8">
      <c r="A328" s="580" t="s">
        <v>111</v>
      </c>
      <c r="B328" s="580">
        <f>SUM(B316:B327)</f>
        <v>170.59800000000001</v>
      </c>
      <c r="C328" s="581"/>
      <c r="D328" s="581"/>
      <c r="E328" s="581"/>
      <c r="F328" s="581"/>
      <c r="G328" s="581"/>
      <c r="H328" s="581"/>
      <c r="I328" s="581"/>
      <c r="J328" s="581"/>
      <c r="K328" s="581"/>
      <c r="L328" s="581"/>
      <c r="M328" s="581"/>
      <c r="N328" s="581"/>
      <c r="O328" s="581"/>
      <c r="P328" s="581"/>
      <c r="Q328" s="581"/>
      <c r="R328" s="581"/>
      <c r="S328" s="581"/>
      <c r="T328" s="581"/>
      <c r="U328" s="581"/>
      <c r="V328" s="581"/>
      <c r="W328" s="581"/>
      <c r="X328" s="581"/>
      <c r="Y328" s="581"/>
      <c r="Z328" s="581"/>
      <c r="AA328" s="581"/>
      <c r="AB328" s="581"/>
      <c r="AC328" s="581"/>
      <c r="AD328" s="581"/>
      <c r="AE328" s="581"/>
      <c r="AF328" s="581"/>
      <c r="AG328" s="581"/>
      <c r="AH328" s="582"/>
    </row>
    <row r="329" spans="1:34" ht="13.8" thickBot="1"/>
    <row r="330" spans="1:34" ht="14.4" thickBot="1">
      <c r="A330" s="4259" t="s">
        <v>827</v>
      </c>
      <c r="B330" s="4260"/>
      <c r="C330" s="4260"/>
      <c r="D330" s="1378" t="s">
        <v>73</v>
      </c>
      <c r="E330" s="1374"/>
      <c r="F330" s="1379"/>
    </row>
    <row r="331" spans="1:34" ht="13.8">
      <c r="A331" s="572" t="s">
        <v>142</v>
      </c>
      <c r="B331" s="572" t="s">
        <v>143</v>
      </c>
      <c r="C331" s="574">
        <v>1</v>
      </c>
      <c r="D331" s="788">
        <v>2</v>
      </c>
      <c r="E331" s="788">
        <v>3</v>
      </c>
      <c r="F331" s="788">
        <v>4</v>
      </c>
      <c r="G331" s="573">
        <v>5</v>
      </c>
      <c r="H331" s="573">
        <v>6</v>
      </c>
      <c r="I331" s="573">
        <v>7</v>
      </c>
      <c r="J331" s="573">
        <v>8</v>
      </c>
      <c r="K331" s="573">
        <v>9</v>
      </c>
      <c r="L331" s="573">
        <v>10</v>
      </c>
      <c r="M331" s="573">
        <v>11</v>
      </c>
      <c r="N331" s="573">
        <v>12</v>
      </c>
      <c r="O331" s="573">
        <v>13</v>
      </c>
      <c r="P331" s="573">
        <v>14</v>
      </c>
      <c r="Q331" s="573">
        <v>15</v>
      </c>
      <c r="R331" s="573">
        <v>16</v>
      </c>
      <c r="S331" s="573">
        <v>17</v>
      </c>
      <c r="T331" s="573">
        <v>18</v>
      </c>
      <c r="U331" s="573">
        <v>19</v>
      </c>
      <c r="V331" s="573">
        <v>20</v>
      </c>
      <c r="W331" s="509">
        <v>21</v>
      </c>
      <c r="X331" s="573">
        <v>22</v>
      </c>
      <c r="Y331" s="573">
        <v>23</v>
      </c>
      <c r="Z331" s="573">
        <v>24</v>
      </c>
      <c r="AA331" s="573">
        <v>25</v>
      </c>
      <c r="AB331" s="573">
        <v>26</v>
      </c>
      <c r="AC331" s="573">
        <v>27</v>
      </c>
      <c r="AD331" s="573">
        <v>28</v>
      </c>
      <c r="AE331" s="573">
        <v>29</v>
      </c>
      <c r="AF331" s="573">
        <v>30</v>
      </c>
      <c r="AG331" s="573">
        <v>31</v>
      </c>
      <c r="AH331" s="575" t="s">
        <v>111</v>
      </c>
    </row>
    <row r="332" spans="1:34" ht="13.8">
      <c r="A332" s="509" t="s">
        <v>145</v>
      </c>
      <c r="B332" s="480">
        <f t="shared" ref="B332:B343" si="38">+AH332</f>
        <v>0</v>
      </c>
      <c r="C332" s="576"/>
      <c r="D332" s="576"/>
      <c r="E332" s="576"/>
      <c r="F332" s="576"/>
      <c r="G332" s="576"/>
      <c r="H332" s="576"/>
      <c r="I332" s="576"/>
      <c r="J332" s="576"/>
      <c r="K332" s="576"/>
      <c r="L332" s="576"/>
      <c r="M332" s="576"/>
      <c r="N332" s="576"/>
      <c r="O332" s="576"/>
      <c r="P332" s="576"/>
      <c r="Q332" s="576"/>
      <c r="R332" s="576"/>
      <c r="S332" s="576"/>
      <c r="T332" s="576"/>
      <c r="U332" s="576"/>
      <c r="V332" s="576"/>
      <c r="W332" s="576"/>
      <c r="X332" s="576"/>
      <c r="Y332" s="576"/>
      <c r="Z332" s="576"/>
      <c r="AA332" s="576"/>
      <c r="AB332" s="576"/>
      <c r="AC332" s="576"/>
      <c r="AD332" s="576"/>
      <c r="AE332" s="576"/>
      <c r="AF332" s="576"/>
      <c r="AG332" s="576"/>
      <c r="AH332" s="577">
        <f>SUM(C332:AG332)</f>
        <v>0</v>
      </c>
    </row>
    <row r="333" spans="1:34" ht="13.8">
      <c r="A333" s="509" t="s">
        <v>146</v>
      </c>
      <c r="B333" s="480">
        <f t="shared" si="38"/>
        <v>0</v>
      </c>
      <c r="C333" s="576"/>
      <c r="D333" s="576"/>
      <c r="E333" s="576"/>
      <c r="F333" s="576"/>
      <c r="G333" s="576"/>
      <c r="H333" s="576"/>
      <c r="I333" s="576"/>
      <c r="J333" s="576"/>
      <c r="K333" s="576"/>
      <c r="L333" s="576"/>
      <c r="M333" s="576"/>
      <c r="N333" s="576"/>
      <c r="O333" s="576"/>
      <c r="P333" s="576"/>
      <c r="Q333" s="576"/>
      <c r="R333" s="576"/>
      <c r="S333" s="576"/>
      <c r="T333" s="576"/>
      <c r="U333" s="576"/>
      <c r="V333" s="576"/>
      <c r="W333" s="576"/>
      <c r="X333" s="576"/>
      <c r="Y333" s="576"/>
      <c r="Z333" s="576"/>
      <c r="AA333" s="576"/>
      <c r="AB333" s="576"/>
      <c r="AC333" s="576"/>
      <c r="AD333" s="576"/>
      <c r="AE333" s="576"/>
      <c r="AF333" s="576"/>
      <c r="AG333" s="576"/>
      <c r="AH333" s="577">
        <f t="shared" ref="AH333:AH343" si="39">SUM(C333:AG333)</f>
        <v>0</v>
      </c>
    </row>
    <row r="334" spans="1:34" ht="13.8">
      <c r="A334" s="509" t="s">
        <v>147</v>
      </c>
      <c r="B334" s="480">
        <f t="shared" si="38"/>
        <v>0</v>
      </c>
      <c r="C334" s="576"/>
      <c r="D334" s="576"/>
      <c r="E334" s="576"/>
      <c r="F334" s="576"/>
      <c r="G334" s="576"/>
      <c r="H334" s="576"/>
      <c r="I334" s="576"/>
      <c r="J334" s="576"/>
      <c r="K334" s="576"/>
      <c r="L334" s="576"/>
      <c r="M334" s="576"/>
      <c r="N334" s="576"/>
      <c r="O334" s="576"/>
      <c r="P334" s="576"/>
      <c r="Q334" s="576"/>
      <c r="R334" s="576"/>
      <c r="S334" s="576"/>
      <c r="T334" s="576"/>
      <c r="U334" s="576"/>
      <c r="V334" s="576"/>
      <c r="W334" s="576"/>
      <c r="X334" s="576"/>
      <c r="Y334" s="576"/>
      <c r="Z334" s="576"/>
      <c r="AA334" s="576"/>
      <c r="AB334" s="576"/>
      <c r="AC334" s="576"/>
      <c r="AD334" s="576"/>
      <c r="AE334" s="576"/>
      <c r="AF334" s="576"/>
      <c r="AG334" s="576"/>
      <c r="AH334" s="577">
        <f t="shared" si="39"/>
        <v>0</v>
      </c>
    </row>
    <row r="335" spans="1:34" ht="13.8">
      <c r="A335" s="509" t="s">
        <v>148</v>
      </c>
      <c r="B335" s="480">
        <f t="shared" si="38"/>
        <v>0</v>
      </c>
      <c r="C335" s="578"/>
      <c r="D335" s="579"/>
      <c r="E335" s="579"/>
      <c r="F335" s="579"/>
      <c r="G335" s="579"/>
      <c r="H335" s="579"/>
      <c r="I335" s="579"/>
      <c r="J335" s="579"/>
      <c r="K335" s="579"/>
      <c r="L335" s="579"/>
      <c r="M335" s="579"/>
      <c r="N335" s="579"/>
      <c r="O335" s="579"/>
      <c r="P335" s="579"/>
      <c r="Q335" s="579"/>
      <c r="R335" s="579"/>
      <c r="S335" s="579"/>
      <c r="T335" s="579"/>
      <c r="U335" s="579"/>
      <c r="V335" s="579"/>
      <c r="W335" s="579"/>
      <c r="X335" s="579"/>
      <c r="Y335" s="579"/>
      <c r="Z335" s="579"/>
      <c r="AA335" s="579"/>
      <c r="AB335" s="579"/>
      <c r="AC335" s="579"/>
      <c r="AD335" s="579"/>
      <c r="AE335" s="579"/>
      <c r="AF335" s="579"/>
      <c r="AG335" s="579"/>
      <c r="AH335" s="577">
        <f t="shared" si="39"/>
        <v>0</v>
      </c>
    </row>
    <row r="336" spans="1:34" ht="13.8">
      <c r="A336" s="509" t="s">
        <v>149</v>
      </c>
      <c r="B336" s="480">
        <f t="shared" si="38"/>
        <v>0</v>
      </c>
      <c r="C336" s="578"/>
      <c r="D336" s="579"/>
      <c r="E336" s="579"/>
      <c r="F336" s="579"/>
      <c r="G336" s="579"/>
      <c r="H336" s="579"/>
      <c r="I336" s="579"/>
      <c r="J336" s="579"/>
      <c r="K336" s="579"/>
      <c r="L336" s="579"/>
      <c r="M336" s="579"/>
      <c r="N336" s="579"/>
      <c r="O336" s="579"/>
      <c r="P336" s="579"/>
      <c r="Q336" s="579"/>
      <c r="R336" s="579"/>
      <c r="S336" s="579"/>
      <c r="T336" s="579"/>
      <c r="U336" s="579"/>
      <c r="V336" s="579"/>
      <c r="W336" s="579"/>
      <c r="X336" s="579"/>
      <c r="Y336" s="579"/>
      <c r="Z336" s="579"/>
      <c r="AA336" s="579"/>
      <c r="AB336" s="579"/>
      <c r="AC336" s="579"/>
      <c r="AD336" s="579"/>
      <c r="AE336" s="579"/>
      <c r="AF336" s="579"/>
      <c r="AG336" s="579"/>
      <c r="AH336" s="577">
        <f t="shared" si="39"/>
        <v>0</v>
      </c>
    </row>
    <row r="337" spans="1:34" ht="13.8">
      <c r="A337" s="509" t="s">
        <v>150</v>
      </c>
      <c r="B337" s="480">
        <f t="shared" si="38"/>
        <v>0</v>
      </c>
      <c r="C337" s="578"/>
      <c r="D337" s="579"/>
      <c r="E337" s="579"/>
      <c r="F337" s="579"/>
      <c r="G337" s="579"/>
      <c r="H337" s="579"/>
      <c r="I337" s="579"/>
      <c r="J337" s="579"/>
      <c r="K337" s="579"/>
      <c r="L337" s="579"/>
      <c r="M337" s="579"/>
      <c r="N337" s="579"/>
      <c r="O337" s="579"/>
      <c r="P337" s="579"/>
      <c r="Q337" s="579"/>
      <c r="R337" s="579"/>
      <c r="S337" s="579"/>
      <c r="T337" s="579"/>
      <c r="U337" s="579"/>
      <c r="V337" s="579"/>
      <c r="W337" s="579"/>
      <c r="X337" s="579"/>
      <c r="Y337" s="579"/>
      <c r="Z337" s="579"/>
      <c r="AA337" s="579"/>
      <c r="AB337" s="579"/>
      <c r="AC337" s="579"/>
      <c r="AD337" s="579"/>
      <c r="AE337" s="579"/>
      <c r="AF337" s="579"/>
      <c r="AG337" s="579"/>
      <c r="AH337" s="577">
        <f t="shared" si="39"/>
        <v>0</v>
      </c>
    </row>
    <row r="338" spans="1:34" ht="13.8">
      <c r="A338" s="509" t="s">
        <v>151</v>
      </c>
      <c r="B338" s="480">
        <f t="shared" si="38"/>
        <v>0</v>
      </c>
      <c r="C338" s="578"/>
      <c r="D338" s="579"/>
      <c r="E338" s="579"/>
      <c r="F338" s="579"/>
      <c r="G338" s="579"/>
      <c r="H338" s="579"/>
      <c r="I338" s="579"/>
      <c r="J338" s="579"/>
      <c r="K338" s="579"/>
      <c r="L338" s="579"/>
      <c r="M338" s="579"/>
      <c r="N338" s="579"/>
      <c r="O338" s="579"/>
      <c r="P338" s="579"/>
      <c r="Q338" s="579"/>
      <c r="R338" s="579"/>
      <c r="S338" s="579"/>
      <c r="T338" s="579"/>
      <c r="U338" s="579"/>
      <c r="V338" s="579"/>
      <c r="W338" s="579"/>
      <c r="X338" s="579"/>
      <c r="Y338" s="579"/>
      <c r="Z338" s="579"/>
      <c r="AA338" s="579"/>
      <c r="AB338" s="579"/>
      <c r="AC338" s="579"/>
      <c r="AD338" s="579"/>
      <c r="AE338" s="579"/>
      <c r="AF338" s="579"/>
      <c r="AG338" s="579"/>
      <c r="AH338" s="577">
        <f t="shared" si="39"/>
        <v>0</v>
      </c>
    </row>
    <row r="339" spans="1:34" ht="13.8">
      <c r="A339" s="509" t="s">
        <v>152</v>
      </c>
      <c r="B339" s="480">
        <f t="shared" si="38"/>
        <v>0</v>
      </c>
      <c r="C339" s="578"/>
      <c r="D339" s="579"/>
      <c r="E339" s="579"/>
      <c r="F339" s="579"/>
      <c r="G339" s="579"/>
      <c r="H339" s="579"/>
      <c r="I339" s="579"/>
      <c r="J339" s="579"/>
      <c r="K339" s="579"/>
      <c r="L339" s="579"/>
      <c r="M339" s="579"/>
      <c r="N339" s="579"/>
      <c r="O339" s="579"/>
      <c r="P339" s="579"/>
      <c r="Q339" s="579"/>
      <c r="R339" s="579"/>
      <c r="S339" s="579"/>
      <c r="T339" s="579"/>
      <c r="U339" s="579"/>
      <c r="V339" s="579"/>
      <c r="W339" s="579"/>
      <c r="X339" s="579"/>
      <c r="Y339" s="579"/>
      <c r="Z339" s="579"/>
      <c r="AA339" s="579"/>
      <c r="AB339" s="579"/>
      <c r="AC339" s="579"/>
      <c r="AD339" s="579"/>
      <c r="AE339" s="579"/>
      <c r="AF339" s="579"/>
      <c r="AG339" s="579"/>
      <c r="AH339" s="577">
        <f t="shared" si="39"/>
        <v>0</v>
      </c>
    </row>
    <row r="340" spans="1:34" ht="13.8">
      <c r="A340" s="509" t="s">
        <v>153</v>
      </c>
      <c r="B340" s="480">
        <f t="shared" si="38"/>
        <v>0</v>
      </c>
      <c r="C340" s="578"/>
      <c r="D340" s="579"/>
      <c r="E340" s="579"/>
      <c r="F340" s="579"/>
      <c r="G340" s="579"/>
      <c r="H340" s="579"/>
      <c r="I340" s="579"/>
      <c r="J340" s="579"/>
      <c r="K340" s="579"/>
      <c r="L340" s="579"/>
      <c r="M340" s="579"/>
      <c r="N340" s="579"/>
      <c r="O340" s="579"/>
      <c r="P340" s="579"/>
      <c r="Q340" s="579"/>
      <c r="R340" s="579"/>
      <c r="S340" s="579"/>
      <c r="T340" s="579"/>
      <c r="U340" s="579"/>
      <c r="V340" s="579"/>
      <c r="W340" s="579"/>
      <c r="X340" s="579"/>
      <c r="Y340" s="579"/>
      <c r="Z340" s="579"/>
      <c r="AA340" s="579"/>
      <c r="AB340" s="579"/>
      <c r="AC340" s="579"/>
      <c r="AD340" s="579"/>
      <c r="AE340" s="579"/>
      <c r="AF340" s="579"/>
      <c r="AG340" s="579"/>
      <c r="AH340" s="577">
        <f t="shared" si="39"/>
        <v>0</v>
      </c>
    </row>
    <row r="341" spans="1:34" ht="13.8">
      <c r="A341" s="509" t="s">
        <v>154</v>
      </c>
      <c r="B341" s="480">
        <f t="shared" si="38"/>
        <v>101.425</v>
      </c>
      <c r="C341" s="578"/>
      <c r="D341" s="579"/>
      <c r="E341" s="579"/>
      <c r="F341" s="579"/>
      <c r="G341" s="579"/>
      <c r="H341" s="579"/>
      <c r="I341" s="579">
        <v>16.675000000000001</v>
      </c>
      <c r="J341" s="579"/>
      <c r="K341" s="579"/>
      <c r="L341" s="579"/>
      <c r="M341" s="579">
        <v>5.75</v>
      </c>
      <c r="N341" s="579">
        <v>36</v>
      </c>
      <c r="O341" s="579">
        <v>35</v>
      </c>
      <c r="P341" s="579"/>
      <c r="Q341" s="579"/>
      <c r="R341" s="579"/>
      <c r="S341" s="579">
        <v>8</v>
      </c>
      <c r="T341" s="579"/>
      <c r="U341" s="579"/>
      <c r="V341" s="579"/>
      <c r="W341" s="579"/>
      <c r="X341" s="579"/>
      <c r="Y341" s="579"/>
      <c r="Z341" s="579"/>
      <c r="AA341" s="579"/>
      <c r="AB341" s="579"/>
      <c r="AC341" s="579"/>
      <c r="AD341" s="579"/>
      <c r="AE341" s="579"/>
      <c r="AF341" s="579"/>
      <c r="AG341" s="579"/>
      <c r="AH341" s="577">
        <f t="shared" si="39"/>
        <v>101.425</v>
      </c>
    </row>
    <row r="342" spans="1:34" ht="13.8">
      <c r="A342" s="509" t="s">
        <v>155</v>
      </c>
      <c r="B342" s="480">
        <f t="shared" si="38"/>
        <v>0</v>
      </c>
      <c r="C342" s="578"/>
      <c r="D342" s="579"/>
      <c r="E342" s="579"/>
      <c r="F342" s="579"/>
      <c r="G342" s="579"/>
      <c r="H342" s="579"/>
      <c r="I342" s="579"/>
      <c r="J342" s="579"/>
      <c r="K342" s="579"/>
      <c r="L342" s="579"/>
      <c r="M342" s="579"/>
      <c r="N342" s="579"/>
      <c r="O342" s="579"/>
      <c r="P342" s="579"/>
      <c r="Q342" s="579"/>
      <c r="R342" s="579"/>
      <c r="S342" s="579"/>
      <c r="T342" s="579"/>
      <c r="U342" s="579"/>
      <c r="V342" s="579"/>
      <c r="W342" s="579"/>
      <c r="X342" s="579"/>
      <c r="Y342" s="579"/>
      <c r="Z342" s="579"/>
      <c r="AA342" s="579"/>
      <c r="AB342" s="579"/>
      <c r="AC342" s="579"/>
      <c r="AD342" s="579"/>
      <c r="AE342" s="579"/>
      <c r="AF342" s="579"/>
      <c r="AG342" s="579"/>
      <c r="AH342" s="577">
        <f t="shared" si="39"/>
        <v>0</v>
      </c>
    </row>
    <row r="343" spans="1:34" ht="13.8">
      <c r="A343" s="573" t="s">
        <v>156</v>
      </c>
      <c r="B343" s="480">
        <f t="shared" si="38"/>
        <v>0</v>
      </c>
      <c r="C343" s="578"/>
      <c r="D343" s="579"/>
      <c r="E343" s="579"/>
      <c r="F343" s="579"/>
      <c r="G343" s="579"/>
      <c r="H343" s="579"/>
      <c r="I343" s="579"/>
      <c r="J343" s="579"/>
      <c r="K343" s="579"/>
      <c r="L343" s="579"/>
      <c r="M343" s="579"/>
      <c r="N343" s="579"/>
      <c r="O343" s="579"/>
      <c r="P343" s="579"/>
      <c r="Q343" s="579"/>
      <c r="R343" s="579"/>
      <c r="S343" s="579"/>
      <c r="T343" s="579"/>
      <c r="U343" s="579"/>
      <c r="V343" s="579"/>
      <c r="W343" s="579"/>
      <c r="X343" s="579"/>
      <c r="Y343" s="579"/>
      <c r="Z343" s="579"/>
      <c r="AA343" s="579"/>
      <c r="AB343" s="579"/>
      <c r="AC343" s="579"/>
      <c r="AD343" s="579"/>
      <c r="AE343" s="579"/>
      <c r="AF343" s="579"/>
      <c r="AG343" s="579"/>
      <c r="AH343" s="577">
        <f t="shared" si="39"/>
        <v>0</v>
      </c>
    </row>
    <row r="344" spans="1:34" ht="13.8">
      <c r="A344" s="580" t="s">
        <v>111</v>
      </c>
      <c r="B344" s="580">
        <f>SUM(B332:B343)</f>
        <v>101.425</v>
      </c>
      <c r="C344" s="581"/>
      <c r="D344" s="581"/>
      <c r="E344" s="581"/>
      <c r="F344" s="581"/>
      <c r="G344" s="581"/>
      <c r="H344" s="581"/>
      <c r="I344" s="581"/>
      <c r="J344" s="581"/>
      <c r="K344" s="581"/>
      <c r="L344" s="581"/>
      <c r="M344" s="581"/>
      <c r="N344" s="581"/>
      <c r="O344" s="581"/>
      <c r="P344" s="581"/>
      <c r="Q344" s="581"/>
      <c r="R344" s="581"/>
      <c r="S344" s="581"/>
      <c r="T344" s="581"/>
      <c r="U344" s="581"/>
      <c r="V344" s="581"/>
      <c r="W344" s="581"/>
      <c r="X344" s="581"/>
      <c r="Y344" s="581"/>
      <c r="Z344" s="581"/>
      <c r="AA344" s="581"/>
      <c r="AB344" s="581"/>
      <c r="AC344" s="581"/>
      <c r="AD344" s="581"/>
      <c r="AE344" s="581"/>
      <c r="AF344" s="581"/>
      <c r="AG344" s="581"/>
      <c r="AH344" s="582"/>
    </row>
    <row r="345" spans="1:34" ht="13.8">
      <c r="A345" s="1652"/>
      <c r="B345" s="1652"/>
      <c r="C345" s="1448"/>
      <c r="D345" s="1448"/>
      <c r="E345" s="1448"/>
      <c r="F345" s="1448"/>
      <c r="G345" s="1448"/>
      <c r="H345" s="1448"/>
      <c r="I345" s="1448"/>
      <c r="J345" s="1448"/>
      <c r="K345" s="1448"/>
      <c r="L345" s="1448"/>
      <c r="M345" s="1448"/>
      <c r="N345" s="1448"/>
      <c r="O345" s="1448"/>
      <c r="P345" s="1448"/>
      <c r="Q345" s="1448"/>
      <c r="R345" s="1448"/>
      <c r="S345" s="1448"/>
      <c r="T345" s="1448"/>
      <c r="U345" s="1448"/>
      <c r="V345" s="1448"/>
      <c r="W345" s="1448"/>
      <c r="X345" s="1448"/>
      <c r="Y345" s="1448"/>
      <c r="Z345" s="1448"/>
      <c r="AA345" s="1448"/>
      <c r="AB345" s="1448"/>
      <c r="AC345" s="1448"/>
      <c r="AD345" s="1448"/>
      <c r="AE345" s="1448"/>
      <c r="AF345" s="1448"/>
      <c r="AG345" s="1448"/>
      <c r="AH345" s="1651"/>
    </row>
    <row r="346" spans="1:34" ht="14.4" thickBot="1">
      <c r="A346" s="1652"/>
      <c r="B346" s="1652"/>
      <c r="C346" s="1448"/>
      <c r="D346" s="1448"/>
      <c r="E346" s="1448"/>
      <c r="F346" s="1448"/>
      <c r="G346" s="1448"/>
      <c r="H346" s="1448"/>
      <c r="I346" s="1448"/>
      <c r="J346" s="1448"/>
      <c r="K346" s="1448"/>
      <c r="L346" s="1448"/>
      <c r="M346" s="1448"/>
      <c r="N346" s="1448"/>
      <c r="O346" s="1448"/>
      <c r="P346" s="1448"/>
      <c r="Q346" s="1448"/>
      <c r="R346" s="1448"/>
      <c r="S346" s="1448"/>
      <c r="T346" s="1448"/>
      <c r="U346" s="1448"/>
      <c r="V346" s="1448"/>
      <c r="W346" s="1448"/>
      <c r="X346" s="1448"/>
      <c r="Y346" s="1448"/>
      <c r="Z346" s="1448"/>
      <c r="AA346" s="1448"/>
      <c r="AB346" s="1448"/>
      <c r="AC346" s="1448"/>
      <c r="AD346" s="1448"/>
      <c r="AE346" s="1448"/>
      <c r="AF346" s="1448"/>
      <c r="AG346" s="1448"/>
      <c r="AH346" s="1651"/>
    </row>
    <row r="347" spans="1:34" ht="14.4" thickBot="1">
      <c r="A347" s="4259" t="s">
        <v>1039</v>
      </c>
      <c r="B347" s="4260"/>
      <c r="C347" s="4260"/>
      <c r="D347" s="1378" t="s">
        <v>73</v>
      </c>
      <c r="E347" s="1374"/>
      <c r="F347" s="1379"/>
      <c r="G347" s="1448"/>
      <c r="H347" s="1448"/>
      <c r="I347" s="1448"/>
      <c r="J347" s="1448"/>
      <c r="K347" s="1448"/>
      <c r="L347" s="1448"/>
      <c r="M347" s="1448"/>
      <c r="N347" s="1448"/>
      <c r="O347" s="1448"/>
      <c r="P347" s="1448"/>
      <c r="Q347" s="1448"/>
      <c r="R347" s="1448"/>
      <c r="S347" s="1448"/>
      <c r="T347" s="1448"/>
      <c r="U347" s="1448"/>
      <c r="V347" s="1448"/>
      <c r="W347" s="1448"/>
      <c r="X347" s="1448"/>
      <c r="Y347" s="1448"/>
      <c r="Z347" s="1448"/>
      <c r="AA347" s="1448"/>
      <c r="AB347" s="1448"/>
      <c r="AC347" s="1448"/>
      <c r="AD347" s="1448"/>
      <c r="AE347" s="1448"/>
      <c r="AF347" s="1448"/>
      <c r="AG347" s="1448"/>
      <c r="AH347" s="1651"/>
    </row>
    <row r="348" spans="1:34" ht="13.8">
      <c r="A348" s="572" t="s">
        <v>142</v>
      </c>
      <c r="B348" s="572" t="s">
        <v>143</v>
      </c>
      <c r="C348" s="574">
        <v>1</v>
      </c>
      <c r="D348" s="788">
        <v>2</v>
      </c>
      <c r="E348" s="788">
        <v>3</v>
      </c>
      <c r="F348" s="788">
        <v>4</v>
      </c>
      <c r="G348" s="573">
        <v>5</v>
      </c>
      <c r="H348" s="573">
        <v>6</v>
      </c>
      <c r="I348" s="573">
        <v>7</v>
      </c>
      <c r="J348" s="573">
        <v>8</v>
      </c>
      <c r="K348" s="573">
        <v>9</v>
      </c>
      <c r="L348" s="573">
        <v>10</v>
      </c>
      <c r="M348" s="573">
        <v>11</v>
      </c>
      <c r="N348" s="573">
        <v>12</v>
      </c>
      <c r="O348" s="573">
        <v>13</v>
      </c>
      <c r="P348" s="573">
        <v>14</v>
      </c>
      <c r="Q348" s="573">
        <v>15</v>
      </c>
      <c r="R348" s="573">
        <v>16</v>
      </c>
      <c r="S348" s="573">
        <v>17</v>
      </c>
      <c r="T348" s="573">
        <v>18</v>
      </c>
      <c r="U348" s="573">
        <v>19</v>
      </c>
      <c r="V348" s="573">
        <v>20</v>
      </c>
      <c r="W348" s="509">
        <v>21</v>
      </c>
      <c r="X348" s="573">
        <v>22</v>
      </c>
      <c r="Y348" s="573">
        <v>23</v>
      </c>
      <c r="Z348" s="573">
        <v>24</v>
      </c>
      <c r="AA348" s="573">
        <v>25</v>
      </c>
      <c r="AB348" s="573">
        <v>26</v>
      </c>
      <c r="AC348" s="573">
        <v>27</v>
      </c>
      <c r="AD348" s="573">
        <v>28</v>
      </c>
      <c r="AE348" s="573">
        <v>29</v>
      </c>
      <c r="AF348" s="573">
        <v>30</v>
      </c>
      <c r="AG348" s="573">
        <v>31</v>
      </c>
      <c r="AH348" s="575" t="s">
        <v>111</v>
      </c>
    </row>
    <row r="349" spans="1:34" ht="13.8">
      <c r="A349" s="509" t="s">
        <v>150</v>
      </c>
      <c r="B349" s="480">
        <f>+AH349</f>
        <v>0</v>
      </c>
      <c r="C349" s="578"/>
      <c r="D349" s="579"/>
      <c r="E349" s="579"/>
      <c r="F349" s="579"/>
      <c r="G349" s="579"/>
      <c r="H349" s="579"/>
      <c r="I349" s="579"/>
      <c r="J349" s="579"/>
      <c r="K349" s="579"/>
      <c r="L349" s="579"/>
      <c r="M349" s="579"/>
      <c r="N349" s="579"/>
      <c r="O349" s="579"/>
      <c r="P349" s="579"/>
      <c r="Q349" s="579"/>
      <c r="R349" s="579"/>
      <c r="S349" s="579"/>
      <c r="T349" s="579"/>
      <c r="U349" s="579"/>
      <c r="V349" s="579"/>
      <c r="W349" s="579"/>
      <c r="X349" s="579"/>
      <c r="Y349" s="579"/>
      <c r="Z349" s="579"/>
      <c r="AA349" s="579"/>
      <c r="AB349" s="579"/>
      <c r="AC349" s="579"/>
      <c r="AD349" s="579"/>
      <c r="AE349" s="579"/>
      <c r="AF349" s="579"/>
      <c r="AG349" s="579"/>
      <c r="AH349" s="577">
        <f t="shared" ref="AH349:AH355" si="40">SUM(C349:AG349)</f>
        <v>0</v>
      </c>
    </row>
    <row r="350" spans="1:34" ht="13.8">
      <c r="A350" s="509" t="s">
        <v>151</v>
      </c>
      <c r="B350" s="480">
        <f t="shared" ref="B350:B355" si="41">+AH350</f>
        <v>0</v>
      </c>
      <c r="C350" s="578"/>
      <c r="D350" s="579"/>
      <c r="E350" s="579"/>
      <c r="F350" s="579"/>
      <c r="G350" s="579"/>
      <c r="H350" s="579"/>
      <c r="I350" s="579"/>
      <c r="J350" s="579"/>
      <c r="K350" s="579"/>
      <c r="L350" s="579"/>
      <c r="M350" s="579"/>
      <c r="N350" s="579"/>
      <c r="O350" s="579"/>
      <c r="P350" s="579"/>
      <c r="Q350" s="579"/>
      <c r="R350" s="579"/>
      <c r="S350" s="579"/>
      <c r="T350" s="579"/>
      <c r="U350" s="579"/>
      <c r="V350" s="579"/>
      <c r="W350" s="579"/>
      <c r="X350" s="579"/>
      <c r="Y350" s="579"/>
      <c r="Z350" s="579"/>
      <c r="AA350" s="579"/>
      <c r="AB350" s="579"/>
      <c r="AC350" s="579"/>
      <c r="AD350" s="579"/>
      <c r="AE350" s="579"/>
      <c r="AF350" s="579"/>
      <c r="AG350" s="579"/>
      <c r="AH350" s="577">
        <f t="shared" si="40"/>
        <v>0</v>
      </c>
    </row>
    <row r="351" spans="1:34" ht="13.8">
      <c r="A351" s="509" t="s">
        <v>152</v>
      </c>
      <c r="B351" s="480">
        <f t="shared" si="41"/>
        <v>0</v>
      </c>
      <c r="C351" s="578"/>
      <c r="D351" s="579"/>
      <c r="E351" s="579"/>
      <c r="F351" s="579"/>
      <c r="G351" s="579"/>
      <c r="H351" s="579"/>
      <c r="I351" s="579"/>
      <c r="J351" s="579"/>
      <c r="K351" s="579"/>
      <c r="L351" s="579"/>
      <c r="M351" s="579"/>
      <c r="N351" s="579"/>
      <c r="O351" s="579"/>
      <c r="P351" s="579"/>
      <c r="Q351" s="579"/>
      <c r="R351" s="579"/>
      <c r="S351" s="579"/>
      <c r="T351" s="579"/>
      <c r="U351" s="579"/>
      <c r="V351" s="579"/>
      <c r="W351" s="579"/>
      <c r="X351" s="579"/>
      <c r="Y351" s="579"/>
      <c r="Z351" s="579"/>
      <c r="AA351" s="579"/>
      <c r="AB351" s="579"/>
      <c r="AC351" s="579"/>
      <c r="AD351" s="579"/>
      <c r="AE351" s="579"/>
      <c r="AF351" s="579"/>
      <c r="AG351" s="579"/>
      <c r="AH351" s="577">
        <f t="shared" si="40"/>
        <v>0</v>
      </c>
    </row>
    <row r="352" spans="1:34" ht="13.8">
      <c r="A352" s="509" t="s">
        <v>153</v>
      </c>
      <c r="B352" s="480">
        <f t="shared" si="41"/>
        <v>0</v>
      </c>
      <c r="C352" s="578"/>
      <c r="D352" s="579"/>
      <c r="E352" s="579"/>
      <c r="F352" s="579"/>
      <c r="G352" s="579"/>
      <c r="H352" s="579"/>
      <c r="I352" s="579"/>
      <c r="J352" s="579"/>
      <c r="K352" s="579"/>
      <c r="L352" s="579"/>
      <c r="M352" s="579"/>
      <c r="N352" s="579"/>
      <c r="O352" s="579"/>
      <c r="P352" s="579"/>
      <c r="Q352" s="579"/>
      <c r="R352" s="579"/>
      <c r="S352" s="579"/>
      <c r="T352" s="579"/>
      <c r="U352" s="579"/>
      <c r="V352" s="579"/>
      <c r="W352" s="579"/>
      <c r="X352" s="579"/>
      <c r="Y352" s="579"/>
      <c r="Z352" s="579"/>
      <c r="AA352" s="579"/>
      <c r="AB352" s="579"/>
      <c r="AC352" s="579"/>
      <c r="AD352" s="579"/>
      <c r="AE352" s="579"/>
      <c r="AF352" s="579"/>
      <c r="AG352" s="579"/>
      <c r="AH352" s="577">
        <f t="shared" si="40"/>
        <v>0</v>
      </c>
    </row>
    <row r="353" spans="1:34" ht="13.8">
      <c r="A353" s="509" t="s">
        <v>154</v>
      </c>
      <c r="B353" s="480">
        <f t="shared" si="41"/>
        <v>15.66</v>
      </c>
      <c r="C353" s="578"/>
      <c r="D353" s="579"/>
      <c r="E353" s="579"/>
      <c r="F353" s="579"/>
      <c r="G353" s="579"/>
      <c r="H353" s="579"/>
      <c r="I353" s="579"/>
      <c r="J353" s="579"/>
      <c r="K353" s="579"/>
      <c r="L353" s="579"/>
      <c r="M353" s="579"/>
      <c r="N353" s="579"/>
      <c r="O353" s="579">
        <v>0.6</v>
      </c>
      <c r="P353" s="579">
        <v>0.72</v>
      </c>
      <c r="Q353" s="579"/>
      <c r="R353" s="579"/>
      <c r="S353" s="579"/>
      <c r="T353" s="579"/>
      <c r="U353" s="579">
        <v>11</v>
      </c>
      <c r="V353" s="579"/>
      <c r="W353" s="579"/>
      <c r="X353" s="579"/>
      <c r="Y353" s="579"/>
      <c r="Z353" s="579"/>
      <c r="AA353" s="579"/>
      <c r="AB353" s="579">
        <v>3.34</v>
      </c>
      <c r="AC353" s="579"/>
      <c r="AD353" s="579"/>
      <c r="AE353" s="579"/>
      <c r="AF353" s="579"/>
      <c r="AG353" s="579"/>
      <c r="AH353" s="577">
        <f t="shared" si="40"/>
        <v>15.66</v>
      </c>
    </row>
    <row r="354" spans="1:34" ht="13.8">
      <c r="A354" s="509" t="s">
        <v>155</v>
      </c>
      <c r="B354" s="480">
        <f t="shared" si="41"/>
        <v>55.283000000000001</v>
      </c>
      <c r="C354" s="578"/>
      <c r="D354" s="579"/>
      <c r="E354" s="579"/>
      <c r="F354" s="579"/>
      <c r="G354" s="579">
        <v>24</v>
      </c>
      <c r="H354" s="579">
        <v>0</v>
      </c>
      <c r="I354" s="579">
        <v>0.39</v>
      </c>
      <c r="J354" s="579">
        <v>0.61399999999999999</v>
      </c>
      <c r="K354" s="579">
        <v>0</v>
      </c>
      <c r="L354" s="579">
        <v>0</v>
      </c>
      <c r="M354" s="579">
        <v>0</v>
      </c>
      <c r="N354" s="579">
        <v>0</v>
      </c>
      <c r="O354" s="579">
        <v>3.9049999999999998</v>
      </c>
      <c r="P354" s="579">
        <v>0</v>
      </c>
      <c r="Q354" s="579">
        <v>0</v>
      </c>
      <c r="R354" s="579">
        <v>0</v>
      </c>
      <c r="S354" s="579">
        <v>0</v>
      </c>
      <c r="T354" s="579">
        <v>0</v>
      </c>
      <c r="U354" s="579">
        <v>1.0569999999999999</v>
      </c>
      <c r="V354" s="579">
        <v>0</v>
      </c>
      <c r="W354" s="579">
        <v>21</v>
      </c>
      <c r="X354" s="579">
        <v>2</v>
      </c>
      <c r="Y354" s="579">
        <v>0</v>
      </c>
      <c r="Z354" s="579">
        <v>0</v>
      </c>
      <c r="AA354" s="579">
        <v>0</v>
      </c>
      <c r="AB354" s="579">
        <v>0</v>
      </c>
      <c r="AC354" s="579">
        <v>0</v>
      </c>
      <c r="AD354" s="579">
        <v>2.3170000000000002</v>
      </c>
      <c r="AE354" s="579">
        <v>0</v>
      </c>
      <c r="AF354" s="579">
        <v>0</v>
      </c>
      <c r="AG354" s="579">
        <v>0</v>
      </c>
      <c r="AH354" s="577">
        <f t="shared" si="40"/>
        <v>55.283000000000001</v>
      </c>
    </row>
    <row r="355" spans="1:34" ht="13.8">
      <c r="A355" s="573" t="s">
        <v>156</v>
      </c>
      <c r="B355" s="480">
        <f t="shared" si="41"/>
        <v>0</v>
      </c>
      <c r="C355" s="578"/>
      <c r="D355" s="579"/>
      <c r="E355" s="579"/>
      <c r="F355" s="579"/>
      <c r="G355" s="579"/>
      <c r="H355" s="579"/>
      <c r="I355" s="579"/>
      <c r="J355" s="579"/>
      <c r="K355" s="579"/>
      <c r="L355" s="579"/>
      <c r="M355" s="579"/>
      <c r="N355" s="579"/>
      <c r="O355" s="579"/>
      <c r="P355" s="579"/>
      <c r="Q355" s="579"/>
      <c r="R355" s="579"/>
      <c r="S355" s="579"/>
      <c r="T355" s="579"/>
      <c r="U355" s="579"/>
      <c r="V355" s="579"/>
      <c r="W355" s="579"/>
      <c r="X355" s="579"/>
      <c r="Y355" s="579"/>
      <c r="Z355" s="579"/>
      <c r="AA355" s="579"/>
      <c r="AB355" s="579"/>
      <c r="AC355" s="579"/>
      <c r="AD355" s="579"/>
      <c r="AE355" s="579"/>
      <c r="AF355" s="579"/>
      <c r="AG355" s="579"/>
      <c r="AH355" s="577">
        <f t="shared" si="40"/>
        <v>0</v>
      </c>
    </row>
    <row r="356" spans="1:34" ht="13.8">
      <c r="A356" s="580" t="s">
        <v>111</v>
      </c>
      <c r="B356" s="580">
        <f>SUM(B349:B355)</f>
        <v>70.942999999999998</v>
      </c>
      <c r="C356" s="581"/>
      <c r="D356" s="581"/>
      <c r="E356" s="581"/>
      <c r="F356" s="581"/>
      <c r="G356" s="581"/>
      <c r="H356" s="581"/>
      <c r="I356" s="581"/>
      <c r="J356" s="581"/>
      <c r="K356" s="581"/>
      <c r="L356" s="581"/>
      <c r="M356" s="581"/>
      <c r="N356" s="581"/>
      <c r="O356" s="581"/>
      <c r="P356" s="581"/>
      <c r="Q356" s="581"/>
      <c r="R356" s="581"/>
      <c r="S356" s="581"/>
      <c r="T356" s="581"/>
      <c r="U356" s="581"/>
      <c r="V356" s="581"/>
      <c r="W356" s="581"/>
      <c r="X356" s="581"/>
      <c r="Y356" s="581"/>
      <c r="Z356" s="581"/>
      <c r="AA356" s="581"/>
      <c r="AB356" s="581"/>
      <c r="AC356" s="581"/>
      <c r="AD356" s="581"/>
      <c r="AE356" s="581"/>
      <c r="AF356" s="581"/>
      <c r="AG356" s="581"/>
      <c r="AH356" s="582"/>
    </row>
    <row r="357" spans="1:34" ht="13.8">
      <c r="A357" s="1652"/>
      <c r="B357" s="1652"/>
      <c r="C357" s="1448"/>
      <c r="D357" s="1448"/>
      <c r="E357" s="1448"/>
      <c r="F357" s="1448"/>
      <c r="G357" s="1448"/>
      <c r="H357" s="1448"/>
      <c r="I357" s="1448"/>
      <c r="J357" s="1448"/>
      <c r="K357" s="1448"/>
      <c r="L357" s="1448"/>
      <c r="M357" s="1448"/>
      <c r="N357" s="1448"/>
      <c r="O357" s="1448"/>
      <c r="P357" s="1448"/>
      <c r="Q357" s="1448"/>
      <c r="R357" s="1448"/>
      <c r="S357" s="1448"/>
      <c r="T357" s="1448"/>
      <c r="U357" s="1448"/>
      <c r="V357" s="1448"/>
      <c r="W357" s="1448"/>
      <c r="X357" s="1448"/>
      <c r="Y357" s="1448"/>
      <c r="Z357" s="1448"/>
      <c r="AA357" s="1448"/>
      <c r="AB357" s="1448"/>
      <c r="AC357" s="1448"/>
      <c r="AD357" s="1448"/>
      <c r="AE357" s="1448"/>
      <c r="AF357" s="1448"/>
      <c r="AG357" s="1448"/>
      <c r="AH357" s="1651"/>
    </row>
    <row r="358" spans="1:34" ht="13.8">
      <c r="A358" s="1652"/>
      <c r="B358" s="1652"/>
      <c r="C358" s="1448"/>
      <c r="D358" s="1448"/>
      <c r="E358" s="1448"/>
      <c r="F358" s="1448"/>
      <c r="G358" s="1448"/>
      <c r="H358" s="1448"/>
      <c r="I358" s="1448"/>
      <c r="J358" s="1448"/>
      <c r="K358" s="1448"/>
      <c r="L358" s="1448"/>
      <c r="M358" s="1448"/>
      <c r="N358" s="1448"/>
      <c r="O358" s="1448"/>
      <c r="P358" s="1448"/>
      <c r="Q358" s="1448"/>
      <c r="R358" s="1448"/>
      <c r="S358" s="1448"/>
      <c r="T358" s="1448"/>
      <c r="U358" s="1448"/>
      <c r="V358" s="1448"/>
      <c r="W358" s="1448"/>
      <c r="X358" s="1448"/>
      <c r="Y358" s="1448"/>
      <c r="Z358" s="1448"/>
      <c r="AA358" s="1448"/>
      <c r="AB358" s="1448"/>
      <c r="AC358" s="1448"/>
      <c r="AD358" s="1448"/>
      <c r="AE358" s="1448"/>
      <c r="AF358" s="1448"/>
      <c r="AG358" s="1448"/>
      <c r="AH358" s="1651"/>
    </row>
    <row r="359" spans="1:34" ht="13.8">
      <c r="A359" s="1652"/>
      <c r="B359" s="1652"/>
      <c r="C359" s="1448"/>
      <c r="D359" s="1448"/>
      <c r="E359" s="1448"/>
      <c r="F359" s="1448"/>
      <c r="G359" s="1448"/>
      <c r="H359" s="1448"/>
      <c r="I359" s="1448"/>
      <c r="J359" s="1448"/>
      <c r="K359" s="1448"/>
      <c r="L359" s="1448"/>
      <c r="M359" s="1448"/>
      <c r="N359" s="1448"/>
      <c r="O359" s="1448"/>
      <c r="P359" s="1448"/>
      <c r="Q359" s="1448"/>
      <c r="R359" s="1448"/>
      <c r="S359" s="1448"/>
      <c r="T359" s="1448"/>
      <c r="U359" s="1448"/>
      <c r="V359" s="1448"/>
      <c r="W359" s="1448"/>
      <c r="X359" s="1448"/>
      <c r="Y359" s="1448"/>
      <c r="Z359" s="1448"/>
      <c r="AA359" s="1448"/>
      <c r="AB359" s="1448"/>
      <c r="AC359" s="1448"/>
      <c r="AD359" s="1448"/>
      <c r="AE359" s="1448"/>
      <c r="AF359" s="1448"/>
      <c r="AG359" s="1448"/>
      <c r="AH359" s="1651"/>
    </row>
    <row r="360" spans="1:34" ht="13.8" thickBot="1"/>
    <row r="361" spans="1:34" ht="14.4" thickBot="1">
      <c r="A361" s="4259" t="s">
        <v>824</v>
      </c>
      <c r="B361" s="4260"/>
      <c r="C361" s="4272"/>
      <c r="D361" s="1378" t="s">
        <v>11</v>
      </c>
      <c r="E361" s="1374"/>
      <c r="F361" s="1379"/>
    </row>
    <row r="362" spans="1:34" ht="13.8">
      <c r="A362" s="572" t="s">
        <v>142</v>
      </c>
      <c r="B362" s="572" t="s">
        <v>143</v>
      </c>
      <c r="C362" s="574">
        <v>1</v>
      </c>
      <c r="D362" s="788">
        <v>2</v>
      </c>
      <c r="E362" s="788">
        <v>3</v>
      </c>
      <c r="F362" s="788">
        <v>4</v>
      </c>
      <c r="G362" s="573">
        <v>5</v>
      </c>
      <c r="H362" s="573">
        <v>6</v>
      </c>
      <c r="I362" s="573">
        <v>7</v>
      </c>
      <c r="J362" s="573">
        <v>8</v>
      </c>
      <c r="K362" s="573">
        <v>9</v>
      </c>
      <c r="L362" s="573">
        <v>10</v>
      </c>
      <c r="M362" s="573">
        <v>11</v>
      </c>
      <c r="N362" s="573">
        <v>12</v>
      </c>
      <c r="O362" s="573">
        <v>13</v>
      </c>
      <c r="P362" s="573">
        <v>14</v>
      </c>
      <c r="Q362" s="573">
        <v>15</v>
      </c>
      <c r="R362" s="573">
        <v>16</v>
      </c>
      <c r="S362" s="573">
        <v>17</v>
      </c>
      <c r="T362" s="573">
        <v>18</v>
      </c>
      <c r="U362" s="573">
        <v>19</v>
      </c>
      <c r="V362" s="573">
        <v>20</v>
      </c>
      <c r="W362" s="509">
        <v>21</v>
      </c>
      <c r="X362" s="573">
        <v>22</v>
      </c>
      <c r="Y362" s="573">
        <v>23</v>
      </c>
      <c r="Z362" s="573">
        <v>24</v>
      </c>
      <c r="AA362" s="573">
        <v>25</v>
      </c>
      <c r="AB362" s="573">
        <v>26</v>
      </c>
      <c r="AC362" s="573">
        <v>27</v>
      </c>
      <c r="AD362" s="573">
        <v>28</v>
      </c>
      <c r="AE362" s="573">
        <v>29</v>
      </c>
      <c r="AF362" s="573">
        <v>30</v>
      </c>
      <c r="AG362" s="573">
        <v>31</v>
      </c>
      <c r="AH362" s="575" t="s">
        <v>111</v>
      </c>
    </row>
    <row r="363" spans="1:34" ht="13.8">
      <c r="A363" s="509" t="s">
        <v>145</v>
      </c>
      <c r="B363" s="480">
        <f t="shared" ref="B363:B374" si="42">+AH363</f>
        <v>0</v>
      </c>
      <c r="C363" s="576"/>
      <c r="D363" s="576"/>
      <c r="E363" s="576"/>
      <c r="F363" s="576"/>
      <c r="G363" s="576"/>
      <c r="H363" s="576"/>
      <c r="I363" s="576"/>
      <c r="J363" s="576"/>
      <c r="K363" s="576"/>
      <c r="L363" s="576"/>
      <c r="M363" s="576"/>
      <c r="N363" s="576"/>
      <c r="O363" s="576"/>
      <c r="P363" s="576"/>
      <c r="Q363" s="576"/>
      <c r="R363" s="576"/>
      <c r="S363" s="576"/>
      <c r="T363" s="576"/>
      <c r="U363" s="576"/>
      <c r="V363" s="576"/>
      <c r="W363" s="576"/>
      <c r="X363" s="576"/>
      <c r="Y363" s="576"/>
      <c r="Z363" s="576"/>
      <c r="AA363" s="576"/>
      <c r="AB363" s="576"/>
      <c r="AC363" s="576"/>
      <c r="AD363" s="576"/>
      <c r="AE363" s="576"/>
      <c r="AF363" s="576"/>
      <c r="AG363" s="576"/>
      <c r="AH363" s="577">
        <f>SUM(C363:AG363)</f>
        <v>0</v>
      </c>
    </row>
    <row r="364" spans="1:34" ht="13.8">
      <c r="A364" s="509" t="s">
        <v>146</v>
      </c>
      <c r="B364" s="480">
        <f t="shared" si="42"/>
        <v>0</v>
      </c>
      <c r="C364" s="576"/>
      <c r="D364" s="576"/>
      <c r="E364" s="576"/>
      <c r="F364" s="576"/>
      <c r="G364" s="576"/>
      <c r="H364" s="576"/>
      <c r="I364" s="576"/>
      <c r="J364" s="576"/>
      <c r="K364" s="576"/>
      <c r="L364" s="576"/>
      <c r="M364" s="576"/>
      <c r="N364" s="576"/>
      <c r="O364" s="576"/>
      <c r="P364" s="576"/>
      <c r="Q364" s="576"/>
      <c r="R364" s="576"/>
      <c r="S364" s="576"/>
      <c r="T364" s="576"/>
      <c r="U364" s="576"/>
      <c r="V364" s="576"/>
      <c r="W364" s="576"/>
      <c r="X364" s="576"/>
      <c r="Y364" s="576"/>
      <c r="Z364" s="576"/>
      <c r="AA364" s="576"/>
      <c r="AB364" s="576"/>
      <c r="AC364" s="576"/>
      <c r="AD364" s="576"/>
      <c r="AE364" s="576"/>
      <c r="AF364" s="576"/>
      <c r="AG364" s="576"/>
      <c r="AH364" s="577">
        <f t="shared" ref="AH364:AH374" si="43">SUM(C364:AG364)</f>
        <v>0</v>
      </c>
    </row>
    <row r="365" spans="1:34" ht="13.8">
      <c r="A365" s="509" t="s">
        <v>147</v>
      </c>
      <c r="B365" s="480">
        <f t="shared" si="42"/>
        <v>0</v>
      </c>
      <c r="C365" s="576"/>
      <c r="D365" s="576"/>
      <c r="E365" s="576"/>
      <c r="F365" s="576"/>
      <c r="G365" s="576"/>
      <c r="H365" s="576"/>
      <c r="I365" s="576"/>
      <c r="J365" s="576"/>
      <c r="K365" s="576"/>
      <c r="L365" s="576"/>
      <c r="M365" s="576"/>
      <c r="N365" s="576"/>
      <c r="O365" s="576"/>
      <c r="P365" s="576"/>
      <c r="Q365" s="576"/>
      <c r="R365" s="576"/>
      <c r="S365" s="576"/>
      <c r="T365" s="576"/>
      <c r="U365" s="576"/>
      <c r="V365" s="576"/>
      <c r="W365" s="576"/>
      <c r="X365" s="576"/>
      <c r="Y365" s="576"/>
      <c r="Z365" s="576"/>
      <c r="AA365" s="576"/>
      <c r="AB365" s="576"/>
      <c r="AC365" s="576"/>
      <c r="AD365" s="576"/>
      <c r="AE365" s="576"/>
      <c r="AF365" s="576"/>
      <c r="AG365" s="576"/>
      <c r="AH365" s="577">
        <f t="shared" si="43"/>
        <v>0</v>
      </c>
    </row>
    <row r="366" spans="1:34" ht="13.8">
      <c r="A366" s="509" t="s">
        <v>148</v>
      </c>
      <c r="B366" s="480">
        <f t="shared" si="42"/>
        <v>0</v>
      </c>
      <c r="C366" s="578"/>
      <c r="D366" s="579"/>
      <c r="E366" s="579"/>
      <c r="F366" s="579"/>
      <c r="G366" s="579"/>
      <c r="H366" s="579"/>
      <c r="I366" s="579"/>
      <c r="J366" s="579"/>
      <c r="K366" s="579"/>
      <c r="L366" s="579"/>
      <c r="M366" s="579"/>
      <c r="N366" s="579"/>
      <c r="O366" s="579"/>
      <c r="P366" s="579"/>
      <c r="Q366" s="579"/>
      <c r="R366" s="579"/>
      <c r="S366" s="579"/>
      <c r="T366" s="579"/>
      <c r="U366" s="579"/>
      <c r="V366" s="579"/>
      <c r="W366" s="579"/>
      <c r="X366" s="579"/>
      <c r="Y366" s="579"/>
      <c r="Z366" s="579"/>
      <c r="AA366" s="579"/>
      <c r="AB366" s="579"/>
      <c r="AC366" s="579"/>
      <c r="AD366" s="579"/>
      <c r="AE366" s="579"/>
      <c r="AF366" s="579"/>
      <c r="AG366" s="579"/>
      <c r="AH366" s="577">
        <f t="shared" si="43"/>
        <v>0</v>
      </c>
    </row>
    <row r="367" spans="1:34" ht="13.8">
      <c r="A367" s="509" t="s">
        <v>149</v>
      </c>
      <c r="B367" s="480">
        <f t="shared" si="42"/>
        <v>0</v>
      </c>
      <c r="C367" s="578"/>
      <c r="D367" s="579"/>
      <c r="E367" s="579"/>
      <c r="F367" s="579"/>
      <c r="G367" s="579"/>
      <c r="H367" s="579"/>
      <c r="I367" s="579"/>
      <c r="J367" s="579"/>
      <c r="K367" s="579"/>
      <c r="L367" s="579"/>
      <c r="M367" s="579"/>
      <c r="N367" s="579"/>
      <c r="O367" s="579"/>
      <c r="P367" s="579"/>
      <c r="Q367" s="579"/>
      <c r="R367" s="579"/>
      <c r="S367" s="579"/>
      <c r="T367" s="579"/>
      <c r="U367" s="579"/>
      <c r="V367" s="579"/>
      <c r="W367" s="579"/>
      <c r="X367" s="579"/>
      <c r="Y367" s="579"/>
      <c r="Z367" s="579"/>
      <c r="AA367" s="579"/>
      <c r="AB367" s="579"/>
      <c r="AC367" s="579"/>
      <c r="AD367" s="579"/>
      <c r="AE367" s="579"/>
      <c r="AF367" s="579"/>
      <c r="AG367" s="579"/>
      <c r="AH367" s="577">
        <f t="shared" si="43"/>
        <v>0</v>
      </c>
    </row>
    <row r="368" spans="1:34" ht="13.8">
      <c r="A368" s="509" t="s">
        <v>150</v>
      </c>
      <c r="B368" s="480">
        <f t="shared" si="42"/>
        <v>0</v>
      </c>
      <c r="C368" s="578"/>
      <c r="D368" s="579"/>
      <c r="E368" s="579"/>
      <c r="F368" s="579"/>
      <c r="G368" s="579"/>
      <c r="H368" s="579"/>
      <c r="I368" s="579"/>
      <c r="J368" s="579"/>
      <c r="K368" s="579"/>
      <c r="L368" s="579"/>
      <c r="M368" s="579"/>
      <c r="N368" s="579"/>
      <c r="O368" s="579"/>
      <c r="P368" s="579"/>
      <c r="Q368" s="579"/>
      <c r="R368" s="579"/>
      <c r="S368" s="579"/>
      <c r="T368" s="579"/>
      <c r="U368" s="579"/>
      <c r="V368" s="579"/>
      <c r="W368" s="579"/>
      <c r="X368" s="579"/>
      <c r="Y368" s="579"/>
      <c r="Z368" s="579"/>
      <c r="AA368" s="579"/>
      <c r="AB368" s="579"/>
      <c r="AC368" s="579"/>
      <c r="AD368" s="579"/>
      <c r="AE368" s="579"/>
      <c r="AF368" s="579"/>
      <c r="AG368" s="579"/>
      <c r="AH368" s="577">
        <f t="shared" si="43"/>
        <v>0</v>
      </c>
    </row>
    <row r="369" spans="1:34" ht="13.8">
      <c r="A369" s="509" t="s">
        <v>151</v>
      </c>
      <c r="B369" s="480">
        <f t="shared" si="42"/>
        <v>0</v>
      </c>
      <c r="C369" s="578"/>
      <c r="D369" s="579"/>
      <c r="E369" s="579"/>
      <c r="F369" s="579"/>
      <c r="G369" s="579"/>
      <c r="H369" s="579"/>
      <c r="I369" s="579"/>
      <c r="J369" s="579"/>
      <c r="K369" s="579"/>
      <c r="L369" s="579"/>
      <c r="M369" s="579"/>
      <c r="N369" s="579"/>
      <c r="O369" s="579"/>
      <c r="P369" s="579"/>
      <c r="Q369" s="579"/>
      <c r="R369" s="579"/>
      <c r="S369" s="579"/>
      <c r="T369" s="579"/>
      <c r="U369" s="579"/>
      <c r="V369" s="579"/>
      <c r="W369" s="579"/>
      <c r="X369" s="579"/>
      <c r="Y369" s="579"/>
      <c r="Z369" s="579"/>
      <c r="AA369" s="579"/>
      <c r="AB369" s="579"/>
      <c r="AC369" s="579"/>
      <c r="AD369" s="579"/>
      <c r="AE369" s="579"/>
      <c r="AF369" s="579"/>
      <c r="AG369" s="579"/>
      <c r="AH369" s="577">
        <f t="shared" si="43"/>
        <v>0</v>
      </c>
    </row>
    <row r="370" spans="1:34" ht="13.8">
      <c r="A370" s="509" t="s">
        <v>152</v>
      </c>
      <c r="B370" s="480">
        <f t="shared" si="42"/>
        <v>0</v>
      </c>
      <c r="C370" s="578"/>
      <c r="D370" s="579"/>
      <c r="E370" s="579"/>
      <c r="F370" s="579"/>
      <c r="G370" s="579"/>
      <c r="H370" s="579"/>
      <c r="I370" s="579"/>
      <c r="J370" s="579"/>
      <c r="K370" s="579"/>
      <c r="L370" s="579"/>
      <c r="M370" s="579"/>
      <c r="N370" s="579"/>
      <c r="O370" s="579"/>
      <c r="P370" s="579"/>
      <c r="Q370" s="579"/>
      <c r="R370" s="579"/>
      <c r="S370" s="579"/>
      <c r="T370" s="579"/>
      <c r="U370" s="579"/>
      <c r="V370" s="579"/>
      <c r="W370" s="579"/>
      <c r="X370" s="579"/>
      <c r="Y370" s="579"/>
      <c r="Z370" s="579"/>
      <c r="AA370" s="579"/>
      <c r="AB370" s="579"/>
      <c r="AC370" s="579"/>
      <c r="AD370" s="579"/>
      <c r="AE370" s="579"/>
      <c r="AF370" s="579"/>
      <c r="AG370" s="579"/>
      <c r="AH370" s="577">
        <f t="shared" si="43"/>
        <v>0</v>
      </c>
    </row>
    <row r="371" spans="1:34" ht="13.8">
      <c r="A371" s="509" t="s">
        <v>153</v>
      </c>
      <c r="B371" s="480">
        <f t="shared" si="42"/>
        <v>0</v>
      </c>
      <c r="C371" s="578"/>
      <c r="D371" s="579"/>
      <c r="E371" s="579"/>
      <c r="F371" s="579"/>
      <c r="G371" s="579"/>
      <c r="H371" s="579"/>
      <c r="I371" s="579"/>
      <c r="J371" s="579"/>
      <c r="K371" s="579"/>
      <c r="L371" s="579"/>
      <c r="M371" s="579"/>
      <c r="N371" s="579"/>
      <c r="O371" s="579"/>
      <c r="P371" s="579"/>
      <c r="Q371" s="579"/>
      <c r="R371" s="579"/>
      <c r="S371" s="579"/>
      <c r="T371" s="579"/>
      <c r="U371" s="579"/>
      <c r="V371" s="579"/>
      <c r="W371" s="579"/>
      <c r="X371" s="579"/>
      <c r="Y371" s="579"/>
      <c r="Z371" s="579"/>
      <c r="AA371" s="579"/>
      <c r="AB371" s="579"/>
      <c r="AC371" s="579"/>
      <c r="AD371" s="579"/>
      <c r="AE371" s="579"/>
      <c r="AF371" s="579"/>
      <c r="AG371" s="579"/>
      <c r="AH371" s="577">
        <f t="shared" si="43"/>
        <v>0</v>
      </c>
    </row>
    <row r="372" spans="1:34" ht="13.8">
      <c r="A372" s="509" t="s">
        <v>154</v>
      </c>
      <c r="B372" s="480">
        <f t="shared" si="42"/>
        <v>0</v>
      </c>
      <c r="C372" s="578"/>
      <c r="D372" s="579"/>
      <c r="E372" s="579"/>
      <c r="F372" s="579"/>
      <c r="G372" s="579"/>
      <c r="H372" s="579"/>
      <c r="I372" s="579"/>
      <c r="J372" s="579"/>
      <c r="K372" s="579"/>
      <c r="L372" s="579"/>
      <c r="M372" s="579"/>
      <c r="N372" s="579"/>
      <c r="O372" s="579"/>
      <c r="P372" s="579"/>
      <c r="Q372" s="579"/>
      <c r="R372" s="579"/>
      <c r="S372" s="579"/>
      <c r="T372" s="579"/>
      <c r="U372" s="579"/>
      <c r="V372" s="579"/>
      <c r="W372" s="579"/>
      <c r="X372" s="579"/>
      <c r="Y372" s="579"/>
      <c r="Z372" s="579"/>
      <c r="AA372" s="579"/>
      <c r="AB372" s="579"/>
      <c r="AC372" s="579"/>
      <c r="AD372" s="579"/>
      <c r="AE372" s="579"/>
      <c r="AF372" s="579"/>
      <c r="AG372" s="579"/>
      <c r="AH372" s="577">
        <f t="shared" si="43"/>
        <v>0</v>
      </c>
    </row>
    <row r="373" spans="1:34" ht="13.8">
      <c r="A373" s="509" t="s">
        <v>155</v>
      </c>
      <c r="B373" s="480">
        <f t="shared" si="42"/>
        <v>20.324999999999999</v>
      </c>
      <c r="C373" s="578"/>
      <c r="D373" s="579"/>
      <c r="E373" s="579"/>
      <c r="F373" s="579"/>
      <c r="G373" s="579"/>
      <c r="H373" s="579"/>
      <c r="I373" s="579"/>
      <c r="J373" s="579"/>
      <c r="K373" s="579"/>
      <c r="L373" s="579"/>
      <c r="M373" s="579"/>
      <c r="N373" s="579"/>
      <c r="O373" s="579"/>
      <c r="P373" s="579"/>
      <c r="Q373" s="579"/>
      <c r="R373" s="579"/>
      <c r="S373" s="579"/>
      <c r="T373" s="579"/>
      <c r="U373" s="579"/>
      <c r="V373" s="579"/>
      <c r="W373" s="579"/>
      <c r="X373" s="579"/>
      <c r="Y373" s="579"/>
      <c r="Z373" s="579"/>
      <c r="AA373" s="579"/>
      <c r="AB373" s="579"/>
      <c r="AC373" s="579"/>
      <c r="AD373" s="579">
        <v>20.324999999999999</v>
      </c>
      <c r="AE373" s="579"/>
      <c r="AF373" s="579"/>
      <c r="AG373" s="579"/>
      <c r="AH373" s="577">
        <f t="shared" si="43"/>
        <v>20.324999999999999</v>
      </c>
    </row>
    <row r="374" spans="1:34" ht="13.8">
      <c r="A374" s="573" t="s">
        <v>156</v>
      </c>
      <c r="B374" s="480">
        <f t="shared" si="42"/>
        <v>0</v>
      </c>
      <c r="C374" s="578"/>
      <c r="D374" s="579"/>
      <c r="E374" s="579"/>
      <c r="F374" s="579"/>
      <c r="G374" s="579"/>
      <c r="H374" s="579"/>
      <c r="I374" s="579"/>
      <c r="J374" s="579"/>
      <c r="K374" s="579"/>
      <c r="L374" s="579"/>
      <c r="M374" s="579"/>
      <c r="N374" s="579"/>
      <c r="O374" s="579"/>
      <c r="P374" s="579"/>
      <c r="Q374" s="579"/>
      <c r="R374" s="579"/>
      <c r="S374" s="579"/>
      <c r="T374" s="579"/>
      <c r="U374" s="579"/>
      <c r="V374" s="579"/>
      <c r="W374" s="579"/>
      <c r="X374" s="579"/>
      <c r="Y374" s="579"/>
      <c r="Z374" s="579"/>
      <c r="AA374" s="579"/>
      <c r="AB374" s="579"/>
      <c r="AC374" s="579"/>
      <c r="AD374" s="579"/>
      <c r="AE374" s="579"/>
      <c r="AF374" s="579"/>
      <c r="AG374" s="579"/>
      <c r="AH374" s="577">
        <f t="shared" si="43"/>
        <v>0</v>
      </c>
    </row>
    <row r="375" spans="1:34" ht="13.8">
      <c r="A375" s="580" t="s">
        <v>111</v>
      </c>
      <c r="B375" s="580">
        <f>SUM(B363:B374)</f>
        <v>20.324999999999999</v>
      </c>
      <c r="C375" s="581"/>
      <c r="D375" s="581"/>
      <c r="E375" s="581"/>
      <c r="F375" s="581"/>
      <c r="G375" s="581"/>
      <c r="H375" s="581"/>
      <c r="I375" s="581"/>
      <c r="J375" s="581"/>
      <c r="K375" s="581"/>
      <c r="L375" s="581"/>
      <c r="M375" s="581"/>
      <c r="N375" s="581"/>
      <c r="O375" s="581"/>
      <c r="P375" s="581"/>
      <c r="Q375" s="581"/>
      <c r="R375" s="581"/>
      <c r="S375" s="581"/>
      <c r="T375" s="581"/>
      <c r="U375" s="581"/>
      <c r="V375" s="581"/>
      <c r="W375" s="581"/>
      <c r="X375" s="581"/>
      <c r="Y375" s="581"/>
      <c r="Z375" s="581"/>
      <c r="AA375" s="581"/>
      <c r="AB375" s="581"/>
      <c r="AC375" s="581"/>
      <c r="AD375" s="581"/>
      <c r="AE375" s="581"/>
      <c r="AF375" s="581"/>
      <c r="AG375" s="581"/>
      <c r="AH375" s="582"/>
    </row>
    <row r="377" spans="1:34" ht="13.8" thickBot="1"/>
    <row r="378" spans="1:34" ht="14.4" thickBot="1">
      <c r="A378" s="4259" t="s">
        <v>825</v>
      </c>
      <c r="B378" s="4260"/>
      <c r="C378" s="4260"/>
      <c r="D378" s="1378" t="s">
        <v>11</v>
      </c>
      <c r="E378" s="1374"/>
      <c r="F378" s="1379"/>
    </row>
    <row r="379" spans="1:34" ht="13.8">
      <c r="A379" s="572" t="s">
        <v>142</v>
      </c>
      <c r="B379" s="572" t="s">
        <v>143</v>
      </c>
      <c r="C379" s="574">
        <v>1</v>
      </c>
      <c r="D379" s="788">
        <v>2</v>
      </c>
      <c r="E379" s="788">
        <v>3</v>
      </c>
      <c r="F379" s="788">
        <v>4</v>
      </c>
      <c r="G379" s="573">
        <v>5</v>
      </c>
      <c r="H379" s="573">
        <v>6</v>
      </c>
      <c r="I379" s="573">
        <v>7</v>
      </c>
      <c r="J379" s="573">
        <v>8</v>
      </c>
      <c r="K379" s="573">
        <v>9</v>
      </c>
      <c r="L379" s="573">
        <v>10</v>
      </c>
      <c r="M379" s="573">
        <v>11</v>
      </c>
      <c r="N379" s="573">
        <v>12</v>
      </c>
      <c r="O379" s="573">
        <v>13</v>
      </c>
      <c r="P379" s="573">
        <v>14</v>
      </c>
      <c r="Q379" s="573">
        <v>15</v>
      </c>
      <c r="R379" s="573">
        <v>16</v>
      </c>
      <c r="S379" s="573">
        <v>17</v>
      </c>
      <c r="T379" s="573">
        <v>18</v>
      </c>
      <c r="U379" s="573">
        <v>19</v>
      </c>
      <c r="V379" s="573">
        <v>20</v>
      </c>
      <c r="W379" s="509">
        <v>21</v>
      </c>
      <c r="X379" s="573">
        <v>22</v>
      </c>
      <c r="Y379" s="573">
        <v>23</v>
      </c>
      <c r="Z379" s="573">
        <v>24</v>
      </c>
      <c r="AA379" s="573">
        <v>25</v>
      </c>
      <c r="AB379" s="573">
        <v>26</v>
      </c>
      <c r="AC379" s="573">
        <v>27</v>
      </c>
      <c r="AD379" s="573">
        <v>28</v>
      </c>
      <c r="AE379" s="573">
        <v>29</v>
      </c>
      <c r="AF379" s="573">
        <v>30</v>
      </c>
      <c r="AG379" s="573">
        <v>31</v>
      </c>
      <c r="AH379" s="575" t="s">
        <v>111</v>
      </c>
    </row>
    <row r="380" spans="1:34" ht="13.8">
      <c r="A380" s="509" t="s">
        <v>145</v>
      </c>
      <c r="B380" s="480">
        <f t="shared" ref="B380:B391" si="44">+AH380</f>
        <v>0</v>
      </c>
      <c r="C380" s="576"/>
      <c r="D380" s="576"/>
      <c r="E380" s="576"/>
      <c r="F380" s="576"/>
      <c r="G380" s="576"/>
      <c r="H380" s="576"/>
      <c r="I380" s="576"/>
      <c r="J380" s="576"/>
      <c r="K380" s="576"/>
      <c r="L380" s="576"/>
      <c r="M380" s="576"/>
      <c r="N380" s="576"/>
      <c r="O380" s="576"/>
      <c r="P380" s="576"/>
      <c r="Q380" s="576"/>
      <c r="R380" s="576"/>
      <c r="S380" s="576"/>
      <c r="T380" s="576"/>
      <c r="U380" s="576"/>
      <c r="V380" s="576"/>
      <c r="W380" s="576"/>
      <c r="X380" s="576"/>
      <c r="Y380" s="576"/>
      <c r="Z380" s="576"/>
      <c r="AA380" s="576"/>
      <c r="AB380" s="576"/>
      <c r="AC380" s="576"/>
      <c r="AD380" s="576"/>
      <c r="AE380" s="576"/>
      <c r="AF380" s="576"/>
      <c r="AG380" s="576"/>
      <c r="AH380" s="577">
        <f>SUM(C380:AG380)</f>
        <v>0</v>
      </c>
    </row>
    <row r="381" spans="1:34" ht="13.8">
      <c r="A381" s="509" t="s">
        <v>146</v>
      </c>
      <c r="B381" s="480">
        <f t="shared" si="44"/>
        <v>0</v>
      </c>
      <c r="C381" s="576"/>
      <c r="D381" s="576"/>
      <c r="E381" s="576"/>
      <c r="F381" s="576"/>
      <c r="G381" s="576"/>
      <c r="H381" s="576"/>
      <c r="I381" s="576"/>
      <c r="J381" s="576"/>
      <c r="K381" s="576"/>
      <c r="L381" s="576"/>
      <c r="M381" s="576"/>
      <c r="N381" s="576"/>
      <c r="O381" s="576"/>
      <c r="P381" s="576"/>
      <c r="Q381" s="576"/>
      <c r="R381" s="576"/>
      <c r="S381" s="576"/>
      <c r="T381" s="576"/>
      <c r="U381" s="576"/>
      <c r="V381" s="576"/>
      <c r="W381" s="576"/>
      <c r="X381" s="576"/>
      <c r="Y381" s="576"/>
      <c r="Z381" s="576"/>
      <c r="AA381" s="576"/>
      <c r="AB381" s="576"/>
      <c r="AC381" s="576"/>
      <c r="AD381" s="576"/>
      <c r="AE381" s="576"/>
      <c r="AF381" s="576"/>
      <c r="AG381" s="576"/>
      <c r="AH381" s="577">
        <f t="shared" ref="AH381:AH391" si="45">SUM(C381:AG381)</f>
        <v>0</v>
      </c>
    </row>
    <row r="382" spans="1:34" ht="13.8">
      <c r="A382" s="509" t="s">
        <v>147</v>
      </c>
      <c r="B382" s="480">
        <f t="shared" si="44"/>
        <v>0</v>
      </c>
      <c r="C382" s="576"/>
      <c r="D382" s="576"/>
      <c r="E382" s="576"/>
      <c r="F382" s="576"/>
      <c r="G382" s="576"/>
      <c r="H382" s="576"/>
      <c r="I382" s="576"/>
      <c r="J382" s="576"/>
      <c r="K382" s="576"/>
      <c r="L382" s="576"/>
      <c r="M382" s="576"/>
      <c r="N382" s="576"/>
      <c r="O382" s="576"/>
      <c r="P382" s="576"/>
      <c r="Q382" s="576"/>
      <c r="R382" s="576"/>
      <c r="S382" s="576"/>
      <c r="T382" s="576"/>
      <c r="U382" s="576"/>
      <c r="V382" s="576"/>
      <c r="W382" s="576"/>
      <c r="X382" s="576"/>
      <c r="Y382" s="576"/>
      <c r="Z382" s="576"/>
      <c r="AA382" s="576"/>
      <c r="AB382" s="576"/>
      <c r="AC382" s="576"/>
      <c r="AD382" s="576"/>
      <c r="AE382" s="576"/>
      <c r="AF382" s="576"/>
      <c r="AG382" s="576"/>
      <c r="AH382" s="577">
        <f t="shared" si="45"/>
        <v>0</v>
      </c>
    </row>
    <row r="383" spans="1:34" ht="13.8">
      <c r="A383" s="509" t="s">
        <v>148</v>
      </c>
      <c r="B383" s="480">
        <f t="shared" si="44"/>
        <v>0</v>
      </c>
      <c r="C383" s="578"/>
      <c r="D383" s="579"/>
      <c r="E383" s="1380"/>
      <c r="F383" s="1380"/>
      <c r="G383" s="579"/>
      <c r="H383" s="579"/>
      <c r="I383" s="579"/>
      <c r="J383" s="579"/>
      <c r="K383" s="579"/>
      <c r="L383" s="579"/>
      <c r="M383" s="579"/>
      <c r="N383" s="579"/>
      <c r="O383" s="579"/>
      <c r="P383" s="579"/>
      <c r="Q383" s="579"/>
      <c r="R383" s="579"/>
      <c r="S383" s="579"/>
      <c r="T383" s="579"/>
      <c r="U383" s="579"/>
      <c r="V383" s="579"/>
      <c r="W383" s="579"/>
      <c r="X383" s="579"/>
      <c r="Y383" s="579"/>
      <c r="Z383" s="579"/>
      <c r="AA383" s="579"/>
      <c r="AB383" s="579"/>
      <c r="AC383" s="579"/>
      <c r="AD383" s="579"/>
      <c r="AE383" s="579"/>
      <c r="AF383" s="579"/>
      <c r="AG383" s="579"/>
      <c r="AH383" s="577">
        <f t="shared" si="45"/>
        <v>0</v>
      </c>
    </row>
    <row r="384" spans="1:34" ht="13.8">
      <c r="A384" s="509" t="s">
        <v>149</v>
      </c>
      <c r="B384" s="480">
        <f t="shared" si="44"/>
        <v>0</v>
      </c>
      <c r="C384" s="578"/>
      <c r="D384" s="579"/>
      <c r="E384" s="1380"/>
      <c r="F384" s="1380"/>
      <c r="G384" s="579"/>
      <c r="H384" s="579"/>
      <c r="I384" s="579"/>
      <c r="J384" s="579"/>
      <c r="K384" s="579"/>
      <c r="L384" s="579"/>
      <c r="M384" s="579"/>
      <c r="N384" s="579"/>
      <c r="O384" s="579"/>
      <c r="P384" s="579"/>
      <c r="Q384" s="579"/>
      <c r="R384" s="579"/>
      <c r="S384" s="579"/>
      <c r="T384" s="579"/>
      <c r="U384" s="579"/>
      <c r="V384" s="579"/>
      <c r="W384" s="579"/>
      <c r="X384" s="579"/>
      <c r="Y384" s="579"/>
      <c r="Z384" s="579"/>
      <c r="AA384" s="579"/>
      <c r="AB384" s="579"/>
      <c r="AC384" s="579"/>
      <c r="AD384" s="579"/>
      <c r="AE384" s="579"/>
      <c r="AF384" s="579"/>
      <c r="AG384" s="579"/>
      <c r="AH384" s="577">
        <f t="shared" si="45"/>
        <v>0</v>
      </c>
    </row>
    <row r="385" spans="1:34" ht="13.8">
      <c r="A385" s="509" t="s">
        <v>150</v>
      </c>
      <c r="B385" s="480">
        <f t="shared" si="44"/>
        <v>0</v>
      </c>
      <c r="C385" s="578"/>
      <c r="D385" s="579"/>
      <c r="E385" s="1380"/>
      <c r="F385" s="1380"/>
      <c r="G385" s="579"/>
      <c r="H385" s="579"/>
      <c r="I385" s="579"/>
      <c r="J385" s="579"/>
      <c r="K385" s="579"/>
      <c r="L385" s="579"/>
      <c r="M385" s="579"/>
      <c r="N385" s="579"/>
      <c r="O385" s="579"/>
      <c r="P385" s="579"/>
      <c r="Q385" s="579"/>
      <c r="R385" s="579"/>
      <c r="S385" s="579"/>
      <c r="T385" s="579"/>
      <c r="U385" s="579"/>
      <c r="V385" s="579"/>
      <c r="W385" s="579"/>
      <c r="X385" s="579"/>
      <c r="Y385" s="579"/>
      <c r="Z385" s="579"/>
      <c r="AA385" s="579"/>
      <c r="AB385" s="579"/>
      <c r="AC385" s="579"/>
      <c r="AD385" s="579"/>
      <c r="AE385" s="579"/>
      <c r="AF385" s="579"/>
      <c r="AG385" s="579"/>
      <c r="AH385" s="577">
        <f t="shared" si="45"/>
        <v>0</v>
      </c>
    </row>
    <row r="386" spans="1:34" ht="13.8">
      <c r="A386" s="509" t="s">
        <v>151</v>
      </c>
      <c r="B386" s="480">
        <f t="shared" si="44"/>
        <v>0</v>
      </c>
      <c r="C386" s="578"/>
      <c r="D386" s="579"/>
      <c r="E386" s="579"/>
      <c r="F386" s="579"/>
      <c r="G386" s="579"/>
      <c r="H386" s="579"/>
      <c r="I386" s="579"/>
      <c r="J386" s="579"/>
      <c r="K386" s="579"/>
      <c r="L386" s="579"/>
      <c r="M386" s="579"/>
      <c r="N386" s="579"/>
      <c r="O386" s="579"/>
      <c r="P386" s="579"/>
      <c r="Q386" s="579"/>
      <c r="R386" s="579"/>
      <c r="S386" s="579"/>
      <c r="T386" s="579"/>
      <c r="U386" s="579"/>
      <c r="V386" s="579"/>
      <c r="W386" s="579"/>
      <c r="X386" s="579"/>
      <c r="Y386" s="579"/>
      <c r="Z386" s="579"/>
      <c r="AA386" s="579"/>
      <c r="AB386" s="579"/>
      <c r="AC386" s="579"/>
      <c r="AD386" s="579"/>
      <c r="AE386" s="579"/>
      <c r="AF386" s="579"/>
      <c r="AG386" s="579"/>
      <c r="AH386" s="577">
        <f t="shared" si="45"/>
        <v>0</v>
      </c>
    </row>
    <row r="387" spans="1:34" ht="13.8">
      <c r="A387" s="509" t="s">
        <v>152</v>
      </c>
      <c r="B387" s="480">
        <f t="shared" si="44"/>
        <v>0</v>
      </c>
      <c r="C387" s="578"/>
      <c r="D387" s="579"/>
      <c r="E387" s="579"/>
      <c r="F387" s="579"/>
      <c r="G387" s="579"/>
      <c r="H387" s="579"/>
      <c r="I387" s="579"/>
      <c r="J387" s="579"/>
      <c r="K387" s="579"/>
      <c r="L387" s="579"/>
      <c r="M387" s="579"/>
      <c r="N387" s="579"/>
      <c r="O387" s="579"/>
      <c r="P387" s="579"/>
      <c r="Q387" s="579"/>
      <c r="R387" s="579"/>
      <c r="S387" s="579"/>
      <c r="T387" s="579"/>
      <c r="U387" s="579"/>
      <c r="V387" s="579"/>
      <c r="W387" s="579"/>
      <c r="X387" s="579"/>
      <c r="Y387" s="579"/>
      <c r="Z387" s="579"/>
      <c r="AA387" s="579"/>
      <c r="AB387" s="579"/>
      <c r="AC387" s="579"/>
      <c r="AD387" s="579"/>
      <c r="AE387" s="579"/>
      <c r="AF387" s="579"/>
      <c r="AG387" s="579"/>
      <c r="AH387" s="577">
        <f t="shared" si="45"/>
        <v>0</v>
      </c>
    </row>
    <row r="388" spans="1:34" ht="13.8">
      <c r="A388" s="509" t="s">
        <v>153</v>
      </c>
      <c r="B388" s="480">
        <f t="shared" si="44"/>
        <v>0</v>
      </c>
      <c r="C388" s="578"/>
      <c r="D388" s="579"/>
      <c r="E388" s="579"/>
      <c r="F388" s="579"/>
      <c r="G388" s="579"/>
      <c r="H388" s="579"/>
      <c r="I388" s="579"/>
      <c r="J388" s="579"/>
      <c r="K388" s="579"/>
      <c r="L388" s="579"/>
      <c r="M388" s="579"/>
      <c r="N388" s="579"/>
      <c r="O388" s="579"/>
      <c r="P388" s="579"/>
      <c r="Q388" s="579"/>
      <c r="R388" s="579"/>
      <c r="S388" s="579"/>
      <c r="T388" s="579"/>
      <c r="U388" s="579"/>
      <c r="V388" s="579"/>
      <c r="W388" s="579"/>
      <c r="X388" s="579"/>
      <c r="Y388" s="579"/>
      <c r="Z388" s="579"/>
      <c r="AA388" s="579"/>
      <c r="AB388" s="579"/>
      <c r="AC388" s="579"/>
      <c r="AD388" s="579"/>
      <c r="AE388" s="579"/>
      <c r="AF388" s="579"/>
      <c r="AG388" s="579"/>
      <c r="AH388" s="577">
        <f t="shared" si="45"/>
        <v>0</v>
      </c>
    </row>
    <row r="389" spans="1:34" ht="13.8">
      <c r="A389" s="509" t="s">
        <v>154</v>
      </c>
      <c r="B389" s="480">
        <f t="shared" si="44"/>
        <v>0</v>
      </c>
      <c r="C389" s="578"/>
      <c r="D389" s="579"/>
      <c r="E389" s="579"/>
      <c r="F389" s="579"/>
      <c r="G389" s="579"/>
      <c r="H389" s="579"/>
      <c r="I389" s="579"/>
      <c r="J389" s="579"/>
      <c r="K389" s="579"/>
      <c r="L389" s="579"/>
      <c r="M389" s="579"/>
      <c r="N389" s="579"/>
      <c r="O389" s="579"/>
      <c r="P389" s="579"/>
      <c r="Q389" s="579"/>
      <c r="R389" s="579"/>
      <c r="S389" s="579"/>
      <c r="T389" s="579"/>
      <c r="U389" s="579"/>
      <c r="V389" s="579"/>
      <c r="W389" s="579"/>
      <c r="X389" s="579"/>
      <c r="Y389" s="579"/>
      <c r="Z389" s="579"/>
      <c r="AA389" s="579"/>
      <c r="AB389" s="579"/>
      <c r="AC389" s="579"/>
      <c r="AD389" s="579"/>
      <c r="AE389" s="579"/>
      <c r="AF389" s="579"/>
      <c r="AG389" s="579"/>
      <c r="AH389" s="577">
        <f t="shared" si="45"/>
        <v>0</v>
      </c>
    </row>
    <row r="390" spans="1:34" ht="13.8">
      <c r="A390" s="509" t="s">
        <v>155</v>
      </c>
      <c r="B390" s="480">
        <f t="shared" si="44"/>
        <v>0</v>
      </c>
      <c r="C390" s="578"/>
      <c r="D390" s="579"/>
      <c r="E390" s="579"/>
      <c r="F390" s="579"/>
      <c r="G390" s="579"/>
      <c r="H390" s="579"/>
      <c r="I390" s="579"/>
      <c r="J390" s="579"/>
      <c r="K390" s="579"/>
      <c r="L390" s="579"/>
      <c r="M390" s="579"/>
      <c r="N390" s="579"/>
      <c r="O390" s="579"/>
      <c r="P390" s="579"/>
      <c r="Q390" s="579"/>
      <c r="R390" s="579"/>
      <c r="S390" s="579"/>
      <c r="T390" s="579"/>
      <c r="U390" s="579"/>
      <c r="V390" s="579"/>
      <c r="W390" s="579"/>
      <c r="X390" s="579"/>
      <c r="Y390" s="579"/>
      <c r="Z390" s="579"/>
      <c r="AA390" s="579"/>
      <c r="AB390" s="579"/>
      <c r="AC390" s="579"/>
      <c r="AD390" s="579"/>
      <c r="AE390" s="579"/>
      <c r="AF390" s="579"/>
      <c r="AG390" s="579"/>
      <c r="AH390" s="577">
        <f t="shared" si="45"/>
        <v>0</v>
      </c>
    </row>
    <row r="391" spans="1:34" ht="13.8">
      <c r="A391" s="573" t="s">
        <v>156</v>
      </c>
      <c r="B391" s="480">
        <f t="shared" si="44"/>
        <v>0</v>
      </c>
      <c r="C391" s="578"/>
      <c r="D391" s="579"/>
      <c r="E391" s="579"/>
      <c r="F391" s="579"/>
      <c r="G391" s="579"/>
      <c r="H391" s="579"/>
      <c r="I391" s="579"/>
      <c r="J391" s="579"/>
      <c r="K391" s="579"/>
      <c r="L391" s="579"/>
      <c r="M391" s="579"/>
      <c r="N391" s="579"/>
      <c r="O391" s="579"/>
      <c r="P391" s="579"/>
      <c r="Q391" s="579"/>
      <c r="R391" s="579"/>
      <c r="S391" s="579"/>
      <c r="T391" s="579"/>
      <c r="U391" s="579"/>
      <c r="V391" s="579"/>
      <c r="W391" s="579"/>
      <c r="X391" s="579"/>
      <c r="Y391" s="579"/>
      <c r="Z391" s="579"/>
      <c r="AA391" s="579"/>
      <c r="AB391" s="579"/>
      <c r="AC391" s="579"/>
      <c r="AD391" s="579"/>
      <c r="AE391" s="579"/>
      <c r="AF391" s="579"/>
      <c r="AG391" s="579"/>
      <c r="AH391" s="577">
        <f t="shared" si="45"/>
        <v>0</v>
      </c>
    </row>
    <row r="392" spans="1:34" ht="13.8">
      <c r="A392" s="580" t="s">
        <v>111</v>
      </c>
      <c r="B392" s="580">
        <f>SUM(B380:B391)</f>
        <v>0</v>
      </c>
      <c r="C392" s="581"/>
      <c r="D392" s="581"/>
      <c r="E392" s="581"/>
      <c r="F392" s="581"/>
      <c r="G392" s="581"/>
      <c r="H392" s="581"/>
      <c r="I392" s="581"/>
      <c r="J392" s="581"/>
      <c r="K392" s="581"/>
      <c r="L392" s="581"/>
      <c r="M392" s="581"/>
      <c r="N392" s="581"/>
      <c r="O392" s="581"/>
      <c r="P392" s="581"/>
      <c r="Q392" s="581"/>
      <c r="R392" s="581"/>
      <c r="S392" s="581"/>
      <c r="T392" s="581"/>
      <c r="U392" s="581"/>
      <c r="V392" s="581"/>
      <c r="W392" s="581"/>
      <c r="X392" s="581"/>
      <c r="Y392" s="581"/>
      <c r="Z392" s="581"/>
      <c r="AA392" s="581"/>
      <c r="AB392" s="581"/>
      <c r="AC392" s="581"/>
      <c r="AD392" s="581"/>
      <c r="AE392" s="581"/>
      <c r="AF392" s="581"/>
      <c r="AG392" s="581"/>
      <c r="AH392" s="582"/>
    </row>
    <row r="394" spans="1:34" ht="13.8" thickBot="1"/>
    <row r="395" spans="1:34" ht="14.4" thickBot="1">
      <c r="A395" s="4259" t="s">
        <v>825</v>
      </c>
      <c r="B395" s="4260"/>
      <c r="C395" s="4260"/>
      <c r="D395" s="1378" t="s">
        <v>11</v>
      </c>
      <c r="E395" s="1374"/>
      <c r="F395" s="1379"/>
    </row>
    <row r="396" spans="1:34" ht="13.8">
      <c r="A396" s="572" t="s">
        <v>142</v>
      </c>
      <c r="B396" s="572" t="s">
        <v>143</v>
      </c>
      <c r="C396" s="574">
        <v>1</v>
      </c>
      <c r="D396" s="788">
        <v>2</v>
      </c>
      <c r="E396" s="788">
        <v>3</v>
      </c>
      <c r="F396" s="788">
        <v>4</v>
      </c>
      <c r="G396" s="573">
        <v>5</v>
      </c>
      <c r="H396" s="573">
        <v>6</v>
      </c>
      <c r="I396" s="573">
        <v>7</v>
      </c>
      <c r="J396" s="573">
        <v>8</v>
      </c>
      <c r="K396" s="573">
        <v>9</v>
      </c>
      <c r="L396" s="573">
        <v>10</v>
      </c>
      <c r="M396" s="573">
        <v>11</v>
      </c>
      <c r="N396" s="573">
        <v>12</v>
      </c>
      <c r="O396" s="573">
        <v>13</v>
      </c>
      <c r="P396" s="573">
        <v>14</v>
      </c>
      <c r="Q396" s="573">
        <v>15</v>
      </c>
      <c r="R396" s="573">
        <v>16</v>
      </c>
      <c r="S396" s="573">
        <v>17</v>
      </c>
      <c r="T396" s="573">
        <v>18</v>
      </c>
      <c r="U396" s="573">
        <v>19</v>
      </c>
      <c r="V396" s="573">
        <v>20</v>
      </c>
      <c r="W396" s="509">
        <v>21</v>
      </c>
      <c r="X396" s="573">
        <v>22</v>
      </c>
      <c r="Y396" s="573">
        <v>23</v>
      </c>
      <c r="Z396" s="573">
        <v>24</v>
      </c>
      <c r="AA396" s="573">
        <v>25</v>
      </c>
      <c r="AB396" s="573">
        <v>26</v>
      </c>
      <c r="AC396" s="573">
        <v>27</v>
      </c>
      <c r="AD396" s="573">
        <v>28</v>
      </c>
      <c r="AE396" s="573">
        <v>29</v>
      </c>
      <c r="AF396" s="573">
        <v>30</v>
      </c>
      <c r="AG396" s="573">
        <v>31</v>
      </c>
      <c r="AH396" s="575" t="s">
        <v>111</v>
      </c>
    </row>
    <row r="397" spans="1:34" ht="13.8">
      <c r="A397" s="509" t="s">
        <v>145</v>
      </c>
      <c r="B397" s="480">
        <f t="shared" ref="B397:B408" si="46">+AH397</f>
        <v>0</v>
      </c>
      <c r="C397" s="576"/>
      <c r="D397" s="576"/>
      <c r="E397" s="576"/>
      <c r="F397" s="576"/>
      <c r="G397" s="576"/>
      <c r="H397" s="576"/>
      <c r="I397" s="576"/>
      <c r="J397" s="576"/>
      <c r="K397" s="576"/>
      <c r="L397" s="576"/>
      <c r="M397" s="576"/>
      <c r="N397" s="576"/>
      <c r="O397" s="576"/>
      <c r="P397" s="576"/>
      <c r="Q397" s="576"/>
      <c r="R397" s="576"/>
      <c r="S397" s="576"/>
      <c r="T397" s="576"/>
      <c r="U397" s="576"/>
      <c r="V397" s="576"/>
      <c r="W397" s="576"/>
      <c r="X397" s="576"/>
      <c r="Y397" s="576"/>
      <c r="Z397" s="576"/>
      <c r="AA397" s="576"/>
      <c r="AB397" s="576"/>
      <c r="AC397" s="576"/>
      <c r="AD397" s="576"/>
      <c r="AE397" s="576"/>
      <c r="AF397" s="576"/>
      <c r="AG397" s="576"/>
      <c r="AH397" s="577">
        <f>SUM(C397:AG397)</f>
        <v>0</v>
      </c>
    </row>
    <row r="398" spans="1:34" ht="13.8">
      <c r="A398" s="509" t="s">
        <v>146</v>
      </c>
      <c r="B398" s="480">
        <f t="shared" si="46"/>
        <v>0</v>
      </c>
      <c r="C398" s="576"/>
      <c r="D398" s="576"/>
      <c r="E398" s="576"/>
      <c r="F398" s="576"/>
      <c r="G398" s="576"/>
      <c r="H398" s="576"/>
      <c r="I398" s="576"/>
      <c r="J398" s="576"/>
      <c r="K398" s="576"/>
      <c r="L398" s="576"/>
      <c r="M398" s="576"/>
      <c r="N398" s="576"/>
      <c r="O398" s="576"/>
      <c r="P398" s="576"/>
      <c r="Q398" s="576"/>
      <c r="R398" s="576"/>
      <c r="S398" s="576"/>
      <c r="T398" s="576"/>
      <c r="U398" s="576"/>
      <c r="V398" s="576"/>
      <c r="W398" s="576"/>
      <c r="X398" s="576"/>
      <c r="Y398" s="576"/>
      <c r="Z398" s="576"/>
      <c r="AA398" s="576"/>
      <c r="AB398" s="576"/>
      <c r="AC398" s="576"/>
      <c r="AD398" s="576"/>
      <c r="AE398" s="576"/>
      <c r="AF398" s="576"/>
      <c r="AG398" s="576"/>
      <c r="AH398" s="577">
        <f t="shared" ref="AH398:AH408" si="47">SUM(C398:AG398)</f>
        <v>0</v>
      </c>
    </row>
    <row r="399" spans="1:34" ht="13.8">
      <c r="A399" s="509" t="s">
        <v>147</v>
      </c>
      <c r="B399" s="480">
        <f t="shared" si="46"/>
        <v>0</v>
      </c>
      <c r="C399" s="576"/>
      <c r="D399" s="576"/>
      <c r="E399" s="576"/>
      <c r="F399" s="576"/>
      <c r="G399" s="576"/>
      <c r="H399" s="576"/>
      <c r="I399" s="576"/>
      <c r="J399" s="576"/>
      <c r="K399" s="576"/>
      <c r="L399" s="576"/>
      <c r="M399" s="576"/>
      <c r="N399" s="576"/>
      <c r="O399" s="576"/>
      <c r="P399" s="576"/>
      <c r="Q399" s="576"/>
      <c r="R399" s="576"/>
      <c r="S399" s="576"/>
      <c r="T399" s="576"/>
      <c r="U399" s="576"/>
      <c r="V399" s="576"/>
      <c r="W399" s="576"/>
      <c r="X399" s="576"/>
      <c r="Y399" s="576"/>
      <c r="Z399" s="576"/>
      <c r="AA399" s="576"/>
      <c r="AB399" s="576"/>
      <c r="AC399" s="576"/>
      <c r="AD399" s="576"/>
      <c r="AE399" s="576"/>
      <c r="AF399" s="576"/>
      <c r="AG399" s="576"/>
      <c r="AH399" s="577">
        <f t="shared" si="47"/>
        <v>0</v>
      </c>
    </row>
    <row r="400" spans="1:34" ht="13.8">
      <c r="A400" s="509" t="s">
        <v>148</v>
      </c>
      <c r="B400" s="480">
        <f t="shared" si="46"/>
        <v>0</v>
      </c>
      <c r="C400" s="578"/>
      <c r="D400" s="579"/>
      <c r="E400" s="1380"/>
      <c r="F400" s="1380"/>
      <c r="G400" s="579"/>
      <c r="H400" s="579"/>
      <c r="I400" s="579"/>
      <c r="J400" s="579"/>
      <c r="K400" s="579"/>
      <c r="L400" s="579"/>
      <c r="M400" s="579"/>
      <c r="N400" s="579"/>
      <c r="O400" s="579"/>
      <c r="P400" s="579"/>
      <c r="Q400" s="579"/>
      <c r="R400" s="579"/>
      <c r="S400" s="579"/>
      <c r="T400" s="579"/>
      <c r="U400" s="579"/>
      <c r="V400" s="579"/>
      <c r="W400" s="579"/>
      <c r="X400" s="579"/>
      <c r="Y400" s="579"/>
      <c r="Z400" s="579"/>
      <c r="AA400" s="579"/>
      <c r="AB400" s="579"/>
      <c r="AC400" s="579"/>
      <c r="AD400" s="579"/>
      <c r="AE400" s="579"/>
      <c r="AF400" s="579"/>
      <c r="AG400" s="579"/>
      <c r="AH400" s="577">
        <f t="shared" si="47"/>
        <v>0</v>
      </c>
    </row>
    <row r="401" spans="1:34" ht="13.8">
      <c r="A401" s="509" t="s">
        <v>149</v>
      </c>
      <c r="B401" s="480">
        <f t="shared" si="46"/>
        <v>0</v>
      </c>
      <c r="C401" s="578"/>
      <c r="D401" s="579"/>
      <c r="E401" s="1380"/>
      <c r="F401" s="1380"/>
      <c r="G401" s="579"/>
      <c r="H401" s="579"/>
      <c r="I401" s="579"/>
      <c r="J401" s="579"/>
      <c r="K401" s="579"/>
      <c r="L401" s="579"/>
      <c r="M401" s="579"/>
      <c r="N401" s="579"/>
      <c r="O401" s="579"/>
      <c r="P401" s="579"/>
      <c r="Q401" s="579"/>
      <c r="R401" s="579"/>
      <c r="S401" s="579"/>
      <c r="T401" s="579"/>
      <c r="U401" s="579"/>
      <c r="V401" s="579"/>
      <c r="W401" s="579"/>
      <c r="X401" s="579"/>
      <c r="Y401" s="579"/>
      <c r="Z401" s="579"/>
      <c r="AA401" s="579"/>
      <c r="AB401" s="579"/>
      <c r="AC401" s="579"/>
      <c r="AD401" s="579"/>
      <c r="AE401" s="579"/>
      <c r="AF401" s="579"/>
      <c r="AG401" s="579"/>
      <c r="AH401" s="577">
        <f t="shared" si="47"/>
        <v>0</v>
      </c>
    </row>
    <row r="402" spans="1:34" ht="13.8">
      <c r="A402" s="509" t="s">
        <v>150</v>
      </c>
      <c r="B402" s="480">
        <f t="shared" si="46"/>
        <v>0</v>
      </c>
      <c r="C402" s="578"/>
      <c r="D402" s="579"/>
      <c r="E402" s="1380"/>
      <c r="F402" s="1380"/>
      <c r="G402" s="579"/>
      <c r="H402" s="579"/>
      <c r="I402" s="579"/>
      <c r="J402" s="579"/>
      <c r="K402" s="579"/>
      <c r="L402" s="579"/>
      <c r="M402" s="579"/>
      <c r="N402" s="579"/>
      <c r="O402" s="579"/>
      <c r="P402" s="579"/>
      <c r="Q402" s="579"/>
      <c r="R402" s="579"/>
      <c r="S402" s="579"/>
      <c r="T402" s="579"/>
      <c r="U402" s="579"/>
      <c r="V402" s="579"/>
      <c r="W402" s="579"/>
      <c r="X402" s="579"/>
      <c r="Y402" s="579"/>
      <c r="Z402" s="579"/>
      <c r="AA402" s="579"/>
      <c r="AB402" s="579"/>
      <c r="AC402" s="579"/>
      <c r="AD402" s="579"/>
      <c r="AE402" s="579"/>
      <c r="AF402" s="579"/>
      <c r="AG402" s="579"/>
      <c r="AH402" s="577">
        <f t="shared" si="47"/>
        <v>0</v>
      </c>
    </row>
    <row r="403" spans="1:34" ht="13.8">
      <c r="A403" s="509" t="s">
        <v>151</v>
      </c>
      <c r="B403" s="480">
        <f t="shared" si="46"/>
        <v>0</v>
      </c>
      <c r="C403" s="578"/>
      <c r="D403" s="579"/>
      <c r="E403" s="579"/>
      <c r="F403" s="579"/>
      <c r="G403" s="579"/>
      <c r="H403" s="579"/>
      <c r="I403" s="579"/>
      <c r="J403" s="579"/>
      <c r="K403" s="579"/>
      <c r="L403" s="579"/>
      <c r="M403" s="579"/>
      <c r="N403" s="579"/>
      <c r="O403" s="579"/>
      <c r="P403" s="579"/>
      <c r="Q403" s="579"/>
      <c r="R403" s="579"/>
      <c r="S403" s="579"/>
      <c r="T403" s="579"/>
      <c r="U403" s="579"/>
      <c r="V403" s="579"/>
      <c r="W403" s="579"/>
      <c r="X403" s="579"/>
      <c r="Y403" s="579"/>
      <c r="Z403" s="579"/>
      <c r="AA403" s="579"/>
      <c r="AB403" s="579"/>
      <c r="AC403" s="579"/>
      <c r="AD403" s="579"/>
      <c r="AE403" s="579"/>
      <c r="AF403" s="579"/>
      <c r="AG403" s="579"/>
      <c r="AH403" s="577">
        <f t="shared" si="47"/>
        <v>0</v>
      </c>
    </row>
    <row r="404" spans="1:34" ht="13.8">
      <c r="A404" s="509" t="s">
        <v>152</v>
      </c>
      <c r="B404" s="480">
        <f t="shared" si="46"/>
        <v>0</v>
      </c>
      <c r="C404" s="578"/>
      <c r="D404" s="579"/>
      <c r="E404" s="579"/>
      <c r="F404" s="579"/>
      <c r="G404" s="579"/>
      <c r="H404" s="579"/>
      <c r="I404" s="579"/>
      <c r="J404" s="579"/>
      <c r="K404" s="579"/>
      <c r="L404" s="579"/>
      <c r="M404" s="579"/>
      <c r="N404" s="579"/>
      <c r="O404" s="579"/>
      <c r="P404" s="579"/>
      <c r="Q404" s="579"/>
      <c r="R404" s="579"/>
      <c r="S404" s="579"/>
      <c r="T404" s="579"/>
      <c r="U404" s="579"/>
      <c r="V404" s="579"/>
      <c r="W404" s="579"/>
      <c r="X404" s="579"/>
      <c r="Y404" s="579"/>
      <c r="Z404" s="579"/>
      <c r="AA404" s="579"/>
      <c r="AB404" s="579"/>
      <c r="AC404" s="579"/>
      <c r="AD404" s="579"/>
      <c r="AE404" s="579"/>
      <c r="AF404" s="579"/>
      <c r="AG404" s="579"/>
      <c r="AH404" s="577">
        <f t="shared" si="47"/>
        <v>0</v>
      </c>
    </row>
    <row r="405" spans="1:34" ht="13.8">
      <c r="A405" s="509" t="s">
        <v>153</v>
      </c>
      <c r="B405" s="480">
        <f t="shared" si="46"/>
        <v>0</v>
      </c>
      <c r="C405" s="578"/>
      <c r="D405" s="579"/>
      <c r="E405" s="579"/>
      <c r="F405" s="579"/>
      <c r="G405" s="579"/>
      <c r="H405" s="579"/>
      <c r="I405" s="579"/>
      <c r="J405" s="579"/>
      <c r="K405" s="579"/>
      <c r="L405" s="579"/>
      <c r="M405" s="579"/>
      <c r="N405" s="579"/>
      <c r="O405" s="579"/>
      <c r="P405" s="579"/>
      <c r="Q405" s="579"/>
      <c r="R405" s="579"/>
      <c r="S405" s="579"/>
      <c r="T405" s="579"/>
      <c r="U405" s="579"/>
      <c r="V405" s="579"/>
      <c r="W405" s="579"/>
      <c r="X405" s="579"/>
      <c r="Y405" s="579"/>
      <c r="Z405" s="579"/>
      <c r="AA405" s="579"/>
      <c r="AB405" s="579"/>
      <c r="AC405" s="579"/>
      <c r="AD405" s="579"/>
      <c r="AE405" s="579"/>
      <c r="AF405" s="579"/>
      <c r="AG405" s="579"/>
      <c r="AH405" s="577">
        <f t="shared" si="47"/>
        <v>0</v>
      </c>
    </row>
    <row r="406" spans="1:34" ht="13.8">
      <c r="A406" s="509" t="s">
        <v>154</v>
      </c>
      <c r="B406" s="480">
        <f t="shared" si="46"/>
        <v>0</v>
      </c>
      <c r="C406" s="578"/>
      <c r="D406" s="579"/>
      <c r="E406" s="579"/>
      <c r="F406" s="579"/>
      <c r="G406" s="579"/>
      <c r="H406" s="579"/>
      <c r="I406" s="579"/>
      <c r="J406" s="579"/>
      <c r="K406" s="579"/>
      <c r="L406" s="579"/>
      <c r="M406" s="579"/>
      <c r="N406" s="579"/>
      <c r="O406" s="579"/>
      <c r="P406" s="579"/>
      <c r="Q406" s="579"/>
      <c r="R406" s="579"/>
      <c r="S406" s="579"/>
      <c r="T406" s="579"/>
      <c r="U406" s="579"/>
      <c r="V406" s="579"/>
      <c r="W406" s="579"/>
      <c r="X406" s="579"/>
      <c r="Y406" s="579"/>
      <c r="Z406" s="579"/>
      <c r="AA406" s="579"/>
      <c r="AB406" s="579"/>
      <c r="AC406" s="579"/>
      <c r="AD406" s="579"/>
      <c r="AE406" s="579"/>
      <c r="AF406" s="579"/>
      <c r="AG406" s="579"/>
      <c r="AH406" s="577">
        <f t="shared" si="47"/>
        <v>0</v>
      </c>
    </row>
    <row r="407" spans="1:34" ht="13.8">
      <c r="A407" s="509" t="s">
        <v>155</v>
      </c>
      <c r="B407" s="480">
        <f t="shared" si="46"/>
        <v>0</v>
      </c>
      <c r="C407" s="578"/>
      <c r="D407" s="579"/>
      <c r="E407" s="579"/>
      <c r="F407" s="579"/>
      <c r="G407" s="579"/>
      <c r="H407" s="579"/>
      <c r="I407" s="579"/>
      <c r="J407" s="579"/>
      <c r="K407" s="579"/>
      <c r="L407" s="579"/>
      <c r="M407" s="579"/>
      <c r="N407" s="579"/>
      <c r="O407" s="579"/>
      <c r="P407" s="579"/>
      <c r="Q407" s="579"/>
      <c r="R407" s="579"/>
      <c r="S407" s="579"/>
      <c r="T407" s="579"/>
      <c r="U407" s="579"/>
      <c r="V407" s="579"/>
      <c r="W407" s="579"/>
      <c r="X407" s="579"/>
      <c r="Y407" s="579"/>
      <c r="Z407" s="579"/>
      <c r="AA407" s="579"/>
      <c r="AB407" s="579"/>
      <c r="AC407" s="579"/>
      <c r="AD407" s="579"/>
      <c r="AE407" s="579"/>
      <c r="AF407" s="579"/>
      <c r="AG407" s="579"/>
      <c r="AH407" s="577">
        <f t="shared" si="47"/>
        <v>0</v>
      </c>
    </row>
    <row r="408" spans="1:34" ht="13.8">
      <c r="A408" s="573" t="s">
        <v>156</v>
      </c>
      <c r="B408" s="480">
        <f t="shared" si="46"/>
        <v>0</v>
      </c>
      <c r="C408" s="578"/>
      <c r="D408" s="579"/>
      <c r="E408" s="579"/>
      <c r="F408" s="579"/>
      <c r="G408" s="579"/>
      <c r="H408" s="579"/>
      <c r="I408" s="579"/>
      <c r="J408" s="579"/>
      <c r="K408" s="579"/>
      <c r="L408" s="579"/>
      <c r="M408" s="579"/>
      <c r="N408" s="579"/>
      <c r="O408" s="579"/>
      <c r="P408" s="579"/>
      <c r="Q408" s="579"/>
      <c r="R408" s="579"/>
      <c r="S408" s="579"/>
      <c r="T408" s="579"/>
      <c r="U408" s="579"/>
      <c r="V408" s="579"/>
      <c r="W408" s="579"/>
      <c r="X408" s="579"/>
      <c r="Y408" s="579"/>
      <c r="Z408" s="579"/>
      <c r="AA408" s="579"/>
      <c r="AB408" s="579"/>
      <c r="AC408" s="579"/>
      <c r="AD408" s="579"/>
      <c r="AE408" s="579"/>
      <c r="AF408" s="579"/>
      <c r="AG408" s="579"/>
      <c r="AH408" s="577">
        <f t="shared" si="47"/>
        <v>0</v>
      </c>
    </row>
    <row r="409" spans="1:34" ht="13.8">
      <c r="A409" s="580" t="s">
        <v>111</v>
      </c>
      <c r="B409" s="580">
        <f>SUM(B397:B408)</f>
        <v>0</v>
      </c>
      <c r="C409" s="581"/>
      <c r="D409" s="581"/>
      <c r="E409" s="581"/>
      <c r="F409" s="581"/>
      <c r="G409" s="581"/>
      <c r="H409" s="581"/>
      <c r="I409" s="581"/>
      <c r="J409" s="581"/>
      <c r="K409" s="581"/>
      <c r="L409" s="581"/>
      <c r="M409" s="581"/>
      <c r="N409" s="581"/>
      <c r="O409" s="581"/>
      <c r="P409" s="581"/>
      <c r="Q409" s="581"/>
      <c r="R409" s="581"/>
      <c r="S409" s="581"/>
      <c r="T409" s="581"/>
      <c r="U409" s="581"/>
      <c r="V409" s="581"/>
      <c r="W409" s="581"/>
      <c r="X409" s="581"/>
      <c r="Y409" s="581"/>
      <c r="Z409" s="581"/>
      <c r="AA409" s="581"/>
      <c r="AB409" s="581"/>
      <c r="AC409" s="581"/>
      <c r="AD409" s="581"/>
      <c r="AE409" s="581"/>
      <c r="AF409" s="581"/>
      <c r="AG409" s="581"/>
      <c r="AH409" s="582"/>
    </row>
    <row r="412" spans="1:34" ht="13.8">
      <c r="A412" s="1862" t="s">
        <v>981</v>
      </c>
      <c r="B412" s="1863"/>
      <c r="C412" s="1863"/>
      <c r="D412" s="1864"/>
    </row>
    <row r="413" spans="1:34" ht="13.8" thickBot="1"/>
    <row r="414" spans="1:34" ht="15" customHeight="1" thickBot="1">
      <c r="A414" s="4261" t="s">
        <v>971</v>
      </c>
      <c r="B414" s="4262"/>
      <c r="C414" s="4262"/>
      <c r="D414" s="4262"/>
      <c r="E414" s="4262"/>
      <c r="F414" s="4262"/>
      <c r="G414" s="4262"/>
      <c r="H414" s="4263"/>
      <c r="I414" s="1633"/>
      <c r="J414" s="1633"/>
      <c r="K414" s="1633"/>
      <c r="L414" s="1633"/>
      <c r="M414" s="1634"/>
      <c r="N414" s="1633"/>
      <c r="O414" s="1633"/>
      <c r="P414" s="1633"/>
      <c r="Q414" s="1633"/>
      <c r="R414" s="1633"/>
      <c r="S414" s="1633"/>
      <c r="T414" s="1633"/>
      <c r="U414" s="1633"/>
      <c r="V414" s="1633"/>
      <c r="W414" s="1633"/>
      <c r="X414" s="1633"/>
      <c r="Y414" s="1633"/>
      <c r="Z414" s="1633"/>
      <c r="AA414" s="1633"/>
      <c r="AB414" s="1633"/>
      <c r="AC414" s="1633"/>
      <c r="AD414" s="1633"/>
      <c r="AE414" s="1633"/>
      <c r="AF414" s="1633"/>
      <c r="AG414" s="1633"/>
      <c r="AH414" s="1635"/>
    </row>
    <row r="415" spans="1:34" ht="15">
      <c r="A415" s="1648" t="s">
        <v>142</v>
      </c>
      <c r="B415" s="1648" t="s">
        <v>143</v>
      </c>
      <c r="C415" s="2510">
        <v>1</v>
      </c>
      <c r="D415" s="1649">
        <v>2</v>
      </c>
      <c r="E415" s="1649">
        <v>3</v>
      </c>
      <c r="F415" s="1649">
        <v>4</v>
      </c>
      <c r="G415" s="1649">
        <v>5</v>
      </c>
      <c r="H415" s="1649">
        <v>6</v>
      </c>
      <c r="I415" s="1502">
        <v>7</v>
      </c>
      <c r="J415" s="1502">
        <v>8</v>
      </c>
      <c r="K415" s="1502">
        <v>9</v>
      </c>
      <c r="L415" s="1502">
        <v>10</v>
      </c>
      <c r="M415" s="1502">
        <v>11</v>
      </c>
      <c r="N415" s="1502">
        <v>12</v>
      </c>
      <c r="O415" s="1502">
        <v>13</v>
      </c>
      <c r="P415" s="1502">
        <v>14</v>
      </c>
      <c r="Q415" s="1502">
        <v>15</v>
      </c>
      <c r="R415" s="1502">
        <v>16</v>
      </c>
      <c r="S415" s="1502">
        <v>17</v>
      </c>
      <c r="T415" s="1502">
        <v>18</v>
      </c>
      <c r="U415" s="1502">
        <v>19</v>
      </c>
      <c r="V415" s="1502">
        <v>20</v>
      </c>
      <c r="W415" s="1502">
        <v>21</v>
      </c>
      <c r="X415" s="1502">
        <v>22</v>
      </c>
      <c r="Y415" s="1502">
        <v>23</v>
      </c>
      <c r="Z415" s="1502">
        <v>24</v>
      </c>
      <c r="AA415" s="1502">
        <v>25</v>
      </c>
      <c r="AB415" s="1502">
        <v>26</v>
      </c>
      <c r="AC415" s="1502">
        <v>27</v>
      </c>
      <c r="AD415" s="1502">
        <v>28</v>
      </c>
      <c r="AE415" s="1502">
        <v>29</v>
      </c>
      <c r="AF415" s="1502">
        <v>30</v>
      </c>
      <c r="AG415" s="1502">
        <v>31</v>
      </c>
      <c r="AH415" s="1636" t="s">
        <v>144</v>
      </c>
    </row>
    <row r="416" spans="1:34" ht="15">
      <c r="A416" s="1637" t="s">
        <v>145</v>
      </c>
      <c r="B416" s="863">
        <f>SUM(C416:AG416)</f>
        <v>0</v>
      </c>
      <c r="C416" s="448"/>
      <c r="D416" s="448"/>
      <c r="E416" s="448"/>
      <c r="F416" s="448"/>
      <c r="G416" s="448"/>
      <c r="H416" s="448"/>
      <c r="I416" s="448"/>
      <c r="J416" s="448"/>
      <c r="K416" s="448"/>
      <c r="L416" s="448"/>
      <c r="M416" s="448"/>
      <c r="N416" s="448"/>
      <c r="O416" s="448"/>
      <c r="P416" s="448"/>
      <c r="Q416" s="448"/>
      <c r="R416" s="448"/>
      <c r="S416" s="448"/>
      <c r="T416" s="448"/>
      <c r="U416" s="448"/>
      <c r="V416" s="448"/>
      <c r="W416" s="448"/>
      <c r="X416" s="448"/>
      <c r="Y416" s="448"/>
      <c r="Z416" s="448"/>
      <c r="AA416" s="448"/>
      <c r="AB416" s="448"/>
      <c r="AC416" s="448"/>
      <c r="AD416" s="448"/>
      <c r="AE416" s="448"/>
      <c r="AF416" s="448"/>
      <c r="AG416" s="448"/>
      <c r="AH416" s="1638">
        <v>0</v>
      </c>
    </row>
    <row r="417" spans="1:34" ht="15">
      <c r="A417" s="1637" t="s">
        <v>146</v>
      </c>
      <c r="B417" s="863">
        <f>SUM(C417:AG417)</f>
        <v>0</v>
      </c>
      <c r="C417" s="448"/>
      <c r="D417" s="448"/>
      <c r="E417" s="448"/>
      <c r="F417" s="448"/>
      <c r="G417" s="448"/>
      <c r="H417" s="448"/>
      <c r="I417" s="448"/>
      <c r="J417" s="448"/>
      <c r="K417" s="448"/>
      <c r="L417" s="448"/>
      <c r="M417" s="448"/>
      <c r="N417" s="448"/>
      <c r="O417" s="448"/>
      <c r="P417" s="448"/>
      <c r="Q417" s="448"/>
      <c r="R417" s="448"/>
      <c r="S417" s="448"/>
      <c r="T417" s="448"/>
      <c r="U417" s="448"/>
      <c r="V417" s="448"/>
      <c r="W417" s="448"/>
      <c r="X417" s="448"/>
      <c r="Y417" s="448"/>
      <c r="Z417" s="448"/>
      <c r="AA417" s="448"/>
      <c r="AB417" s="448"/>
      <c r="AC417" s="448"/>
      <c r="AD417" s="448"/>
      <c r="AE417" s="448"/>
      <c r="AF417" s="448"/>
      <c r="AG417" s="448"/>
      <c r="AH417" s="1638">
        <v>0</v>
      </c>
    </row>
    <row r="418" spans="1:34" ht="15">
      <c r="A418" s="1637" t="s">
        <v>147</v>
      </c>
      <c r="B418" s="863">
        <f t="shared" ref="B418:B427" si="48">SUM(C418:AG418)</f>
        <v>0</v>
      </c>
      <c r="C418" s="448"/>
      <c r="D418" s="448"/>
      <c r="E418" s="448"/>
      <c r="F418" s="448"/>
      <c r="G418" s="448"/>
      <c r="H418" s="448"/>
      <c r="I418" s="448"/>
      <c r="J418" s="448"/>
      <c r="K418" s="448"/>
      <c r="L418" s="448"/>
      <c r="M418" s="448"/>
      <c r="N418" s="448"/>
      <c r="O418" s="448"/>
      <c r="P418" s="448"/>
      <c r="Q418" s="448"/>
      <c r="R418" s="448"/>
      <c r="S418" s="448"/>
      <c r="T418" s="448"/>
      <c r="U418" s="448"/>
      <c r="V418" s="448"/>
      <c r="W418" s="448"/>
      <c r="X418" s="448"/>
      <c r="Y418" s="448"/>
      <c r="Z418" s="448"/>
      <c r="AA418" s="448"/>
      <c r="AB418" s="448"/>
      <c r="AC418" s="448"/>
      <c r="AD418" s="448"/>
      <c r="AE418" s="448"/>
      <c r="AF418" s="448"/>
      <c r="AG418" s="448"/>
      <c r="AH418" s="1638">
        <v>0</v>
      </c>
    </row>
    <row r="419" spans="1:34" ht="15">
      <c r="A419" s="1637" t="s">
        <v>148</v>
      </c>
      <c r="B419" s="863">
        <f t="shared" si="48"/>
        <v>0</v>
      </c>
      <c r="C419" s="448"/>
      <c r="D419" s="448"/>
      <c r="E419" s="448"/>
      <c r="F419" s="448"/>
      <c r="G419" s="448"/>
      <c r="H419" s="448"/>
      <c r="I419" s="448"/>
      <c r="J419" s="448"/>
      <c r="K419" s="448"/>
      <c r="L419" s="448"/>
      <c r="M419" s="448"/>
      <c r="N419" s="448"/>
      <c r="O419" s="448"/>
      <c r="P419" s="448"/>
      <c r="Q419" s="448"/>
      <c r="R419" s="448"/>
      <c r="S419" s="448"/>
      <c r="T419" s="448"/>
      <c r="U419" s="448"/>
      <c r="V419" s="448"/>
      <c r="W419" s="448"/>
      <c r="X419" s="448"/>
      <c r="Y419" s="448"/>
      <c r="Z419" s="448"/>
      <c r="AA419" s="448"/>
      <c r="AB419" s="448"/>
      <c r="AC419" s="448"/>
      <c r="AD419" s="448"/>
      <c r="AE419" s="448"/>
      <c r="AF419" s="448"/>
      <c r="AG419" s="448"/>
      <c r="AH419" s="1638">
        <v>0</v>
      </c>
    </row>
    <row r="420" spans="1:34" ht="15">
      <c r="A420" s="1637" t="s">
        <v>149</v>
      </c>
      <c r="B420" s="863">
        <f t="shared" si="48"/>
        <v>0</v>
      </c>
      <c r="C420" s="448"/>
      <c r="D420" s="448"/>
      <c r="E420" s="448"/>
      <c r="F420" s="448"/>
      <c r="G420" s="448"/>
      <c r="H420" s="448"/>
      <c r="I420" s="448"/>
      <c r="J420" s="448"/>
      <c r="K420" s="448"/>
      <c r="L420" s="448"/>
      <c r="M420" s="448"/>
      <c r="N420" s="448"/>
      <c r="O420" s="448"/>
      <c r="P420" s="448"/>
      <c r="Q420" s="448"/>
      <c r="R420" s="448"/>
      <c r="S420" s="448"/>
      <c r="T420" s="448"/>
      <c r="U420" s="448"/>
      <c r="V420" s="448"/>
      <c r="W420" s="448"/>
      <c r="X420" s="448"/>
      <c r="Y420" s="448"/>
      <c r="Z420" s="448"/>
      <c r="AA420" s="448"/>
      <c r="AB420" s="448"/>
      <c r="AC420" s="448"/>
      <c r="AD420" s="448"/>
      <c r="AE420" s="448"/>
      <c r="AF420" s="448"/>
      <c r="AG420" s="448"/>
      <c r="AH420" s="1638">
        <v>0</v>
      </c>
    </row>
    <row r="421" spans="1:34" ht="15">
      <c r="A421" s="1637" t="s">
        <v>150</v>
      </c>
      <c r="B421" s="863">
        <f t="shared" si="48"/>
        <v>0</v>
      </c>
      <c r="C421" s="448"/>
      <c r="D421" s="448"/>
      <c r="E421" s="448"/>
      <c r="F421" s="448">
        <v>0</v>
      </c>
      <c r="G421" s="448"/>
      <c r="H421" s="448"/>
      <c r="I421" s="448"/>
      <c r="J421" s="448"/>
      <c r="K421" s="448"/>
      <c r="L421" s="448"/>
      <c r="M421" s="448"/>
      <c r="N421" s="448"/>
      <c r="O421" s="448"/>
      <c r="P421" s="448"/>
      <c r="Q421" s="448"/>
      <c r="R421" s="448"/>
      <c r="S421" s="448"/>
      <c r="T421" s="448"/>
      <c r="U421" s="448"/>
      <c r="V421" s="448"/>
      <c r="W421" s="448"/>
      <c r="X421" s="448"/>
      <c r="Y421" s="448"/>
      <c r="Z421" s="448"/>
      <c r="AA421" s="448"/>
      <c r="AB421" s="448"/>
      <c r="AC421" s="448"/>
      <c r="AD421" s="448"/>
      <c r="AE421" s="448"/>
      <c r="AF421" s="448"/>
      <c r="AG421" s="448"/>
      <c r="AH421" s="1638">
        <v>0</v>
      </c>
    </row>
    <row r="422" spans="1:34" ht="15">
      <c r="A422" s="1501" t="s">
        <v>151</v>
      </c>
      <c r="B422" s="863">
        <f t="shared" si="48"/>
        <v>0</v>
      </c>
      <c r="C422" s="1639"/>
      <c r="D422" s="448"/>
      <c r="E422" s="448"/>
      <c r="F422" s="448"/>
      <c r="G422" s="448"/>
      <c r="H422" s="448"/>
      <c r="I422" s="448"/>
      <c r="J422" s="448"/>
      <c r="K422" s="448"/>
      <c r="L422" s="448"/>
      <c r="M422" s="448"/>
      <c r="N422" s="448"/>
      <c r="O422" s="448"/>
      <c r="P422" s="448"/>
      <c r="Q422" s="448"/>
      <c r="R422" s="448"/>
      <c r="S422" s="448"/>
      <c r="T422" s="448"/>
      <c r="U422" s="448"/>
      <c r="V422" s="448"/>
      <c r="W422" s="448"/>
      <c r="X422" s="448"/>
      <c r="Y422" s="448"/>
      <c r="Z422" s="448"/>
      <c r="AA422" s="448"/>
      <c r="AB422" s="448"/>
      <c r="AC422" s="448"/>
      <c r="AD422" s="448"/>
      <c r="AE422" s="448"/>
      <c r="AF422" s="448"/>
      <c r="AG422" s="448"/>
      <c r="AH422" s="1638">
        <v>0</v>
      </c>
    </row>
    <row r="423" spans="1:34" ht="15">
      <c r="A423" s="1501" t="s">
        <v>152</v>
      </c>
      <c r="B423" s="863">
        <f t="shared" si="48"/>
        <v>0</v>
      </c>
      <c r="C423" s="1639"/>
      <c r="D423" s="448"/>
      <c r="E423" s="448"/>
      <c r="F423" s="448"/>
      <c r="G423" s="448"/>
      <c r="H423" s="448"/>
      <c r="I423" s="448"/>
      <c r="J423" s="448"/>
      <c r="K423" s="448"/>
      <c r="L423" s="448"/>
      <c r="M423" s="448"/>
      <c r="N423" s="448"/>
      <c r="O423" s="448"/>
      <c r="P423" s="448"/>
      <c r="Q423" s="863"/>
      <c r="R423" s="863"/>
      <c r="S423" s="863"/>
      <c r="T423" s="863"/>
      <c r="U423" s="863"/>
      <c r="V423" s="863"/>
      <c r="W423" s="863"/>
      <c r="X423" s="863"/>
      <c r="Y423" s="863"/>
      <c r="Z423" s="863"/>
      <c r="AA423" s="863"/>
      <c r="AB423" s="863"/>
      <c r="AC423" s="863"/>
      <c r="AD423" s="863"/>
      <c r="AE423" s="863"/>
      <c r="AF423" s="863"/>
      <c r="AG423" s="863"/>
      <c r="AH423" s="1638">
        <v>0</v>
      </c>
    </row>
    <row r="424" spans="1:34" ht="15">
      <c r="A424" s="1501" t="s">
        <v>153</v>
      </c>
      <c r="B424" s="863">
        <f t="shared" si="48"/>
        <v>0</v>
      </c>
      <c r="C424" s="863"/>
      <c r="D424" s="863"/>
      <c r="E424" s="863"/>
      <c r="F424" s="863"/>
      <c r="G424" s="863"/>
      <c r="H424" s="863"/>
      <c r="I424" s="863"/>
      <c r="J424" s="863"/>
      <c r="K424" s="863"/>
      <c r="L424" s="863"/>
      <c r="M424" s="863"/>
      <c r="N424" s="863"/>
      <c r="O424" s="863"/>
      <c r="P424" s="863"/>
      <c r="Q424" s="863"/>
      <c r="R424" s="863"/>
      <c r="S424" s="863"/>
      <c r="T424" s="863"/>
      <c r="U424" s="863"/>
      <c r="V424" s="863"/>
      <c r="W424" s="863"/>
      <c r="X424" s="863"/>
      <c r="Y424" s="863"/>
      <c r="Z424" s="863"/>
      <c r="AA424" s="863"/>
      <c r="AB424" s="863"/>
      <c r="AC424" s="863"/>
      <c r="AD424" s="863"/>
      <c r="AE424" s="863"/>
      <c r="AF424" s="863"/>
      <c r="AG424" s="863"/>
      <c r="AH424" s="1638">
        <v>0</v>
      </c>
    </row>
    <row r="425" spans="1:34" ht="15">
      <c r="A425" s="1501" t="s">
        <v>154</v>
      </c>
      <c r="B425" s="863">
        <f t="shared" si="48"/>
        <v>0</v>
      </c>
      <c r="C425" s="1639"/>
      <c r="D425" s="1640"/>
      <c r="E425" s="448"/>
      <c r="F425" s="448"/>
      <c r="G425" s="448"/>
      <c r="H425" s="448"/>
      <c r="I425" s="448"/>
      <c r="J425" s="448"/>
      <c r="K425" s="448"/>
      <c r="L425" s="448"/>
      <c r="M425" s="448"/>
      <c r="N425" s="448"/>
      <c r="O425" s="448"/>
      <c r="P425" s="448"/>
      <c r="Q425" s="448"/>
      <c r="R425" s="448"/>
      <c r="S425" s="448"/>
      <c r="T425" s="448"/>
      <c r="U425" s="448"/>
      <c r="V425" s="448"/>
      <c r="W425" s="448"/>
      <c r="X425" s="448"/>
      <c r="Y425" s="448"/>
      <c r="Z425" s="448"/>
      <c r="AA425" s="448"/>
      <c r="AB425" s="448"/>
      <c r="AC425" s="448"/>
      <c r="AD425" s="448"/>
      <c r="AE425" s="448"/>
      <c r="AF425" s="448"/>
      <c r="AG425" s="448"/>
      <c r="AH425" s="1641">
        <v>0</v>
      </c>
    </row>
    <row r="426" spans="1:34" ht="16.2">
      <c r="A426" s="1501" t="s">
        <v>155</v>
      </c>
      <c r="B426" s="863">
        <f t="shared" si="48"/>
        <v>0</v>
      </c>
      <c r="C426" s="1642"/>
      <c r="D426" s="1643"/>
      <c r="E426" s="1644"/>
      <c r="F426" s="448"/>
      <c r="G426" s="448"/>
      <c r="H426" s="448"/>
      <c r="I426" s="448"/>
      <c r="J426" s="448"/>
      <c r="K426" s="448"/>
      <c r="L426" s="448"/>
      <c r="M426" s="448"/>
      <c r="N426" s="448"/>
      <c r="O426" s="448"/>
      <c r="P426" s="448"/>
      <c r="Q426" s="448"/>
      <c r="R426" s="448"/>
      <c r="S426" s="448"/>
      <c r="T426" s="448"/>
      <c r="U426" s="448"/>
      <c r="V426" s="448"/>
      <c r="W426" s="448"/>
      <c r="X426" s="448"/>
      <c r="Y426" s="448"/>
      <c r="Z426" s="448"/>
      <c r="AA426" s="448"/>
      <c r="AB426" s="448"/>
      <c r="AC426" s="448"/>
      <c r="AD426" s="448"/>
      <c r="AE426" s="448"/>
      <c r="AF426" s="448"/>
      <c r="AG426" s="448"/>
      <c r="AH426" s="1641">
        <v>0</v>
      </c>
    </row>
    <row r="427" spans="1:34" ht="15">
      <c r="A427" s="1501" t="s">
        <v>156</v>
      </c>
      <c r="B427" s="863">
        <f t="shared" si="48"/>
        <v>0</v>
      </c>
      <c r="C427" s="448"/>
      <c r="D427" s="1645"/>
      <c r="E427" s="448"/>
      <c r="F427" s="448"/>
      <c r="G427" s="448"/>
      <c r="H427" s="448"/>
      <c r="I427" s="448"/>
      <c r="J427" s="448"/>
      <c r="K427" s="448"/>
      <c r="L427" s="448"/>
      <c r="M427" s="448"/>
      <c r="N427" s="448"/>
      <c r="O427" s="448"/>
      <c r="P427" s="448"/>
      <c r="Q427" s="448"/>
      <c r="R427" s="448"/>
      <c r="S427" s="448"/>
      <c r="T427" s="448"/>
      <c r="U427" s="448"/>
      <c r="V427" s="448"/>
      <c r="W427" s="448"/>
      <c r="X427" s="448"/>
      <c r="Y427" s="448"/>
      <c r="Z427" s="448"/>
      <c r="AA427" s="448"/>
      <c r="AB427" s="448"/>
      <c r="AC427" s="448"/>
      <c r="AD427" s="448"/>
      <c r="AE427" s="448"/>
      <c r="AF427" s="448"/>
      <c r="AG427" s="448"/>
      <c r="AH427" s="1641">
        <v>0</v>
      </c>
    </row>
    <row r="428" spans="1:34" ht="15">
      <c r="A428" s="1646" t="s">
        <v>111</v>
      </c>
      <c r="B428" s="1647">
        <f>SUM(B416:B427)</f>
        <v>0</v>
      </c>
      <c r="C428" s="1638">
        <v>0</v>
      </c>
      <c r="D428" s="1638">
        <v>0</v>
      </c>
      <c r="E428" s="1638">
        <v>0</v>
      </c>
      <c r="F428" s="1638">
        <v>0</v>
      </c>
      <c r="G428" s="1638">
        <v>0</v>
      </c>
      <c r="H428" s="1638">
        <v>0</v>
      </c>
      <c r="I428" s="1638">
        <v>0</v>
      </c>
      <c r="J428" s="1638">
        <v>0</v>
      </c>
      <c r="K428" s="1638">
        <v>0</v>
      </c>
      <c r="L428" s="1638">
        <v>0</v>
      </c>
      <c r="M428" s="1638">
        <v>0</v>
      </c>
      <c r="N428" s="1638">
        <v>0</v>
      </c>
      <c r="O428" s="1641">
        <v>0</v>
      </c>
      <c r="P428" s="1641">
        <v>0</v>
      </c>
      <c r="Q428" s="1641">
        <v>0</v>
      </c>
      <c r="R428" s="1641">
        <v>0</v>
      </c>
      <c r="S428" s="1641">
        <v>0</v>
      </c>
      <c r="T428" s="1641">
        <v>0</v>
      </c>
      <c r="U428" s="1641">
        <v>0</v>
      </c>
      <c r="V428" s="1641">
        <v>0</v>
      </c>
      <c r="W428" s="1641">
        <v>0</v>
      </c>
      <c r="X428" s="1641">
        <v>0</v>
      </c>
      <c r="Y428" s="1641">
        <v>0</v>
      </c>
      <c r="Z428" s="1641">
        <v>0</v>
      </c>
      <c r="AA428" s="1641">
        <v>0</v>
      </c>
      <c r="AB428" s="1641">
        <v>0</v>
      </c>
      <c r="AC428" s="1641">
        <v>0</v>
      </c>
      <c r="AD428" s="1641">
        <v>0</v>
      </c>
      <c r="AE428" s="1641">
        <v>0</v>
      </c>
      <c r="AF428" s="1641">
        <v>0</v>
      </c>
      <c r="AG428" s="1641">
        <v>0</v>
      </c>
      <c r="AH428" s="1641">
        <v>0</v>
      </c>
    </row>
    <row r="430" spans="1:34" ht="15">
      <c r="A430" s="4269" t="s">
        <v>972</v>
      </c>
      <c r="B430" s="4270"/>
      <c r="C430" s="4271"/>
      <c r="D430" s="1633"/>
      <c r="E430" s="1633"/>
      <c r="F430" s="1633"/>
      <c r="G430" s="1633"/>
      <c r="H430" s="1633"/>
      <c r="I430" s="1633"/>
      <c r="J430" s="1633"/>
      <c r="K430" s="1633"/>
      <c r="L430" s="1633"/>
      <c r="M430" s="1634"/>
      <c r="N430" s="1633"/>
      <c r="O430" s="1633"/>
      <c r="P430" s="1633"/>
      <c r="Q430" s="1633"/>
      <c r="R430" s="1633"/>
      <c r="S430" s="1633"/>
      <c r="T430" s="1633"/>
      <c r="U430" s="1633"/>
      <c r="V430" s="1633"/>
      <c r="W430" s="1633"/>
      <c r="X430" s="1633"/>
      <c r="Y430" s="1633"/>
      <c r="Z430" s="1633"/>
      <c r="AA430" s="1633"/>
      <c r="AB430" s="1633"/>
      <c r="AC430" s="1633"/>
      <c r="AD430" s="1633"/>
      <c r="AE430" s="1633"/>
      <c r="AF430" s="1633"/>
      <c r="AG430" s="1633"/>
      <c r="AH430" s="1635"/>
    </row>
    <row r="431" spans="1:34" ht="15">
      <c r="A431" s="1500" t="s">
        <v>142</v>
      </c>
      <c r="B431" s="1500" t="s">
        <v>143</v>
      </c>
      <c r="C431" s="1502">
        <v>1</v>
      </c>
      <c r="D431" s="1502">
        <v>2</v>
      </c>
      <c r="E431" s="1502">
        <v>3</v>
      </c>
      <c r="F431" s="1502">
        <v>4</v>
      </c>
      <c r="G431" s="1502">
        <v>5</v>
      </c>
      <c r="H431" s="1502">
        <v>6</v>
      </c>
      <c r="I431" s="1502">
        <v>7</v>
      </c>
      <c r="J431" s="1502">
        <v>8</v>
      </c>
      <c r="K431" s="1502">
        <v>9</v>
      </c>
      <c r="L431" s="1502">
        <v>10</v>
      </c>
      <c r="M431" s="1502">
        <v>11</v>
      </c>
      <c r="N431" s="1502">
        <v>12</v>
      </c>
      <c r="O431" s="1502">
        <v>13</v>
      </c>
      <c r="P431" s="1502">
        <v>14</v>
      </c>
      <c r="Q431" s="1502">
        <v>15</v>
      </c>
      <c r="R431" s="1502">
        <v>16</v>
      </c>
      <c r="S431" s="1502">
        <v>17</v>
      </c>
      <c r="T431" s="1502">
        <v>18</v>
      </c>
      <c r="U431" s="1502">
        <v>19</v>
      </c>
      <c r="V431" s="1502">
        <v>20</v>
      </c>
      <c r="W431" s="1502">
        <v>21</v>
      </c>
      <c r="X431" s="1502">
        <v>22</v>
      </c>
      <c r="Y431" s="1502">
        <v>23</v>
      </c>
      <c r="Z431" s="1502">
        <v>24</v>
      </c>
      <c r="AA431" s="1502">
        <v>25</v>
      </c>
      <c r="AB431" s="1502">
        <v>26</v>
      </c>
      <c r="AC431" s="1502">
        <v>27</v>
      </c>
      <c r="AD431" s="1502">
        <v>28</v>
      </c>
      <c r="AE431" s="1502">
        <v>29</v>
      </c>
      <c r="AF431" s="1502">
        <v>30</v>
      </c>
      <c r="AG431" s="1502">
        <v>31</v>
      </c>
      <c r="AH431" s="1636" t="s">
        <v>144</v>
      </c>
    </row>
    <row r="432" spans="1:34" ht="15">
      <c r="A432" s="1637" t="s">
        <v>145</v>
      </c>
      <c r="B432" s="863">
        <f>SUM(C432:AG432)</f>
        <v>0</v>
      </c>
      <c r="C432" s="448"/>
      <c r="D432" s="448"/>
      <c r="E432" s="448"/>
      <c r="F432" s="448"/>
      <c r="G432" s="448"/>
      <c r="H432" s="448"/>
      <c r="I432" s="448"/>
      <c r="J432" s="448"/>
      <c r="K432" s="448"/>
      <c r="L432" s="448"/>
      <c r="M432" s="448"/>
      <c r="N432" s="448"/>
      <c r="O432" s="448"/>
      <c r="P432" s="448"/>
      <c r="Q432" s="448"/>
      <c r="R432" s="448"/>
      <c r="S432" s="448"/>
      <c r="T432" s="448"/>
      <c r="U432" s="448"/>
      <c r="V432" s="448"/>
      <c r="W432" s="448"/>
      <c r="X432" s="448"/>
      <c r="Y432" s="448"/>
      <c r="Z432" s="448"/>
      <c r="AA432" s="448"/>
      <c r="AB432" s="448"/>
      <c r="AC432" s="448"/>
      <c r="AD432" s="448"/>
      <c r="AE432" s="448"/>
      <c r="AF432" s="448"/>
      <c r="AG432" s="448"/>
      <c r="AH432" s="1638">
        <v>0</v>
      </c>
    </row>
    <row r="433" spans="1:34" ht="15">
      <c r="A433" s="1637" t="s">
        <v>146</v>
      </c>
      <c r="B433" s="863">
        <f t="shared" ref="B433:B443" si="49">SUM(C433:AG433)</f>
        <v>0</v>
      </c>
      <c r="C433" s="448"/>
      <c r="D433" s="448"/>
      <c r="E433" s="448"/>
      <c r="F433" s="448"/>
      <c r="G433" s="448"/>
      <c r="H433" s="448"/>
      <c r="I433" s="448"/>
      <c r="J433" s="448"/>
      <c r="K433" s="448"/>
      <c r="L433" s="448"/>
      <c r="M433" s="448"/>
      <c r="N433" s="448"/>
      <c r="O433" s="448"/>
      <c r="P433" s="448"/>
      <c r="Q433" s="448"/>
      <c r="R433" s="448"/>
      <c r="S433" s="448"/>
      <c r="T433" s="448"/>
      <c r="U433" s="448"/>
      <c r="V433" s="448"/>
      <c r="W433" s="448"/>
      <c r="X433" s="448"/>
      <c r="Y433" s="448"/>
      <c r="Z433" s="448"/>
      <c r="AA433" s="448"/>
      <c r="AB433" s="448"/>
      <c r="AC433" s="448"/>
      <c r="AD433" s="448"/>
      <c r="AE433" s="448"/>
      <c r="AF433" s="448"/>
      <c r="AG433" s="448"/>
      <c r="AH433" s="1638">
        <v>0</v>
      </c>
    </row>
    <row r="434" spans="1:34" ht="15">
      <c r="A434" s="1637" t="s">
        <v>147</v>
      </c>
      <c r="B434" s="863">
        <f t="shared" si="49"/>
        <v>0</v>
      </c>
      <c r="C434" s="448"/>
      <c r="D434" s="448"/>
      <c r="E434" s="448"/>
      <c r="F434" s="448"/>
      <c r="G434" s="448"/>
      <c r="H434" s="448"/>
      <c r="I434" s="448"/>
      <c r="J434" s="448"/>
      <c r="K434" s="448"/>
      <c r="L434" s="448"/>
      <c r="M434" s="448"/>
      <c r="N434" s="448"/>
      <c r="O434" s="448"/>
      <c r="P434" s="448"/>
      <c r="Q434" s="448"/>
      <c r="R434" s="448"/>
      <c r="S434" s="448"/>
      <c r="T434" s="448"/>
      <c r="U434" s="448"/>
      <c r="V434" s="448"/>
      <c r="W434" s="448"/>
      <c r="X434" s="448"/>
      <c r="Y434" s="448"/>
      <c r="Z434" s="448"/>
      <c r="AA434" s="448"/>
      <c r="AB434" s="448"/>
      <c r="AC434" s="448"/>
      <c r="AD434" s="448"/>
      <c r="AE434" s="448"/>
      <c r="AF434" s="448"/>
      <c r="AG434" s="448"/>
      <c r="AH434" s="1638">
        <v>0</v>
      </c>
    </row>
    <row r="435" spans="1:34" ht="15">
      <c r="A435" s="1637" t="s">
        <v>148</v>
      </c>
      <c r="B435" s="863">
        <f>SUM(C435:AG435)</f>
        <v>0</v>
      </c>
      <c r="C435" s="448"/>
      <c r="D435" s="448"/>
      <c r="E435" s="448"/>
      <c r="F435" s="448"/>
      <c r="G435" s="448"/>
      <c r="H435" s="448"/>
      <c r="I435" s="448"/>
      <c r="J435" s="448"/>
      <c r="K435" s="448"/>
      <c r="L435" s="448"/>
      <c r="M435" s="448"/>
      <c r="N435" s="448"/>
      <c r="O435" s="448"/>
      <c r="P435" s="448"/>
      <c r="Q435" s="448"/>
      <c r="R435" s="448"/>
      <c r="S435" s="448"/>
      <c r="T435" s="448"/>
      <c r="U435" s="448"/>
      <c r="V435" s="448"/>
      <c r="W435" s="448"/>
      <c r="X435" s="448"/>
      <c r="Y435" s="448"/>
      <c r="Z435" s="448"/>
      <c r="AA435" s="448"/>
      <c r="AB435" s="448"/>
      <c r="AC435" s="448"/>
      <c r="AD435" s="448"/>
      <c r="AE435" s="448"/>
      <c r="AF435" s="448"/>
      <c r="AG435" s="448"/>
      <c r="AH435" s="1638">
        <v>0</v>
      </c>
    </row>
    <row r="436" spans="1:34" ht="15">
      <c r="A436" s="1637" t="s">
        <v>149</v>
      </c>
      <c r="B436" s="863">
        <f t="shared" si="49"/>
        <v>0</v>
      </c>
      <c r="C436" s="448"/>
      <c r="D436" s="448"/>
      <c r="E436" s="448"/>
      <c r="F436" s="448"/>
      <c r="G436" s="448"/>
      <c r="H436" s="448"/>
      <c r="I436" s="448"/>
      <c r="J436" s="448"/>
      <c r="K436" s="448"/>
      <c r="L436" s="448"/>
      <c r="M436" s="448"/>
      <c r="N436" s="448"/>
      <c r="O436" s="448"/>
      <c r="P436" s="448"/>
      <c r="Q436" s="448"/>
      <c r="R436" s="448"/>
      <c r="S436" s="448"/>
      <c r="T436" s="448"/>
      <c r="U436" s="448"/>
      <c r="V436" s="448"/>
      <c r="W436" s="448"/>
      <c r="X436" s="448"/>
      <c r="Y436" s="448"/>
      <c r="Z436" s="448"/>
      <c r="AA436" s="448"/>
      <c r="AB436" s="448"/>
      <c r="AC436" s="448"/>
      <c r="AD436" s="448"/>
      <c r="AE436" s="448"/>
      <c r="AF436" s="448"/>
      <c r="AG436" s="448"/>
      <c r="AH436" s="1638">
        <v>0</v>
      </c>
    </row>
    <row r="437" spans="1:34" ht="15">
      <c r="A437" s="1637" t="s">
        <v>150</v>
      </c>
      <c r="B437" s="863">
        <f>SUM(C437:AG437)</f>
        <v>51.984000000000002</v>
      </c>
      <c r="C437" s="448"/>
      <c r="D437" s="448"/>
      <c r="E437" s="448"/>
      <c r="F437" s="448">
        <v>51.984000000000002</v>
      </c>
      <c r="G437" s="448"/>
      <c r="H437" s="448"/>
      <c r="I437" s="448"/>
      <c r="J437" s="448"/>
      <c r="K437" s="448"/>
      <c r="L437" s="448"/>
      <c r="M437" s="448"/>
      <c r="N437" s="448"/>
      <c r="O437" s="448"/>
      <c r="P437" s="448"/>
      <c r="Q437" s="448"/>
      <c r="R437" s="448"/>
      <c r="S437" s="448"/>
      <c r="T437" s="448"/>
      <c r="U437" s="448"/>
      <c r="V437" s="448"/>
      <c r="W437" s="448"/>
      <c r="X437" s="448"/>
      <c r="Y437" s="448"/>
      <c r="Z437" s="448"/>
      <c r="AA437" s="448"/>
      <c r="AB437" s="448"/>
      <c r="AC437" s="448"/>
      <c r="AD437" s="448"/>
      <c r="AE437" s="448"/>
      <c r="AF437" s="448"/>
      <c r="AG437" s="448"/>
      <c r="AH437" s="1638">
        <v>0</v>
      </c>
    </row>
    <row r="438" spans="1:34" ht="15">
      <c r="A438" s="1501" t="s">
        <v>151</v>
      </c>
      <c r="B438" s="863">
        <f t="shared" si="49"/>
        <v>119.75999999999999</v>
      </c>
      <c r="C438" s="1639"/>
      <c r="D438" s="448"/>
      <c r="E438" s="448"/>
      <c r="F438" s="448"/>
      <c r="G438" s="448"/>
      <c r="H438" s="448"/>
      <c r="I438" s="448"/>
      <c r="J438" s="448"/>
      <c r="K438" s="448"/>
      <c r="L438" s="448"/>
      <c r="M438" s="448"/>
      <c r="N438" s="448"/>
      <c r="O438" s="448">
        <v>56.41</v>
      </c>
      <c r="P438" s="448"/>
      <c r="Q438" s="448"/>
      <c r="R438" s="448">
        <v>63.35</v>
      </c>
      <c r="S438" s="448"/>
      <c r="T438" s="448"/>
      <c r="U438" s="448"/>
      <c r="V438" s="448"/>
      <c r="W438" s="448"/>
      <c r="X438" s="448"/>
      <c r="Y438" s="448"/>
      <c r="Z438" s="448"/>
      <c r="AA438" s="448"/>
      <c r="AB438" s="448"/>
      <c r="AC438" s="448"/>
      <c r="AD438" s="448"/>
      <c r="AE438" s="448"/>
      <c r="AF438" s="448"/>
      <c r="AG438" s="448"/>
      <c r="AH438" s="1638">
        <v>0</v>
      </c>
    </row>
    <row r="439" spans="1:34" ht="15">
      <c r="A439" s="1501" t="s">
        <v>152</v>
      </c>
      <c r="B439" s="863">
        <f t="shared" si="49"/>
        <v>0</v>
      </c>
      <c r="C439" s="1639"/>
      <c r="D439" s="448"/>
      <c r="E439" s="448"/>
      <c r="F439" s="448"/>
      <c r="G439" s="448"/>
      <c r="H439" s="448"/>
      <c r="I439" s="448"/>
      <c r="J439" s="448"/>
      <c r="K439" s="448"/>
      <c r="L439" s="448"/>
      <c r="M439" s="448"/>
      <c r="N439" s="448"/>
      <c r="O439" s="448"/>
      <c r="P439" s="448"/>
      <c r="Q439" s="863"/>
      <c r="R439" s="863"/>
      <c r="S439" s="863"/>
      <c r="T439" s="863"/>
      <c r="U439" s="863"/>
      <c r="V439" s="863"/>
      <c r="W439" s="863"/>
      <c r="X439" s="863"/>
      <c r="Y439" s="863"/>
      <c r="Z439" s="863"/>
      <c r="AA439" s="863"/>
      <c r="AB439" s="863"/>
      <c r="AC439" s="863"/>
      <c r="AD439" s="863"/>
      <c r="AE439" s="863"/>
      <c r="AF439" s="863"/>
      <c r="AG439" s="863"/>
      <c r="AH439" s="1638">
        <v>0</v>
      </c>
    </row>
    <row r="440" spans="1:34" ht="15">
      <c r="A440" s="1501" t="s">
        <v>153</v>
      </c>
      <c r="B440" s="863">
        <f t="shared" si="49"/>
        <v>0</v>
      </c>
      <c r="C440" s="863"/>
      <c r="D440" s="863"/>
      <c r="E440" s="863"/>
      <c r="F440" s="863"/>
      <c r="G440" s="863"/>
      <c r="H440" s="863"/>
      <c r="I440" s="863"/>
      <c r="J440" s="863"/>
      <c r="K440" s="863"/>
      <c r="L440" s="863"/>
      <c r="M440" s="863"/>
      <c r="N440" s="863"/>
      <c r="O440" s="863"/>
      <c r="P440" s="863"/>
      <c r="Q440" s="863"/>
      <c r="R440" s="863"/>
      <c r="S440" s="863"/>
      <c r="T440" s="863"/>
      <c r="U440" s="863"/>
      <c r="V440" s="863"/>
      <c r="W440" s="863"/>
      <c r="X440" s="863"/>
      <c r="Y440" s="863"/>
      <c r="Z440" s="863"/>
      <c r="AA440" s="863"/>
      <c r="AB440" s="863"/>
      <c r="AC440" s="863"/>
      <c r="AD440" s="863"/>
      <c r="AE440" s="863"/>
      <c r="AF440" s="863"/>
      <c r="AG440" s="863"/>
      <c r="AH440" s="1638">
        <v>0</v>
      </c>
    </row>
    <row r="441" spans="1:34" ht="15">
      <c r="A441" s="1501" t="s">
        <v>154</v>
      </c>
      <c r="B441" s="863">
        <f t="shared" si="49"/>
        <v>0</v>
      </c>
      <c r="C441" s="1639"/>
      <c r="D441" s="1640"/>
      <c r="E441" s="448"/>
      <c r="F441" s="448"/>
      <c r="G441" s="448"/>
      <c r="H441" s="448"/>
      <c r="I441" s="448"/>
      <c r="J441" s="448"/>
      <c r="K441" s="448"/>
      <c r="L441" s="448"/>
      <c r="M441" s="448"/>
      <c r="N441" s="448"/>
      <c r="O441" s="448"/>
      <c r="P441" s="448"/>
      <c r="Q441" s="448"/>
      <c r="R441" s="448"/>
      <c r="S441" s="448"/>
      <c r="T441" s="448"/>
      <c r="U441" s="448"/>
      <c r="V441" s="448"/>
      <c r="W441" s="448"/>
      <c r="X441" s="448"/>
      <c r="Y441" s="448"/>
      <c r="Z441" s="448"/>
      <c r="AA441" s="448"/>
      <c r="AB441" s="448"/>
      <c r="AC441" s="448"/>
      <c r="AD441" s="448"/>
      <c r="AE441" s="448"/>
      <c r="AF441" s="448"/>
      <c r="AG441" s="448"/>
      <c r="AH441" s="1641">
        <v>0</v>
      </c>
    </row>
    <row r="442" spans="1:34" ht="16.2">
      <c r="A442" s="1501" t="s">
        <v>155</v>
      </c>
      <c r="B442" s="863">
        <f t="shared" si="49"/>
        <v>0</v>
      </c>
      <c r="C442" s="1642"/>
      <c r="D442" s="1643"/>
      <c r="E442" s="1644"/>
      <c r="F442" s="448"/>
      <c r="G442" s="448"/>
      <c r="H442" s="448"/>
      <c r="I442" s="448"/>
      <c r="J442" s="448"/>
      <c r="K442" s="448"/>
      <c r="L442" s="448"/>
      <c r="M442" s="448"/>
      <c r="N442" s="448"/>
      <c r="O442" s="448"/>
      <c r="P442" s="448"/>
      <c r="Q442" s="448"/>
      <c r="R442" s="448"/>
      <c r="S442" s="448"/>
      <c r="T442" s="448"/>
      <c r="U442" s="448"/>
      <c r="V442" s="448"/>
      <c r="W442" s="448"/>
      <c r="X442" s="448"/>
      <c r="Y442" s="448"/>
      <c r="Z442" s="448"/>
      <c r="AA442" s="448"/>
      <c r="AB442" s="448"/>
      <c r="AC442" s="448"/>
      <c r="AD442" s="448"/>
      <c r="AE442" s="448"/>
      <c r="AF442" s="448"/>
      <c r="AG442" s="448"/>
      <c r="AH442" s="1641">
        <v>0</v>
      </c>
    </row>
    <row r="443" spans="1:34" ht="15">
      <c r="A443" s="1501" t="s">
        <v>156</v>
      </c>
      <c r="B443" s="863">
        <f t="shared" si="49"/>
        <v>0</v>
      </c>
      <c r="C443" s="448"/>
      <c r="D443" s="1645"/>
      <c r="E443" s="448"/>
      <c r="F443" s="448"/>
      <c r="G443" s="448"/>
      <c r="H443" s="448"/>
      <c r="I443" s="448"/>
      <c r="J443" s="448"/>
      <c r="K443" s="448"/>
      <c r="L443" s="448"/>
      <c r="M443" s="448"/>
      <c r="N443" s="448"/>
      <c r="O443" s="448"/>
      <c r="P443" s="448"/>
      <c r="Q443" s="448"/>
      <c r="R443" s="448"/>
      <c r="S443" s="448"/>
      <c r="T443" s="448"/>
      <c r="U443" s="448"/>
      <c r="V443" s="448"/>
      <c r="W443" s="448"/>
      <c r="X443" s="448"/>
      <c r="Y443" s="448"/>
      <c r="Z443" s="448"/>
      <c r="AA443" s="448"/>
      <c r="AB443" s="448"/>
      <c r="AC443" s="448"/>
      <c r="AD443" s="448"/>
      <c r="AE443" s="448"/>
      <c r="AF443" s="448"/>
      <c r="AG443" s="448"/>
      <c r="AH443" s="1641">
        <v>0</v>
      </c>
    </row>
    <row r="444" spans="1:34" ht="15">
      <c r="A444" s="1646" t="s">
        <v>111</v>
      </c>
      <c r="B444" s="1647">
        <f>SUM(B432:B443)</f>
        <v>171.744</v>
      </c>
      <c r="C444" s="1638">
        <v>0</v>
      </c>
      <c r="D444" s="1638">
        <v>0</v>
      </c>
      <c r="E444" s="1638">
        <v>0</v>
      </c>
      <c r="F444" s="1638">
        <v>0</v>
      </c>
      <c r="G444" s="1638">
        <v>0</v>
      </c>
      <c r="H444" s="1638">
        <v>0</v>
      </c>
      <c r="I444" s="1638">
        <v>0</v>
      </c>
      <c r="J444" s="1638">
        <v>0</v>
      </c>
      <c r="K444" s="1638">
        <v>0</v>
      </c>
      <c r="L444" s="1638">
        <v>0</v>
      </c>
      <c r="M444" s="1638">
        <v>0</v>
      </c>
      <c r="N444" s="1638">
        <v>0</v>
      </c>
      <c r="O444" s="1641">
        <v>0</v>
      </c>
      <c r="P444" s="1641">
        <v>0</v>
      </c>
      <c r="Q444" s="1641">
        <v>0</v>
      </c>
      <c r="R444" s="1641">
        <v>0</v>
      </c>
      <c r="S444" s="1641">
        <v>0</v>
      </c>
      <c r="T444" s="1641">
        <v>0</v>
      </c>
      <c r="U444" s="1641">
        <v>0</v>
      </c>
      <c r="V444" s="1641">
        <v>0</v>
      </c>
      <c r="W444" s="1641">
        <v>0</v>
      </c>
      <c r="X444" s="1641">
        <v>0</v>
      </c>
      <c r="Y444" s="1641">
        <v>0</v>
      </c>
      <c r="Z444" s="1641">
        <v>0</v>
      </c>
      <c r="AA444" s="1641">
        <v>0</v>
      </c>
      <c r="AB444" s="1641">
        <v>0</v>
      </c>
      <c r="AC444" s="1641">
        <v>0</v>
      </c>
      <c r="AD444" s="1641">
        <v>0</v>
      </c>
      <c r="AE444" s="1641">
        <v>0</v>
      </c>
      <c r="AF444" s="1641">
        <v>0</v>
      </c>
      <c r="AG444" s="1641">
        <v>0</v>
      </c>
      <c r="AH444" s="1641">
        <v>0</v>
      </c>
    </row>
    <row r="445" spans="1:34" ht="13.8" thickBot="1"/>
    <row r="446" spans="1:34" ht="15" customHeight="1" thickBot="1">
      <c r="A446" s="4261" t="s">
        <v>1205</v>
      </c>
      <c r="B446" s="4262"/>
      <c r="C446" s="4263"/>
      <c r="D446" s="1861"/>
      <c r="E446" s="1861"/>
      <c r="F446" s="1861"/>
      <c r="G446" s="1861"/>
      <c r="H446" s="1633"/>
      <c r="I446" s="1633"/>
      <c r="J446" s="1633"/>
      <c r="K446" s="1633"/>
      <c r="L446" s="1633"/>
      <c r="M446" s="1634"/>
      <c r="N446" s="1633"/>
      <c r="O446" s="1633"/>
      <c r="P446" s="1633"/>
      <c r="Q446" s="1633"/>
      <c r="R446" s="1633"/>
      <c r="S446" s="1633"/>
      <c r="T446" s="1633"/>
      <c r="U446" s="1633"/>
      <c r="V446" s="1633"/>
      <c r="W446" s="1633"/>
      <c r="X446" s="1633"/>
      <c r="Y446" s="1633"/>
      <c r="Z446" s="1633"/>
      <c r="AA446" s="1633"/>
      <c r="AB446" s="1633"/>
      <c r="AC446" s="1633"/>
      <c r="AD446" s="1633"/>
      <c r="AE446" s="1633"/>
      <c r="AF446" s="1633"/>
      <c r="AG446" s="1633"/>
      <c r="AH446" s="1635"/>
    </row>
    <row r="447" spans="1:34" ht="15">
      <c r="A447" s="1648" t="s">
        <v>142</v>
      </c>
      <c r="B447" s="1648" t="s">
        <v>143</v>
      </c>
      <c r="C447" s="2510">
        <v>1</v>
      </c>
      <c r="D447" s="1502">
        <v>2</v>
      </c>
      <c r="E447" s="1502">
        <v>3</v>
      </c>
      <c r="F447" s="1502">
        <v>4</v>
      </c>
      <c r="G447" s="1502">
        <v>5</v>
      </c>
      <c r="H447" s="1502">
        <v>6</v>
      </c>
      <c r="I447" s="1502">
        <v>7</v>
      </c>
      <c r="J447" s="1502">
        <v>8</v>
      </c>
      <c r="K447" s="1502">
        <v>9</v>
      </c>
      <c r="L447" s="1502">
        <v>10</v>
      </c>
      <c r="M447" s="1502">
        <v>11</v>
      </c>
      <c r="N447" s="1502">
        <v>12</v>
      </c>
      <c r="O447" s="1502">
        <v>13</v>
      </c>
      <c r="P447" s="1502">
        <v>14</v>
      </c>
      <c r="Q447" s="1502">
        <v>15</v>
      </c>
      <c r="R447" s="1502">
        <v>16</v>
      </c>
      <c r="S447" s="1502">
        <v>17</v>
      </c>
      <c r="T447" s="1502">
        <v>18</v>
      </c>
      <c r="U447" s="1502">
        <v>19</v>
      </c>
      <c r="V447" s="1502">
        <v>20</v>
      </c>
      <c r="W447" s="1502">
        <v>21</v>
      </c>
      <c r="X447" s="1502">
        <v>22</v>
      </c>
      <c r="Y447" s="1502">
        <v>23</v>
      </c>
      <c r="Z447" s="1502">
        <v>24</v>
      </c>
      <c r="AA447" s="1502">
        <v>25</v>
      </c>
      <c r="AB447" s="1502">
        <v>26</v>
      </c>
      <c r="AC447" s="1502">
        <v>27</v>
      </c>
      <c r="AD447" s="1502">
        <v>28</v>
      </c>
      <c r="AE447" s="1502">
        <v>29</v>
      </c>
      <c r="AF447" s="1502">
        <v>30</v>
      </c>
      <c r="AG447" s="1502">
        <v>31</v>
      </c>
      <c r="AH447" s="1636" t="s">
        <v>144</v>
      </c>
    </row>
    <row r="448" spans="1:34" ht="15">
      <c r="A448" s="1637" t="s">
        <v>145</v>
      </c>
      <c r="B448" s="863">
        <f>SUM(C448:AG448)</f>
        <v>0</v>
      </c>
      <c r="C448" s="448"/>
      <c r="D448" s="448"/>
      <c r="E448" s="448"/>
      <c r="F448" s="448"/>
      <c r="G448" s="448"/>
      <c r="H448" s="448"/>
      <c r="I448" s="448"/>
      <c r="J448" s="448"/>
      <c r="K448" s="448"/>
      <c r="L448" s="448"/>
      <c r="M448" s="448"/>
      <c r="N448" s="448"/>
      <c r="O448" s="448"/>
      <c r="P448" s="448"/>
      <c r="Q448" s="448"/>
      <c r="R448" s="448"/>
      <c r="S448" s="448"/>
      <c r="T448" s="448"/>
      <c r="U448" s="448"/>
      <c r="V448" s="448"/>
      <c r="W448" s="448"/>
      <c r="X448" s="448"/>
      <c r="Y448" s="448"/>
      <c r="Z448" s="448"/>
      <c r="AA448" s="448"/>
      <c r="AB448" s="448"/>
      <c r="AC448" s="448"/>
      <c r="AD448" s="448"/>
      <c r="AE448" s="448"/>
      <c r="AF448" s="448"/>
      <c r="AG448" s="448"/>
      <c r="AH448" s="1638">
        <v>0</v>
      </c>
    </row>
    <row r="449" spans="1:34" ht="15">
      <c r="A449" s="1637" t="s">
        <v>146</v>
      </c>
      <c r="B449" s="863">
        <f>SUM(C449:AG449)</f>
        <v>0</v>
      </c>
      <c r="C449" s="448"/>
      <c r="D449" s="448"/>
      <c r="E449" s="448"/>
      <c r="F449" s="448"/>
      <c r="G449" s="448"/>
      <c r="H449" s="448"/>
      <c r="I449" s="448"/>
      <c r="J449" s="448"/>
      <c r="K449" s="448"/>
      <c r="L449" s="448"/>
      <c r="M449" s="448"/>
      <c r="N449" s="448"/>
      <c r="O449" s="448"/>
      <c r="P449" s="448"/>
      <c r="Q449" s="448"/>
      <c r="R449" s="448"/>
      <c r="S449" s="448"/>
      <c r="T449" s="448"/>
      <c r="U449" s="448"/>
      <c r="V449" s="448"/>
      <c r="W449" s="448"/>
      <c r="X449" s="448"/>
      <c r="Y449" s="448"/>
      <c r="Z449" s="448"/>
      <c r="AA449" s="448"/>
      <c r="AB449" s="448"/>
      <c r="AC449" s="448"/>
      <c r="AD449" s="448"/>
      <c r="AE449" s="448"/>
      <c r="AF449" s="448"/>
      <c r="AG449" s="448"/>
      <c r="AH449" s="1638">
        <v>0</v>
      </c>
    </row>
    <row r="450" spans="1:34" ht="15">
      <c r="A450" s="1637" t="s">
        <v>147</v>
      </c>
      <c r="B450" s="863">
        <f t="shared" ref="B450:B459" si="50">SUM(C450:AG450)</f>
        <v>0</v>
      </c>
      <c r="C450" s="448"/>
      <c r="D450" s="448"/>
      <c r="E450" s="448"/>
      <c r="F450" s="448"/>
      <c r="G450" s="448"/>
      <c r="H450" s="448"/>
      <c r="I450" s="448"/>
      <c r="J450" s="448"/>
      <c r="K450" s="448"/>
      <c r="L450" s="448"/>
      <c r="M450" s="448"/>
      <c r="N450" s="448"/>
      <c r="O450" s="448"/>
      <c r="P450" s="448"/>
      <c r="Q450" s="448"/>
      <c r="R450" s="448"/>
      <c r="S450" s="448"/>
      <c r="T450" s="448"/>
      <c r="U450" s="448"/>
      <c r="V450" s="448"/>
      <c r="W450" s="448"/>
      <c r="X450" s="448"/>
      <c r="Y450" s="448"/>
      <c r="Z450" s="448"/>
      <c r="AA450" s="448"/>
      <c r="AB450" s="448"/>
      <c r="AC450" s="448"/>
      <c r="AD450" s="448"/>
      <c r="AE450" s="448"/>
      <c r="AF450" s="448"/>
      <c r="AG450" s="448"/>
      <c r="AH450" s="1638">
        <v>0</v>
      </c>
    </row>
    <row r="451" spans="1:34" ht="15">
      <c r="A451" s="1637" t="s">
        <v>148</v>
      </c>
      <c r="B451" s="863">
        <f t="shared" si="50"/>
        <v>0</v>
      </c>
      <c r="C451" s="448"/>
      <c r="D451" s="448"/>
      <c r="E451" s="448"/>
      <c r="F451" s="448"/>
      <c r="G451" s="448"/>
      <c r="H451" s="448"/>
      <c r="I451" s="448"/>
      <c r="J451" s="448"/>
      <c r="K451" s="448"/>
      <c r="L451" s="448"/>
      <c r="M451" s="448"/>
      <c r="N451" s="448"/>
      <c r="O451" s="448"/>
      <c r="P451" s="448"/>
      <c r="Q451" s="448"/>
      <c r="R451" s="448"/>
      <c r="S451" s="448"/>
      <c r="T451" s="448"/>
      <c r="U451" s="448"/>
      <c r="V451" s="448"/>
      <c r="W451" s="448"/>
      <c r="X451" s="448"/>
      <c r="Y451" s="448"/>
      <c r="Z451" s="448"/>
      <c r="AA451" s="448"/>
      <c r="AB451" s="448"/>
      <c r="AC451" s="448"/>
      <c r="AD451" s="448"/>
      <c r="AE451" s="448"/>
      <c r="AF451" s="448"/>
      <c r="AG451" s="448"/>
      <c r="AH451" s="1638">
        <v>0</v>
      </c>
    </row>
    <row r="452" spans="1:34" ht="15">
      <c r="A452" s="1637" t="s">
        <v>149</v>
      </c>
      <c r="B452" s="863">
        <f t="shared" si="50"/>
        <v>0</v>
      </c>
      <c r="C452" s="448"/>
      <c r="D452" s="448"/>
      <c r="E452" s="448"/>
      <c r="F452" s="448"/>
      <c r="G452" s="448"/>
      <c r="H452" s="448"/>
      <c r="I452" s="448"/>
      <c r="J452" s="448"/>
      <c r="K452" s="448"/>
      <c r="L452" s="448"/>
      <c r="M452" s="448"/>
      <c r="N452" s="448"/>
      <c r="O452" s="448"/>
      <c r="P452" s="448"/>
      <c r="Q452" s="448"/>
      <c r="R452" s="448"/>
      <c r="S452" s="448"/>
      <c r="T452" s="448"/>
      <c r="U452" s="448"/>
      <c r="V452" s="448"/>
      <c r="W452" s="448"/>
      <c r="X452" s="448"/>
      <c r="Y452" s="448"/>
      <c r="Z452" s="448"/>
      <c r="AA452" s="448"/>
      <c r="AB452" s="448"/>
      <c r="AC452" s="448"/>
      <c r="AD452" s="448"/>
      <c r="AE452" s="448"/>
      <c r="AF452" s="448"/>
      <c r="AG452" s="448"/>
      <c r="AH452" s="1638">
        <v>0</v>
      </c>
    </row>
    <row r="453" spans="1:34" ht="15">
      <c r="A453" s="1637" t="s">
        <v>150</v>
      </c>
      <c r="B453" s="863">
        <f t="shared" si="50"/>
        <v>7.5140000000000002</v>
      </c>
      <c r="C453" s="448"/>
      <c r="D453" s="448"/>
      <c r="E453" s="448"/>
      <c r="F453" s="448"/>
      <c r="G453" s="448"/>
      <c r="H453" s="448"/>
      <c r="I453" s="448"/>
      <c r="J453" s="448"/>
      <c r="K453" s="448"/>
      <c r="L453" s="448"/>
      <c r="M453" s="448"/>
      <c r="N453" s="448"/>
      <c r="O453" s="448"/>
      <c r="P453" s="448"/>
      <c r="Q453" s="448"/>
      <c r="R453" s="448"/>
      <c r="S453" s="448"/>
      <c r="T453" s="448"/>
      <c r="U453" s="448"/>
      <c r="V453" s="448"/>
      <c r="W453" s="448"/>
      <c r="X453" s="448"/>
      <c r="Y453" s="448"/>
      <c r="Z453" s="448"/>
      <c r="AA453" s="448"/>
      <c r="AB453" s="448">
        <v>7.5140000000000002</v>
      </c>
      <c r="AC453" s="448"/>
      <c r="AD453" s="448"/>
      <c r="AE453" s="448"/>
      <c r="AF453" s="448"/>
      <c r="AG453" s="448"/>
      <c r="AH453" s="1638">
        <v>0</v>
      </c>
    </row>
    <row r="454" spans="1:34" ht="15">
      <c r="A454" s="1501" t="s">
        <v>151</v>
      </c>
      <c r="B454" s="863">
        <f t="shared" si="50"/>
        <v>45.680999999999997</v>
      </c>
      <c r="C454" s="1639"/>
      <c r="D454" s="448"/>
      <c r="E454" s="448"/>
      <c r="F454" s="448">
        <v>6.29</v>
      </c>
      <c r="G454" s="448"/>
      <c r="H454" s="448"/>
      <c r="I454" s="448">
        <v>14.497999999999999</v>
      </c>
      <c r="J454" s="448">
        <v>24.893000000000001</v>
      </c>
      <c r="K454" s="448"/>
      <c r="L454" s="448"/>
      <c r="M454" s="448"/>
      <c r="N454" s="448"/>
      <c r="O454" s="448"/>
      <c r="P454" s="448"/>
      <c r="Q454" s="448"/>
      <c r="R454" s="448"/>
      <c r="S454" s="448"/>
      <c r="T454" s="448"/>
      <c r="U454" s="448"/>
      <c r="V454" s="448"/>
      <c r="W454" s="448"/>
      <c r="X454" s="448"/>
      <c r="Y454" s="448"/>
      <c r="Z454" s="448"/>
      <c r="AA454" s="448"/>
      <c r="AB454" s="448"/>
      <c r="AC454" s="448"/>
      <c r="AD454" s="448"/>
      <c r="AE454" s="448"/>
      <c r="AF454" s="448"/>
      <c r="AG454" s="448"/>
      <c r="AH454" s="1638">
        <v>0</v>
      </c>
    </row>
    <row r="455" spans="1:34" ht="15">
      <c r="A455" s="1501" t="s">
        <v>152</v>
      </c>
      <c r="B455" s="863">
        <f t="shared" si="50"/>
        <v>0</v>
      </c>
      <c r="C455" s="1639"/>
      <c r="D455" s="448"/>
      <c r="E455" s="448"/>
      <c r="F455" s="448"/>
      <c r="G455" s="448"/>
      <c r="H455" s="448"/>
      <c r="I455" s="448"/>
      <c r="J455" s="448"/>
      <c r="K455" s="448"/>
      <c r="L455" s="448"/>
      <c r="M455" s="448"/>
      <c r="N455" s="448"/>
      <c r="O455" s="448"/>
      <c r="P455" s="448"/>
      <c r="Q455" s="863"/>
      <c r="R455" s="863"/>
      <c r="S455" s="863"/>
      <c r="T455" s="863"/>
      <c r="U455" s="863"/>
      <c r="V455" s="863"/>
      <c r="W455" s="863"/>
      <c r="X455" s="863"/>
      <c r="Y455" s="863"/>
      <c r="Z455" s="863"/>
      <c r="AA455" s="863"/>
      <c r="AB455" s="863"/>
      <c r="AC455" s="863"/>
      <c r="AD455" s="863"/>
      <c r="AE455" s="863"/>
      <c r="AF455" s="863"/>
      <c r="AG455" s="863"/>
      <c r="AH455" s="1638">
        <v>0</v>
      </c>
    </row>
    <row r="456" spans="1:34" ht="15">
      <c r="A456" s="1501" t="s">
        <v>153</v>
      </c>
      <c r="B456" s="863">
        <f t="shared" si="50"/>
        <v>0</v>
      </c>
      <c r="C456" s="863"/>
      <c r="D456" s="863"/>
      <c r="E456" s="863"/>
      <c r="F456" s="863"/>
      <c r="G456" s="863"/>
      <c r="H456" s="863"/>
      <c r="I456" s="863"/>
      <c r="J456" s="863"/>
      <c r="K456" s="863"/>
      <c r="L456" s="863"/>
      <c r="M456" s="863"/>
      <c r="N456" s="863"/>
      <c r="O456" s="863"/>
      <c r="P456" s="863"/>
      <c r="Q456" s="863"/>
      <c r="R456" s="863"/>
      <c r="S456" s="863"/>
      <c r="T456" s="863"/>
      <c r="U456" s="863"/>
      <c r="V456" s="863"/>
      <c r="W456" s="863"/>
      <c r="X456" s="863"/>
      <c r="Y456" s="863"/>
      <c r="Z456" s="863"/>
      <c r="AA456" s="863"/>
      <c r="AB456" s="863"/>
      <c r="AC456" s="863"/>
      <c r="AD456" s="863"/>
      <c r="AE456" s="863"/>
      <c r="AF456" s="863"/>
      <c r="AG456" s="863"/>
      <c r="AH456" s="1638">
        <v>0</v>
      </c>
    </row>
    <row r="457" spans="1:34" ht="15">
      <c r="A457" s="1501" t="s">
        <v>154</v>
      </c>
      <c r="B457" s="863">
        <f t="shared" si="50"/>
        <v>30.800999999999998</v>
      </c>
      <c r="C457" s="1639"/>
      <c r="D457" s="1640"/>
      <c r="E457" s="448"/>
      <c r="F457" s="448"/>
      <c r="G457" s="448"/>
      <c r="H457" s="448"/>
      <c r="I457" s="448"/>
      <c r="J457" s="448"/>
      <c r="K457" s="448"/>
      <c r="L457" s="448"/>
      <c r="M457" s="448"/>
      <c r="N457" s="448"/>
      <c r="O457" s="448"/>
      <c r="P457" s="448"/>
      <c r="Q457" s="448"/>
      <c r="R457" s="448"/>
      <c r="S457" s="448"/>
      <c r="T457" s="448"/>
      <c r="U457" s="448"/>
      <c r="V457" s="448"/>
      <c r="W457" s="448"/>
      <c r="X457" s="448">
        <v>30.800999999999998</v>
      </c>
      <c r="Y457" s="448"/>
      <c r="Z457" s="448"/>
      <c r="AA457" s="448"/>
      <c r="AB457" s="448"/>
      <c r="AC457" s="448"/>
      <c r="AD457" s="448"/>
      <c r="AE457" s="448"/>
      <c r="AF457" s="448"/>
      <c r="AG457" s="448"/>
      <c r="AH457" s="1641">
        <v>0</v>
      </c>
    </row>
    <row r="458" spans="1:34" ht="16.2">
      <c r="A458" s="1501" t="s">
        <v>155</v>
      </c>
      <c r="B458" s="863">
        <f t="shared" si="50"/>
        <v>0</v>
      </c>
      <c r="C458" s="1642"/>
      <c r="D458" s="1643"/>
      <c r="E458" s="1644"/>
      <c r="F458" s="448"/>
      <c r="G458" s="448"/>
      <c r="H458" s="448"/>
      <c r="I458" s="448"/>
      <c r="J458" s="448"/>
      <c r="K458" s="448"/>
      <c r="L458" s="448"/>
      <c r="M458" s="448"/>
      <c r="N458" s="448"/>
      <c r="O458" s="448"/>
      <c r="P458" s="448"/>
      <c r="Q458" s="448"/>
      <c r="R458" s="448"/>
      <c r="S458" s="448"/>
      <c r="T458" s="448"/>
      <c r="U458" s="448"/>
      <c r="V458" s="448"/>
      <c r="W458" s="448"/>
      <c r="X458" s="448"/>
      <c r="Y458" s="448"/>
      <c r="Z458" s="448"/>
      <c r="AA458" s="448"/>
      <c r="AB458" s="448"/>
      <c r="AC458" s="448"/>
      <c r="AD458" s="448"/>
      <c r="AE458" s="448"/>
      <c r="AF458" s="448"/>
      <c r="AG458" s="448"/>
      <c r="AH458" s="1641">
        <v>0</v>
      </c>
    </row>
    <row r="459" spans="1:34" ht="15">
      <c r="A459" s="1501" t="s">
        <v>156</v>
      </c>
      <c r="B459" s="863">
        <f t="shared" si="50"/>
        <v>0</v>
      </c>
      <c r="C459" s="448"/>
      <c r="D459" s="1645"/>
      <c r="E459" s="448"/>
      <c r="F459" s="448"/>
      <c r="G459" s="448"/>
      <c r="H459" s="448"/>
      <c r="I459" s="448"/>
      <c r="J459" s="448"/>
      <c r="K459" s="448"/>
      <c r="L459" s="448"/>
      <c r="M459" s="448"/>
      <c r="N459" s="448"/>
      <c r="O459" s="448"/>
      <c r="P459" s="448"/>
      <c r="Q459" s="448"/>
      <c r="R459" s="448"/>
      <c r="S459" s="448"/>
      <c r="T459" s="448"/>
      <c r="U459" s="448"/>
      <c r="V459" s="448"/>
      <c r="W459" s="448"/>
      <c r="X459" s="448"/>
      <c r="Y459" s="448"/>
      <c r="Z459" s="448"/>
      <c r="AA459" s="448"/>
      <c r="AB459" s="448"/>
      <c r="AC459" s="448"/>
      <c r="AD459" s="448"/>
      <c r="AE459" s="448"/>
      <c r="AF459" s="448"/>
      <c r="AG459" s="448"/>
      <c r="AH459" s="1641">
        <v>0</v>
      </c>
    </row>
    <row r="460" spans="1:34" ht="15">
      <c r="A460" s="1646" t="s">
        <v>111</v>
      </c>
      <c r="B460" s="1647">
        <f>SUM(B448:B459)</f>
        <v>83.995999999999995</v>
      </c>
      <c r="C460" s="1638">
        <v>0</v>
      </c>
      <c r="D460" s="1638">
        <v>0</v>
      </c>
      <c r="E460" s="1638">
        <v>0</v>
      </c>
      <c r="F460" s="1638">
        <v>0</v>
      </c>
      <c r="G460" s="1638">
        <v>0</v>
      </c>
      <c r="H460" s="1638">
        <v>0</v>
      </c>
      <c r="I460" s="1638">
        <v>0</v>
      </c>
      <c r="J460" s="1638">
        <v>0</v>
      </c>
      <c r="K460" s="1638">
        <v>0</v>
      </c>
      <c r="L460" s="1638">
        <v>0</v>
      </c>
      <c r="M460" s="1638">
        <v>0</v>
      </c>
      <c r="N460" s="1638">
        <v>0</v>
      </c>
      <c r="O460" s="1641">
        <v>0</v>
      </c>
      <c r="P460" s="1641">
        <v>0</v>
      </c>
      <c r="Q460" s="1641">
        <v>0</v>
      </c>
      <c r="R460" s="1641">
        <v>0</v>
      </c>
      <c r="S460" s="1641">
        <v>0</v>
      </c>
      <c r="T460" s="1641">
        <v>0</v>
      </c>
      <c r="U460" s="1641">
        <v>0</v>
      </c>
      <c r="V460" s="1641">
        <v>0</v>
      </c>
      <c r="W460" s="1641">
        <v>0</v>
      </c>
      <c r="X460" s="1641">
        <v>0</v>
      </c>
      <c r="Y460" s="1641">
        <v>0</v>
      </c>
      <c r="Z460" s="1641">
        <v>0</v>
      </c>
      <c r="AA460" s="1641">
        <v>0</v>
      </c>
      <c r="AB460" s="1641">
        <v>0</v>
      </c>
      <c r="AC460" s="1641">
        <v>0</v>
      </c>
      <c r="AD460" s="1641">
        <v>0</v>
      </c>
      <c r="AE460" s="1641">
        <v>0</v>
      </c>
      <c r="AF460" s="1641">
        <v>0</v>
      </c>
      <c r="AG460" s="1641">
        <v>0</v>
      </c>
      <c r="AH460" s="1641">
        <v>0</v>
      </c>
    </row>
    <row r="461" spans="1:34" ht="13.8" thickBot="1"/>
    <row r="462" spans="1:34" ht="15.6" thickBot="1">
      <c r="A462" s="4266" t="s">
        <v>1206</v>
      </c>
      <c r="B462" s="4267"/>
      <c r="C462" s="4268"/>
      <c r="D462" s="1633"/>
      <c r="E462" s="1633"/>
      <c r="F462" s="1633"/>
      <c r="G462" s="1633"/>
      <c r="H462" s="1633"/>
      <c r="I462" s="1633"/>
      <c r="J462" s="1633"/>
      <c r="K462" s="1633"/>
      <c r="L462" s="1633"/>
      <c r="M462" s="1634"/>
      <c r="N462" s="1633"/>
      <c r="O462" s="1633"/>
      <c r="P462" s="1633"/>
      <c r="Q462" s="1633"/>
      <c r="R462" s="1633"/>
      <c r="S462" s="1633"/>
      <c r="T462" s="1633"/>
      <c r="U462" s="1633"/>
      <c r="V462" s="1633"/>
      <c r="W462" s="1633"/>
      <c r="X462" s="1633"/>
      <c r="Y462" s="1633"/>
      <c r="Z462" s="1633"/>
      <c r="AA462" s="1633"/>
      <c r="AB462" s="1633"/>
      <c r="AC462" s="1633"/>
      <c r="AD462" s="1633"/>
      <c r="AE462" s="1633"/>
      <c r="AF462" s="1633"/>
      <c r="AG462" s="1633"/>
      <c r="AH462" s="1635"/>
    </row>
    <row r="463" spans="1:34" ht="15">
      <c r="A463" s="1648" t="s">
        <v>142</v>
      </c>
      <c r="B463" s="1648" t="s">
        <v>143</v>
      </c>
      <c r="C463" s="2510">
        <v>1</v>
      </c>
      <c r="D463" s="1502">
        <v>2</v>
      </c>
      <c r="E463" s="1502">
        <v>3</v>
      </c>
      <c r="F463" s="1502">
        <v>4</v>
      </c>
      <c r="G463" s="1502">
        <v>5</v>
      </c>
      <c r="H463" s="1502">
        <v>6</v>
      </c>
      <c r="I463" s="1502">
        <v>7</v>
      </c>
      <c r="J463" s="1502">
        <v>8</v>
      </c>
      <c r="K463" s="1502">
        <v>9</v>
      </c>
      <c r="L463" s="1502">
        <v>10</v>
      </c>
      <c r="M463" s="1502">
        <v>11</v>
      </c>
      <c r="N463" s="1502">
        <v>12</v>
      </c>
      <c r="O463" s="1502">
        <v>13</v>
      </c>
      <c r="P463" s="1502">
        <v>14</v>
      </c>
      <c r="Q463" s="1502">
        <v>15</v>
      </c>
      <c r="R463" s="1502">
        <v>16</v>
      </c>
      <c r="S463" s="1502">
        <v>17</v>
      </c>
      <c r="T463" s="1502">
        <v>18</v>
      </c>
      <c r="U463" s="1502">
        <v>19</v>
      </c>
      <c r="V463" s="1502">
        <v>20</v>
      </c>
      <c r="W463" s="1502">
        <v>21</v>
      </c>
      <c r="X463" s="1502">
        <v>22</v>
      </c>
      <c r="Y463" s="1502">
        <v>23</v>
      </c>
      <c r="Z463" s="1502">
        <v>24</v>
      </c>
      <c r="AA463" s="1502">
        <v>25</v>
      </c>
      <c r="AB463" s="1502">
        <v>26</v>
      </c>
      <c r="AC463" s="1502">
        <v>27</v>
      </c>
      <c r="AD463" s="1502">
        <v>28</v>
      </c>
      <c r="AE463" s="1502">
        <v>29</v>
      </c>
      <c r="AF463" s="1502">
        <v>30</v>
      </c>
      <c r="AG463" s="1502">
        <v>31</v>
      </c>
      <c r="AH463" s="1636" t="s">
        <v>144</v>
      </c>
    </row>
    <row r="464" spans="1:34" ht="15">
      <c r="A464" s="1637" t="s">
        <v>145</v>
      </c>
      <c r="B464" s="863">
        <f>SUM(C464:AG464)</f>
        <v>0</v>
      </c>
      <c r="C464" s="448"/>
      <c r="D464" s="448"/>
      <c r="E464" s="448"/>
      <c r="F464" s="448"/>
      <c r="G464" s="448"/>
      <c r="H464" s="448"/>
      <c r="I464" s="448"/>
      <c r="J464" s="448"/>
      <c r="K464" s="448"/>
      <c r="L464" s="448"/>
      <c r="M464" s="448"/>
      <c r="N464" s="448"/>
      <c r="O464" s="448"/>
      <c r="P464" s="448"/>
      <c r="Q464" s="448"/>
      <c r="R464" s="448"/>
      <c r="S464" s="448"/>
      <c r="T464" s="448"/>
      <c r="U464" s="448"/>
      <c r="V464" s="448"/>
      <c r="W464" s="448"/>
      <c r="X464" s="448"/>
      <c r="Y464" s="448"/>
      <c r="Z464" s="448"/>
      <c r="AA464" s="448"/>
      <c r="AB464" s="448"/>
      <c r="AC464" s="448"/>
      <c r="AD464" s="448"/>
      <c r="AE464" s="448"/>
      <c r="AF464" s="448"/>
      <c r="AG464" s="448"/>
      <c r="AH464" s="1638">
        <v>0</v>
      </c>
    </row>
    <row r="465" spans="1:34" ht="15">
      <c r="A465" s="1637" t="s">
        <v>146</v>
      </c>
      <c r="B465" s="863">
        <f t="shared" ref="B465:B475" si="51">SUM(C465:AG465)</f>
        <v>0</v>
      </c>
      <c r="C465" s="448"/>
      <c r="D465" s="448"/>
      <c r="E465" s="448"/>
      <c r="F465" s="448"/>
      <c r="G465" s="448"/>
      <c r="H465" s="448"/>
      <c r="I465" s="448"/>
      <c r="J465" s="448"/>
      <c r="K465" s="448"/>
      <c r="L465" s="448"/>
      <c r="M465" s="448"/>
      <c r="N465" s="448"/>
      <c r="O465" s="448"/>
      <c r="P465" s="448"/>
      <c r="Q465" s="448"/>
      <c r="R465" s="448"/>
      <c r="S465" s="448"/>
      <c r="T465" s="448"/>
      <c r="U465" s="448"/>
      <c r="V465" s="448"/>
      <c r="W465" s="448"/>
      <c r="X465" s="448"/>
      <c r="Y465" s="448"/>
      <c r="Z465" s="448"/>
      <c r="AA465" s="448"/>
      <c r="AB465" s="448"/>
      <c r="AC465" s="448"/>
      <c r="AD465" s="448"/>
      <c r="AE465" s="448"/>
      <c r="AF465" s="448"/>
      <c r="AG465" s="448"/>
      <c r="AH465" s="1638">
        <v>0</v>
      </c>
    </row>
    <row r="466" spans="1:34" ht="15">
      <c r="A466" s="1637" t="s">
        <v>147</v>
      </c>
      <c r="B466" s="863">
        <f t="shared" si="51"/>
        <v>0</v>
      </c>
      <c r="C466" s="448"/>
      <c r="D466" s="448"/>
      <c r="E466" s="448"/>
      <c r="F466" s="448"/>
      <c r="G466" s="448"/>
      <c r="H466" s="448"/>
      <c r="I466" s="448"/>
      <c r="J466" s="448"/>
      <c r="K466" s="448"/>
      <c r="L466" s="448"/>
      <c r="M466" s="448"/>
      <c r="N466" s="448"/>
      <c r="O466" s="448"/>
      <c r="P466" s="448"/>
      <c r="Q466" s="448"/>
      <c r="R466" s="448"/>
      <c r="S466" s="448"/>
      <c r="T466" s="448"/>
      <c r="U466" s="448"/>
      <c r="V466" s="448"/>
      <c r="W466" s="448"/>
      <c r="X466" s="448"/>
      <c r="Y466" s="448"/>
      <c r="Z466" s="448"/>
      <c r="AA466" s="448"/>
      <c r="AB466" s="448"/>
      <c r="AC466" s="448"/>
      <c r="AD466" s="448"/>
      <c r="AE466" s="448"/>
      <c r="AF466" s="448"/>
      <c r="AG466" s="448"/>
      <c r="AH466" s="1638">
        <v>0</v>
      </c>
    </row>
    <row r="467" spans="1:34" ht="15">
      <c r="A467" s="1637" t="s">
        <v>148</v>
      </c>
      <c r="B467" s="863">
        <f>SUM(C467:AG467)</f>
        <v>0</v>
      </c>
      <c r="C467" s="448"/>
      <c r="D467" s="448"/>
      <c r="E467" s="448"/>
      <c r="F467" s="448"/>
      <c r="G467" s="448"/>
      <c r="H467" s="448"/>
      <c r="I467" s="448"/>
      <c r="J467" s="448"/>
      <c r="K467" s="448"/>
      <c r="L467" s="448"/>
      <c r="M467" s="448"/>
      <c r="N467" s="448"/>
      <c r="O467" s="448"/>
      <c r="P467" s="448"/>
      <c r="Q467" s="448"/>
      <c r="R467" s="448"/>
      <c r="S467" s="448"/>
      <c r="T467" s="448"/>
      <c r="U467" s="448"/>
      <c r="V467" s="448"/>
      <c r="W467" s="448"/>
      <c r="X467" s="448"/>
      <c r="Y467" s="448"/>
      <c r="Z467" s="448"/>
      <c r="AA467" s="448"/>
      <c r="AB467" s="448"/>
      <c r="AC467" s="448"/>
      <c r="AD467" s="448"/>
      <c r="AE467" s="448"/>
      <c r="AF467" s="448"/>
      <c r="AG467" s="448"/>
      <c r="AH467" s="1638">
        <v>0</v>
      </c>
    </row>
    <row r="468" spans="1:34" ht="15">
      <c r="A468" s="1637" t="s">
        <v>149</v>
      </c>
      <c r="B468" s="863">
        <f t="shared" si="51"/>
        <v>0</v>
      </c>
      <c r="C468" s="448"/>
      <c r="D468" s="448"/>
      <c r="E468" s="448"/>
      <c r="F468" s="448"/>
      <c r="G468" s="448"/>
      <c r="H468" s="448"/>
      <c r="I468" s="448"/>
      <c r="J468" s="448"/>
      <c r="K468" s="448"/>
      <c r="L468" s="448"/>
      <c r="M468" s="448"/>
      <c r="N468" s="448"/>
      <c r="O468" s="448"/>
      <c r="P468" s="448"/>
      <c r="Q468" s="448"/>
      <c r="R468" s="448"/>
      <c r="S468" s="448"/>
      <c r="T468" s="448"/>
      <c r="U468" s="448"/>
      <c r="V468" s="448"/>
      <c r="W468" s="448"/>
      <c r="X468" s="448"/>
      <c r="Y468" s="448"/>
      <c r="Z468" s="448"/>
      <c r="AA468" s="448"/>
      <c r="AB468" s="448"/>
      <c r="AC468" s="448"/>
      <c r="AD468" s="448"/>
      <c r="AE468" s="448"/>
      <c r="AF468" s="448"/>
      <c r="AG468" s="448"/>
      <c r="AH468" s="1638">
        <v>0</v>
      </c>
    </row>
    <row r="469" spans="1:34" ht="15">
      <c r="A469" s="1637" t="s">
        <v>150</v>
      </c>
      <c r="B469" s="863">
        <f>SUM(C469:AG469)</f>
        <v>43.915999999999997</v>
      </c>
      <c r="C469" s="448"/>
      <c r="D469" s="448"/>
      <c r="E469" s="448"/>
      <c r="F469" s="448"/>
      <c r="G469" s="448"/>
      <c r="H469" s="448"/>
      <c r="I469" s="448"/>
      <c r="J469" s="448"/>
      <c r="K469" s="448"/>
      <c r="L469" s="448"/>
      <c r="M469" s="448"/>
      <c r="N469" s="448"/>
      <c r="O469" s="448"/>
      <c r="P469" s="448"/>
      <c r="Q469" s="448"/>
      <c r="R469" s="448"/>
      <c r="S469" s="448"/>
      <c r="T469" s="448"/>
      <c r="U469" s="448"/>
      <c r="V469" s="448"/>
      <c r="W469" s="448"/>
      <c r="X469" s="448"/>
      <c r="Y469" s="448"/>
      <c r="Z469" s="448"/>
      <c r="AA469" s="448"/>
      <c r="AB469" s="448">
        <v>43.915999999999997</v>
      </c>
      <c r="AC469" s="448"/>
      <c r="AD469" s="448"/>
      <c r="AE469" s="448"/>
      <c r="AF469" s="448"/>
      <c r="AG469" s="448"/>
      <c r="AH469" s="1638">
        <v>0</v>
      </c>
    </row>
    <row r="470" spans="1:34" ht="15">
      <c r="A470" s="1501" t="s">
        <v>151</v>
      </c>
      <c r="B470" s="863">
        <f t="shared" si="51"/>
        <v>131.00900000000001</v>
      </c>
      <c r="C470" s="1639"/>
      <c r="D470" s="448"/>
      <c r="E470" s="448"/>
      <c r="F470" s="448">
        <v>34.21</v>
      </c>
      <c r="G470" s="448">
        <v>21.75</v>
      </c>
      <c r="H470" s="448"/>
      <c r="I470" s="448">
        <v>42.292000000000002</v>
      </c>
      <c r="J470" s="448">
        <v>32.756999999999998</v>
      </c>
      <c r="K470" s="448"/>
      <c r="L470" s="448"/>
      <c r="M470" s="448"/>
      <c r="N470" s="448"/>
      <c r="O470" s="448"/>
      <c r="P470" s="448"/>
      <c r="Q470" s="448"/>
      <c r="R470" s="448"/>
      <c r="S470" s="448"/>
      <c r="T470" s="448"/>
      <c r="U470" s="448"/>
      <c r="V470" s="448"/>
      <c r="W470" s="448"/>
      <c r="X470" s="448"/>
      <c r="Y470" s="448"/>
      <c r="Z470" s="448"/>
      <c r="AA470" s="448"/>
      <c r="AB470" s="448"/>
      <c r="AC470" s="448"/>
      <c r="AD470" s="448"/>
      <c r="AE470" s="448"/>
      <c r="AF470" s="448"/>
      <c r="AG470" s="448"/>
      <c r="AH470" s="1638">
        <v>0</v>
      </c>
    </row>
    <row r="471" spans="1:34" ht="15">
      <c r="A471" s="1501" t="s">
        <v>152</v>
      </c>
      <c r="B471" s="863">
        <f t="shared" si="51"/>
        <v>13.22</v>
      </c>
      <c r="C471" s="1639"/>
      <c r="D471" s="448"/>
      <c r="E471" s="448"/>
      <c r="F471" s="448"/>
      <c r="G471" s="448"/>
      <c r="H471" s="448"/>
      <c r="I471" s="448">
        <v>13.22</v>
      </c>
      <c r="J471" s="448"/>
      <c r="K471" s="448"/>
      <c r="L471" s="448"/>
      <c r="M471" s="448"/>
      <c r="N471" s="448"/>
      <c r="O471" s="448"/>
      <c r="P471" s="448"/>
      <c r="Q471" s="863"/>
      <c r="R471" s="863"/>
      <c r="S471" s="863"/>
      <c r="T471" s="863"/>
      <c r="U471" s="863"/>
      <c r="V471" s="863"/>
      <c r="W471" s="863"/>
      <c r="X471" s="863"/>
      <c r="Y471" s="863"/>
      <c r="Z471" s="863"/>
      <c r="AA471" s="863"/>
      <c r="AB471" s="863"/>
      <c r="AC471" s="863"/>
      <c r="AD471" s="863"/>
      <c r="AE471" s="863"/>
      <c r="AF471" s="863"/>
      <c r="AG471" s="863"/>
      <c r="AH471" s="1638">
        <v>0</v>
      </c>
    </row>
    <row r="472" spans="1:34" ht="15">
      <c r="A472" s="1501" t="s">
        <v>153</v>
      </c>
      <c r="B472" s="863">
        <f t="shared" si="51"/>
        <v>0</v>
      </c>
      <c r="C472" s="863"/>
      <c r="D472" s="863"/>
      <c r="E472" s="863"/>
      <c r="F472" s="863"/>
      <c r="G472" s="863"/>
      <c r="H472" s="863"/>
      <c r="I472" s="863"/>
      <c r="J472" s="863"/>
      <c r="K472" s="863"/>
      <c r="L472" s="863"/>
      <c r="M472" s="863"/>
      <c r="N472" s="863"/>
      <c r="O472" s="863"/>
      <c r="P472" s="863"/>
      <c r="Q472" s="863"/>
      <c r="R472" s="863"/>
      <c r="S472" s="863"/>
      <c r="T472" s="863"/>
      <c r="U472" s="863"/>
      <c r="V472" s="863"/>
      <c r="W472" s="863"/>
      <c r="X472" s="863"/>
      <c r="Y472" s="863"/>
      <c r="Z472" s="863"/>
      <c r="AA472" s="863"/>
      <c r="AB472" s="863"/>
      <c r="AC472" s="863"/>
      <c r="AD472" s="863"/>
      <c r="AE472" s="863"/>
      <c r="AF472" s="863"/>
      <c r="AG472" s="863"/>
      <c r="AH472" s="1638">
        <v>0</v>
      </c>
    </row>
    <row r="473" spans="1:34" ht="15">
      <c r="A473" s="1501" t="s">
        <v>154</v>
      </c>
      <c r="B473" s="863">
        <f t="shared" si="51"/>
        <v>100.12899999999999</v>
      </c>
      <c r="C473" s="1639"/>
      <c r="D473" s="1640"/>
      <c r="E473" s="448"/>
      <c r="F473" s="448"/>
      <c r="G473" s="448"/>
      <c r="H473" s="448"/>
      <c r="I473" s="448"/>
      <c r="J473" s="448"/>
      <c r="K473" s="448"/>
      <c r="L473" s="448"/>
      <c r="M473" s="448"/>
      <c r="N473" s="448"/>
      <c r="O473" s="448"/>
      <c r="P473" s="448"/>
      <c r="Q473" s="448"/>
      <c r="R473" s="448"/>
      <c r="S473" s="448"/>
      <c r="T473" s="448"/>
      <c r="U473" s="448"/>
      <c r="V473" s="448"/>
      <c r="W473" s="448"/>
      <c r="X473" s="448">
        <v>29.388999999999999</v>
      </c>
      <c r="Y473" s="448"/>
      <c r="Z473" s="448"/>
      <c r="AA473" s="448"/>
      <c r="AB473" s="448"/>
      <c r="AC473" s="448">
        <v>70.739999999999995</v>
      </c>
      <c r="AD473" s="448"/>
      <c r="AE473" s="448"/>
      <c r="AF473" s="448"/>
      <c r="AG473" s="448"/>
      <c r="AH473" s="1641">
        <v>0</v>
      </c>
    </row>
    <row r="474" spans="1:34" ht="16.2">
      <c r="A474" s="1501" t="s">
        <v>155</v>
      </c>
      <c r="B474" s="863">
        <f t="shared" si="51"/>
        <v>24.33</v>
      </c>
      <c r="C474" s="1642"/>
      <c r="D474" s="1643">
        <v>24.33</v>
      </c>
      <c r="E474" s="1644"/>
      <c r="F474" s="448"/>
      <c r="G474" s="448"/>
      <c r="H474" s="448"/>
      <c r="I474" s="448"/>
      <c r="J474" s="448"/>
      <c r="K474" s="448"/>
      <c r="L474" s="448"/>
      <c r="M474" s="448"/>
      <c r="N474" s="448"/>
      <c r="O474" s="448"/>
      <c r="P474" s="448"/>
      <c r="Q474" s="448"/>
      <c r="R474" s="448"/>
      <c r="S474" s="448"/>
      <c r="T474" s="448"/>
      <c r="U474" s="448"/>
      <c r="V474" s="448"/>
      <c r="W474" s="448"/>
      <c r="X474" s="448"/>
      <c r="Y474" s="448"/>
      <c r="Z474" s="448"/>
      <c r="AA474" s="448"/>
      <c r="AB474" s="448"/>
      <c r="AC474" s="448"/>
      <c r="AD474" s="448"/>
      <c r="AE474" s="448"/>
      <c r="AF474" s="448"/>
      <c r="AG474" s="448"/>
      <c r="AH474" s="1641">
        <v>0</v>
      </c>
    </row>
    <row r="475" spans="1:34" ht="15">
      <c r="A475" s="1501" t="s">
        <v>156</v>
      </c>
      <c r="B475" s="863">
        <f t="shared" si="51"/>
        <v>0</v>
      </c>
      <c r="C475" s="448"/>
      <c r="D475" s="1645"/>
      <c r="E475" s="448"/>
      <c r="F475" s="448"/>
      <c r="G475" s="448"/>
      <c r="H475" s="448"/>
      <c r="I475" s="448"/>
      <c r="J475" s="448"/>
      <c r="K475" s="448"/>
      <c r="L475" s="448"/>
      <c r="M475" s="448"/>
      <c r="N475" s="448"/>
      <c r="O475" s="448"/>
      <c r="P475" s="448"/>
      <c r="Q475" s="448"/>
      <c r="R475" s="448"/>
      <c r="S475" s="448"/>
      <c r="T475" s="448"/>
      <c r="U475" s="448"/>
      <c r="V475" s="448"/>
      <c r="W475" s="448"/>
      <c r="X475" s="448"/>
      <c r="Y475" s="448"/>
      <c r="Z475" s="448"/>
      <c r="AA475" s="448"/>
      <c r="AB475" s="448"/>
      <c r="AC475" s="448"/>
      <c r="AD475" s="448"/>
      <c r="AE475" s="448"/>
      <c r="AF475" s="448"/>
      <c r="AG475" s="448"/>
      <c r="AH475" s="1641">
        <v>0</v>
      </c>
    </row>
    <row r="476" spans="1:34" ht="15">
      <c r="A476" s="1646" t="s">
        <v>111</v>
      </c>
      <c r="B476" s="1647">
        <f>SUM(B464:B475)</f>
        <v>312.60399999999998</v>
      </c>
      <c r="C476" s="1638">
        <v>0</v>
      </c>
      <c r="D476" s="1638">
        <v>0</v>
      </c>
      <c r="E476" s="1638">
        <v>0</v>
      </c>
      <c r="F476" s="1638">
        <v>0</v>
      </c>
      <c r="G476" s="1638">
        <v>0</v>
      </c>
      <c r="H476" s="1638">
        <v>0</v>
      </c>
      <c r="I476" s="1638">
        <v>0</v>
      </c>
      <c r="J476" s="1638">
        <v>0</v>
      </c>
      <c r="K476" s="1638">
        <v>0</v>
      </c>
      <c r="L476" s="1638">
        <v>0</v>
      </c>
      <c r="M476" s="1638">
        <v>0</v>
      </c>
      <c r="N476" s="1638">
        <v>0</v>
      </c>
      <c r="O476" s="1641">
        <v>0</v>
      </c>
      <c r="P476" s="1641">
        <v>0</v>
      </c>
      <c r="Q476" s="1641">
        <v>0</v>
      </c>
      <c r="R476" s="1641">
        <v>0</v>
      </c>
      <c r="S476" s="1641">
        <v>0</v>
      </c>
      <c r="T476" s="1641">
        <v>0</v>
      </c>
      <c r="U476" s="1641">
        <v>0</v>
      </c>
      <c r="V476" s="1641">
        <v>0</v>
      </c>
      <c r="W476" s="1641">
        <v>0</v>
      </c>
      <c r="X476" s="1641">
        <v>0</v>
      </c>
      <c r="Y476" s="1641">
        <v>0</v>
      </c>
      <c r="Z476" s="1641">
        <v>0</v>
      </c>
      <c r="AA476" s="1641">
        <v>0</v>
      </c>
      <c r="AB476" s="1641">
        <v>0</v>
      </c>
      <c r="AC476" s="1641">
        <v>0</v>
      </c>
      <c r="AD476" s="1641">
        <v>0</v>
      </c>
      <c r="AE476" s="1641">
        <v>0</v>
      </c>
      <c r="AF476" s="1641">
        <v>0</v>
      </c>
      <c r="AG476" s="1641">
        <v>0</v>
      </c>
      <c r="AH476" s="1641">
        <v>0</v>
      </c>
    </row>
    <row r="478" spans="1:34" ht="15" customHeight="1">
      <c r="A478" s="4244" t="s">
        <v>1137</v>
      </c>
      <c r="B478" s="4244"/>
      <c r="C478" s="4244"/>
      <c r="D478" s="2748" t="s">
        <v>1138</v>
      </c>
      <c r="E478" s="2748"/>
      <c r="F478" s="2748"/>
      <c r="G478" s="2748"/>
      <c r="H478" s="1633"/>
      <c r="I478" s="1633"/>
      <c r="J478" s="1633"/>
      <c r="K478" s="1633"/>
      <c r="L478" s="1633"/>
      <c r="M478" s="1634"/>
      <c r="N478" s="1633"/>
      <c r="O478" s="1633"/>
      <c r="P478" s="1633"/>
      <c r="Q478" s="1633"/>
      <c r="R478" s="1633"/>
      <c r="S478" s="1633"/>
      <c r="T478" s="1633"/>
      <c r="U478" s="1633"/>
      <c r="V478" s="1633"/>
      <c r="W478" s="1633"/>
      <c r="X478" s="1633"/>
      <c r="Y478" s="1633"/>
      <c r="Z478" s="1633"/>
      <c r="AA478" s="1633"/>
      <c r="AB478" s="1633"/>
      <c r="AC478" s="1633"/>
      <c r="AD478" s="1633"/>
      <c r="AE478" s="1633"/>
      <c r="AF478" s="1633"/>
      <c r="AG478" s="1633"/>
      <c r="AH478" s="1635"/>
    </row>
    <row r="479" spans="1:34" ht="15">
      <c r="A479" s="1500" t="s">
        <v>142</v>
      </c>
      <c r="B479" s="1500" t="s">
        <v>143</v>
      </c>
      <c r="C479" s="1502">
        <v>1</v>
      </c>
      <c r="D479" s="1502">
        <v>2</v>
      </c>
      <c r="E479" s="1502">
        <v>3</v>
      </c>
      <c r="F479" s="1502">
        <v>4</v>
      </c>
      <c r="G479" s="1502">
        <v>5</v>
      </c>
      <c r="H479" s="1502">
        <v>6</v>
      </c>
      <c r="I479" s="1502">
        <v>7</v>
      </c>
      <c r="J479" s="1502">
        <v>8</v>
      </c>
      <c r="K479" s="1502">
        <v>9</v>
      </c>
      <c r="L479" s="1502">
        <v>10</v>
      </c>
      <c r="M479" s="1502">
        <v>11</v>
      </c>
      <c r="N479" s="1502">
        <v>12</v>
      </c>
      <c r="O479" s="1502">
        <v>13</v>
      </c>
      <c r="P479" s="1502">
        <v>14</v>
      </c>
      <c r="Q479" s="1502">
        <v>15</v>
      </c>
      <c r="R479" s="1502">
        <v>16</v>
      </c>
      <c r="S479" s="1502">
        <v>17</v>
      </c>
      <c r="T479" s="1502">
        <v>18</v>
      </c>
      <c r="U479" s="1502">
        <v>19</v>
      </c>
      <c r="V479" s="1502">
        <v>20</v>
      </c>
      <c r="W479" s="1502">
        <v>21</v>
      </c>
      <c r="X479" s="1502">
        <v>22</v>
      </c>
      <c r="Y479" s="1502">
        <v>23</v>
      </c>
      <c r="Z479" s="1502">
        <v>24</v>
      </c>
      <c r="AA479" s="1502">
        <v>25</v>
      </c>
      <c r="AB479" s="1502">
        <v>26</v>
      </c>
      <c r="AC479" s="1502">
        <v>27</v>
      </c>
      <c r="AD479" s="1502">
        <v>28</v>
      </c>
      <c r="AE479" s="1502">
        <v>29</v>
      </c>
      <c r="AF479" s="1502">
        <v>30</v>
      </c>
      <c r="AG479" s="1502">
        <v>31</v>
      </c>
      <c r="AH479" s="1636" t="s">
        <v>144</v>
      </c>
    </row>
    <row r="480" spans="1:34" ht="15">
      <c r="A480" s="1637" t="s">
        <v>145</v>
      </c>
      <c r="B480" s="863">
        <f>SUM(C480:AG480)</f>
        <v>0</v>
      </c>
      <c r="C480" s="448"/>
      <c r="D480" s="448"/>
      <c r="E480" s="448"/>
      <c r="F480" s="448"/>
      <c r="G480" s="448"/>
      <c r="H480" s="448"/>
      <c r="I480" s="448"/>
      <c r="J480" s="448"/>
      <c r="K480" s="448"/>
      <c r="L480" s="448"/>
      <c r="M480" s="448"/>
      <c r="N480" s="448"/>
      <c r="O480" s="448"/>
      <c r="P480" s="448"/>
      <c r="Q480" s="448"/>
      <c r="R480" s="448"/>
      <c r="S480" s="448"/>
      <c r="T480" s="448"/>
      <c r="U480" s="448"/>
      <c r="V480" s="448"/>
      <c r="W480" s="448"/>
      <c r="X480" s="448"/>
      <c r="Y480" s="448"/>
      <c r="Z480" s="448"/>
      <c r="AA480" s="448"/>
      <c r="AB480" s="448"/>
      <c r="AC480" s="448"/>
      <c r="AD480" s="448"/>
      <c r="AE480" s="448"/>
      <c r="AF480" s="448"/>
      <c r="AG480" s="448"/>
      <c r="AH480" s="1638">
        <v>0</v>
      </c>
    </row>
    <row r="481" spans="1:34" ht="15">
      <c r="A481" s="1637" t="s">
        <v>146</v>
      </c>
      <c r="B481" s="863">
        <f>SUM(C481:AG481)</f>
        <v>0</v>
      </c>
      <c r="C481" s="448"/>
      <c r="D481" s="448"/>
      <c r="E481" s="448"/>
      <c r="F481" s="448"/>
      <c r="G481" s="448"/>
      <c r="H481" s="448"/>
      <c r="I481" s="448"/>
      <c r="J481" s="448"/>
      <c r="K481" s="448"/>
      <c r="L481" s="448"/>
      <c r="M481" s="448"/>
      <c r="N481" s="448"/>
      <c r="O481" s="448"/>
      <c r="P481" s="448"/>
      <c r="Q481" s="448"/>
      <c r="R481" s="448"/>
      <c r="S481" s="448"/>
      <c r="T481" s="448"/>
      <c r="U481" s="448"/>
      <c r="V481" s="448"/>
      <c r="W481" s="448"/>
      <c r="X481" s="448"/>
      <c r="Y481" s="448"/>
      <c r="Z481" s="448"/>
      <c r="AA481" s="448"/>
      <c r="AB481" s="448"/>
      <c r="AC481" s="448"/>
      <c r="AD481" s="448"/>
      <c r="AE481" s="448"/>
      <c r="AF481" s="448"/>
      <c r="AG481" s="448"/>
      <c r="AH481" s="1638">
        <v>0</v>
      </c>
    </row>
    <row r="482" spans="1:34" ht="15">
      <c r="A482" s="1637" t="s">
        <v>147</v>
      </c>
      <c r="B482" s="863">
        <f t="shared" ref="B482:B491" si="52">SUM(C482:AG482)</f>
        <v>0</v>
      </c>
      <c r="C482" s="448"/>
      <c r="D482" s="448"/>
      <c r="E482" s="448"/>
      <c r="F482" s="448"/>
      <c r="G482" s="448"/>
      <c r="H482" s="448"/>
      <c r="I482" s="448"/>
      <c r="J482" s="448"/>
      <c r="K482" s="448"/>
      <c r="L482" s="448"/>
      <c r="M482" s="448"/>
      <c r="N482" s="448"/>
      <c r="O482" s="448"/>
      <c r="P482" s="448"/>
      <c r="Q482" s="448"/>
      <c r="R482" s="448"/>
      <c r="S482" s="448"/>
      <c r="T482" s="448"/>
      <c r="U482" s="448"/>
      <c r="V482" s="448"/>
      <c r="W482" s="448"/>
      <c r="X482" s="448"/>
      <c r="Y482" s="448"/>
      <c r="Z482" s="448"/>
      <c r="AA482" s="448"/>
      <c r="AB482" s="448"/>
      <c r="AC482" s="448"/>
      <c r="AD482" s="448"/>
      <c r="AE482" s="448"/>
      <c r="AF482" s="448"/>
      <c r="AG482" s="448"/>
      <c r="AH482" s="1638">
        <v>0</v>
      </c>
    </row>
    <row r="483" spans="1:34" ht="15">
      <c r="A483" s="1637" t="s">
        <v>148</v>
      </c>
      <c r="B483" s="863">
        <f t="shared" si="52"/>
        <v>0</v>
      </c>
      <c r="C483" s="448"/>
      <c r="D483" s="448"/>
      <c r="E483" s="448"/>
      <c r="F483" s="448"/>
      <c r="G483" s="448"/>
      <c r="H483" s="448"/>
      <c r="I483" s="448"/>
      <c r="J483" s="448"/>
      <c r="K483" s="448"/>
      <c r="L483" s="448"/>
      <c r="M483" s="448"/>
      <c r="N483" s="448"/>
      <c r="O483" s="448"/>
      <c r="P483" s="448"/>
      <c r="Q483" s="448"/>
      <c r="R483" s="448"/>
      <c r="S483" s="448"/>
      <c r="T483" s="448"/>
      <c r="U483" s="448"/>
      <c r="V483" s="448"/>
      <c r="W483" s="448"/>
      <c r="X483" s="448"/>
      <c r="Y483" s="448"/>
      <c r="Z483" s="448"/>
      <c r="AA483" s="448"/>
      <c r="AB483" s="448"/>
      <c r="AC483" s="448"/>
      <c r="AD483" s="448"/>
      <c r="AE483" s="448"/>
      <c r="AF483" s="448"/>
      <c r="AG483" s="448"/>
      <c r="AH483" s="1638">
        <v>0</v>
      </c>
    </row>
    <row r="484" spans="1:34" ht="15">
      <c r="A484" s="1637" t="s">
        <v>149</v>
      </c>
      <c r="B484" s="863">
        <f t="shared" si="52"/>
        <v>0</v>
      </c>
      <c r="C484" s="448"/>
      <c r="D484" s="448"/>
      <c r="E484" s="448"/>
      <c r="F484" s="448"/>
      <c r="G484" s="448"/>
      <c r="H484" s="448"/>
      <c r="I484" s="448"/>
      <c r="J484" s="448"/>
      <c r="K484" s="448"/>
      <c r="L484" s="448"/>
      <c r="M484" s="448"/>
      <c r="N484" s="448"/>
      <c r="O484" s="448"/>
      <c r="P484" s="448"/>
      <c r="Q484" s="448"/>
      <c r="R484" s="448"/>
      <c r="S484" s="448"/>
      <c r="T484" s="448"/>
      <c r="U484" s="448"/>
      <c r="V484" s="448"/>
      <c r="W484" s="448"/>
      <c r="X484" s="448"/>
      <c r="Y484" s="448"/>
      <c r="Z484" s="448"/>
      <c r="AA484" s="448"/>
      <c r="AB484" s="448"/>
      <c r="AC484" s="448"/>
      <c r="AD484" s="448"/>
      <c r="AE484" s="448"/>
      <c r="AF484" s="448"/>
      <c r="AG484" s="448"/>
      <c r="AH484" s="1638">
        <v>0</v>
      </c>
    </row>
    <row r="485" spans="1:34" ht="15">
      <c r="A485" s="1637" t="s">
        <v>150</v>
      </c>
      <c r="B485" s="863">
        <f t="shared" si="52"/>
        <v>0</v>
      </c>
      <c r="C485" s="448"/>
      <c r="D485" s="448"/>
      <c r="E485" s="448"/>
      <c r="F485" s="448"/>
      <c r="G485" s="448"/>
      <c r="H485" s="448"/>
      <c r="I485" s="448"/>
      <c r="J485" s="448"/>
      <c r="K485" s="448"/>
      <c r="L485" s="448"/>
      <c r="M485" s="448"/>
      <c r="N485" s="448"/>
      <c r="O485" s="448"/>
      <c r="P485" s="448"/>
      <c r="Q485" s="448"/>
      <c r="R485" s="448"/>
      <c r="S485" s="448"/>
      <c r="T485" s="448"/>
      <c r="U485" s="448"/>
      <c r="V485" s="448"/>
      <c r="W485" s="448"/>
      <c r="X485" s="448"/>
      <c r="Y485" s="448"/>
      <c r="Z485" s="448"/>
      <c r="AA485" s="448"/>
      <c r="AB485" s="448"/>
      <c r="AC485" s="448"/>
      <c r="AD485" s="448"/>
      <c r="AE485" s="448"/>
      <c r="AF485" s="448"/>
      <c r="AG485" s="448"/>
      <c r="AH485" s="1638">
        <v>0</v>
      </c>
    </row>
    <row r="486" spans="1:34" ht="15">
      <c r="A486" s="1501" t="s">
        <v>151</v>
      </c>
      <c r="B486" s="863">
        <f t="shared" si="52"/>
        <v>0</v>
      </c>
      <c r="C486" s="1639"/>
      <c r="D486" s="448"/>
      <c r="E486" s="448"/>
      <c r="F486" s="448"/>
      <c r="G486" s="448"/>
      <c r="H486" s="448"/>
      <c r="I486" s="448"/>
      <c r="J486" s="448"/>
      <c r="K486" s="448"/>
      <c r="L486" s="448"/>
      <c r="M486" s="448"/>
      <c r="N486" s="448"/>
      <c r="O486" s="448"/>
      <c r="P486" s="448"/>
      <c r="Q486" s="448"/>
      <c r="R486" s="448"/>
      <c r="S486" s="448"/>
      <c r="T486" s="448"/>
      <c r="U486" s="448"/>
      <c r="V486" s="448"/>
      <c r="W486" s="448"/>
      <c r="X486" s="448"/>
      <c r="Y486" s="448"/>
      <c r="Z486" s="448"/>
      <c r="AA486" s="448"/>
      <c r="AB486" s="448"/>
      <c r="AC486" s="448"/>
      <c r="AD486" s="448"/>
      <c r="AE486" s="448"/>
      <c r="AF486" s="448"/>
      <c r="AG486" s="448"/>
      <c r="AH486" s="1638">
        <v>0</v>
      </c>
    </row>
    <row r="487" spans="1:34" ht="15">
      <c r="A487" s="1501" t="s">
        <v>152</v>
      </c>
      <c r="B487" s="863">
        <f t="shared" si="52"/>
        <v>0</v>
      </c>
      <c r="C487" s="1639"/>
      <c r="D487" s="448"/>
      <c r="E487" s="448"/>
      <c r="F487" s="448"/>
      <c r="G487" s="448"/>
      <c r="H487" s="448"/>
      <c r="I487" s="448"/>
      <c r="J487" s="448"/>
      <c r="K487" s="448"/>
      <c r="L487" s="448"/>
      <c r="M487" s="448"/>
      <c r="N487" s="448"/>
      <c r="O487" s="448"/>
      <c r="P487" s="448"/>
      <c r="Q487" s="863"/>
      <c r="R487" s="863"/>
      <c r="S487" s="863"/>
      <c r="T487" s="863"/>
      <c r="U487" s="863"/>
      <c r="V487" s="863"/>
      <c r="W487" s="863"/>
      <c r="X487" s="863"/>
      <c r="Y487" s="863"/>
      <c r="Z487" s="863"/>
      <c r="AA487" s="863"/>
      <c r="AB487" s="863"/>
      <c r="AC487" s="863"/>
      <c r="AD487" s="863"/>
      <c r="AE487" s="863"/>
      <c r="AF487" s="863"/>
      <c r="AG487" s="863"/>
      <c r="AH487" s="1638">
        <v>0</v>
      </c>
    </row>
    <row r="488" spans="1:34" ht="15">
      <c r="A488" s="1501" t="s">
        <v>153</v>
      </c>
      <c r="B488" s="863">
        <f t="shared" si="52"/>
        <v>0</v>
      </c>
      <c r="C488" s="863"/>
      <c r="D488" s="863"/>
      <c r="E488" s="863"/>
      <c r="F488" s="863"/>
      <c r="G488" s="863"/>
      <c r="H488" s="863"/>
      <c r="I488" s="863"/>
      <c r="J488" s="863"/>
      <c r="K488" s="863"/>
      <c r="L488" s="863"/>
      <c r="M488" s="863"/>
      <c r="N488" s="863"/>
      <c r="O488" s="863"/>
      <c r="P488" s="863"/>
      <c r="Q488" s="863"/>
      <c r="R488" s="863"/>
      <c r="S488" s="863"/>
      <c r="T488" s="863"/>
      <c r="U488" s="863"/>
      <c r="V488" s="863"/>
      <c r="W488" s="863"/>
      <c r="X488" s="863"/>
      <c r="Y488" s="863"/>
      <c r="Z488" s="863"/>
      <c r="AA488" s="863"/>
      <c r="AB488" s="863"/>
      <c r="AC488" s="863"/>
      <c r="AD488" s="863"/>
      <c r="AE488" s="863"/>
      <c r="AF488" s="863"/>
      <c r="AG488" s="863"/>
      <c r="AH488" s="1638">
        <v>0</v>
      </c>
    </row>
    <row r="489" spans="1:34" ht="15">
      <c r="A489" s="1501" t="s">
        <v>154</v>
      </c>
      <c r="B489" s="863">
        <f t="shared" si="52"/>
        <v>27.565000000000001</v>
      </c>
      <c r="C489" s="1639"/>
      <c r="D489" s="1640"/>
      <c r="E489" s="448"/>
      <c r="F489" s="448"/>
      <c r="G489" s="448"/>
      <c r="H489" s="448"/>
      <c r="I489" s="448"/>
      <c r="J489" s="448"/>
      <c r="K489" s="448"/>
      <c r="L489" s="448"/>
      <c r="M489" s="448"/>
      <c r="N489" s="448"/>
      <c r="O489" s="448"/>
      <c r="P489" s="448"/>
      <c r="Q489" s="448"/>
      <c r="R489" s="448"/>
      <c r="S489" s="448"/>
      <c r="T489" s="448"/>
      <c r="U489" s="448"/>
      <c r="V489" s="448"/>
      <c r="W489" s="448"/>
      <c r="X489" s="448"/>
      <c r="Y489" s="448"/>
      <c r="Z489" s="448">
        <v>27.565000000000001</v>
      </c>
      <c r="AA489" s="448"/>
      <c r="AB489" s="448"/>
      <c r="AC489" s="448"/>
      <c r="AD489" s="448"/>
      <c r="AE489" s="448"/>
      <c r="AF489" s="448"/>
      <c r="AG489" s="448"/>
      <c r="AH489" s="1641">
        <v>0</v>
      </c>
    </row>
    <row r="490" spans="1:34" ht="16.2">
      <c r="A490" s="1501" t="s">
        <v>155</v>
      </c>
      <c r="B490" s="863">
        <f t="shared" si="52"/>
        <v>0</v>
      </c>
      <c r="C490" s="1642"/>
      <c r="D490" s="1643"/>
      <c r="E490" s="1644"/>
      <c r="F490" s="448"/>
      <c r="G490" s="448"/>
      <c r="H490" s="448"/>
      <c r="I490" s="448"/>
      <c r="J490" s="448"/>
      <c r="K490" s="448"/>
      <c r="L490" s="448"/>
      <c r="M490" s="448"/>
      <c r="N490" s="448"/>
      <c r="O490" s="448"/>
      <c r="P490" s="448"/>
      <c r="Q490" s="448"/>
      <c r="R490" s="448"/>
      <c r="S490" s="448"/>
      <c r="T490" s="448"/>
      <c r="U490" s="448"/>
      <c r="V490" s="448"/>
      <c r="W490" s="448"/>
      <c r="X490" s="448"/>
      <c r="Y490" s="448"/>
      <c r="Z490" s="448"/>
      <c r="AA490" s="448"/>
      <c r="AB490" s="448"/>
      <c r="AC490" s="448"/>
      <c r="AD490" s="448"/>
      <c r="AE490" s="448"/>
      <c r="AF490" s="448"/>
      <c r="AG490" s="448"/>
      <c r="AH490" s="1641">
        <v>0</v>
      </c>
    </row>
    <row r="491" spans="1:34" ht="15">
      <c r="A491" s="1501" t="s">
        <v>156</v>
      </c>
      <c r="B491" s="863">
        <f t="shared" si="52"/>
        <v>0</v>
      </c>
      <c r="C491" s="448"/>
      <c r="D491" s="1645"/>
      <c r="E491" s="448"/>
      <c r="F491" s="448"/>
      <c r="G491" s="448"/>
      <c r="H491" s="448"/>
      <c r="I491" s="448"/>
      <c r="J491" s="448"/>
      <c r="K491" s="448"/>
      <c r="L491" s="448"/>
      <c r="M491" s="448"/>
      <c r="N491" s="448"/>
      <c r="O491" s="448"/>
      <c r="P491" s="448"/>
      <c r="Q491" s="448"/>
      <c r="R491" s="448"/>
      <c r="S491" s="448"/>
      <c r="T491" s="448"/>
      <c r="U491" s="448"/>
      <c r="V491" s="448"/>
      <c r="W491" s="448"/>
      <c r="X491" s="448"/>
      <c r="Y491" s="448"/>
      <c r="Z491" s="448"/>
      <c r="AA491" s="448"/>
      <c r="AB491" s="448"/>
      <c r="AC491" s="448"/>
      <c r="AD491" s="448"/>
      <c r="AE491" s="448"/>
      <c r="AF491" s="448"/>
      <c r="AG491" s="448"/>
      <c r="AH491" s="1641">
        <v>0</v>
      </c>
    </row>
    <row r="492" spans="1:34" ht="15">
      <c r="A492" s="1646" t="s">
        <v>111</v>
      </c>
      <c r="B492" s="1647">
        <f>SUM(B480:B491)</f>
        <v>27.565000000000001</v>
      </c>
      <c r="C492" s="1638">
        <v>0</v>
      </c>
      <c r="D492" s="1638">
        <v>0</v>
      </c>
      <c r="E492" s="1638">
        <v>0</v>
      </c>
      <c r="F492" s="1638">
        <v>0</v>
      </c>
      <c r="G492" s="1638">
        <v>0</v>
      </c>
      <c r="H492" s="1638">
        <v>0</v>
      </c>
      <c r="I492" s="1638">
        <v>0</v>
      </c>
      <c r="J492" s="1638">
        <v>0</v>
      </c>
      <c r="K492" s="1638">
        <v>0</v>
      </c>
      <c r="L492" s="1638">
        <v>0</v>
      </c>
      <c r="M492" s="1638">
        <v>0</v>
      </c>
      <c r="N492" s="1638">
        <v>0</v>
      </c>
      <c r="O492" s="1641">
        <v>0</v>
      </c>
      <c r="P492" s="1641">
        <v>0</v>
      </c>
      <c r="Q492" s="1641">
        <v>0</v>
      </c>
      <c r="R492" s="1641">
        <v>0</v>
      </c>
      <c r="S492" s="1641">
        <v>0</v>
      </c>
      <c r="T492" s="1641">
        <v>0</v>
      </c>
      <c r="U492" s="1641">
        <v>0</v>
      </c>
      <c r="V492" s="1641">
        <v>0</v>
      </c>
      <c r="W492" s="1641">
        <v>0</v>
      </c>
      <c r="X492" s="1641">
        <v>0</v>
      </c>
      <c r="Y492" s="1641">
        <v>0</v>
      </c>
      <c r="Z492" s="1641">
        <v>0</v>
      </c>
      <c r="AA492" s="1641">
        <v>0</v>
      </c>
      <c r="AB492" s="1641">
        <v>0</v>
      </c>
      <c r="AC492" s="1641">
        <v>0</v>
      </c>
      <c r="AD492" s="1641">
        <v>0</v>
      </c>
      <c r="AE492" s="1641">
        <v>0</v>
      </c>
      <c r="AF492" s="1641">
        <v>0</v>
      </c>
      <c r="AG492" s="1641">
        <v>0</v>
      </c>
      <c r="AH492" s="1641">
        <v>0</v>
      </c>
    </row>
    <row r="494" spans="1:34" ht="13.8" thickBot="1"/>
    <row r="495" spans="1:34" ht="15.6" thickBot="1">
      <c r="A495" s="4254" t="s">
        <v>863</v>
      </c>
      <c r="B495" s="4255"/>
      <c r="C495" s="4256"/>
      <c r="D495" s="1703" t="s">
        <v>864</v>
      </c>
      <c r="E495" s="1704"/>
      <c r="F495" s="1705"/>
      <c r="G495" s="2001" t="s">
        <v>499</v>
      </c>
      <c r="H495" s="2002"/>
      <c r="I495" s="2003">
        <f>16.1+B509</f>
        <v>75.00200000000001</v>
      </c>
      <c r="J495" s="1633"/>
      <c r="K495" s="1633"/>
      <c r="L495" s="1633"/>
      <c r="M495" s="1634"/>
      <c r="N495" s="1633"/>
      <c r="O495" s="1633"/>
      <c r="P495" s="1633"/>
      <c r="Q495" s="1633"/>
      <c r="R495" s="1633"/>
      <c r="S495" s="1633"/>
      <c r="T495" s="1633"/>
      <c r="U495" s="1633"/>
      <c r="V495" s="1633"/>
      <c r="W495" s="1633"/>
      <c r="X495" s="1633"/>
      <c r="Y495" s="1633"/>
      <c r="Z495" s="1633"/>
      <c r="AA495" s="1633"/>
      <c r="AB495" s="1633"/>
      <c r="AC495" s="1633"/>
      <c r="AD495" s="1633"/>
      <c r="AE495" s="1633"/>
      <c r="AF495" s="1633"/>
      <c r="AG495" s="1633"/>
      <c r="AH495" s="1635"/>
    </row>
    <row r="496" spans="1:34" ht="15">
      <c r="A496" s="1648" t="s">
        <v>142</v>
      </c>
      <c r="B496" s="1648" t="s">
        <v>143</v>
      </c>
      <c r="C496" s="1649">
        <v>1</v>
      </c>
      <c r="D496" s="1649">
        <v>2</v>
      </c>
      <c r="E496" s="1649">
        <v>3</v>
      </c>
      <c r="F496" s="1649">
        <v>4</v>
      </c>
      <c r="G496" s="1649">
        <v>5</v>
      </c>
      <c r="H496" s="1649">
        <v>6</v>
      </c>
      <c r="I496" s="1649">
        <v>7</v>
      </c>
      <c r="J496" s="1502">
        <v>8</v>
      </c>
      <c r="K496" s="1502">
        <v>9</v>
      </c>
      <c r="L496" s="1502">
        <v>10</v>
      </c>
      <c r="M496" s="1502">
        <v>11</v>
      </c>
      <c r="N496" s="1502">
        <v>12</v>
      </c>
      <c r="O496" s="1502">
        <v>13</v>
      </c>
      <c r="P496" s="1502">
        <v>14</v>
      </c>
      <c r="Q496" s="1502">
        <v>15</v>
      </c>
      <c r="R496" s="1502">
        <v>16</v>
      </c>
      <c r="S496" s="1502">
        <v>17</v>
      </c>
      <c r="T496" s="1502">
        <v>18</v>
      </c>
      <c r="U496" s="1502">
        <v>19</v>
      </c>
      <c r="V496" s="1502">
        <v>20</v>
      </c>
      <c r="W496" s="1502">
        <v>21</v>
      </c>
      <c r="X496" s="1502">
        <v>22</v>
      </c>
      <c r="Y496" s="1502">
        <v>23</v>
      </c>
      <c r="Z496" s="1502">
        <v>24</v>
      </c>
      <c r="AA496" s="1708">
        <v>25</v>
      </c>
      <c r="AB496" s="1502">
        <v>26</v>
      </c>
      <c r="AC496" s="1502">
        <v>27</v>
      </c>
      <c r="AD496" s="1502">
        <v>28</v>
      </c>
      <c r="AE496" s="1502">
        <v>29</v>
      </c>
      <c r="AF496" s="1502">
        <v>30</v>
      </c>
      <c r="AG496" s="1502">
        <v>31</v>
      </c>
      <c r="AH496" s="1636" t="s">
        <v>144</v>
      </c>
    </row>
    <row r="497" spans="1:34" ht="15">
      <c r="A497" s="1637" t="s">
        <v>145</v>
      </c>
      <c r="B497" s="863">
        <f t="shared" ref="B497:B502" si="53">SUM(C497:AG497)</f>
        <v>0</v>
      </c>
      <c r="C497" s="448"/>
      <c r="D497" s="448"/>
      <c r="E497" s="448"/>
      <c r="F497" s="448"/>
      <c r="G497" s="448"/>
      <c r="H497" s="448"/>
      <c r="I497" s="448"/>
      <c r="J497" s="448"/>
      <c r="K497" s="448"/>
      <c r="L497" s="448"/>
      <c r="M497" s="448"/>
      <c r="N497" s="448"/>
      <c r="O497" s="448"/>
      <c r="P497" s="448"/>
      <c r="Q497" s="448"/>
      <c r="R497" s="448"/>
      <c r="S497" s="448"/>
      <c r="T497" s="448"/>
      <c r="U497" s="448"/>
      <c r="V497" s="448"/>
      <c r="W497" s="448"/>
      <c r="X497" s="448"/>
      <c r="Y497" s="448"/>
      <c r="Z497" s="448"/>
      <c r="AA497" s="448"/>
      <c r="AB497" s="448"/>
      <c r="AC497" s="448"/>
      <c r="AD497" s="448"/>
      <c r="AE497" s="448"/>
      <c r="AF497" s="448"/>
      <c r="AG497" s="448"/>
      <c r="AH497" s="1638">
        <v>0</v>
      </c>
    </row>
    <row r="498" spans="1:34" ht="15">
      <c r="A498" s="1637" t="s">
        <v>146</v>
      </c>
      <c r="B498" s="863">
        <f t="shared" si="53"/>
        <v>0</v>
      </c>
      <c r="C498" s="448"/>
      <c r="D498" s="448"/>
      <c r="E498" s="448"/>
      <c r="F498" s="448"/>
      <c r="G498" s="448"/>
      <c r="H498" s="448"/>
      <c r="I498" s="448"/>
      <c r="J498" s="448"/>
      <c r="K498" s="448"/>
      <c r="L498" s="448"/>
      <c r="M498" s="448"/>
      <c r="N498" s="448"/>
      <c r="O498" s="448"/>
      <c r="P498" s="448"/>
      <c r="Q498" s="448"/>
      <c r="R498" s="448"/>
      <c r="S498" s="448"/>
      <c r="T498" s="448"/>
      <c r="U498" s="448"/>
      <c r="V498" s="448"/>
      <c r="W498" s="448"/>
      <c r="X498" s="448"/>
      <c r="Y498" s="448"/>
      <c r="Z498" s="448"/>
      <c r="AA498" s="448"/>
      <c r="AB498" s="448"/>
      <c r="AC498" s="448"/>
      <c r="AD498" s="448"/>
      <c r="AE498" s="448"/>
      <c r="AF498" s="448"/>
      <c r="AG498" s="448"/>
      <c r="AH498" s="1638">
        <v>0</v>
      </c>
    </row>
    <row r="499" spans="1:34" ht="15">
      <c r="A499" s="1637" t="s">
        <v>147</v>
      </c>
      <c r="B499" s="863">
        <f t="shared" si="53"/>
        <v>0</v>
      </c>
      <c r="C499" s="448"/>
      <c r="D499" s="448"/>
      <c r="E499" s="448"/>
      <c r="F499" s="448"/>
      <c r="G499" s="448"/>
      <c r="H499" s="448"/>
      <c r="I499" s="448"/>
      <c r="J499" s="448"/>
      <c r="K499" s="448"/>
      <c r="L499" s="448"/>
      <c r="M499" s="448"/>
      <c r="N499" s="448"/>
      <c r="O499" s="448"/>
      <c r="P499" s="448"/>
      <c r="Q499" s="448"/>
      <c r="R499" s="448"/>
      <c r="S499" s="448"/>
      <c r="T499" s="448"/>
      <c r="U499" s="448"/>
      <c r="V499" s="448"/>
      <c r="W499" s="448"/>
      <c r="X499" s="448"/>
      <c r="Y499" s="448"/>
      <c r="Z499" s="448"/>
      <c r="AA499" s="448"/>
      <c r="AB499" s="448"/>
      <c r="AC499" s="448"/>
      <c r="AD499" s="448"/>
      <c r="AE499" s="448"/>
      <c r="AF499" s="448"/>
      <c r="AG499" s="448"/>
      <c r="AH499" s="1638">
        <v>0</v>
      </c>
    </row>
    <row r="500" spans="1:34" ht="15">
      <c r="A500" s="1637" t="s">
        <v>148</v>
      </c>
      <c r="B500" s="863">
        <f t="shared" si="53"/>
        <v>0</v>
      </c>
      <c r="C500" s="448"/>
      <c r="D500" s="448"/>
      <c r="E500" s="448"/>
      <c r="F500" s="448"/>
      <c r="G500" s="448"/>
      <c r="H500" s="448"/>
      <c r="I500" s="448"/>
      <c r="J500" s="448"/>
      <c r="K500" s="448"/>
      <c r="L500" s="448"/>
      <c r="M500" s="448"/>
      <c r="N500" s="448"/>
      <c r="O500" s="448"/>
      <c r="P500" s="448"/>
      <c r="Q500" s="448"/>
      <c r="R500" s="448"/>
      <c r="S500" s="448"/>
      <c r="T500" s="448"/>
      <c r="U500" s="448"/>
      <c r="V500" s="448"/>
      <c r="W500" s="448"/>
      <c r="X500" s="448"/>
      <c r="Y500" s="448"/>
      <c r="Z500" s="448"/>
      <c r="AA500" s="448"/>
      <c r="AB500" s="448"/>
      <c r="AC500" s="448"/>
      <c r="AD500" s="448"/>
      <c r="AE500" s="448"/>
      <c r="AF500" s="448"/>
      <c r="AG500" s="448"/>
      <c r="AH500" s="1638">
        <v>0</v>
      </c>
    </row>
    <row r="501" spans="1:34" ht="15">
      <c r="A501" s="1637" t="s">
        <v>149</v>
      </c>
      <c r="B501" s="863">
        <f t="shared" si="53"/>
        <v>0</v>
      </c>
      <c r="C501" s="448"/>
      <c r="D501" s="448"/>
      <c r="E501" s="448"/>
      <c r="F501" s="448"/>
      <c r="G501" s="448"/>
      <c r="H501" s="448"/>
      <c r="I501" s="448"/>
      <c r="J501" s="448"/>
      <c r="K501" s="448"/>
      <c r="L501" s="448"/>
      <c r="M501" s="448"/>
      <c r="N501" s="448"/>
      <c r="O501" s="448"/>
      <c r="P501" s="448"/>
      <c r="Q501" s="448"/>
      <c r="R501" s="448"/>
      <c r="S501" s="448"/>
      <c r="T501" s="448"/>
      <c r="U501" s="448"/>
      <c r="V501" s="448"/>
      <c r="W501" s="448"/>
      <c r="X501" s="448"/>
      <c r="Y501" s="448"/>
      <c r="Z501" s="448"/>
      <c r="AA501" s="448"/>
      <c r="AB501" s="448"/>
      <c r="AC501" s="448"/>
      <c r="AD501" s="448"/>
      <c r="AE501" s="448"/>
      <c r="AF501" s="448"/>
      <c r="AG501" s="448"/>
      <c r="AH501" s="1638">
        <v>0</v>
      </c>
    </row>
    <row r="502" spans="1:34" ht="15">
      <c r="A502" s="1637" t="s">
        <v>150</v>
      </c>
      <c r="B502" s="863">
        <f t="shared" si="53"/>
        <v>0</v>
      </c>
      <c r="C502" s="448"/>
      <c r="D502" s="448"/>
      <c r="E502" s="448"/>
      <c r="F502" s="448"/>
      <c r="G502" s="448"/>
      <c r="H502" s="448"/>
      <c r="I502" s="448"/>
      <c r="J502" s="448"/>
      <c r="K502" s="448"/>
      <c r="L502" s="448"/>
      <c r="M502" s="448"/>
      <c r="N502" s="448"/>
      <c r="O502" s="448"/>
      <c r="P502" s="448"/>
      <c r="Q502" s="448"/>
      <c r="R502" s="448"/>
      <c r="S502" s="448"/>
      <c r="T502" s="448"/>
      <c r="U502" s="448"/>
      <c r="V502" s="448"/>
      <c r="W502" s="448"/>
      <c r="X502" s="448"/>
      <c r="Y502" s="448"/>
      <c r="Z502" s="448"/>
      <c r="AA502" s="448"/>
      <c r="AB502" s="448"/>
      <c r="AC502" s="448"/>
      <c r="AD502" s="448"/>
      <c r="AE502" s="448"/>
      <c r="AF502" s="448"/>
      <c r="AG502" s="448"/>
      <c r="AH502" s="1638">
        <v>0</v>
      </c>
    </row>
    <row r="503" spans="1:34" ht="15">
      <c r="A503" s="1501" t="s">
        <v>151</v>
      </c>
      <c r="B503" s="863">
        <f t="shared" ref="B503:B508" si="54">SUM(C503:AG503)</f>
        <v>15.526</v>
      </c>
      <c r="C503" s="1639"/>
      <c r="D503" s="448"/>
      <c r="E503" s="448"/>
      <c r="F503" s="448"/>
      <c r="G503" s="448"/>
      <c r="H503" s="448"/>
      <c r="I503" s="448"/>
      <c r="J503" s="448"/>
      <c r="K503" s="448"/>
      <c r="L503" s="448"/>
      <c r="M503" s="448"/>
      <c r="N503" s="448"/>
      <c r="O503" s="448"/>
      <c r="P503" s="448"/>
      <c r="Q503" s="448"/>
      <c r="R503" s="448"/>
      <c r="S503" s="448"/>
      <c r="T503" s="448"/>
      <c r="U503" s="448"/>
      <c r="V503" s="448"/>
      <c r="W503" s="448"/>
      <c r="X503" s="448"/>
      <c r="Y503" s="448"/>
      <c r="Z503" s="448"/>
      <c r="AA503" s="448"/>
      <c r="AB503" s="448">
        <v>4.915</v>
      </c>
      <c r="AC503" s="448">
        <v>3.5910000000000002</v>
      </c>
      <c r="AD503" s="448"/>
      <c r="AE503" s="448"/>
      <c r="AF503" s="448">
        <v>2.484</v>
      </c>
      <c r="AG503" s="448">
        <v>4.5359999999999996</v>
      </c>
      <c r="AH503" s="1638">
        <v>0</v>
      </c>
    </row>
    <row r="504" spans="1:34" ht="15">
      <c r="A504" s="1501" t="s">
        <v>152</v>
      </c>
      <c r="B504" s="863">
        <f t="shared" si="54"/>
        <v>43.375999999999998</v>
      </c>
      <c r="C504" s="1639"/>
      <c r="D504" s="448"/>
      <c r="E504" s="448">
        <v>1.35</v>
      </c>
      <c r="F504" s="448"/>
      <c r="G504" s="448"/>
      <c r="H504" s="448">
        <v>10.747999999999999</v>
      </c>
      <c r="I504" s="448">
        <v>5.13</v>
      </c>
      <c r="J504" s="448">
        <v>9.423</v>
      </c>
      <c r="K504" s="448">
        <v>8.8559999999999999</v>
      </c>
      <c r="L504" s="448">
        <v>2.0249999999999999</v>
      </c>
      <c r="M504" s="448"/>
      <c r="N504" s="448"/>
      <c r="O504" s="448"/>
      <c r="P504" s="448"/>
      <c r="Q504" s="863"/>
      <c r="R504" s="863"/>
      <c r="S504" s="863">
        <v>4.9169999999999998</v>
      </c>
      <c r="T504" s="863"/>
      <c r="U504" s="863"/>
      <c r="V504" s="863">
        <v>0.92700000000000005</v>
      </c>
      <c r="W504" s="863"/>
      <c r="X504" s="863"/>
      <c r="Y504" s="863"/>
      <c r="Z504" s="863"/>
      <c r="AA504" s="863"/>
      <c r="AB504" s="863"/>
      <c r="AC504" s="863"/>
      <c r="AD504" s="863"/>
      <c r="AE504" s="863"/>
      <c r="AF504" s="863"/>
      <c r="AG504" s="863"/>
      <c r="AH504" s="1638">
        <v>0</v>
      </c>
    </row>
    <row r="505" spans="1:34" ht="15">
      <c r="A505" s="1501" t="s">
        <v>153</v>
      </c>
      <c r="B505" s="863">
        <f t="shared" si="54"/>
        <v>0</v>
      </c>
      <c r="C505" s="863"/>
      <c r="D505" s="863"/>
      <c r="E505" s="863"/>
      <c r="F505" s="863"/>
      <c r="G505" s="863"/>
      <c r="H505" s="863"/>
      <c r="I505" s="863"/>
      <c r="J505" s="863"/>
      <c r="K505" s="863"/>
      <c r="L505" s="863"/>
      <c r="M505" s="863"/>
      <c r="N505" s="863"/>
      <c r="O505" s="863"/>
      <c r="P505" s="863"/>
      <c r="Q505" s="863"/>
      <c r="R505" s="863"/>
      <c r="S505" s="863"/>
      <c r="T505" s="863"/>
      <c r="U505" s="863"/>
      <c r="V505" s="863"/>
      <c r="W505" s="863"/>
      <c r="X505" s="863"/>
      <c r="Y505" s="863"/>
      <c r="Z505" s="863"/>
      <c r="AA505" s="863"/>
      <c r="AB505" s="863"/>
      <c r="AC505" s="863"/>
      <c r="AD505" s="863"/>
      <c r="AE505" s="863"/>
      <c r="AF505" s="863"/>
      <c r="AG505" s="863"/>
      <c r="AH505" s="1638">
        <v>0</v>
      </c>
    </row>
    <row r="506" spans="1:34" ht="15">
      <c r="A506" s="1501" t="s">
        <v>154</v>
      </c>
      <c r="B506" s="863">
        <f t="shared" si="54"/>
        <v>0</v>
      </c>
      <c r="C506" s="1639"/>
      <c r="D506" s="1640"/>
      <c r="E506" s="448"/>
      <c r="F506" s="448"/>
      <c r="G506" s="448"/>
      <c r="H506" s="448"/>
      <c r="I506" s="448"/>
      <c r="J506" s="448"/>
      <c r="K506" s="448"/>
      <c r="L506" s="448"/>
      <c r="M506" s="448"/>
      <c r="N506" s="448"/>
      <c r="O506" s="448"/>
      <c r="P506" s="448"/>
      <c r="Q506" s="448"/>
      <c r="R506" s="448"/>
      <c r="S506" s="448"/>
      <c r="T506" s="448"/>
      <c r="U506" s="448"/>
      <c r="V506" s="448"/>
      <c r="W506" s="448"/>
      <c r="X506" s="448"/>
      <c r="Y506" s="448"/>
      <c r="Z506" s="448"/>
      <c r="AA506" s="448"/>
      <c r="AB506" s="448"/>
      <c r="AC506" s="448"/>
      <c r="AD506" s="448"/>
      <c r="AE506" s="448"/>
      <c r="AF506" s="448"/>
      <c r="AG506" s="448"/>
      <c r="AH506" s="1641">
        <v>0</v>
      </c>
    </row>
    <row r="507" spans="1:34" ht="16.2">
      <c r="A507" s="1501" t="s">
        <v>155</v>
      </c>
      <c r="B507" s="863">
        <f t="shared" si="54"/>
        <v>0</v>
      </c>
      <c r="C507" s="1642"/>
      <c r="D507" s="1643"/>
      <c r="E507" s="1644"/>
      <c r="F507" s="448"/>
      <c r="G507" s="448"/>
      <c r="H507" s="448"/>
      <c r="I507" s="448"/>
      <c r="J507" s="448"/>
      <c r="K507" s="448"/>
      <c r="L507" s="448"/>
      <c r="M507" s="448"/>
      <c r="N507" s="448"/>
      <c r="O507" s="448"/>
      <c r="P507" s="448"/>
      <c r="Q507" s="448"/>
      <c r="R507" s="448"/>
      <c r="S507" s="448"/>
      <c r="T507" s="448"/>
      <c r="U507" s="448"/>
      <c r="V507" s="448"/>
      <c r="W507" s="448"/>
      <c r="X507" s="448"/>
      <c r="Y507" s="448"/>
      <c r="Z507" s="448"/>
      <c r="AA507" s="448"/>
      <c r="AB507" s="448"/>
      <c r="AC507" s="448"/>
      <c r="AD507" s="448"/>
      <c r="AE507" s="448"/>
      <c r="AF507" s="448"/>
      <c r="AG507" s="448"/>
      <c r="AH507" s="1641">
        <v>0</v>
      </c>
    </row>
    <row r="508" spans="1:34" ht="15">
      <c r="A508" s="1501" t="s">
        <v>156</v>
      </c>
      <c r="B508" s="863">
        <f t="shared" si="54"/>
        <v>0</v>
      </c>
      <c r="C508" s="448"/>
      <c r="D508" s="1645"/>
      <c r="E508" s="448"/>
      <c r="F508" s="448"/>
      <c r="G508" s="448"/>
      <c r="H508" s="448"/>
      <c r="I508" s="448"/>
      <c r="J508" s="448"/>
      <c r="K508" s="448"/>
      <c r="L508" s="448"/>
      <c r="M508" s="448"/>
      <c r="N508" s="448"/>
      <c r="O508" s="448"/>
      <c r="P508" s="448"/>
      <c r="Q508" s="448"/>
      <c r="R508" s="448"/>
      <c r="S508" s="448"/>
      <c r="T508" s="448"/>
      <c r="U508" s="448"/>
      <c r="V508" s="448"/>
      <c r="W508" s="448"/>
      <c r="X508" s="448"/>
      <c r="Y508" s="448"/>
      <c r="Z508" s="448"/>
      <c r="AA508" s="448"/>
      <c r="AB508" s="448"/>
      <c r="AC508" s="448"/>
      <c r="AD508" s="448"/>
      <c r="AE508" s="448"/>
      <c r="AF508" s="448"/>
      <c r="AG508" s="448"/>
      <c r="AH508" s="1641">
        <v>0</v>
      </c>
    </row>
    <row r="509" spans="1:34" ht="15">
      <c r="A509" s="1701" t="s">
        <v>111</v>
      </c>
      <c r="B509" s="1702">
        <f>SUM(B497:B508)</f>
        <v>58.902000000000001</v>
      </c>
      <c r="C509" s="1638">
        <v>0</v>
      </c>
      <c r="D509" s="1638">
        <v>0</v>
      </c>
      <c r="E509" s="1638">
        <v>0</v>
      </c>
      <c r="F509" s="1638">
        <v>0</v>
      </c>
      <c r="G509" s="1638">
        <v>0</v>
      </c>
      <c r="H509" s="1638">
        <v>0</v>
      </c>
      <c r="I509" s="1638">
        <v>0</v>
      </c>
      <c r="J509" s="1638">
        <v>0</v>
      </c>
      <c r="K509" s="1638">
        <v>0</v>
      </c>
      <c r="L509" s="1638">
        <v>0</v>
      </c>
      <c r="M509" s="1638">
        <v>0</v>
      </c>
      <c r="N509" s="1638">
        <v>0</v>
      </c>
      <c r="O509" s="1641">
        <v>0</v>
      </c>
      <c r="P509" s="1641">
        <v>0</v>
      </c>
      <c r="Q509" s="1641">
        <v>0</v>
      </c>
      <c r="R509" s="1641">
        <v>0</v>
      </c>
      <c r="S509" s="1641">
        <v>0</v>
      </c>
      <c r="T509" s="1641">
        <v>0</v>
      </c>
      <c r="U509" s="1641">
        <v>0</v>
      </c>
      <c r="V509" s="1641">
        <v>0</v>
      </c>
      <c r="W509" s="1641">
        <v>0</v>
      </c>
      <c r="X509" s="1641">
        <v>0</v>
      </c>
      <c r="Y509" s="1641">
        <v>0</v>
      </c>
      <c r="Z509" s="1641">
        <v>0</v>
      </c>
      <c r="AA509" s="1641">
        <v>0</v>
      </c>
      <c r="AB509" s="1641">
        <v>0</v>
      </c>
      <c r="AC509" s="1641">
        <v>0</v>
      </c>
      <c r="AD509" s="1641">
        <v>0</v>
      </c>
      <c r="AE509" s="1641">
        <v>0</v>
      </c>
      <c r="AF509" s="1641">
        <v>0</v>
      </c>
      <c r="AG509" s="1641">
        <v>0</v>
      </c>
      <c r="AH509" s="1641">
        <v>0</v>
      </c>
    </row>
    <row r="510" spans="1:34" ht="13.8" thickBot="1"/>
    <row r="511" spans="1:34" s="3185" customFormat="1" ht="15.6" thickBot="1">
      <c r="A511" s="4254" t="s">
        <v>1226</v>
      </c>
      <c r="B511" s="4255"/>
      <c r="C511" s="4256"/>
      <c r="D511" s="1703" t="s">
        <v>1227</v>
      </c>
      <c r="E511" s="1704"/>
      <c r="F511" s="1705"/>
      <c r="G511" s="2001"/>
      <c r="H511" s="3692">
        <v>41295</v>
      </c>
      <c r="I511" s="2003"/>
      <c r="J511" s="1633"/>
      <c r="K511" s="1633"/>
      <c r="L511" s="1633"/>
      <c r="M511" s="1634"/>
      <c r="N511" s="1633"/>
      <c r="O511" s="1633"/>
      <c r="P511" s="1633"/>
      <c r="Q511" s="1633"/>
      <c r="R511" s="1633"/>
      <c r="S511" s="1633"/>
      <c r="T511" s="1633"/>
      <c r="U511" s="1633"/>
      <c r="V511" s="1633"/>
      <c r="W511" s="1633"/>
      <c r="X511" s="1633"/>
      <c r="Y511" s="1633"/>
      <c r="Z511" s="1633"/>
      <c r="AA511" s="1633"/>
      <c r="AB511" s="1633"/>
      <c r="AC511" s="1633"/>
      <c r="AD511" s="1633"/>
      <c r="AE511" s="1633"/>
      <c r="AF511" s="1633"/>
      <c r="AG511" s="1633"/>
      <c r="AH511" s="1635"/>
    </row>
    <row r="512" spans="1:34" s="3185" customFormat="1" ht="15">
      <c r="A512" s="1648" t="s">
        <v>142</v>
      </c>
      <c r="B512" s="1648" t="s">
        <v>143</v>
      </c>
      <c r="C512" s="1649">
        <v>1</v>
      </c>
      <c r="D512" s="1649">
        <v>2</v>
      </c>
      <c r="E512" s="1649">
        <v>3</v>
      </c>
      <c r="F512" s="1649">
        <v>4</v>
      </c>
      <c r="G512" s="1649">
        <v>5</v>
      </c>
      <c r="H512" s="1649">
        <v>6</v>
      </c>
      <c r="I512" s="1649">
        <v>7</v>
      </c>
      <c r="J512" s="1502">
        <v>8</v>
      </c>
      <c r="K512" s="1502">
        <v>9</v>
      </c>
      <c r="L512" s="1502">
        <v>10</v>
      </c>
      <c r="M512" s="1502">
        <v>11</v>
      </c>
      <c r="N512" s="1502">
        <v>12</v>
      </c>
      <c r="O512" s="1502">
        <v>13</v>
      </c>
      <c r="P512" s="1502">
        <v>14</v>
      </c>
      <c r="Q512" s="1502">
        <v>15</v>
      </c>
      <c r="R512" s="1502">
        <v>16</v>
      </c>
      <c r="S512" s="1502">
        <v>17</v>
      </c>
      <c r="T512" s="1502">
        <v>18</v>
      </c>
      <c r="U512" s="1502">
        <v>19</v>
      </c>
      <c r="V512" s="1502">
        <v>20</v>
      </c>
      <c r="W512" s="1502">
        <v>21</v>
      </c>
      <c r="X512" s="1502">
        <v>22</v>
      </c>
      <c r="Y512" s="1502">
        <v>23</v>
      </c>
      <c r="Z512" s="1502">
        <v>24</v>
      </c>
      <c r="AA512" s="1708">
        <v>25</v>
      </c>
      <c r="AB512" s="1502">
        <v>26</v>
      </c>
      <c r="AC512" s="1502">
        <v>27</v>
      </c>
      <c r="AD512" s="1502">
        <v>28</v>
      </c>
      <c r="AE512" s="1502">
        <v>29</v>
      </c>
      <c r="AF512" s="1502">
        <v>30</v>
      </c>
      <c r="AG512" s="1502">
        <v>31</v>
      </c>
      <c r="AH512" s="1636" t="s">
        <v>144</v>
      </c>
    </row>
    <row r="513" spans="1:34" s="3185" customFormat="1" ht="15">
      <c r="A513" s="1637" t="s">
        <v>145</v>
      </c>
      <c r="B513" s="863">
        <f t="shared" ref="B513:B518" si="55">SUM(C513:AG513)</f>
        <v>0</v>
      </c>
      <c r="C513" s="448">
        <v>0</v>
      </c>
      <c r="D513" s="448">
        <v>0</v>
      </c>
      <c r="E513" s="448">
        <v>0</v>
      </c>
      <c r="F513" s="448">
        <v>0</v>
      </c>
      <c r="G513" s="448">
        <v>0</v>
      </c>
      <c r="H513" s="448">
        <v>0</v>
      </c>
      <c r="I513" s="448">
        <v>0</v>
      </c>
      <c r="J513" s="448">
        <v>0</v>
      </c>
      <c r="K513" s="448">
        <v>0</v>
      </c>
      <c r="L513" s="448">
        <v>0</v>
      </c>
      <c r="M513" s="448">
        <v>0</v>
      </c>
      <c r="N513" s="448">
        <v>0</v>
      </c>
      <c r="O513" s="448">
        <v>0</v>
      </c>
      <c r="P513" s="448">
        <v>0</v>
      </c>
      <c r="Q513" s="448">
        <v>0</v>
      </c>
      <c r="R513" s="448">
        <v>0</v>
      </c>
      <c r="S513" s="448">
        <v>0</v>
      </c>
      <c r="T513" s="448">
        <v>0</v>
      </c>
      <c r="U513" s="448">
        <v>0</v>
      </c>
      <c r="V513" s="448">
        <v>0</v>
      </c>
      <c r="W513" s="448">
        <v>0</v>
      </c>
      <c r="X513" s="448">
        <v>0</v>
      </c>
      <c r="Y513" s="448">
        <v>0</v>
      </c>
      <c r="Z513" s="448">
        <v>0</v>
      </c>
      <c r="AA513" s="448">
        <v>0</v>
      </c>
      <c r="AB513" s="448">
        <v>0</v>
      </c>
      <c r="AC513" s="448">
        <v>0</v>
      </c>
      <c r="AD513" s="448">
        <v>0</v>
      </c>
      <c r="AE513" s="448">
        <v>0</v>
      </c>
      <c r="AF513" s="448">
        <v>0</v>
      </c>
      <c r="AG513" s="448">
        <v>0</v>
      </c>
      <c r="AH513" s="1638">
        <v>0</v>
      </c>
    </row>
    <row r="514" spans="1:34" s="3185" customFormat="1" ht="15">
      <c r="A514" s="1637" t="s">
        <v>146</v>
      </c>
      <c r="B514" s="863">
        <f t="shared" si="55"/>
        <v>0</v>
      </c>
      <c r="C514" s="448">
        <v>0</v>
      </c>
      <c r="D514" s="448">
        <v>0</v>
      </c>
      <c r="E514" s="448">
        <v>0</v>
      </c>
      <c r="F514" s="448">
        <v>0</v>
      </c>
      <c r="G514" s="448">
        <v>0</v>
      </c>
      <c r="H514" s="448">
        <v>0</v>
      </c>
      <c r="I514" s="448">
        <v>0</v>
      </c>
      <c r="J514" s="448">
        <v>0</v>
      </c>
      <c r="K514" s="448">
        <v>0</v>
      </c>
      <c r="L514" s="448">
        <v>0</v>
      </c>
      <c r="M514" s="448">
        <v>0</v>
      </c>
      <c r="N514" s="448">
        <v>0</v>
      </c>
      <c r="O514" s="448">
        <v>0</v>
      </c>
      <c r="P514" s="448">
        <v>0</v>
      </c>
      <c r="Q514" s="448">
        <v>0</v>
      </c>
      <c r="R514" s="448">
        <v>0</v>
      </c>
      <c r="S514" s="448">
        <v>0</v>
      </c>
      <c r="T514" s="448">
        <v>0</v>
      </c>
      <c r="U514" s="448">
        <v>0</v>
      </c>
      <c r="V514" s="448">
        <v>0</v>
      </c>
      <c r="W514" s="448">
        <v>0</v>
      </c>
      <c r="X514" s="448">
        <v>0</v>
      </c>
      <c r="Y514" s="448">
        <v>0</v>
      </c>
      <c r="Z514" s="448">
        <v>0</v>
      </c>
      <c r="AA514" s="448">
        <v>0</v>
      </c>
      <c r="AB514" s="448">
        <v>0</v>
      </c>
      <c r="AC514" s="448">
        <v>0</v>
      </c>
      <c r="AD514" s="448">
        <v>0</v>
      </c>
      <c r="AE514" s="448">
        <v>0</v>
      </c>
      <c r="AF514" s="448">
        <v>0</v>
      </c>
      <c r="AG514" s="448">
        <v>0</v>
      </c>
      <c r="AH514" s="1638">
        <v>0</v>
      </c>
    </row>
    <row r="515" spans="1:34" s="3185" customFormat="1" ht="15">
      <c r="A515" s="1637" t="s">
        <v>147</v>
      </c>
      <c r="B515" s="863">
        <f t="shared" si="55"/>
        <v>0</v>
      </c>
      <c r="C515" s="448">
        <v>0</v>
      </c>
      <c r="D515" s="448">
        <v>0</v>
      </c>
      <c r="E515" s="448">
        <v>0</v>
      </c>
      <c r="F515" s="448">
        <v>0</v>
      </c>
      <c r="G515" s="448">
        <v>0</v>
      </c>
      <c r="H515" s="448">
        <v>0</v>
      </c>
      <c r="I515" s="448">
        <v>0</v>
      </c>
      <c r="J515" s="448">
        <v>0</v>
      </c>
      <c r="K515" s="448">
        <v>0</v>
      </c>
      <c r="L515" s="448">
        <v>0</v>
      </c>
      <c r="M515" s="448">
        <v>0</v>
      </c>
      <c r="N515" s="448">
        <v>0</v>
      </c>
      <c r="O515" s="448">
        <v>0</v>
      </c>
      <c r="P515" s="448">
        <v>0</v>
      </c>
      <c r="Q515" s="448">
        <v>0</v>
      </c>
      <c r="R515" s="448">
        <v>0</v>
      </c>
      <c r="S515" s="448">
        <v>0</v>
      </c>
      <c r="T515" s="448">
        <v>0</v>
      </c>
      <c r="U515" s="448">
        <v>0</v>
      </c>
      <c r="V515" s="448">
        <v>0</v>
      </c>
      <c r="W515" s="448">
        <v>0</v>
      </c>
      <c r="X515" s="448">
        <v>0</v>
      </c>
      <c r="Y515" s="448">
        <v>0</v>
      </c>
      <c r="Z515" s="448">
        <v>0</v>
      </c>
      <c r="AA515" s="448">
        <v>0</v>
      </c>
      <c r="AB515" s="448">
        <v>0</v>
      </c>
      <c r="AC515" s="448">
        <v>0</v>
      </c>
      <c r="AD515" s="448">
        <v>0</v>
      </c>
      <c r="AE515" s="448">
        <v>0</v>
      </c>
      <c r="AF515" s="448">
        <v>0</v>
      </c>
      <c r="AG515" s="448">
        <v>0</v>
      </c>
      <c r="AH515" s="1638">
        <v>0</v>
      </c>
    </row>
    <row r="516" spans="1:34" s="3185" customFormat="1" ht="15">
      <c r="A516" s="1637" t="s">
        <v>148</v>
      </c>
      <c r="B516" s="863">
        <f t="shared" si="55"/>
        <v>0</v>
      </c>
      <c r="C516" s="448">
        <v>0</v>
      </c>
      <c r="D516" s="448">
        <v>0</v>
      </c>
      <c r="E516" s="448">
        <v>0</v>
      </c>
      <c r="F516" s="448">
        <v>0</v>
      </c>
      <c r="G516" s="448">
        <v>0</v>
      </c>
      <c r="H516" s="448">
        <v>0</v>
      </c>
      <c r="I516" s="448">
        <v>0</v>
      </c>
      <c r="J516" s="448">
        <v>0</v>
      </c>
      <c r="K516" s="448">
        <v>0</v>
      </c>
      <c r="L516" s="448">
        <v>0</v>
      </c>
      <c r="M516" s="448">
        <v>0</v>
      </c>
      <c r="N516" s="448">
        <v>0</v>
      </c>
      <c r="O516" s="448">
        <v>0</v>
      </c>
      <c r="P516" s="448">
        <v>0</v>
      </c>
      <c r="Q516" s="448">
        <v>0</v>
      </c>
      <c r="R516" s="448">
        <v>0</v>
      </c>
      <c r="S516" s="448">
        <v>0</v>
      </c>
      <c r="T516" s="448">
        <v>0</v>
      </c>
      <c r="U516" s="448">
        <v>0</v>
      </c>
      <c r="V516" s="448">
        <v>0</v>
      </c>
      <c r="W516" s="448">
        <v>0</v>
      </c>
      <c r="X516" s="448">
        <v>0</v>
      </c>
      <c r="Y516" s="448">
        <v>0</v>
      </c>
      <c r="Z516" s="448">
        <v>0</v>
      </c>
      <c r="AA516" s="448">
        <v>0</v>
      </c>
      <c r="AB516" s="448">
        <v>0</v>
      </c>
      <c r="AC516" s="448">
        <v>0</v>
      </c>
      <c r="AD516" s="448">
        <v>0</v>
      </c>
      <c r="AE516" s="448">
        <v>0</v>
      </c>
      <c r="AF516" s="448">
        <v>0</v>
      </c>
      <c r="AG516" s="448">
        <v>0</v>
      </c>
      <c r="AH516" s="1638">
        <v>0</v>
      </c>
    </row>
    <row r="517" spans="1:34" s="3185" customFormat="1" ht="15">
      <c r="A517" s="1637" t="s">
        <v>149</v>
      </c>
      <c r="B517" s="863">
        <f t="shared" si="55"/>
        <v>0</v>
      </c>
      <c r="C517" s="448">
        <v>0</v>
      </c>
      <c r="D517" s="448">
        <v>0</v>
      </c>
      <c r="E517" s="448">
        <v>0</v>
      </c>
      <c r="F517" s="448">
        <v>0</v>
      </c>
      <c r="G517" s="448">
        <v>0</v>
      </c>
      <c r="H517" s="448">
        <v>0</v>
      </c>
      <c r="I517" s="448">
        <v>0</v>
      </c>
      <c r="J517" s="448">
        <v>0</v>
      </c>
      <c r="K517" s="448">
        <v>0</v>
      </c>
      <c r="L517" s="448">
        <v>0</v>
      </c>
      <c r="M517" s="448">
        <v>0</v>
      </c>
      <c r="N517" s="448">
        <v>0</v>
      </c>
      <c r="O517" s="448">
        <v>0</v>
      </c>
      <c r="P517" s="448">
        <v>0</v>
      </c>
      <c r="Q517" s="448">
        <v>0</v>
      </c>
      <c r="R517" s="448">
        <v>0</v>
      </c>
      <c r="S517" s="448">
        <v>0</v>
      </c>
      <c r="T517" s="448">
        <v>0</v>
      </c>
      <c r="U517" s="448">
        <v>0</v>
      </c>
      <c r="V517" s="448">
        <v>0</v>
      </c>
      <c r="W517" s="448">
        <v>0</v>
      </c>
      <c r="X517" s="448">
        <v>0</v>
      </c>
      <c r="Y517" s="448">
        <v>0</v>
      </c>
      <c r="Z517" s="448">
        <v>0</v>
      </c>
      <c r="AA517" s="448">
        <v>0</v>
      </c>
      <c r="AB517" s="448">
        <v>0</v>
      </c>
      <c r="AC517" s="448">
        <v>0</v>
      </c>
      <c r="AD517" s="448">
        <v>0</v>
      </c>
      <c r="AE517" s="448">
        <v>0</v>
      </c>
      <c r="AF517" s="448">
        <v>0</v>
      </c>
      <c r="AG517" s="448">
        <v>0</v>
      </c>
      <c r="AH517" s="1638">
        <v>0</v>
      </c>
    </row>
    <row r="518" spans="1:34" s="3185" customFormat="1" ht="15">
      <c r="A518" s="1637" t="s">
        <v>150</v>
      </c>
      <c r="B518" s="863">
        <f t="shared" si="55"/>
        <v>0</v>
      </c>
      <c r="C518" s="448">
        <v>0</v>
      </c>
      <c r="D518" s="448">
        <v>0</v>
      </c>
      <c r="E518" s="448">
        <v>0</v>
      </c>
      <c r="F518" s="448">
        <v>0</v>
      </c>
      <c r="G518" s="448">
        <v>0</v>
      </c>
      <c r="H518" s="448">
        <v>0</v>
      </c>
      <c r="I518" s="448">
        <v>0</v>
      </c>
      <c r="J518" s="448">
        <v>0</v>
      </c>
      <c r="K518" s="448">
        <v>0</v>
      </c>
      <c r="L518" s="448">
        <v>0</v>
      </c>
      <c r="M518" s="448">
        <v>0</v>
      </c>
      <c r="N518" s="448">
        <v>0</v>
      </c>
      <c r="O518" s="448">
        <v>0</v>
      </c>
      <c r="P518" s="448">
        <v>0</v>
      </c>
      <c r="Q518" s="448">
        <v>0</v>
      </c>
      <c r="R518" s="448">
        <v>0</v>
      </c>
      <c r="S518" s="448">
        <v>0</v>
      </c>
      <c r="T518" s="448">
        <v>0</v>
      </c>
      <c r="U518" s="448">
        <v>0</v>
      </c>
      <c r="V518" s="448">
        <v>0</v>
      </c>
      <c r="W518" s="448">
        <v>0</v>
      </c>
      <c r="X518" s="448">
        <v>0</v>
      </c>
      <c r="Y518" s="448">
        <v>0</v>
      </c>
      <c r="Z518" s="448">
        <v>0</v>
      </c>
      <c r="AA518" s="448">
        <v>0</v>
      </c>
      <c r="AB518" s="448">
        <v>0</v>
      </c>
      <c r="AC518" s="448">
        <v>0</v>
      </c>
      <c r="AD518" s="448">
        <v>0</v>
      </c>
      <c r="AE518" s="448">
        <v>0</v>
      </c>
      <c r="AF518" s="448">
        <v>0</v>
      </c>
      <c r="AG518" s="448">
        <v>0</v>
      </c>
      <c r="AH518" s="1638">
        <v>0</v>
      </c>
    </row>
    <row r="519" spans="1:34" s="3185" customFormat="1" ht="15">
      <c r="A519" s="1501" t="s">
        <v>151</v>
      </c>
      <c r="B519" s="863">
        <f t="shared" ref="B519:B524" si="56">SUM(C519:AG519)</f>
        <v>0</v>
      </c>
      <c r="C519" s="1639">
        <v>0</v>
      </c>
      <c r="D519" s="448">
        <v>0</v>
      </c>
      <c r="E519" s="448">
        <v>0</v>
      </c>
      <c r="F519" s="448">
        <v>0</v>
      </c>
      <c r="G519" s="448">
        <v>0</v>
      </c>
      <c r="H519" s="448">
        <v>0</v>
      </c>
      <c r="I519" s="448">
        <v>0</v>
      </c>
      <c r="J519" s="448">
        <v>0</v>
      </c>
      <c r="K519" s="448">
        <v>0</v>
      </c>
      <c r="L519" s="448">
        <v>0</v>
      </c>
      <c r="M519" s="448">
        <v>0</v>
      </c>
      <c r="N519" s="448">
        <v>0</v>
      </c>
      <c r="O519" s="448">
        <v>0</v>
      </c>
      <c r="P519" s="448">
        <v>0</v>
      </c>
      <c r="Q519" s="448">
        <v>0</v>
      </c>
      <c r="R519" s="448">
        <v>0</v>
      </c>
      <c r="S519" s="448">
        <v>0</v>
      </c>
      <c r="T519" s="448">
        <v>0</v>
      </c>
      <c r="U519" s="448">
        <v>0</v>
      </c>
      <c r="V519" s="448">
        <v>0</v>
      </c>
      <c r="W519" s="448">
        <v>0</v>
      </c>
      <c r="X519" s="448">
        <v>0</v>
      </c>
      <c r="Y519" s="448">
        <v>0</v>
      </c>
      <c r="Z519" s="448">
        <v>0</v>
      </c>
      <c r="AA519" s="448">
        <v>0</v>
      </c>
      <c r="AB519" s="448">
        <v>0</v>
      </c>
      <c r="AC519" s="448">
        <v>0</v>
      </c>
      <c r="AD519" s="448">
        <v>0</v>
      </c>
      <c r="AE519" s="448">
        <v>0</v>
      </c>
      <c r="AF519" s="448">
        <v>0</v>
      </c>
      <c r="AG519" s="448">
        <v>0</v>
      </c>
      <c r="AH519" s="1638">
        <v>0</v>
      </c>
    </row>
    <row r="520" spans="1:34" s="3185" customFormat="1" ht="15">
      <c r="A520" s="1501" t="s">
        <v>152</v>
      </c>
      <c r="B520" s="863">
        <f t="shared" si="56"/>
        <v>0</v>
      </c>
      <c r="C520" s="1639">
        <v>0</v>
      </c>
      <c r="D520" s="448">
        <v>0</v>
      </c>
      <c r="E520" s="448">
        <v>0</v>
      </c>
      <c r="F520" s="448">
        <v>0</v>
      </c>
      <c r="G520" s="448">
        <v>0</v>
      </c>
      <c r="H520" s="448">
        <v>0</v>
      </c>
      <c r="I520" s="448">
        <v>0</v>
      </c>
      <c r="J520" s="448">
        <v>0</v>
      </c>
      <c r="K520" s="448">
        <v>0</v>
      </c>
      <c r="L520" s="448">
        <v>0</v>
      </c>
      <c r="M520" s="448">
        <v>0</v>
      </c>
      <c r="N520" s="448">
        <v>0</v>
      </c>
      <c r="O520" s="448">
        <v>0</v>
      </c>
      <c r="P520" s="448">
        <v>0</v>
      </c>
      <c r="Q520" s="863">
        <v>0</v>
      </c>
      <c r="R520" s="863">
        <v>0</v>
      </c>
      <c r="S520" s="863">
        <v>0</v>
      </c>
      <c r="T520" s="863">
        <v>0</v>
      </c>
      <c r="U520" s="863">
        <v>0</v>
      </c>
      <c r="V520" s="863">
        <v>0</v>
      </c>
      <c r="W520" s="863">
        <v>0</v>
      </c>
      <c r="X520" s="863">
        <v>0</v>
      </c>
      <c r="Y520" s="863">
        <v>0</v>
      </c>
      <c r="Z520" s="863">
        <v>0</v>
      </c>
      <c r="AA520" s="863">
        <v>0</v>
      </c>
      <c r="AB520" s="863">
        <v>0</v>
      </c>
      <c r="AC520" s="863">
        <v>0</v>
      </c>
      <c r="AD520" s="863">
        <v>0</v>
      </c>
      <c r="AE520" s="863">
        <v>0</v>
      </c>
      <c r="AF520" s="863">
        <v>0</v>
      </c>
      <c r="AG520" s="863">
        <v>0</v>
      </c>
      <c r="AH520" s="1638">
        <v>0</v>
      </c>
    </row>
    <row r="521" spans="1:34" s="3185" customFormat="1" ht="15">
      <c r="A521" s="1501" t="s">
        <v>153</v>
      </c>
      <c r="B521" s="863">
        <f t="shared" si="56"/>
        <v>0</v>
      </c>
      <c r="C521" s="863">
        <v>0</v>
      </c>
      <c r="D521" s="863">
        <v>0</v>
      </c>
      <c r="E521" s="863">
        <v>0</v>
      </c>
      <c r="F521" s="863">
        <v>0</v>
      </c>
      <c r="G521" s="863">
        <v>0</v>
      </c>
      <c r="H521" s="863">
        <v>0</v>
      </c>
      <c r="I521" s="863">
        <v>0</v>
      </c>
      <c r="J521" s="863">
        <v>0</v>
      </c>
      <c r="K521" s="863">
        <v>0</v>
      </c>
      <c r="L521" s="863">
        <v>0</v>
      </c>
      <c r="M521" s="863">
        <v>0</v>
      </c>
      <c r="N521" s="863">
        <v>0</v>
      </c>
      <c r="O521" s="863">
        <v>0</v>
      </c>
      <c r="P521" s="863">
        <v>0</v>
      </c>
      <c r="Q521" s="863">
        <v>0</v>
      </c>
      <c r="R521" s="863">
        <v>0</v>
      </c>
      <c r="S521" s="863">
        <v>0</v>
      </c>
      <c r="T521" s="863">
        <v>0</v>
      </c>
      <c r="U521" s="863">
        <v>0</v>
      </c>
      <c r="V521" s="863">
        <v>0</v>
      </c>
      <c r="W521" s="863">
        <v>0</v>
      </c>
      <c r="X521" s="863">
        <v>0</v>
      </c>
      <c r="Y521" s="863">
        <v>0</v>
      </c>
      <c r="Z521" s="863">
        <v>0</v>
      </c>
      <c r="AA521" s="863">
        <v>0</v>
      </c>
      <c r="AB521" s="863">
        <v>0</v>
      </c>
      <c r="AC521" s="863">
        <v>0</v>
      </c>
      <c r="AD521" s="863">
        <v>0</v>
      </c>
      <c r="AE521" s="863">
        <v>0</v>
      </c>
      <c r="AF521" s="863">
        <v>0</v>
      </c>
      <c r="AG521" s="863">
        <v>0</v>
      </c>
      <c r="AH521" s="1638">
        <v>0</v>
      </c>
    </row>
    <row r="522" spans="1:34" s="3185" customFormat="1" ht="15">
      <c r="A522" s="1501" t="s">
        <v>154</v>
      </c>
      <c r="B522" s="863">
        <f t="shared" si="56"/>
        <v>0</v>
      </c>
      <c r="C522" s="1639">
        <v>0</v>
      </c>
      <c r="D522" s="1640">
        <v>0</v>
      </c>
      <c r="E522" s="448">
        <v>0</v>
      </c>
      <c r="F522" s="448">
        <v>0</v>
      </c>
      <c r="G522" s="448">
        <v>0</v>
      </c>
      <c r="H522" s="448">
        <v>0</v>
      </c>
      <c r="I522" s="448">
        <v>0</v>
      </c>
      <c r="J522" s="448">
        <v>0</v>
      </c>
      <c r="K522" s="448">
        <v>0</v>
      </c>
      <c r="L522" s="448">
        <v>0</v>
      </c>
      <c r="M522" s="448">
        <v>0</v>
      </c>
      <c r="N522" s="448">
        <v>0</v>
      </c>
      <c r="O522" s="448">
        <v>0</v>
      </c>
      <c r="P522" s="448">
        <v>0</v>
      </c>
      <c r="Q522" s="448">
        <v>0</v>
      </c>
      <c r="R522" s="448">
        <v>0</v>
      </c>
      <c r="S522" s="448">
        <v>0</v>
      </c>
      <c r="T522" s="448">
        <v>0</v>
      </c>
      <c r="U522" s="448">
        <v>0</v>
      </c>
      <c r="V522" s="448">
        <v>0</v>
      </c>
      <c r="W522" s="448">
        <v>0</v>
      </c>
      <c r="X522" s="448">
        <v>0</v>
      </c>
      <c r="Y522" s="448">
        <v>0</v>
      </c>
      <c r="Z522" s="448">
        <v>0</v>
      </c>
      <c r="AA522" s="448">
        <v>0</v>
      </c>
      <c r="AB522" s="448">
        <v>0</v>
      </c>
      <c r="AC522" s="448">
        <v>0</v>
      </c>
      <c r="AD522" s="448">
        <v>0</v>
      </c>
      <c r="AE522" s="448">
        <v>0</v>
      </c>
      <c r="AF522" s="448">
        <v>0</v>
      </c>
      <c r="AG522" s="448">
        <v>0</v>
      </c>
      <c r="AH522" s="1641">
        <v>0</v>
      </c>
    </row>
    <row r="523" spans="1:34" s="3185" customFormat="1" ht="16.2">
      <c r="A523" s="1501" t="s">
        <v>155</v>
      </c>
      <c r="B523" s="863">
        <f t="shared" si="56"/>
        <v>0</v>
      </c>
      <c r="C523" s="1642">
        <v>0</v>
      </c>
      <c r="D523" s="1643">
        <v>0</v>
      </c>
      <c r="E523" s="1644">
        <v>0</v>
      </c>
      <c r="F523" s="448">
        <v>0</v>
      </c>
      <c r="G523" s="448">
        <v>0</v>
      </c>
      <c r="H523" s="448">
        <v>0</v>
      </c>
      <c r="I523" s="448">
        <v>0</v>
      </c>
      <c r="J523" s="448">
        <v>0</v>
      </c>
      <c r="K523" s="448">
        <v>0</v>
      </c>
      <c r="L523" s="448">
        <v>0</v>
      </c>
      <c r="M523" s="448">
        <v>0</v>
      </c>
      <c r="N523" s="448">
        <v>0</v>
      </c>
      <c r="O523" s="448">
        <v>0</v>
      </c>
      <c r="P523" s="448">
        <v>0</v>
      </c>
      <c r="Q523" s="448">
        <v>0</v>
      </c>
      <c r="R523" s="448">
        <v>0</v>
      </c>
      <c r="S523" s="448">
        <v>0</v>
      </c>
      <c r="T523" s="448">
        <v>0</v>
      </c>
      <c r="U523" s="448">
        <v>0</v>
      </c>
      <c r="V523" s="448">
        <v>0</v>
      </c>
      <c r="W523" s="448">
        <v>0</v>
      </c>
      <c r="X523" s="448">
        <v>0</v>
      </c>
      <c r="Y523" s="448">
        <v>0</v>
      </c>
      <c r="Z523" s="448">
        <v>0</v>
      </c>
      <c r="AA523" s="448">
        <v>0</v>
      </c>
      <c r="AB523" s="448">
        <v>0</v>
      </c>
      <c r="AC523" s="448">
        <v>0</v>
      </c>
      <c r="AD523" s="448">
        <v>0</v>
      </c>
      <c r="AE523" s="448">
        <v>0</v>
      </c>
      <c r="AF523" s="448">
        <v>0</v>
      </c>
      <c r="AG523" s="448">
        <v>0</v>
      </c>
      <c r="AH523" s="1641">
        <v>0</v>
      </c>
    </row>
    <row r="524" spans="1:34" s="3185" customFormat="1" ht="15">
      <c r="A524" s="1501" t="s">
        <v>156</v>
      </c>
      <c r="B524" s="863">
        <f t="shared" si="56"/>
        <v>50</v>
      </c>
      <c r="C524" s="448">
        <v>0</v>
      </c>
      <c r="D524" s="1645">
        <v>0</v>
      </c>
      <c r="E524" s="448">
        <v>0</v>
      </c>
      <c r="F524" s="448">
        <v>0</v>
      </c>
      <c r="G524" s="448">
        <v>0</v>
      </c>
      <c r="H524" s="448">
        <v>0</v>
      </c>
      <c r="I524" s="448">
        <v>0</v>
      </c>
      <c r="J524" s="448">
        <v>0</v>
      </c>
      <c r="K524" s="448">
        <v>0</v>
      </c>
      <c r="L524" s="448">
        <v>14.375</v>
      </c>
      <c r="M524" s="448">
        <v>20.155999999999999</v>
      </c>
      <c r="N524" s="448">
        <v>0</v>
      </c>
      <c r="O524" s="448">
        <v>0</v>
      </c>
      <c r="P524" s="448">
        <v>15.468999999999999</v>
      </c>
      <c r="Q524" s="448">
        <v>0</v>
      </c>
      <c r="R524" s="448">
        <v>0</v>
      </c>
      <c r="S524" s="448">
        <v>0</v>
      </c>
      <c r="T524" s="448">
        <v>0</v>
      </c>
      <c r="U524" s="448">
        <v>0</v>
      </c>
      <c r="V524" s="448">
        <v>0</v>
      </c>
      <c r="W524" s="448">
        <v>0</v>
      </c>
      <c r="X524" s="448">
        <v>0</v>
      </c>
      <c r="Y524" s="448"/>
      <c r="Z524" s="448"/>
      <c r="AA524" s="448"/>
      <c r="AB524" s="448"/>
      <c r="AC524" s="448"/>
      <c r="AD524" s="448"/>
      <c r="AE524" s="448"/>
      <c r="AF524" s="448"/>
      <c r="AG524" s="448"/>
      <c r="AH524" s="1641">
        <v>0</v>
      </c>
    </row>
    <row r="525" spans="1:34" s="3185" customFormat="1" ht="15">
      <c r="A525" s="1701" t="s">
        <v>111</v>
      </c>
      <c r="B525" s="1702">
        <f>SUM(B513:B524)</f>
        <v>50</v>
      </c>
      <c r="C525" s="1638">
        <v>0</v>
      </c>
      <c r="D525" s="1638">
        <v>0</v>
      </c>
      <c r="E525" s="1638">
        <v>0</v>
      </c>
      <c r="F525" s="1638">
        <v>0</v>
      </c>
      <c r="G525" s="1638">
        <v>0</v>
      </c>
      <c r="H525" s="1638">
        <v>0</v>
      </c>
      <c r="I525" s="1638">
        <v>0</v>
      </c>
      <c r="J525" s="1638">
        <v>0</v>
      </c>
      <c r="K525" s="1638">
        <v>0</v>
      </c>
      <c r="L525" s="1638">
        <v>0</v>
      </c>
      <c r="M525" s="1638">
        <v>0</v>
      </c>
      <c r="N525" s="1638">
        <v>0</v>
      </c>
      <c r="O525" s="1641">
        <v>0</v>
      </c>
      <c r="P525" s="1641">
        <v>0</v>
      </c>
      <c r="Q525" s="1641">
        <v>0</v>
      </c>
      <c r="R525" s="1641">
        <v>0</v>
      </c>
      <c r="S525" s="1641">
        <v>0</v>
      </c>
      <c r="T525" s="1641">
        <v>0</v>
      </c>
      <c r="U525" s="1641">
        <v>0</v>
      </c>
      <c r="V525" s="1641">
        <v>0</v>
      </c>
      <c r="W525" s="1641">
        <v>0</v>
      </c>
      <c r="X525" s="1641">
        <v>0</v>
      </c>
      <c r="Y525" s="1641">
        <v>0</v>
      </c>
      <c r="Z525" s="1641">
        <v>0</v>
      </c>
      <c r="AA525" s="1641">
        <v>0</v>
      </c>
      <c r="AB525" s="1641">
        <v>0</v>
      </c>
      <c r="AC525" s="1641">
        <v>0</v>
      </c>
      <c r="AD525" s="1641">
        <v>0</v>
      </c>
      <c r="AE525" s="1641">
        <v>0</v>
      </c>
      <c r="AF525" s="1641">
        <v>0</v>
      </c>
      <c r="AG525" s="1641">
        <v>0</v>
      </c>
      <c r="AH525" s="1641">
        <v>0</v>
      </c>
    </row>
  </sheetData>
  <mergeCells count="26">
    <mergeCell ref="A511:C511"/>
    <mergeCell ref="A297:C297"/>
    <mergeCell ref="A184:C184"/>
    <mergeCell ref="A330:C330"/>
    <mergeCell ref="A414:H414"/>
    <mergeCell ref="A248:C248"/>
    <mergeCell ref="A314:C314"/>
    <mergeCell ref="A378:C378"/>
    <mergeCell ref="A232:C232"/>
    <mergeCell ref="A347:C347"/>
    <mergeCell ref="A495:C495"/>
    <mergeCell ref="A462:C462"/>
    <mergeCell ref="A446:C446"/>
    <mergeCell ref="A430:C430"/>
    <mergeCell ref="A361:C361"/>
    <mergeCell ref="A395:C395"/>
    <mergeCell ref="A478:C478"/>
    <mergeCell ref="A134:H134"/>
    <mergeCell ref="A200:C200"/>
    <mergeCell ref="A296:O296"/>
    <mergeCell ref="A152:C152"/>
    <mergeCell ref="A216:C216"/>
    <mergeCell ref="A168:C168"/>
    <mergeCell ref="A136:C136"/>
    <mergeCell ref="A264:C264"/>
    <mergeCell ref="A280:C280"/>
  </mergeCells>
  <pageMargins left="0.7" right="0.7" top="0.75" bottom="0.75" header="0.3" footer="0.3"/>
  <pageSetup paperSize="9" orientation="portrait" r:id="rId1"/>
  <legacyDrawing r:id="rId2"/>
</worksheet>
</file>

<file path=xl/worksheets/sheet35.xml><?xml version="1.0" encoding="utf-8"?>
<worksheet xmlns="http://schemas.openxmlformats.org/spreadsheetml/2006/main" xmlns:r="http://schemas.openxmlformats.org/officeDocument/2006/relationships">
  <dimension ref="A1:P291"/>
  <sheetViews>
    <sheetView topLeftCell="A13" zoomScale="77" zoomScaleNormal="77" zoomScaleSheetLayoutView="70" workbookViewId="0">
      <selection activeCell="O19" sqref="O19"/>
    </sheetView>
  </sheetViews>
  <sheetFormatPr baseColWidth="10" defaultRowHeight="13.2"/>
  <cols>
    <col min="1" max="1" width="2.88671875" customWidth="1"/>
    <col min="2" max="2" width="17.88671875" customWidth="1"/>
    <col min="3" max="3" width="19.44140625" customWidth="1"/>
    <col min="4" max="4" width="24.88671875" customWidth="1"/>
    <col min="5" max="5" width="22.44140625" customWidth="1"/>
    <col min="6" max="6" width="11.44140625" customWidth="1"/>
    <col min="7" max="7" width="15.88671875" customWidth="1"/>
    <col min="8" max="8" width="15.109375" customWidth="1"/>
    <col min="9" max="9" width="16" customWidth="1"/>
    <col min="10" max="10" width="10.5546875" customWidth="1"/>
    <col min="11" max="11" width="11.33203125" customWidth="1"/>
    <col min="12" max="12" width="9" customWidth="1"/>
    <col min="13" max="13" width="16.88671875" customWidth="1"/>
    <col min="14" max="14" width="15.6640625" customWidth="1"/>
    <col min="15" max="15" width="9" customWidth="1"/>
    <col min="16" max="16" width="8.88671875" customWidth="1"/>
  </cols>
  <sheetData>
    <row r="1" spans="1:16" ht="13.8" thickBot="1">
      <c r="A1" s="510"/>
      <c r="B1" s="4298" t="s">
        <v>537</v>
      </c>
      <c r="C1" s="4298"/>
      <c r="D1" s="510"/>
      <c r="E1" s="2687" t="s">
        <v>1125</v>
      </c>
      <c r="F1" s="510"/>
      <c r="G1" s="510"/>
      <c r="H1" s="510"/>
      <c r="I1" s="510"/>
      <c r="J1" s="510"/>
      <c r="K1" s="994"/>
      <c r="L1" s="510"/>
      <c r="M1" s="510"/>
      <c r="N1" s="510"/>
      <c r="O1" s="510"/>
    </row>
    <row r="2" spans="1:16" ht="13.8" thickBot="1">
      <c r="A2" s="510"/>
      <c r="B2" s="1203" t="s">
        <v>639</v>
      </c>
      <c r="C2" s="1204"/>
      <c r="D2" s="1204"/>
      <c r="E2" s="1204"/>
      <c r="F2" s="1204"/>
      <c r="G2" s="4298" t="s">
        <v>598</v>
      </c>
      <c r="H2" s="4298"/>
      <c r="I2" s="4298"/>
      <c r="J2" s="4298" t="s">
        <v>599</v>
      </c>
      <c r="K2" s="4298"/>
      <c r="L2" s="4298" t="s">
        <v>600</v>
      </c>
      <c r="M2" s="510"/>
      <c r="N2" s="510"/>
      <c r="O2" s="510"/>
    </row>
    <row r="3" spans="1:16" ht="13.8" thickBot="1">
      <c r="A3" s="510"/>
      <c r="B3" s="1205" t="s">
        <v>601</v>
      </c>
      <c r="C3" s="1206" t="s">
        <v>602</v>
      </c>
      <c r="D3" s="1207" t="s">
        <v>540</v>
      </c>
      <c r="E3" s="1208" t="s">
        <v>538</v>
      </c>
      <c r="F3" s="1206" t="s">
        <v>603</v>
      </c>
      <c r="G3" s="1209" t="s">
        <v>11</v>
      </c>
      <c r="H3" s="1210" t="s">
        <v>604</v>
      </c>
      <c r="I3" s="1211" t="s">
        <v>111</v>
      </c>
      <c r="J3" s="1209" t="s">
        <v>11</v>
      </c>
      <c r="K3" s="1212" t="s">
        <v>605</v>
      </c>
      <c r="L3" s="4298"/>
      <c r="M3" s="1213" t="s">
        <v>641</v>
      </c>
      <c r="N3" s="511"/>
      <c r="O3" s="510"/>
    </row>
    <row r="4" spans="1:16">
      <c r="A4" s="510"/>
      <c r="B4" s="4108">
        <v>1</v>
      </c>
      <c r="C4" s="4108">
        <v>40980</v>
      </c>
      <c r="D4" s="1214">
        <v>950877</v>
      </c>
      <c r="E4" s="1215" t="s">
        <v>552</v>
      </c>
      <c r="F4" s="1216">
        <v>2469</v>
      </c>
      <c r="G4" s="1217">
        <v>13</v>
      </c>
      <c r="H4" s="1218">
        <v>137</v>
      </c>
      <c r="I4" s="1219">
        <f t="shared" ref="I4:I9" si="0">SUM(G4:H4)</f>
        <v>150</v>
      </c>
      <c r="J4" s="1217">
        <v>0</v>
      </c>
      <c r="K4" s="1220">
        <v>124.509</v>
      </c>
      <c r="L4" s="2523">
        <f t="shared" ref="L4:L20" si="1">+I4-J4-K4</f>
        <v>25.491</v>
      </c>
      <c r="M4" s="1840" t="s">
        <v>730</v>
      </c>
      <c r="N4" s="511"/>
      <c r="O4" s="510"/>
    </row>
    <row r="5" spans="1:16" ht="13.8" thickBot="1">
      <c r="A5" s="510"/>
      <c r="B5" s="4109"/>
      <c r="C5" s="4109"/>
      <c r="D5" s="1221">
        <v>953670</v>
      </c>
      <c r="E5" s="1222" t="s">
        <v>551</v>
      </c>
      <c r="F5" s="1223">
        <v>2708</v>
      </c>
      <c r="G5" s="1224">
        <v>124</v>
      </c>
      <c r="H5" s="1225">
        <v>1342</v>
      </c>
      <c r="I5" s="1226">
        <f t="shared" si="0"/>
        <v>1466</v>
      </c>
      <c r="J5" s="1224">
        <v>75.984999999999999</v>
      </c>
      <c r="K5" s="1227">
        <v>695.44100000000003</v>
      </c>
      <c r="L5" s="1228">
        <f t="shared" si="1"/>
        <v>694.57400000000007</v>
      </c>
      <c r="M5" s="1263"/>
      <c r="N5" s="1839"/>
      <c r="O5" s="510"/>
    </row>
    <row r="6" spans="1:16" ht="13.8" thickBot="1">
      <c r="A6" s="510"/>
      <c r="B6" s="2789">
        <v>2</v>
      </c>
      <c r="C6" s="2785">
        <v>40991</v>
      </c>
      <c r="D6" s="1229">
        <v>924618</v>
      </c>
      <c r="E6" s="1230" t="s">
        <v>624</v>
      </c>
      <c r="F6" s="1231">
        <v>1027</v>
      </c>
      <c r="G6" s="1232">
        <v>0</v>
      </c>
      <c r="H6" s="1233">
        <v>600</v>
      </c>
      <c r="I6" s="1234">
        <f t="shared" si="0"/>
        <v>600</v>
      </c>
      <c r="J6" s="1232">
        <v>47.942999999999998</v>
      </c>
      <c r="K6" s="1235">
        <v>554.24400000000003</v>
      </c>
      <c r="L6" s="1228">
        <f t="shared" si="1"/>
        <v>-2.1870000000000118</v>
      </c>
      <c r="M6" s="1841" t="s">
        <v>687</v>
      </c>
      <c r="N6" s="1237"/>
      <c r="O6" s="1236"/>
    </row>
    <row r="7" spans="1:16" ht="13.8" thickBot="1">
      <c r="A7" s="510"/>
      <c r="B7" s="2790">
        <v>3</v>
      </c>
      <c r="C7" s="2786">
        <v>40996</v>
      </c>
      <c r="D7" s="1221">
        <v>957372</v>
      </c>
      <c r="E7" s="1222" t="s">
        <v>640</v>
      </c>
      <c r="F7" s="1223">
        <v>884</v>
      </c>
      <c r="G7" s="1224">
        <v>3.74</v>
      </c>
      <c r="H7" s="1225">
        <v>46.26</v>
      </c>
      <c r="I7" s="1226">
        <f t="shared" si="0"/>
        <v>50</v>
      </c>
      <c r="J7" s="1224"/>
      <c r="K7" s="1227"/>
      <c r="L7" s="1228">
        <f t="shared" si="1"/>
        <v>50</v>
      </c>
      <c r="M7" s="3187" t="s">
        <v>1222</v>
      </c>
      <c r="N7" s="1237"/>
      <c r="O7" s="1236"/>
    </row>
    <row r="8" spans="1:16" ht="13.8" thickBot="1">
      <c r="A8" s="510"/>
      <c r="B8" s="2791">
        <v>4</v>
      </c>
      <c r="C8" s="2787">
        <v>40998</v>
      </c>
      <c r="D8" s="1221">
        <v>954873</v>
      </c>
      <c r="E8" s="1222" t="s">
        <v>625</v>
      </c>
      <c r="F8" s="1223">
        <v>231</v>
      </c>
      <c r="G8" s="1224">
        <v>1</v>
      </c>
      <c r="H8" s="1225">
        <v>99</v>
      </c>
      <c r="I8" s="1226">
        <f t="shared" si="0"/>
        <v>100</v>
      </c>
      <c r="J8" s="1224">
        <v>5.2069999999999999</v>
      </c>
      <c r="K8" s="1227">
        <v>73.001999999999995</v>
      </c>
      <c r="L8" s="1228">
        <f t="shared" si="1"/>
        <v>21.791000000000011</v>
      </c>
      <c r="M8" s="1263"/>
      <c r="N8" s="1237"/>
      <c r="O8" s="510"/>
    </row>
    <row r="9" spans="1:16" ht="13.8" thickBot="1">
      <c r="A9" s="510"/>
      <c r="B9" s="1778">
        <v>5</v>
      </c>
      <c r="C9" s="2788">
        <v>41023</v>
      </c>
      <c r="D9" s="1221">
        <v>956410</v>
      </c>
      <c r="E9" s="1222" t="s">
        <v>660</v>
      </c>
      <c r="F9" s="1223" t="s">
        <v>661</v>
      </c>
      <c r="G9" s="1224">
        <v>0</v>
      </c>
      <c r="H9" s="1225">
        <v>501</v>
      </c>
      <c r="I9" s="1226">
        <f t="shared" si="0"/>
        <v>501</v>
      </c>
      <c r="J9" s="1224"/>
      <c r="K9" s="1227">
        <v>476.464</v>
      </c>
      <c r="L9" s="1228">
        <f t="shared" si="1"/>
        <v>24.536000000000001</v>
      </c>
      <c r="M9" s="1263"/>
      <c r="N9" s="1237"/>
      <c r="O9" s="1236"/>
      <c r="P9" s="959"/>
    </row>
    <row r="10" spans="1:16" ht="13.8" thickBot="1">
      <c r="A10" s="510"/>
      <c r="B10" s="4108">
        <v>6</v>
      </c>
      <c r="C10" s="4108">
        <v>41039</v>
      </c>
      <c r="D10" s="1214">
        <v>951259</v>
      </c>
      <c r="E10" s="1215" t="s">
        <v>688</v>
      </c>
      <c r="F10" s="1216">
        <v>2189</v>
      </c>
      <c r="G10" s="1217">
        <v>0</v>
      </c>
      <c r="H10" s="1218">
        <v>850</v>
      </c>
      <c r="I10" s="1219">
        <f t="shared" ref="I10:I17" si="2">SUM(G10:H10)</f>
        <v>850</v>
      </c>
      <c r="J10" s="1217">
        <v>5.9980000000000002</v>
      </c>
      <c r="K10" s="1220">
        <v>374.16800000000001</v>
      </c>
      <c r="L10" s="1228">
        <f t="shared" si="1"/>
        <v>469.83399999999995</v>
      </c>
      <c r="M10" s="1260"/>
      <c r="N10" s="986"/>
      <c r="O10" s="510"/>
    </row>
    <row r="11" spans="1:16" ht="13.8" thickBot="1">
      <c r="A11" s="510"/>
      <c r="B11" s="4291"/>
      <c r="C11" s="4291"/>
      <c r="D11" s="1238">
        <v>902374</v>
      </c>
      <c r="E11" s="1239" t="s">
        <v>689</v>
      </c>
      <c r="F11" s="1240">
        <v>605</v>
      </c>
      <c r="G11" s="1241">
        <v>0</v>
      </c>
      <c r="H11" s="1242">
        <v>850</v>
      </c>
      <c r="I11" s="1243">
        <f t="shared" si="2"/>
        <v>850</v>
      </c>
      <c r="J11" s="1241"/>
      <c r="K11" s="1244">
        <v>351.37799999999999</v>
      </c>
      <c r="L11" s="1228">
        <f t="shared" si="1"/>
        <v>498.62200000000001</v>
      </c>
      <c r="M11" s="1842"/>
      <c r="N11" s="986"/>
      <c r="O11" s="510"/>
    </row>
    <row r="12" spans="1:16" ht="13.8" thickBot="1">
      <c r="A12" s="510"/>
      <c r="B12" s="4291"/>
      <c r="C12" s="4291"/>
      <c r="D12" s="1245">
        <v>952212</v>
      </c>
      <c r="E12" s="1246" t="s">
        <v>690</v>
      </c>
      <c r="F12" s="1247">
        <v>575</v>
      </c>
      <c r="G12" s="1248">
        <v>0</v>
      </c>
      <c r="H12" s="1249">
        <v>350</v>
      </c>
      <c r="I12" s="1250">
        <f t="shared" si="2"/>
        <v>350</v>
      </c>
      <c r="J12" s="1248"/>
      <c r="K12" s="1251">
        <v>162.334</v>
      </c>
      <c r="L12" s="1228">
        <f t="shared" si="1"/>
        <v>187.666</v>
      </c>
      <c r="M12" s="1843"/>
      <c r="N12" s="986"/>
      <c r="O12" s="510"/>
    </row>
    <row r="13" spans="1:16" ht="13.8" thickBot="1">
      <c r="A13" s="510"/>
      <c r="B13" s="4109"/>
      <c r="C13" s="4109"/>
      <c r="D13" s="1221">
        <v>910612</v>
      </c>
      <c r="E13" s="1222" t="s">
        <v>691</v>
      </c>
      <c r="F13" s="1223">
        <v>603</v>
      </c>
      <c r="G13" s="1224">
        <v>0</v>
      </c>
      <c r="H13" s="1225">
        <v>350</v>
      </c>
      <c r="I13" s="1226">
        <f t="shared" si="2"/>
        <v>350</v>
      </c>
      <c r="J13" s="1224"/>
      <c r="K13" s="1227">
        <v>307.37099999999998</v>
      </c>
      <c r="L13" s="1228">
        <f t="shared" si="1"/>
        <v>42.629000000000019</v>
      </c>
      <c r="M13" s="1263"/>
      <c r="N13" s="986"/>
      <c r="O13" s="510"/>
    </row>
    <row r="14" spans="1:16" ht="13.8" thickBot="1">
      <c r="A14" s="510"/>
      <c r="B14" s="2296">
        <v>7</v>
      </c>
      <c r="C14" s="2788">
        <v>41057</v>
      </c>
      <c r="D14" s="1252">
        <v>954962</v>
      </c>
      <c r="E14" s="1253" t="s">
        <v>662</v>
      </c>
      <c r="F14" s="1254">
        <v>1487</v>
      </c>
      <c r="G14" s="1255">
        <v>0</v>
      </c>
      <c r="H14" s="1256">
        <v>118</v>
      </c>
      <c r="I14" s="1257">
        <f t="shared" si="2"/>
        <v>118</v>
      </c>
      <c r="J14" s="1224"/>
      <c r="K14" s="1227"/>
      <c r="L14" s="1228">
        <f t="shared" si="1"/>
        <v>118</v>
      </c>
      <c r="M14" s="1844"/>
      <c r="N14" s="986"/>
      <c r="O14" s="510"/>
    </row>
    <row r="15" spans="1:16" ht="13.8" thickBot="1">
      <c r="A15" s="510"/>
      <c r="B15" s="4108">
        <v>8</v>
      </c>
      <c r="C15" s="4299">
        <v>41061</v>
      </c>
      <c r="D15" s="1214">
        <v>952212</v>
      </c>
      <c r="E15" s="1215" t="s">
        <v>690</v>
      </c>
      <c r="F15" s="1258">
        <v>575</v>
      </c>
      <c r="G15" s="1217">
        <v>0</v>
      </c>
      <c r="H15" s="1218">
        <v>250</v>
      </c>
      <c r="I15" s="1259">
        <f t="shared" si="2"/>
        <v>250</v>
      </c>
      <c r="J15" s="1217"/>
      <c r="K15" s="1220"/>
      <c r="L15" s="1228">
        <f t="shared" si="1"/>
        <v>250</v>
      </c>
      <c r="M15" s="1260"/>
      <c r="N15" s="986"/>
      <c r="O15" s="510"/>
    </row>
    <row r="16" spans="1:16" ht="13.8" thickBot="1">
      <c r="A16" s="510"/>
      <c r="B16" s="4109"/>
      <c r="C16" s="4300"/>
      <c r="D16" s="1221">
        <v>910612</v>
      </c>
      <c r="E16" s="1222" t="s">
        <v>691</v>
      </c>
      <c r="F16" s="1261">
        <v>603</v>
      </c>
      <c r="G16" s="1224">
        <v>0</v>
      </c>
      <c r="H16" s="1225">
        <v>250</v>
      </c>
      <c r="I16" s="1262">
        <f t="shared" si="2"/>
        <v>250</v>
      </c>
      <c r="J16" s="1224"/>
      <c r="K16" s="1227"/>
      <c r="L16" s="1228">
        <f t="shared" si="1"/>
        <v>250</v>
      </c>
      <c r="M16" s="1263"/>
      <c r="N16" s="986"/>
      <c r="O16" s="510"/>
    </row>
    <row r="17" spans="1:15" ht="13.8" thickBot="1">
      <c r="A17" s="510"/>
      <c r="B17" s="1355">
        <v>17</v>
      </c>
      <c r="C17" s="2788">
        <v>41211</v>
      </c>
      <c r="D17" s="1221">
        <v>954250</v>
      </c>
      <c r="E17" s="1222" t="s">
        <v>1093</v>
      </c>
      <c r="F17" s="1223"/>
      <c r="G17" s="1224">
        <v>18</v>
      </c>
      <c r="H17" s="1225">
        <v>329</v>
      </c>
      <c r="I17" s="1226">
        <f t="shared" si="2"/>
        <v>347</v>
      </c>
      <c r="J17" s="1224"/>
      <c r="K17" s="1227"/>
      <c r="L17" s="1228">
        <f t="shared" si="1"/>
        <v>347</v>
      </c>
      <c r="M17" s="1263"/>
      <c r="N17" s="986"/>
      <c r="O17" s="510"/>
    </row>
    <row r="18" spans="1:15" ht="13.8" thickBot="1">
      <c r="A18" s="510"/>
      <c r="B18" s="1355">
        <v>18</v>
      </c>
      <c r="C18" s="1355">
        <v>41212</v>
      </c>
      <c r="D18" s="1207">
        <v>956410</v>
      </c>
      <c r="E18" s="1208" t="s">
        <v>660</v>
      </c>
      <c r="F18" s="1206"/>
      <c r="G18" s="2854">
        <v>50</v>
      </c>
      <c r="H18" s="2855">
        <v>529</v>
      </c>
      <c r="I18" s="2856">
        <f>SUM(G18:H18)</f>
        <v>579</v>
      </c>
      <c r="J18" s="2854"/>
      <c r="K18" s="2857"/>
      <c r="L18" s="1228">
        <f t="shared" si="1"/>
        <v>579</v>
      </c>
      <c r="M18" s="2858"/>
      <c r="N18" s="986"/>
      <c r="O18" s="510"/>
    </row>
    <row r="19" spans="1:15" ht="13.8" thickBot="1">
      <c r="A19" s="510"/>
      <c r="B19" s="4299">
        <v>20</v>
      </c>
      <c r="C19" s="4299">
        <v>41221</v>
      </c>
      <c r="D19" s="1963">
        <v>951950</v>
      </c>
      <c r="E19" s="1964" t="s">
        <v>1129</v>
      </c>
      <c r="F19" s="2859"/>
      <c r="G19" s="2860">
        <v>10.1</v>
      </c>
      <c r="H19" s="2861">
        <v>391.8</v>
      </c>
      <c r="I19" s="2862">
        <f>SUM(G19:H19)</f>
        <v>401.90000000000003</v>
      </c>
      <c r="J19" s="2863"/>
      <c r="K19" s="2864">
        <v>95.932000000000002</v>
      </c>
      <c r="L19" s="1228">
        <f t="shared" si="1"/>
        <v>305.96800000000002</v>
      </c>
      <c r="M19" s="2865"/>
      <c r="N19" s="986"/>
      <c r="O19" s="510"/>
    </row>
    <row r="20" spans="1:15" ht="13.8" thickBot="1">
      <c r="A20" s="510"/>
      <c r="B20" s="4300"/>
      <c r="C20" s="4300"/>
      <c r="D20" s="1969">
        <v>950991</v>
      </c>
      <c r="E20" s="1965" t="s">
        <v>1130</v>
      </c>
      <c r="F20" s="2866"/>
      <c r="G20" s="2867">
        <v>10.1</v>
      </c>
      <c r="H20" s="2868">
        <v>90</v>
      </c>
      <c r="I20" s="2869">
        <f>SUM(G20:H20)</f>
        <v>100.1</v>
      </c>
      <c r="J20" s="2870"/>
      <c r="K20" s="2871"/>
      <c r="L20" s="1228">
        <f t="shared" si="1"/>
        <v>100.1</v>
      </c>
      <c r="M20" s="2872"/>
      <c r="N20" s="986"/>
      <c r="O20" s="510"/>
    </row>
    <row r="21" spans="1:15" ht="13.8" thickBot="1">
      <c r="A21" s="511"/>
      <c r="B21" s="2556"/>
      <c r="C21" s="2557"/>
      <c r="D21" s="2556"/>
      <c r="E21" s="2556"/>
      <c r="F21" s="2556"/>
      <c r="G21" s="2555"/>
      <c r="H21" s="2555"/>
      <c r="I21" s="2555"/>
      <c r="J21" s="2555"/>
      <c r="K21" s="2558"/>
      <c r="L21" s="2555"/>
      <c r="M21" s="2555"/>
      <c r="N21" s="986"/>
      <c r="O21" s="510"/>
    </row>
    <row r="22" spans="1:15" ht="13.8" thickBot="1">
      <c r="A22" s="510"/>
      <c r="B22" s="4298" t="s">
        <v>692</v>
      </c>
      <c r="C22" s="4298"/>
      <c r="D22" s="4298"/>
      <c r="E22" s="4298"/>
      <c r="F22" s="4298"/>
      <c r="G22" s="1267">
        <f t="shared" ref="G22:L22" si="3">SUM(G4:G20)</f>
        <v>229.94</v>
      </c>
      <c r="H22" s="1268">
        <f t="shared" si="3"/>
        <v>7083.06</v>
      </c>
      <c r="I22" s="1267">
        <f t="shared" si="3"/>
        <v>7313</v>
      </c>
      <c r="J22" s="1267">
        <f t="shared" si="3"/>
        <v>135.13299999999998</v>
      </c>
      <c r="K22" s="2873">
        <f t="shared" si="3"/>
        <v>3214.8429999999998</v>
      </c>
      <c r="L22" s="2889">
        <f t="shared" si="3"/>
        <v>3963.0239999999999</v>
      </c>
      <c r="M22" s="1204"/>
      <c r="N22" s="986"/>
      <c r="O22" s="510"/>
    </row>
    <row r="23" spans="1:15">
      <c r="A23" s="510"/>
      <c r="B23" s="993"/>
      <c r="C23" s="510"/>
      <c r="D23" s="510"/>
      <c r="E23" s="963"/>
      <c r="F23" s="1269"/>
      <c r="G23" s="986"/>
      <c r="H23" s="1270"/>
      <c r="I23" s="1271"/>
      <c r="J23" s="993"/>
      <c r="K23" s="994"/>
      <c r="L23" s="1271"/>
      <c r="M23" s="1272"/>
      <c r="N23" s="986"/>
      <c r="O23" s="510"/>
    </row>
    <row r="24" spans="1:15" ht="13.8" thickBot="1"/>
    <row r="25" spans="1:15" ht="13.5" customHeight="1" thickBot="1">
      <c r="A25" s="510"/>
      <c r="B25" s="1273" t="s">
        <v>694</v>
      </c>
      <c r="C25" s="1204"/>
      <c r="D25" s="1204"/>
      <c r="E25" s="1204"/>
      <c r="F25" s="4301" t="s">
        <v>598</v>
      </c>
      <c r="G25" s="4302"/>
      <c r="H25" s="4301" t="s">
        <v>599</v>
      </c>
      <c r="I25" s="4302"/>
      <c r="J25" s="4301" t="s">
        <v>600</v>
      </c>
      <c r="K25" s="4302"/>
      <c r="L25" s="1272"/>
      <c r="M25" s="986"/>
      <c r="N25" s="510"/>
      <c r="O25" s="510"/>
    </row>
    <row r="26" spans="1:15" ht="22.5" customHeight="1" thickBot="1">
      <c r="A26" s="510"/>
      <c r="B26" s="1274" t="s">
        <v>695</v>
      </c>
      <c r="C26" s="1275" t="s">
        <v>696</v>
      </c>
      <c r="D26" s="1276" t="s">
        <v>697</v>
      </c>
      <c r="E26" s="1277" t="s">
        <v>603</v>
      </c>
      <c r="F26" s="1278" t="s">
        <v>698</v>
      </c>
      <c r="G26" s="1279" t="s">
        <v>699</v>
      </c>
      <c r="H26" s="3112" t="s">
        <v>1197</v>
      </c>
      <c r="I26" s="1277" t="s">
        <v>700</v>
      </c>
      <c r="J26" s="1278" t="s">
        <v>701</v>
      </c>
      <c r="K26" s="1277" t="s">
        <v>702</v>
      </c>
      <c r="L26" s="1280" t="s">
        <v>542</v>
      </c>
      <c r="M26" s="510"/>
    </row>
    <row r="27" spans="1:15" ht="13.5" customHeight="1">
      <c r="A27" s="510"/>
      <c r="B27" s="1281">
        <v>645</v>
      </c>
      <c r="C27" s="1282">
        <v>950817</v>
      </c>
      <c r="D27" s="1283" t="s">
        <v>611</v>
      </c>
      <c r="E27" s="1284">
        <v>2676</v>
      </c>
      <c r="F27" s="1285">
        <v>0.02</v>
      </c>
      <c r="G27" s="1286">
        <v>149.97999999999999</v>
      </c>
      <c r="H27" s="2059">
        <v>0</v>
      </c>
      <c r="I27" s="2060">
        <v>10.35</v>
      </c>
      <c r="J27" s="1360">
        <f>+F27-H27</f>
        <v>0.02</v>
      </c>
      <c r="K27" s="2275">
        <f>+G27-I27</f>
        <v>139.63</v>
      </c>
      <c r="L27" s="1272"/>
      <c r="M27" s="510">
        <v>1</v>
      </c>
      <c r="N27" s="3142"/>
    </row>
    <row r="28" spans="1:15" ht="13.5" customHeight="1">
      <c r="A28" s="510"/>
      <c r="B28" s="1287">
        <v>645</v>
      </c>
      <c r="C28" s="1288">
        <v>951205</v>
      </c>
      <c r="D28" s="1289" t="s">
        <v>607</v>
      </c>
      <c r="E28" s="1290">
        <v>2518</v>
      </c>
      <c r="F28" s="1291">
        <v>0.02</v>
      </c>
      <c r="G28" s="1292">
        <v>209.98</v>
      </c>
      <c r="H28" s="2061">
        <v>0</v>
      </c>
      <c r="I28" s="2062">
        <v>86.566000000000003</v>
      </c>
      <c r="J28" s="1362">
        <f t="shared" ref="J28:J92" si="4">+F28-H28</f>
        <v>0.02</v>
      </c>
      <c r="K28" s="2276">
        <f t="shared" ref="K28:K92" si="5">+G28-I28</f>
        <v>123.41399999999999</v>
      </c>
      <c r="L28" s="1272"/>
      <c r="M28" s="510">
        <v>2</v>
      </c>
      <c r="N28" s="3143"/>
    </row>
    <row r="29" spans="1:15" ht="14.4">
      <c r="A29" s="510"/>
      <c r="B29" s="1287">
        <v>645</v>
      </c>
      <c r="C29" s="1288">
        <v>951647</v>
      </c>
      <c r="D29" s="1289" t="s">
        <v>610</v>
      </c>
      <c r="E29" s="1290">
        <v>2240</v>
      </c>
      <c r="F29" s="1291">
        <v>0.02</v>
      </c>
      <c r="G29" s="1292">
        <v>111.322</v>
      </c>
      <c r="H29" s="2061">
        <v>0.02</v>
      </c>
      <c r="I29" s="2062">
        <v>111.322</v>
      </c>
      <c r="J29" s="1362">
        <f t="shared" si="4"/>
        <v>0</v>
      </c>
      <c r="K29" s="2276">
        <f t="shared" si="5"/>
        <v>0</v>
      </c>
      <c r="L29" s="963"/>
      <c r="M29" s="510">
        <v>3</v>
      </c>
      <c r="N29" s="3143"/>
    </row>
    <row r="30" spans="1:15" ht="14.4">
      <c r="A30" s="510"/>
      <c r="B30" s="1287">
        <v>645</v>
      </c>
      <c r="C30" s="1288">
        <v>952314</v>
      </c>
      <c r="D30" s="3619" t="s">
        <v>612</v>
      </c>
      <c r="E30" s="3620">
        <v>2778</v>
      </c>
      <c r="F30" s="3621">
        <v>0.02</v>
      </c>
      <c r="G30" s="3622">
        <v>105.121</v>
      </c>
      <c r="H30" s="2061">
        <v>0.02</v>
      </c>
      <c r="I30" s="2062">
        <v>105.121</v>
      </c>
      <c r="J30" s="1362">
        <f t="shared" si="4"/>
        <v>0</v>
      </c>
      <c r="K30" s="2276">
        <f t="shared" si="5"/>
        <v>0</v>
      </c>
      <c r="L30" s="1264"/>
      <c r="M30" s="510">
        <v>4</v>
      </c>
      <c r="N30" s="3143"/>
    </row>
    <row r="31" spans="1:15" ht="18" customHeight="1">
      <c r="A31" s="510"/>
      <c r="B31" s="1287">
        <v>645</v>
      </c>
      <c r="C31" s="1288">
        <v>952808</v>
      </c>
      <c r="D31" s="1289" t="s">
        <v>606</v>
      </c>
      <c r="E31" s="1290">
        <v>2620</v>
      </c>
      <c r="F31" s="1291">
        <v>0.02</v>
      </c>
      <c r="G31" s="1292">
        <v>209.98</v>
      </c>
      <c r="H31" s="2061">
        <v>0</v>
      </c>
      <c r="I31" s="2062">
        <v>133.80199999999999</v>
      </c>
      <c r="J31" s="1362">
        <f t="shared" si="4"/>
        <v>0.02</v>
      </c>
      <c r="K31" s="2276">
        <f t="shared" si="5"/>
        <v>76.177999999999997</v>
      </c>
      <c r="L31" s="3592"/>
      <c r="M31" s="510">
        <v>5</v>
      </c>
      <c r="N31" s="3143"/>
    </row>
    <row r="32" spans="1:15" ht="14.4">
      <c r="A32" s="510"/>
      <c r="B32" s="1287">
        <v>645</v>
      </c>
      <c r="C32" s="1288">
        <v>955514</v>
      </c>
      <c r="D32" s="1289" t="s">
        <v>608</v>
      </c>
      <c r="E32" s="1290">
        <v>2881</v>
      </c>
      <c r="F32" s="1291">
        <v>0.02</v>
      </c>
      <c r="G32" s="1292">
        <v>263.18400000000003</v>
      </c>
      <c r="H32" s="2061">
        <v>0.02</v>
      </c>
      <c r="I32" s="2062">
        <v>263.18400000000003</v>
      </c>
      <c r="J32" s="2502">
        <f t="shared" si="4"/>
        <v>0</v>
      </c>
      <c r="K32" s="2276">
        <f t="shared" si="5"/>
        <v>0</v>
      </c>
      <c r="L32" s="3592"/>
      <c r="M32" s="510">
        <v>6</v>
      </c>
      <c r="N32" s="3143"/>
    </row>
    <row r="33" spans="1:14" ht="14.4">
      <c r="A33" s="510"/>
      <c r="B33" s="1287">
        <v>645</v>
      </c>
      <c r="C33" s="1288">
        <v>957374</v>
      </c>
      <c r="D33" s="3619" t="s">
        <v>609</v>
      </c>
      <c r="E33" s="3620">
        <v>1540</v>
      </c>
      <c r="F33" s="3621">
        <v>0</v>
      </c>
      <c r="G33" s="3620">
        <v>15.093</v>
      </c>
      <c r="H33" s="2061">
        <v>0</v>
      </c>
      <c r="I33" s="2062">
        <v>15.093</v>
      </c>
      <c r="J33" s="1362">
        <f t="shared" si="4"/>
        <v>0</v>
      </c>
      <c r="K33" s="1363">
        <f t="shared" si="5"/>
        <v>0</v>
      </c>
      <c r="L33" s="1264"/>
      <c r="M33" s="510">
        <v>7</v>
      </c>
      <c r="N33" s="3143"/>
    </row>
    <row r="34" spans="1:14" ht="14.4">
      <c r="A34" s="510"/>
      <c r="B34" s="1305">
        <v>645</v>
      </c>
      <c r="C34" s="1306">
        <v>957800</v>
      </c>
      <c r="D34" s="3629" t="s">
        <v>613</v>
      </c>
      <c r="E34" s="3630">
        <v>2949</v>
      </c>
      <c r="F34" s="3631">
        <v>0.02</v>
      </c>
      <c r="G34" s="3630">
        <v>335.45600000000002</v>
      </c>
      <c r="H34" s="2069">
        <v>0.02</v>
      </c>
      <c r="I34" s="2070">
        <v>335.45600000000002</v>
      </c>
      <c r="J34" s="1362">
        <f>+F34-H34</f>
        <v>0</v>
      </c>
      <c r="K34" s="1363">
        <f>+G34-I34</f>
        <v>0</v>
      </c>
      <c r="L34" s="1264"/>
      <c r="M34" s="510">
        <v>8</v>
      </c>
      <c r="N34" s="3144"/>
    </row>
    <row r="35" spans="1:14" ht="15" thickBot="1">
      <c r="A35" s="510"/>
      <c r="B35" s="1293">
        <v>645</v>
      </c>
      <c r="C35" s="1294">
        <v>959391</v>
      </c>
      <c r="D35" s="3633" t="s">
        <v>1095</v>
      </c>
      <c r="E35" s="3634">
        <v>2995</v>
      </c>
      <c r="F35" s="3635">
        <v>0.02</v>
      </c>
      <c r="G35" s="3634">
        <v>34.700000000000003</v>
      </c>
      <c r="H35" s="2063">
        <v>0.02</v>
      </c>
      <c r="I35" s="2064">
        <v>34.700000000000003</v>
      </c>
      <c r="J35" s="2559">
        <f>+F35-H35</f>
        <v>0</v>
      </c>
      <c r="K35" s="1479">
        <f>+G35-I35</f>
        <v>0</v>
      </c>
      <c r="L35" s="4292" t="s">
        <v>1096</v>
      </c>
      <c r="M35" s="4292"/>
      <c r="N35" s="3145"/>
    </row>
    <row r="36" spans="1:14" ht="14.4">
      <c r="A36" s="510"/>
      <c r="B36" s="1299">
        <v>646</v>
      </c>
      <c r="C36" s="1300">
        <v>950950</v>
      </c>
      <c r="D36" s="3641" t="s">
        <v>635</v>
      </c>
      <c r="E36" s="3642">
        <v>2720</v>
      </c>
      <c r="F36" s="3643">
        <v>0.02</v>
      </c>
      <c r="G36" s="3644">
        <v>172.68</v>
      </c>
      <c r="H36" s="2065">
        <v>0.02</v>
      </c>
      <c r="I36" s="2066">
        <v>172.68</v>
      </c>
      <c r="J36" s="1360">
        <f t="shared" si="4"/>
        <v>0</v>
      </c>
      <c r="K36" s="1361">
        <f t="shared" si="5"/>
        <v>0</v>
      </c>
      <c r="L36" s="510"/>
      <c r="M36" s="510">
        <v>10</v>
      </c>
      <c r="N36" s="3146"/>
    </row>
    <row r="37" spans="1:14" ht="14.4">
      <c r="A37" s="510"/>
      <c r="B37" s="1287">
        <v>646</v>
      </c>
      <c r="C37" s="1288">
        <v>951905</v>
      </c>
      <c r="D37" s="1289" t="s">
        <v>638</v>
      </c>
      <c r="E37" s="1290">
        <v>263</v>
      </c>
      <c r="F37" s="1291">
        <v>0.02</v>
      </c>
      <c r="G37" s="1292">
        <v>299.98</v>
      </c>
      <c r="H37" s="2061">
        <v>0</v>
      </c>
      <c r="I37" s="2062">
        <v>234.386</v>
      </c>
      <c r="J37" s="1362">
        <f t="shared" si="4"/>
        <v>0.02</v>
      </c>
      <c r="K37" s="1363">
        <f t="shared" si="5"/>
        <v>65.594000000000023</v>
      </c>
      <c r="L37" s="510"/>
      <c r="M37" s="510">
        <v>11</v>
      </c>
      <c r="N37" s="3143"/>
    </row>
    <row r="38" spans="1:14" ht="14.4">
      <c r="A38" s="510"/>
      <c r="B38" s="1517">
        <v>646</v>
      </c>
      <c r="C38" s="1518">
        <v>952407</v>
      </c>
      <c r="D38" s="1519" t="s">
        <v>637</v>
      </c>
      <c r="E38" s="1520">
        <v>2762</v>
      </c>
      <c r="F38" s="1516">
        <v>0.02</v>
      </c>
      <c r="G38" s="1521">
        <v>299.98</v>
      </c>
      <c r="H38" s="2067">
        <v>0.02</v>
      </c>
      <c r="I38" s="2068">
        <v>299.98</v>
      </c>
      <c r="J38" s="1515">
        <f t="shared" si="4"/>
        <v>0</v>
      </c>
      <c r="K38" s="1522">
        <f t="shared" si="5"/>
        <v>0</v>
      </c>
      <c r="L38" s="510"/>
      <c r="M38" s="510">
        <v>12</v>
      </c>
      <c r="N38" s="3143"/>
    </row>
    <row r="39" spans="1:14" ht="14.4">
      <c r="A39" s="510"/>
      <c r="B39" s="1287">
        <v>646</v>
      </c>
      <c r="C39" s="1288">
        <v>953052</v>
      </c>
      <c r="D39" s="1289" t="s">
        <v>636</v>
      </c>
      <c r="E39" s="1290">
        <v>2492</v>
      </c>
      <c r="F39" s="1291">
        <v>0.02</v>
      </c>
      <c r="G39" s="1292">
        <v>299.98</v>
      </c>
      <c r="H39" s="2061">
        <v>0.02</v>
      </c>
      <c r="I39" s="2062">
        <v>280.30799999999999</v>
      </c>
      <c r="J39" s="1362">
        <f t="shared" si="4"/>
        <v>0</v>
      </c>
      <c r="K39" s="1363">
        <f t="shared" si="5"/>
        <v>19.672000000000025</v>
      </c>
      <c r="L39" s="510"/>
      <c r="M39" s="510">
        <v>13</v>
      </c>
      <c r="N39" s="3143"/>
    </row>
    <row r="40" spans="1:14" ht="14.4">
      <c r="A40" s="510"/>
      <c r="B40" s="1287">
        <v>646</v>
      </c>
      <c r="C40" s="1288">
        <v>953964</v>
      </c>
      <c r="D40" s="3619" t="s">
        <v>634</v>
      </c>
      <c r="E40" s="3620">
        <v>2830</v>
      </c>
      <c r="F40" s="3621">
        <v>0.02</v>
      </c>
      <c r="G40" s="3622">
        <v>183.964</v>
      </c>
      <c r="H40" s="2061">
        <v>0.02</v>
      </c>
      <c r="I40" s="2062">
        <v>183.964</v>
      </c>
      <c r="J40" s="1362">
        <f t="shared" si="4"/>
        <v>0</v>
      </c>
      <c r="K40" s="1363">
        <f t="shared" si="5"/>
        <v>0</v>
      </c>
      <c r="L40" s="510"/>
      <c r="M40" s="510">
        <v>14</v>
      </c>
      <c r="N40" s="3143"/>
    </row>
    <row r="41" spans="1:14" ht="15" thickBot="1">
      <c r="A41" s="510"/>
      <c r="B41" s="1305">
        <v>646</v>
      </c>
      <c r="C41" s="1306">
        <v>955486</v>
      </c>
      <c r="D41" s="1307" t="s">
        <v>633</v>
      </c>
      <c r="E41" s="1308">
        <v>2882</v>
      </c>
      <c r="F41" s="1309">
        <v>0.02</v>
      </c>
      <c r="G41" s="3657">
        <v>137.87899999999999</v>
      </c>
      <c r="H41" s="2069">
        <v>0</v>
      </c>
      <c r="I41" s="2070">
        <v>137.87899999999999</v>
      </c>
      <c r="J41" s="1362">
        <f t="shared" si="4"/>
        <v>0.02</v>
      </c>
      <c r="K41" s="1363">
        <f t="shared" si="5"/>
        <v>0</v>
      </c>
      <c r="L41" s="1468"/>
      <c r="M41" s="510">
        <v>15</v>
      </c>
      <c r="N41" s="3144"/>
    </row>
    <row r="42" spans="1:14" ht="14.4">
      <c r="A42" s="510"/>
      <c r="B42" s="1281">
        <v>894</v>
      </c>
      <c r="C42" s="1282">
        <v>5547</v>
      </c>
      <c r="D42" s="1283" t="s">
        <v>654</v>
      </c>
      <c r="E42" s="1284">
        <v>1652</v>
      </c>
      <c r="F42" s="1285">
        <v>0.02</v>
      </c>
      <c r="G42" s="1286">
        <v>299.98</v>
      </c>
      <c r="H42" s="2059">
        <v>0</v>
      </c>
      <c r="I42" s="2071">
        <v>0</v>
      </c>
      <c r="J42" s="1360">
        <f t="shared" si="4"/>
        <v>0.02</v>
      </c>
      <c r="K42" s="1361">
        <f t="shared" si="5"/>
        <v>299.98</v>
      </c>
      <c r="L42" s="510"/>
      <c r="M42" s="510">
        <v>16</v>
      </c>
      <c r="N42" s="3142"/>
    </row>
    <row r="43" spans="1:14" ht="14.4">
      <c r="A43" s="510"/>
      <c r="B43" s="1287">
        <v>894</v>
      </c>
      <c r="C43" s="1288">
        <v>924752</v>
      </c>
      <c r="D43" s="1289" t="s">
        <v>655</v>
      </c>
      <c r="E43" s="1290">
        <v>2567</v>
      </c>
      <c r="F43" s="1291">
        <v>0.02</v>
      </c>
      <c r="G43" s="1292">
        <v>299.98</v>
      </c>
      <c r="H43" s="2061">
        <v>0.02</v>
      </c>
      <c r="I43" s="2072">
        <v>0</v>
      </c>
      <c r="J43" s="1362">
        <f t="shared" si="4"/>
        <v>0</v>
      </c>
      <c r="K43" s="1363">
        <f t="shared" si="5"/>
        <v>299.98</v>
      </c>
      <c r="L43" s="510"/>
      <c r="M43" s="510">
        <v>17</v>
      </c>
      <c r="N43" s="3143"/>
    </row>
    <row r="44" spans="1:14" ht="15" thickBot="1">
      <c r="A44" s="510"/>
      <c r="B44" s="1293">
        <v>894</v>
      </c>
      <c r="C44" s="1294">
        <v>951136</v>
      </c>
      <c r="D44" s="1295" t="s">
        <v>656</v>
      </c>
      <c r="E44" s="1296">
        <v>314</v>
      </c>
      <c r="F44" s="1297">
        <v>0.04</v>
      </c>
      <c r="G44" s="1298">
        <v>999.96</v>
      </c>
      <c r="H44" s="2063">
        <v>0.04</v>
      </c>
      <c r="I44" s="2073">
        <v>593.77800000000002</v>
      </c>
      <c r="J44" s="1364">
        <f t="shared" si="4"/>
        <v>0</v>
      </c>
      <c r="K44" s="1365">
        <f t="shared" si="5"/>
        <v>406.18200000000002</v>
      </c>
      <c r="L44" s="1468"/>
      <c r="M44" s="510">
        <v>18</v>
      </c>
      <c r="N44" s="3145"/>
    </row>
    <row r="45" spans="1:14" ht="14.4">
      <c r="A45" s="510"/>
      <c r="B45" s="1299">
        <v>954</v>
      </c>
      <c r="C45" s="1300">
        <v>957986</v>
      </c>
      <c r="D45" s="1301" t="s">
        <v>665</v>
      </c>
      <c r="E45" s="1302">
        <v>810</v>
      </c>
      <c r="F45" s="1303">
        <v>175</v>
      </c>
      <c r="G45" s="1304">
        <v>525</v>
      </c>
      <c r="H45" s="2065">
        <v>101.07299999999999</v>
      </c>
      <c r="I45" s="2074">
        <v>433.31700000000001</v>
      </c>
      <c r="J45" s="1360">
        <f t="shared" si="4"/>
        <v>73.927000000000007</v>
      </c>
      <c r="K45" s="1361">
        <f t="shared" si="5"/>
        <v>91.682999999999993</v>
      </c>
      <c r="L45" s="510"/>
      <c r="M45" s="510">
        <v>19</v>
      </c>
      <c r="N45" s="3146"/>
    </row>
    <row r="46" spans="1:14" ht="14.4">
      <c r="A46" s="510"/>
      <c r="B46" s="1287">
        <v>954</v>
      </c>
      <c r="C46" s="1288">
        <v>910586</v>
      </c>
      <c r="D46" s="3619" t="s">
        <v>666</v>
      </c>
      <c r="E46" s="3620">
        <v>963</v>
      </c>
      <c r="F46" s="3621">
        <v>5</v>
      </c>
      <c r="G46" s="3622">
        <v>75</v>
      </c>
      <c r="H46" s="2061">
        <v>3.6960000000000002</v>
      </c>
      <c r="I46" s="2072">
        <v>42.334000000000003</v>
      </c>
      <c r="J46" s="1362">
        <f t="shared" si="4"/>
        <v>1.3039999999999998</v>
      </c>
      <c r="K46" s="1363">
        <f t="shared" si="5"/>
        <v>32.665999999999997</v>
      </c>
      <c r="L46" s="510"/>
      <c r="M46" s="510">
        <v>20</v>
      </c>
      <c r="N46" s="3143"/>
    </row>
    <row r="47" spans="1:14" ht="14.4">
      <c r="A47" s="510"/>
      <c r="B47" s="1287">
        <v>954</v>
      </c>
      <c r="C47" s="1288">
        <v>923977</v>
      </c>
      <c r="D47" s="1289" t="s">
        <v>667</v>
      </c>
      <c r="E47" s="1290">
        <v>2348</v>
      </c>
      <c r="F47" s="1291">
        <v>150</v>
      </c>
      <c r="G47" s="1292">
        <v>450</v>
      </c>
      <c r="H47" s="2061">
        <v>82.057000000000002</v>
      </c>
      <c r="I47" s="2072">
        <v>381.18700000000001</v>
      </c>
      <c r="J47" s="1362">
        <f t="shared" si="4"/>
        <v>67.942999999999998</v>
      </c>
      <c r="K47" s="1363">
        <f t="shared" si="5"/>
        <v>68.812999999999988</v>
      </c>
      <c r="L47" s="510"/>
      <c r="M47" s="510">
        <v>21</v>
      </c>
      <c r="N47" s="3143"/>
    </row>
    <row r="48" spans="1:14" ht="14.4">
      <c r="A48" s="510"/>
      <c r="B48" s="1287">
        <v>954</v>
      </c>
      <c r="C48" s="1288">
        <v>952004</v>
      </c>
      <c r="D48" s="3619" t="s">
        <v>668</v>
      </c>
      <c r="E48" s="3620">
        <v>339</v>
      </c>
      <c r="F48" s="3621">
        <v>150</v>
      </c>
      <c r="G48" s="3622">
        <v>200</v>
      </c>
      <c r="H48" s="2061">
        <v>85.793999999999997</v>
      </c>
      <c r="I48" s="2072">
        <v>194.30600000000001</v>
      </c>
      <c r="J48" s="1362">
        <f t="shared" si="4"/>
        <v>64.206000000000003</v>
      </c>
      <c r="K48" s="1363">
        <f t="shared" si="5"/>
        <v>5.6939999999999884</v>
      </c>
      <c r="L48" s="510"/>
      <c r="M48" s="510">
        <v>22</v>
      </c>
      <c r="N48" s="3143"/>
    </row>
    <row r="49" spans="1:14" ht="14.4">
      <c r="A49" s="510"/>
      <c r="B49" s="1287">
        <v>954</v>
      </c>
      <c r="C49" s="1288">
        <v>31292</v>
      </c>
      <c r="D49" s="3619" t="s">
        <v>669</v>
      </c>
      <c r="E49" s="3620">
        <v>6</v>
      </c>
      <c r="F49" s="3621">
        <v>125</v>
      </c>
      <c r="G49" s="3622">
        <v>225</v>
      </c>
      <c r="H49" s="2061">
        <v>85.948999999999998</v>
      </c>
      <c r="I49" s="2072">
        <v>197.21600000000001</v>
      </c>
      <c r="J49" s="1362">
        <f t="shared" si="4"/>
        <v>39.051000000000002</v>
      </c>
      <c r="K49" s="1363">
        <f t="shared" si="5"/>
        <v>27.783999999999992</v>
      </c>
      <c r="L49" s="510"/>
      <c r="M49" s="510">
        <v>23</v>
      </c>
      <c r="N49" s="3143"/>
    </row>
    <row r="50" spans="1:14" ht="14.4">
      <c r="A50" s="510"/>
      <c r="B50" s="1287">
        <v>954</v>
      </c>
      <c r="C50" s="1288">
        <v>910399</v>
      </c>
      <c r="D50" s="1289" t="s">
        <v>670</v>
      </c>
      <c r="E50" s="1290">
        <v>636</v>
      </c>
      <c r="F50" s="1291">
        <v>175</v>
      </c>
      <c r="G50" s="1292">
        <v>525</v>
      </c>
      <c r="H50" s="2061">
        <v>118.92</v>
      </c>
      <c r="I50" s="2072">
        <v>507.33</v>
      </c>
      <c r="J50" s="1362">
        <f t="shared" si="4"/>
        <v>56.08</v>
      </c>
      <c r="K50" s="1363">
        <f t="shared" si="5"/>
        <v>17.670000000000016</v>
      </c>
      <c r="L50" s="510"/>
      <c r="M50" s="510">
        <v>24</v>
      </c>
      <c r="N50" s="3143"/>
    </row>
    <row r="51" spans="1:14" ht="14.4">
      <c r="A51" s="510"/>
      <c r="B51" s="1287">
        <v>954</v>
      </c>
      <c r="C51" s="1288">
        <v>4546</v>
      </c>
      <c r="D51" s="1289" t="s">
        <v>671</v>
      </c>
      <c r="E51" s="1290">
        <v>280</v>
      </c>
      <c r="F51" s="1291">
        <v>150</v>
      </c>
      <c r="G51" s="1292">
        <v>450</v>
      </c>
      <c r="H51" s="2061">
        <v>111.738</v>
      </c>
      <c r="I51" s="2072">
        <v>140.042</v>
      </c>
      <c r="J51" s="1362">
        <f t="shared" si="4"/>
        <v>38.262</v>
      </c>
      <c r="K51" s="1363">
        <f t="shared" si="5"/>
        <v>309.95799999999997</v>
      </c>
      <c r="L51" s="510"/>
      <c r="M51" s="510">
        <v>25</v>
      </c>
      <c r="N51" s="3143"/>
    </row>
    <row r="52" spans="1:14" ht="14.4">
      <c r="A52" s="510"/>
      <c r="B52" s="1287">
        <v>954</v>
      </c>
      <c r="C52" s="1288">
        <v>954510</v>
      </c>
      <c r="D52" s="3619" t="s">
        <v>672</v>
      </c>
      <c r="E52" s="3620">
        <v>968</v>
      </c>
      <c r="F52" s="3621">
        <v>0</v>
      </c>
      <c r="G52" s="3622">
        <v>0</v>
      </c>
      <c r="H52" s="2061">
        <v>0</v>
      </c>
      <c r="I52" s="2072">
        <v>0</v>
      </c>
      <c r="J52" s="1362">
        <f t="shared" si="4"/>
        <v>0</v>
      </c>
      <c r="K52" s="1363">
        <f t="shared" si="5"/>
        <v>0</v>
      </c>
      <c r="L52" s="510"/>
      <c r="M52" s="510">
        <v>26</v>
      </c>
      <c r="N52" s="3143"/>
    </row>
    <row r="53" spans="1:14" ht="14.4">
      <c r="A53" s="510"/>
      <c r="B53" s="1287">
        <v>954</v>
      </c>
      <c r="C53" s="1288">
        <v>910840</v>
      </c>
      <c r="D53" s="3619" t="s">
        <v>673</v>
      </c>
      <c r="E53" s="3620">
        <v>2243</v>
      </c>
      <c r="F53" s="3621">
        <v>40.774999999999999</v>
      </c>
      <c r="G53" s="3622">
        <v>44.564999999999998</v>
      </c>
      <c r="H53" s="2061">
        <v>40.774999999999999</v>
      </c>
      <c r="I53" s="2072">
        <v>44.564999999999998</v>
      </c>
      <c r="J53" s="1362">
        <f t="shared" si="4"/>
        <v>0</v>
      </c>
      <c r="K53" s="1363">
        <f t="shared" si="5"/>
        <v>0</v>
      </c>
      <c r="L53" s="510"/>
      <c r="M53" s="510">
        <v>27</v>
      </c>
      <c r="N53" s="3143"/>
    </row>
    <row r="54" spans="1:14" ht="14.4">
      <c r="A54" s="510"/>
      <c r="B54" s="1287">
        <v>954</v>
      </c>
      <c r="C54" s="1288">
        <v>955396</v>
      </c>
      <c r="D54" s="3619" t="s">
        <v>674</v>
      </c>
      <c r="E54" s="3620">
        <v>2836</v>
      </c>
      <c r="F54" s="3621">
        <v>0</v>
      </c>
      <c r="G54" s="3622">
        <v>0</v>
      </c>
      <c r="H54" s="3623">
        <v>0</v>
      </c>
      <c r="I54" s="3624">
        <v>0</v>
      </c>
      <c r="J54" s="3625">
        <f t="shared" si="4"/>
        <v>0</v>
      </c>
      <c r="K54" s="3626">
        <f t="shared" si="5"/>
        <v>0</v>
      </c>
      <c r="L54" s="510"/>
      <c r="M54" s="510">
        <v>28</v>
      </c>
      <c r="N54" s="3143"/>
    </row>
    <row r="55" spans="1:14" ht="14.4">
      <c r="A55" s="510"/>
      <c r="B55" s="1287">
        <v>954</v>
      </c>
      <c r="C55" s="1288">
        <v>953144</v>
      </c>
      <c r="D55" s="3619" t="s">
        <v>675</v>
      </c>
      <c r="E55" s="3620">
        <v>847</v>
      </c>
      <c r="F55" s="3621">
        <v>0</v>
      </c>
      <c r="G55" s="3622">
        <v>0</v>
      </c>
      <c r="H55" s="2061">
        <v>0</v>
      </c>
      <c r="I55" s="2072">
        <v>0</v>
      </c>
      <c r="J55" s="1362">
        <f t="shared" si="4"/>
        <v>0</v>
      </c>
      <c r="K55" s="1363">
        <f t="shared" si="5"/>
        <v>0</v>
      </c>
      <c r="L55" s="510"/>
      <c r="M55" s="510">
        <v>29</v>
      </c>
      <c r="N55" s="3143"/>
    </row>
    <row r="56" spans="1:14" ht="14.4">
      <c r="A56" s="510"/>
      <c r="B56" s="1287">
        <v>954</v>
      </c>
      <c r="C56" s="1288">
        <v>922513</v>
      </c>
      <c r="D56" s="3619" t="s">
        <v>676</v>
      </c>
      <c r="E56" s="3620">
        <v>1434</v>
      </c>
      <c r="F56" s="3621">
        <v>23.510999999999999</v>
      </c>
      <c r="G56" s="3622">
        <v>66.489000000000004</v>
      </c>
      <c r="H56" s="2061">
        <v>23.510999999999999</v>
      </c>
      <c r="I56" s="2072">
        <v>66.489000000000004</v>
      </c>
      <c r="J56" s="1362">
        <f t="shared" si="4"/>
        <v>0</v>
      </c>
      <c r="K56" s="1363">
        <f t="shared" si="5"/>
        <v>0</v>
      </c>
      <c r="L56" s="510"/>
      <c r="M56" s="510">
        <v>30</v>
      </c>
      <c r="N56" s="3143"/>
    </row>
    <row r="57" spans="1:14" ht="14.4">
      <c r="A57" s="510"/>
      <c r="B57" s="1287">
        <v>954</v>
      </c>
      <c r="C57" s="1288">
        <v>924606</v>
      </c>
      <c r="D57" s="3619" t="s">
        <v>677</v>
      </c>
      <c r="E57" s="3620">
        <v>2596</v>
      </c>
      <c r="F57" s="3621">
        <v>0</v>
      </c>
      <c r="G57" s="3622">
        <v>0</v>
      </c>
      <c r="H57" s="2061">
        <v>0</v>
      </c>
      <c r="I57" s="2072">
        <v>0</v>
      </c>
      <c r="J57" s="1362">
        <f t="shared" si="4"/>
        <v>0</v>
      </c>
      <c r="K57" s="1363">
        <f t="shared" si="5"/>
        <v>0</v>
      </c>
      <c r="L57" s="510"/>
      <c r="M57" s="510">
        <v>31</v>
      </c>
      <c r="N57" s="3143"/>
    </row>
    <row r="58" spans="1:14" ht="14.4">
      <c r="A58" s="510"/>
      <c r="B58" s="1287">
        <v>954</v>
      </c>
      <c r="C58" s="1288">
        <v>926663</v>
      </c>
      <c r="D58" s="3619" t="s">
        <v>678</v>
      </c>
      <c r="E58" s="3620">
        <v>2442</v>
      </c>
      <c r="F58" s="3621">
        <v>0</v>
      </c>
      <c r="G58" s="3622">
        <v>0</v>
      </c>
      <c r="H58" s="2061">
        <v>0</v>
      </c>
      <c r="I58" s="2072">
        <v>0</v>
      </c>
      <c r="J58" s="1362">
        <f t="shared" si="4"/>
        <v>0</v>
      </c>
      <c r="K58" s="1363">
        <f t="shared" si="5"/>
        <v>0</v>
      </c>
      <c r="L58" s="510"/>
      <c r="M58" s="510">
        <v>32</v>
      </c>
      <c r="N58" s="3143"/>
    </row>
    <row r="59" spans="1:14" ht="14.4">
      <c r="A59" s="510"/>
      <c r="B59" s="1287">
        <v>954</v>
      </c>
      <c r="C59" s="1288">
        <v>951772</v>
      </c>
      <c r="D59" s="3619" t="s">
        <v>679</v>
      </c>
      <c r="E59" s="3620">
        <v>2383</v>
      </c>
      <c r="F59" s="3621">
        <v>0</v>
      </c>
      <c r="G59" s="3622">
        <v>67.515000000000001</v>
      </c>
      <c r="H59" s="2061">
        <v>0</v>
      </c>
      <c r="I59" s="2072">
        <v>67.155000000000001</v>
      </c>
      <c r="J59" s="1362">
        <f t="shared" si="4"/>
        <v>0</v>
      </c>
      <c r="K59" s="1363">
        <f t="shared" si="5"/>
        <v>0.35999999999999943</v>
      </c>
      <c r="L59" s="510"/>
      <c r="M59" s="510">
        <v>33</v>
      </c>
      <c r="N59" s="3143"/>
    </row>
    <row r="60" spans="1:14" ht="14.4">
      <c r="A60" s="510"/>
      <c r="B60" s="1287">
        <v>954</v>
      </c>
      <c r="C60" s="1288">
        <v>955878</v>
      </c>
      <c r="D60" s="3619" t="s">
        <v>680</v>
      </c>
      <c r="E60" s="3620">
        <v>2878</v>
      </c>
      <c r="F60" s="3621">
        <v>0</v>
      </c>
      <c r="G60" s="3622">
        <v>0</v>
      </c>
      <c r="H60" s="2061">
        <v>0</v>
      </c>
      <c r="I60" s="2072">
        <v>0</v>
      </c>
      <c r="J60" s="1362">
        <f t="shared" si="4"/>
        <v>0</v>
      </c>
      <c r="K60" s="1363">
        <f t="shared" si="5"/>
        <v>0</v>
      </c>
      <c r="L60" s="510"/>
      <c r="M60" s="510">
        <v>0</v>
      </c>
      <c r="N60" s="3143"/>
    </row>
    <row r="61" spans="1:14" ht="14.4">
      <c r="A61" s="510"/>
      <c r="B61" s="1287">
        <v>954</v>
      </c>
      <c r="C61" s="1288">
        <v>951999</v>
      </c>
      <c r="D61" s="3619" t="s">
        <v>681</v>
      </c>
      <c r="E61" s="3620">
        <v>1718</v>
      </c>
      <c r="F61" s="3621">
        <v>0</v>
      </c>
      <c r="G61" s="3622">
        <v>0</v>
      </c>
      <c r="H61" s="2061">
        <v>0</v>
      </c>
      <c r="I61" s="2072">
        <v>0</v>
      </c>
      <c r="J61" s="1362">
        <f t="shared" si="4"/>
        <v>0</v>
      </c>
      <c r="K61" s="1363">
        <f t="shared" si="5"/>
        <v>0</v>
      </c>
      <c r="L61" s="510"/>
      <c r="M61" s="510">
        <v>35</v>
      </c>
      <c r="N61" s="3143"/>
    </row>
    <row r="62" spans="1:14" ht="14.4">
      <c r="A62" s="510"/>
      <c r="B62" s="1287">
        <v>954</v>
      </c>
      <c r="C62" s="1288">
        <v>954552</v>
      </c>
      <c r="D62" s="3619" t="s">
        <v>682</v>
      </c>
      <c r="E62" s="3620">
        <v>1486</v>
      </c>
      <c r="F62" s="3621">
        <v>5.8380000000000001</v>
      </c>
      <c r="G62" s="3622">
        <v>53.981999999999999</v>
      </c>
      <c r="H62" s="2061">
        <v>5.8380000000000001</v>
      </c>
      <c r="I62" s="2072">
        <v>53.981999999999999</v>
      </c>
      <c r="J62" s="1362">
        <f t="shared" si="4"/>
        <v>0</v>
      </c>
      <c r="K62" s="1363">
        <f t="shared" si="5"/>
        <v>0</v>
      </c>
      <c r="L62" s="510"/>
      <c r="M62" s="510">
        <v>36</v>
      </c>
      <c r="N62" s="3143"/>
    </row>
    <row r="63" spans="1:14" ht="14.4">
      <c r="A63" s="510"/>
      <c r="B63" s="1287">
        <v>954</v>
      </c>
      <c r="C63" s="1288">
        <v>956044</v>
      </c>
      <c r="D63" s="3619" t="s">
        <v>683</v>
      </c>
      <c r="E63" s="3620">
        <v>1409</v>
      </c>
      <c r="F63" s="3621">
        <v>2.2240000000000002</v>
      </c>
      <c r="G63" s="3622">
        <v>68.415999999999997</v>
      </c>
      <c r="H63" s="2061">
        <v>2.2240000000000002</v>
      </c>
      <c r="I63" s="2072">
        <v>68.415999999999997</v>
      </c>
      <c r="J63" s="1362">
        <f t="shared" si="4"/>
        <v>0</v>
      </c>
      <c r="K63" s="1363">
        <f t="shared" si="5"/>
        <v>0</v>
      </c>
      <c r="L63" s="510"/>
      <c r="M63" s="510">
        <v>37</v>
      </c>
      <c r="N63" s="3143"/>
    </row>
    <row r="64" spans="1:14" ht="14.4">
      <c r="A64" s="510"/>
      <c r="B64" s="1287">
        <v>954</v>
      </c>
      <c r="C64" s="1288">
        <v>954609</v>
      </c>
      <c r="D64" s="1289" t="s">
        <v>684</v>
      </c>
      <c r="E64" s="1290">
        <v>1189</v>
      </c>
      <c r="F64" s="1291">
        <v>25</v>
      </c>
      <c r="G64" s="1292">
        <v>75</v>
      </c>
      <c r="H64" s="2061">
        <v>18.164000000000001</v>
      </c>
      <c r="I64" s="2072">
        <v>69.945999999999998</v>
      </c>
      <c r="J64" s="1362">
        <f t="shared" si="4"/>
        <v>6.8359999999999985</v>
      </c>
      <c r="K64" s="1363">
        <f t="shared" si="5"/>
        <v>5.054000000000002</v>
      </c>
      <c r="L64" s="510"/>
      <c r="M64" s="510">
        <v>38</v>
      </c>
      <c r="N64" s="3143"/>
    </row>
    <row r="65" spans="1:14" ht="14.4">
      <c r="A65" s="510"/>
      <c r="B65" s="1287">
        <v>954</v>
      </c>
      <c r="C65" s="1288">
        <v>955330</v>
      </c>
      <c r="D65" s="1289" t="s">
        <v>685</v>
      </c>
      <c r="E65" s="1290">
        <v>2747</v>
      </c>
      <c r="F65" s="1291">
        <v>37</v>
      </c>
      <c r="G65" s="1292">
        <v>113</v>
      </c>
      <c r="H65" s="2061">
        <v>37</v>
      </c>
      <c r="I65" s="2072">
        <v>49.945999999999998</v>
      </c>
      <c r="J65" s="1362">
        <f t="shared" si="4"/>
        <v>0</v>
      </c>
      <c r="K65" s="1363">
        <f t="shared" si="5"/>
        <v>63.054000000000002</v>
      </c>
      <c r="L65" s="510"/>
      <c r="M65" s="510">
        <v>39</v>
      </c>
      <c r="N65" s="3143"/>
    </row>
    <row r="66" spans="1:14" ht="15" thickBot="1">
      <c r="A66" s="510"/>
      <c r="B66" s="1293">
        <v>954</v>
      </c>
      <c r="C66" s="1294">
        <v>951919</v>
      </c>
      <c r="D66" s="1295" t="s">
        <v>686</v>
      </c>
      <c r="E66" s="1296">
        <v>1529</v>
      </c>
      <c r="F66" s="1297">
        <v>25</v>
      </c>
      <c r="G66" s="1298">
        <v>75</v>
      </c>
      <c r="H66" s="2063">
        <v>17.785</v>
      </c>
      <c r="I66" s="2073">
        <v>59.463000000000001</v>
      </c>
      <c r="J66" s="1364">
        <f t="shared" si="4"/>
        <v>7.2149999999999999</v>
      </c>
      <c r="K66" s="1365">
        <f t="shared" si="5"/>
        <v>15.536999999999999</v>
      </c>
      <c r="L66" s="1468"/>
      <c r="M66" s="510">
        <v>40</v>
      </c>
      <c r="N66" s="3145"/>
    </row>
    <row r="67" spans="1:14" ht="14.4">
      <c r="A67" s="510"/>
      <c r="B67" s="1281">
        <v>1230</v>
      </c>
      <c r="C67" s="1282">
        <v>955486</v>
      </c>
      <c r="D67" s="3636" t="s">
        <v>633</v>
      </c>
      <c r="E67" s="3637">
        <v>2882</v>
      </c>
      <c r="F67" s="3638">
        <v>0.02</v>
      </c>
      <c r="G67" s="3639">
        <v>105.907</v>
      </c>
      <c r="H67" s="2059">
        <v>0.02</v>
      </c>
      <c r="I67" s="2060">
        <v>105.907</v>
      </c>
      <c r="J67" s="2875">
        <f t="shared" si="4"/>
        <v>0</v>
      </c>
      <c r="K67" s="3640">
        <f t="shared" si="5"/>
        <v>0</v>
      </c>
      <c r="L67" s="510"/>
      <c r="M67" s="510">
        <v>41</v>
      </c>
      <c r="N67" s="3142"/>
    </row>
    <row r="68" spans="1:14" ht="14.4">
      <c r="A68" s="510"/>
      <c r="B68" s="1287">
        <v>1230</v>
      </c>
      <c r="C68" s="1288">
        <v>910840</v>
      </c>
      <c r="D68" s="1289" t="s">
        <v>673</v>
      </c>
      <c r="E68" s="1290">
        <v>2243</v>
      </c>
      <c r="F68" s="1291">
        <v>0.04</v>
      </c>
      <c r="G68" s="1292">
        <v>374.96</v>
      </c>
      <c r="H68" s="2061">
        <v>0.04</v>
      </c>
      <c r="I68" s="2062">
        <v>332.91300000000001</v>
      </c>
      <c r="J68" s="1887">
        <f t="shared" si="4"/>
        <v>0</v>
      </c>
      <c r="K68" s="1363">
        <f t="shared" si="5"/>
        <v>42.046999999999969</v>
      </c>
      <c r="L68" s="510"/>
      <c r="M68" s="510">
        <v>42</v>
      </c>
      <c r="N68" s="3143"/>
    </row>
    <row r="69" spans="1:14" ht="14.4">
      <c r="A69" s="510"/>
      <c r="B69" s="1878">
        <v>1230</v>
      </c>
      <c r="C69" s="1879">
        <v>956590</v>
      </c>
      <c r="D69" s="1880" t="s">
        <v>703</v>
      </c>
      <c r="E69" s="1881">
        <v>1201</v>
      </c>
      <c r="F69" s="1882">
        <v>0.04</v>
      </c>
      <c r="G69" s="1883">
        <v>374.96</v>
      </c>
      <c r="H69" s="2075">
        <v>0.04</v>
      </c>
      <c r="I69" s="2076">
        <v>374.964</v>
      </c>
      <c r="J69" s="1888">
        <f t="shared" si="4"/>
        <v>0</v>
      </c>
      <c r="K69" s="1884">
        <f t="shared" si="5"/>
        <v>-4.0000000000190994E-3</v>
      </c>
      <c r="L69" s="510"/>
      <c r="M69" s="510">
        <v>43</v>
      </c>
      <c r="N69" s="3143"/>
    </row>
    <row r="70" spans="1:14" ht="14.4">
      <c r="A70" s="510"/>
      <c r="B70" s="1287">
        <v>1230</v>
      </c>
      <c r="C70" s="1288">
        <v>955473</v>
      </c>
      <c r="D70" s="1289" t="s">
        <v>704</v>
      </c>
      <c r="E70" s="1290">
        <v>2352</v>
      </c>
      <c r="F70" s="1291">
        <v>0.04</v>
      </c>
      <c r="G70" s="1292">
        <v>374.96</v>
      </c>
      <c r="H70" s="2061">
        <v>0.04</v>
      </c>
      <c r="I70" s="2062">
        <v>342.33800000000002</v>
      </c>
      <c r="J70" s="1887">
        <f t="shared" si="4"/>
        <v>0</v>
      </c>
      <c r="K70" s="1363">
        <f t="shared" si="5"/>
        <v>32.621999999999957</v>
      </c>
      <c r="L70" s="510"/>
      <c r="M70" s="510">
        <v>44</v>
      </c>
      <c r="N70" s="3143"/>
    </row>
    <row r="71" spans="1:14" ht="14.4">
      <c r="A71" s="510"/>
      <c r="B71" s="1287">
        <v>1230</v>
      </c>
      <c r="C71" s="1288">
        <v>926655</v>
      </c>
      <c r="D71" s="1289" t="s">
        <v>705</v>
      </c>
      <c r="E71" s="1290">
        <v>2393</v>
      </c>
      <c r="F71" s="1885">
        <v>0.02</v>
      </c>
      <c r="G71" s="1886">
        <v>299.98</v>
      </c>
      <c r="H71" s="2077">
        <v>0.02</v>
      </c>
      <c r="I71" s="2078">
        <v>80.093999999999994</v>
      </c>
      <c r="J71" s="1889">
        <f t="shared" si="4"/>
        <v>0</v>
      </c>
      <c r="K71" s="1363">
        <f t="shared" si="5"/>
        <v>219.88600000000002</v>
      </c>
      <c r="L71" s="510"/>
      <c r="M71" s="510">
        <v>45</v>
      </c>
      <c r="N71" s="3143"/>
    </row>
    <row r="72" spans="1:14" ht="14.4">
      <c r="A72" s="510"/>
      <c r="B72" s="1287">
        <v>1230</v>
      </c>
      <c r="C72" s="1288">
        <v>926674</v>
      </c>
      <c r="D72" s="1289" t="s">
        <v>706</v>
      </c>
      <c r="E72" s="1290">
        <v>2341</v>
      </c>
      <c r="F72" s="1291">
        <v>0.02</v>
      </c>
      <c r="G72" s="1292">
        <v>299.98</v>
      </c>
      <c r="H72" s="2061">
        <v>0</v>
      </c>
      <c r="I72" s="2062">
        <v>45.56</v>
      </c>
      <c r="J72" s="1362">
        <f t="shared" si="4"/>
        <v>0.02</v>
      </c>
      <c r="K72" s="1363">
        <f t="shared" si="5"/>
        <v>254.42000000000002</v>
      </c>
      <c r="L72" s="510"/>
      <c r="M72" s="510">
        <v>46</v>
      </c>
      <c r="N72" s="3143"/>
    </row>
    <row r="73" spans="1:14" ht="14.4">
      <c r="A73" s="510"/>
      <c r="B73" s="1287">
        <v>1230</v>
      </c>
      <c r="C73" s="1288">
        <v>952407</v>
      </c>
      <c r="D73" s="1289" t="s">
        <v>637</v>
      </c>
      <c r="E73" s="1290">
        <v>2762</v>
      </c>
      <c r="F73" s="1291">
        <v>0.04</v>
      </c>
      <c r="G73" s="1292">
        <v>999.96</v>
      </c>
      <c r="H73" s="2061">
        <v>0.04</v>
      </c>
      <c r="I73" s="2062">
        <v>603.61800000000005</v>
      </c>
      <c r="J73" s="1362">
        <f t="shared" si="4"/>
        <v>0</v>
      </c>
      <c r="K73" s="1363">
        <f t="shared" si="5"/>
        <v>396.34199999999998</v>
      </c>
      <c r="L73" s="510"/>
      <c r="M73" s="510">
        <v>47</v>
      </c>
      <c r="N73" s="3143"/>
    </row>
    <row r="74" spans="1:14" ht="14.4">
      <c r="A74" s="510"/>
      <c r="B74" s="1287">
        <v>1230</v>
      </c>
      <c r="C74" s="1288">
        <v>922476</v>
      </c>
      <c r="D74" s="1289" t="s">
        <v>707</v>
      </c>
      <c r="E74" s="1290">
        <v>2154</v>
      </c>
      <c r="F74" s="1291">
        <v>0.02</v>
      </c>
      <c r="G74" s="1292">
        <v>399.98</v>
      </c>
      <c r="H74" s="2061">
        <v>0</v>
      </c>
      <c r="I74" s="2062">
        <v>0</v>
      </c>
      <c r="J74" s="1362">
        <f t="shared" si="4"/>
        <v>0.02</v>
      </c>
      <c r="K74" s="1363">
        <f t="shared" si="5"/>
        <v>399.98</v>
      </c>
      <c r="L74" s="510"/>
      <c r="M74" s="510">
        <v>48</v>
      </c>
      <c r="N74" s="3143"/>
    </row>
    <row r="75" spans="1:14" ht="15" thickBot="1">
      <c r="A75" s="510"/>
      <c r="B75" s="1305">
        <v>1230</v>
      </c>
      <c r="C75" s="1306">
        <v>952321</v>
      </c>
      <c r="D75" s="3629" t="s">
        <v>708</v>
      </c>
      <c r="E75" s="3630">
        <v>2792</v>
      </c>
      <c r="F75" s="3631">
        <v>0.02</v>
      </c>
      <c r="G75" s="3632">
        <v>19.831</v>
      </c>
      <c r="H75" s="2063">
        <v>0.02</v>
      </c>
      <c r="I75" s="2064">
        <v>19.831</v>
      </c>
      <c r="J75" s="1364">
        <f t="shared" si="4"/>
        <v>0</v>
      </c>
      <c r="K75" s="1365">
        <f t="shared" si="5"/>
        <v>0</v>
      </c>
      <c r="L75" s="1468"/>
      <c r="M75" s="510">
        <v>49</v>
      </c>
      <c r="N75" s="3145"/>
    </row>
    <row r="76" spans="1:14" ht="14.4">
      <c r="A76" s="510"/>
      <c r="B76" s="1310">
        <v>1462</v>
      </c>
      <c r="C76" s="1310">
        <v>902374</v>
      </c>
      <c r="D76" s="1201" t="s">
        <v>689</v>
      </c>
      <c r="E76" s="1311">
        <v>605</v>
      </c>
      <c r="F76" s="1310">
        <v>70</v>
      </c>
      <c r="G76" s="1311">
        <v>430</v>
      </c>
      <c r="H76" s="2065">
        <v>62.369</v>
      </c>
      <c r="I76" s="2074">
        <v>168.18100000000001</v>
      </c>
      <c r="J76" s="1360">
        <f t="shared" si="4"/>
        <v>7.6310000000000002</v>
      </c>
      <c r="K76" s="1361">
        <f t="shared" si="5"/>
        <v>261.81899999999996</v>
      </c>
      <c r="L76" s="510"/>
      <c r="M76" s="510">
        <v>50</v>
      </c>
      <c r="N76" s="3146"/>
    </row>
    <row r="77" spans="1:14" ht="14.4">
      <c r="A77" s="510"/>
      <c r="B77" s="1312">
        <v>1462</v>
      </c>
      <c r="C77" s="1312">
        <v>958080</v>
      </c>
      <c r="D77" s="1313" t="s">
        <v>716</v>
      </c>
      <c r="E77" s="1314">
        <v>6059</v>
      </c>
      <c r="F77" s="1312">
        <v>34</v>
      </c>
      <c r="G77" s="1314">
        <v>200</v>
      </c>
      <c r="H77" s="2061">
        <v>16.100999999999999</v>
      </c>
      <c r="I77" s="2072">
        <v>131.68700000000001</v>
      </c>
      <c r="J77" s="1362">
        <f t="shared" si="4"/>
        <v>17.899000000000001</v>
      </c>
      <c r="K77" s="1363">
        <f t="shared" si="5"/>
        <v>68.312999999999988</v>
      </c>
      <c r="L77" s="510"/>
      <c r="M77" s="510">
        <v>51</v>
      </c>
      <c r="N77" s="3143"/>
    </row>
    <row r="78" spans="1:14" ht="14.4">
      <c r="A78" s="510"/>
      <c r="B78" s="1312">
        <v>1462</v>
      </c>
      <c r="C78" s="1312">
        <v>954062</v>
      </c>
      <c r="D78" s="1313" t="s">
        <v>717</v>
      </c>
      <c r="E78" s="1314">
        <v>733</v>
      </c>
      <c r="F78" s="1312">
        <v>70</v>
      </c>
      <c r="G78" s="1314">
        <v>430</v>
      </c>
      <c r="H78" s="2061">
        <v>47.018999999999998</v>
      </c>
      <c r="I78" s="2072">
        <v>343.238</v>
      </c>
      <c r="J78" s="1362">
        <f t="shared" si="4"/>
        <v>22.981000000000002</v>
      </c>
      <c r="K78" s="1363">
        <f t="shared" si="5"/>
        <v>86.762</v>
      </c>
      <c r="L78" s="510"/>
      <c r="M78" s="510">
        <v>52</v>
      </c>
      <c r="N78" s="3143"/>
    </row>
    <row r="79" spans="1:14" ht="14.4">
      <c r="A79" s="510"/>
      <c r="B79" s="1312">
        <v>1462</v>
      </c>
      <c r="C79" s="1312">
        <v>916009</v>
      </c>
      <c r="D79" s="1313" t="s">
        <v>718</v>
      </c>
      <c r="E79" s="1314">
        <v>638</v>
      </c>
      <c r="F79" s="1312">
        <v>5</v>
      </c>
      <c r="G79" s="1314">
        <v>500</v>
      </c>
      <c r="H79" s="2061">
        <v>0</v>
      </c>
      <c r="I79" s="2072">
        <v>0</v>
      </c>
      <c r="J79" s="1362">
        <f t="shared" si="4"/>
        <v>5</v>
      </c>
      <c r="K79" s="1363">
        <f t="shared" si="5"/>
        <v>500</v>
      </c>
      <c r="L79" s="510"/>
      <c r="M79" s="510">
        <v>53</v>
      </c>
      <c r="N79" s="3143"/>
    </row>
    <row r="80" spans="1:14" ht="14.4">
      <c r="A80" s="510"/>
      <c r="B80" s="1312">
        <v>1462</v>
      </c>
      <c r="C80" s="1312">
        <v>916010</v>
      </c>
      <c r="D80" s="1313" t="s">
        <v>719</v>
      </c>
      <c r="E80" s="1314">
        <v>639</v>
      </c>
      <c r="F80" s="1312">
        <v>5</v>
      </c>
      <c r="G80" s="1314">
        <v>350</v>
      </c>
      <c r="H80" s="2061">
        <v>0</v>
      </c>
      <c r="I80" s="2072">
        <v>0</v>
      </c>
      <c r="J80" s="1362">
        <f t="shared" si="4"/>
        <v>5</v>
      </c>
      <c r="K80" s="1363">
        <f t="shared" si="5"/>
        <v>350</v>
      </c>
      <c r="L80" s="510"/>
      <c r="M80" s="510">
        <v>54</v>
      </c>
      <c r="N80" s="3143"/>
    </row>
    <row r="81" spans="1:14" ht="14.4">
      <c r="A81" s="510"/>
      <c r="B81" s="1312">
        <v>1462</v>
      </c>
      <c r="C81" s="1312">
        <v>951259</v>
      </c>
      <c r="D81" s="1313" t="s">
        <v>688</v>
      </c>
      <c r="E81" s="1314">
        <v>2189</v>
      </c>
      <c r="F81" s="1312">
        <v>70</v>
      </c>
      <c r="G81" s="1314">
        <v>430</v>
      </c>
      <c r="H81" s="2061">
        <v>11.175000000000001</v>
      </c>
      <c r="I81" s="2072">
        <v>151.82499999999999</v>
      </c>
      <c r="J81" s="1362">
        <f t="shared" si="4"/>
        <v>58.825000000000003</v>
      </c>
      <c r="K81" s="1363">
        <f t="shared" si="5"/>
        <v>278.17500000000001</v>
      </c>
      <c r="L81" s="510"/>
      <c r="M81" s="510">
        <v>55</v>
      </c>
      <c r="N81" s="3143"/>
    </row>
    <row r="82" spans="1:14" ht="14.4">
      <c r="A82" s="510"/>
      <c r="B82" s="1312">
        <v>1462</v>
      </c>
      <c r="C82" s="1312">
        <v>923199</v>
      </c>
      <c r="D82" s="1313" t="s">
        <v>720</v>
      </c>
      <c r="E82" s="1314">
        <v>2602</v>
      </c>
      <c r="F82" s="1312">
        <v>70</v>
      </c>
      <c r="G82" s="1314">
        <v>430</v>
      </c>
      <c r="H82" s="2061">
        <v>66.542000000000002</v>
      </c>
      <c r="I82" s="2072">
        <v>351.70100000000002</v>
      </c>
      <c r="J82" s="1362">
        <f t="shared" si="4"/>
        <v>3.4579999999999984</v>
      </c>
      <c r="K82" s="1363">
        <f t="shared" si="5"/>
        <v>78.298999999999978</v>
      </c>
      <c r="L82" s="510"/>
      <c r="M82" s="510">
        <v>56</v>
      </c>
      <c r="N82" s="3143"/>
    </row>
    <row r="83" spans="1:14" ht="14.4">
      <c r="A83" s="1471" t="s">
        <v>522</v>
      </c>
      <c r="B83" s="1472">
        <v>1462</v>
      </c>
      <c r="C83" s="1473">
        <v>953048</v>
      </c>
      <c r="D83" s="1474" t="s">
        <v>747</v>
      </c>
      <c r="E83" s="1475">
        <v>502</v>
      </c>
      <c r="F83" s="1476">
        <v>5</v>
      </c>
      <c r="G83" s="1477">
        <v>450</v>
      </c>
      <c r="H83" s="2079">
        <v>0</v>
      </c>
      <c r="I83" s="2080">
        <v>0</v>
      </c>
      <c r="J83" s="1478">
        <f t="shared" si="4"/>
        <v>5</v>
      </c>
      <c r="K83" s="1479">
        <f t="shared" si="5"/>
        <v>450</v>
      </c>
      <c r="L83" s="1471"/>
      <c r="M83" s="510">
        <v>57</v>
      </c>
      <c r="N83" s="3147"/>
    </row>
    <row r="84" spans="1:14" ht="14.4">
      <c r="A84" s="510"/>
      <c r="B84" s="1312">
        <v>1462</v>
      </c>
      <c r="C84" s="1312">
        <v>958249</v>
      </c>
      <c r="D84" s="1313" t="s">
        <v>721</v>
      </c>
      <c r="E84" s="1314">
        <v>2549</v>
      </c>
      <c r="F84" s="1312">
        <v>56</v>
      </c>
      <c r="G84" s="1314">
        <v>344</v>
      </c>
      <c r="H84" s="2061">
        <v>55.996000000000002</v>
      </c>
      <c r="I84" s="2072">
        <v>246.69399999999999</v>
      </c>
      <c r="J84" s="1362">
        <f t="shared" si="4"/>
        <v>3.9999999999977831E-3</v>
      </c>
      <c r="K84" s="1363">
        <f t="shared" si="5"/>
        <v>97.306000000000012</v>
      </c>
      <c r="L84" s="510"/>
      <c r="M84" s="510">
        <v>58</v>
      </c>
      <c r="N84" s="3143"/>
    </row>
    <row r="85" spans="1:14" ht="14.4">
      <c r="A85" s="510"/>
      <c r="B85" s="1312">
        <v>1462</v>
      </c>
      <c r="C85" s="1312">
        <v>955588</v>
      </c>
      <c r="D85" s="1313" t="s">
        <v>685</v>
      </c>
      <c r="E85" s="1314">
        <v>1342</v>
      </c>
      <c r="F85" s="1312">
        <v>49</v>
      </c>
      <c r="G85" s="1314">
        <v>301</v>
      </c>
      <c r="H85" s="2061">
        <v>0</v>
      </c>
      <c r="I85" s="2072">
        <v>7.92</v>
      </c>
      <c r="J85" s="1362">
        <f t="shared" si="4"/>
        <v>49</v>
      </c>
      <c r="K85" s="1363">
        <f t="shared" si="5"/>
        <v>293.08</v>
      </c>
      <c r="L85" s="510"/>
      <c r="M85" s="510">
        <v>59</v>
      </c>
      <c r="N85" s="3143"/>
    </row>
    <row r="86" spans="1:14" ht="14.4">
      <c r="A86" s="1471" t="s">
        <v>522</v>
      </c>
      <c r="B86" s="1472">
        <v>1462</v>
      </c>
      <c r="C86" s="1473">
        <v>954700</v>
      </c>
      <c r="D86" s="1474" t="s">
        <v>748</v>
      </c>
      <c r="E86" s="1475">
        <v>209</v>
      </c>
      <c r="F86" s="1476">
        <v>5</v>
      </c>
      <c r="G86" s="1477">
        <v>400</v>
      </c>
      <c r="H86" s="2079">
        <v>0</v>
      </c>
      <c r="I86" s="2080">
        <v>0</v>
      </c>
      <c r="J86" s="1478">
        <f t="shared" si="4"/>
        <v>5</v>
      </c>
      <c r="K86" s="1479">
        <f t="shared" si="5"/>
        <v>400</v>
      </c>
      <c r="L86" s="1471"/>
      <c r="M86" s="510">
        <v>60</v>
      </c>
      <c r="N86" s="3147"/>
    </row>
    <row r="87" spans="1:14" ht="14.4">
      <c r="A87" s="510"/>
      <c r="B87" s="1312">
        <v>1462</v>
      </c>
      <c r="C87" s="1312">
        <v>952005</v>
      </c>
      <c r="D87" s="1313" t="s">
        <v>722</v>
      </c>
      <c r="E87" s="1314">
        <v>1412</v>
      </c>
      <c r="F87" s="1312">
        <v>70</v>
      </c>
      <c r="G87" s="1314">
        <v>430</v>
      </c>
      <c r="H87" s="2061">
        <v>58.460999999999999</v>
      </c>
      <c r="I87" s="2072">
        <v>423.94200000000001</v>
      </c>
      <c r="J87" s="1362">
        <f t="shared" si="4"/>
        <v>11.539000000000001</v>
      </c>
      <c r="K87" s="1363">
        <f t="shared" si="5"/>
        <v>6.0579999999999927</v>
      </c>
      <c r="L87" s="510"/>
      <c r="M87" s="510">
        <v>61</v>
      </c>
      <c r="N87" s="3143"/>
    </row>
    <row r="88" spans="1:14" ht="14.4">
      <c r="A88" s="1412" t="s">
        <v>34</v>
      </c>
      <c r="B88" s="1413">
        <v>1462</v>
      </c>
      <c r="C88" s="1414">
        <v>902835</v>
      </c>
      <c r="D88" s="1415" t="s">
        <v>795</v>
      </c>
      <c r="E88" s="1416">
        <v>640</v>
      </c>
      <c r="F88" s="1417">
        <v>5</v>
      </c>
      <c r="G88" s="1418">
        <v>500</v>
      </c>
      <c r="H88" s="2081">
        <v>0</v>
      </c>
      <c r="I88" s="2082">
        <v>0</v>
      </c>
      <c r="J88" s="1419">
        <f t="shared" si="4"/>
        <v>5</v>
      </c>
      <c r="K88" s="1420">
        <f t="shared" si="5"/>
        <v>500</v>
      </c>
      <c r="L88" s="1412" t="s">
        <v>34</v>
      </c>
      <c r="M88" s="510">
        <v>62</v>
      </c>
      <c r="N88" s="3147"/>
    </row>
    <row r="89" spans="1:14" ht="14.4">
      <c r="A89" s="510"/>
      <c r="B89" s="1312">
        <v>1462</v>
      </c>
      <c r="C89" s="1312">
        <v>952183</v>
      </c>
      <c r="D89" s="1313" t="s">
        <v>723</v>
      </c>
      <c r="E89" s="1314">
        <v>529</v>
      </c>
      <c r="F89" s="1312">
        <v>35</v>
      </c>
      <c r="G89" s="1314">
        <v>215</v>
      </c>
      <c r="H89" s="2061">
        <v>0</v>
      </c>
      <c r="I89" s="2072">
        <v>0</v>
      </c>
      <c r="J89" s="1362">
        <f t="shared" si="4"/>
        <v>35</v>
      </c>
      <c r="K89" s="1363">
        <f t="shared" si="5"/>
        <v>215</v>
      </c>
      <c r="L89" s="510"/>
      <c r="M89" s="510">
        <v>63</v>
      </c>
      <c r="N89" s="3143"/>
    </row>
    <row r="90" spans="1:14" ht="14.4">
      <c r="A90" s="510" t="s">
        <v>40</v>
      </c>
      <c r="B90" s="1315">
        <v>1462</v>
      </c>
      <c r="C90" s="1315">
        <v>957995</v>
      </c>
      <c r="D90" s="1316" t="s">
        <v>711</v>
      </c>
      <c r="E90" s="1317">
        <v>1930</v>
      </c>
      <c r="F90" s="1315">
        <v>84</v>
      </c>
      <c r="G90" s="1317">
        <v>600</v>
      </c>
      <c r="H90" s="2075">
        <v>84</v>
      </c>
      <c r="I90" s="2083">
        <v>453.89400000000001</v>
      </c>
      <c r="J90" s="1410">
        <f t="shared" si="4"/>
        <v>0</v>
      </c>
      <c r="K90" s="1411">
        <f t="shared" si="5"/>
        <v>146.10599999999999</v>
      </c>
      <c r="L90" s="1318" t="s">
        <v>743</v>
      </c>
      <c r="M90" s="510">
        <v>64</v>
      </c>
      <c r="N90" s="3143"/>
    </row>
    <row r="91" spans="1:14" ht="14.4">
      <c r="A91" s="510"/>
      <c r="B91" s="1312">
        <v>1462</v>
      </c>
      <c r="C91" s="1312">
        <v>953646</v>
      </c>
      <c r="D91" s="1313" t="s">
        <v>724</v>
      </c>
      <c r="E91" s="1314">
        <v>1248</v>
      </c>
      <c r="F91" s="1312">
        <v>5</v>
      </c>
      <c r="G91" s="1314">
        <v>400</v>
      </c>
      <c r="H91" s="2061">
        <v>0</v>
      </c>
      <c r="I91" s="2072">
        <v>0</v>
      </c>
      <c r="J91" s="1362">
        <f t="shared" si="4"/>
        <v>5</v>
      </c>
      <c r="K91" s="1363">
        <f t="shared" si="5"/>
        <v>400</v>
      </c>
      <c r="L91" s="510"/>
      <c r="M91" s="510">
        <v>65</v>
      </c>
      <c r="N91" s="3143"/>
    </row>
    <row r="92" spans="1:14" ht="14.4">
      <c r="A92" s="510"/>
      <c r="B92" s="1312">
        <v>1462</v>
      </c>
      <c r="C92" s="1312">
        <v>956244</v>
      </c>
      <c r="D92" s="1313" t="s">
        <v>725</v>
      </c>
      <c r="E92" s="1314">
        <v>1714</v>
      </c>
      <c r="F92" s="1312">
        <v>49</v>
      </c>
      <c r="G92" s="1314">
        <v>301</v>
      </c>
      <c r="H92" s="2061">
        <v>13.766999999999999</v>
      </c>
      <c r="I92" s="2072">
        <v>145.209</v>
      </c>
      <c r="J92" s="1362">
        <f t="shared" si="4"/>
        <v>35.233000000000004</v>
      </c>
      <c r="K92" s="1363">
        <f t="shared" si="5"/>
        <v>155.791</v>
      </c>
      <c r="L92" s="510"/>
      <c r="M92" s="510">
        <v>66</v>
      </c>
      <c r="N92" s="3143"/>
    </row>
    <row r="93" spans="1:14" ht="14.4">
      <c r="A93" s="510"/>
      <c r="B93" s="1312">
        <v>1462</v>
      </c>
      <c r="C93" s="1312">
        <v>904281</v>
      </c>
      <c r="D93" s="1313" t="s">
        <v>726</v>
      </c>
      <c r="E93" s="1314">
        <v>19</v>
      </c>
      <c r="F93" s="1312">
        <v>56</v>
      </c>
      <c r="G93" s="1314">
        <v>344</v>
      </c>
      <c r="H93" s="2061">
        <v>38.552</v>
      </c>
      <c r="I93" s="2072">
        <v>87.483000000000004</v>
      </c>
      <c r="J93" s="1362">
        <f t="shared" ref="J93:J115" si="6">+F93-H93</f>
        <v>17.448</v>
      </c>
      <c r="K93" s="1363">
        <f t="shared" ref="K93:K115" si="7">+G93-I93</f>
        <v>256.517</v>
      </c>
      <c r="L93" s="510"/>
      <c r="M93" s="510">
        <v>67</v>
      </c>
      <c r="N93" s="3143"/>
    </row>
    <row r="94" spans="1:14" ht="14.4">
      <c r="A94" s="510"/>
      <c r="B94" s="1312">
        <v>1462</v>
      </c>
      <c r="C94" s="1312">
        <v>952831</v>
      </c>
      <c r="D94" s="1313" t="s">
        <v>727</v>
      </c>
      <c r="E94" s="1314">
        <v>2252</v>
      </c>
      <c r="F94" s="1312">
        <v>70</v>
      </c>
      <c r="G94" s="1314">
        <v>430</v>
      </c>
      <c r="H94" s="2061">
        <v>49.304000000000002</v>
      </c>
      <c r="I94" s="2072">
        <v>197.48099999999999</v>
      </c>
      <c r="J94" s="1362">
        <f t="shared" si="6"/>
        <v>20.695999999999998</v>
      </c>
      <c r="K94" s="1363">
        <f t="shared" si="7"/>
        <v>232.51900000000001</v>
      </c>
      <c r="L94" s="510"/>
      <c r="M94" s="510">
        <v>68</v>
      </c>
      <c r="N94" s="3143"/>
    </row>
    <row r="95" spans="1:14" ht="14.4">
      <c r="A95" s="510"/>
      <c r="B95" s="1312">
        <v>1462</v>
      </c>
      <c r="C95" s="1312">
        <v>926065</v>
      </c>
      <c r="D95" s="1313" t="s">
        <v>728</v>
      </c>
      <c r="E95" s="1314">
        <v>676</v>
      </c>
      <c r="F95" s="1312">
        <v>70</v>
      </c>
      <c r="G95" s="1314">
        <v>430</v>
      </c>
      <c r="H95" s="2061">
        <v>26.292999999999999</v>
      </c>
      <c r="I95" s="2072">
        <v>217.95599999999999</v>
      </c>
      <c r="J95" s="1362">
        <f t="shared" si="6"/>
        <v>43.707000000000001</v>
      </c>
      <c r="K95" s="1363">
        <f t="shared" si="7"/>
        <v>212.04400000000001</v>
      </c>
      <c r="L95" s="510"/>
      <c r="M95" s="510">
        <v>69</v>
      </c>
      <c r="N95" s="3143"/>
    </row>
    <row r="96" spans="1:14" ht="15" thickBot="1">
      <c r="A96" s="510"/>
      <c r="B96" s="1312">
        <v>1462</v>
      </c>
      <c r="C96" s="1312">
        <v>922986</v>
      </c>
      <c r="D96" s="1313" t="s">
        <v>729</v>
      </c>
      <c r="E96" s="1314">
        <v>3899</v>
      </c>
      <c r="F96" s="1312">
        <v>35</v>
      </c>
      <c r="G96" s="1314">
        <v>250</v>
      </c>
      <c r="H96" s="2063">
        <v>0</v>
      </c>
      <c r="I96" s="2073">
        <v>0</v>
      </c>
      <c r="J96" s="1364">
        <f t="shared" si="6"/>
        <v>35</v>
      </c>
      <c r="K96" s="1365">
        <f t="shared" si="7"/>
        <v>250</v>
      </c>
      <c r="L96" s="1468"/>
      <c r="M96" s="510">
        <v>70</v>
      </c>
      <c r="N96" s="3145"/>
    </row>
    <row r="97" spans="1:14" ht="14.4">
      <c r="A97" s="510"/>
      <c r="B97" s="1310">
        <v>1667</v>
      </c>
      <c r="C97" s="1310">
        <v>954062</v>
      </c>
      <c r="D97" s="1201" t="s">
        <v>717</v>
      </c>
      <c r="E97" s="1311">
        <v>733</v>
      </c>
      <c r="F97" s="1310">
        <v>0.04</v>
      </c>
      <c r="G97" s="1311">
        <v>999.96</v>
      </c>
      <c r="H97" s="2059">
        <v>0.04</v>
      </c>
      <c r="I97" s="2071">
        <v>266.54599999999999</v>
      </c>
      <c r="J97" s="1360">
        <f t="shared" si="6"/>
        <v>0</v>
      </c>
      <c r="K97" s="1361">
        <f t="shared" si="7"/>
        <v>733.41399999999999</v>
      </c>
      <c r="L97" s="510"/>
      <c r="M97" s="510">
        <v>71</v>
      </c>
      <c r="N97" s="3142"/>
    </row>
    <row r="98" spans="1:14" ht="15" thickBot="1">
      <c r="A98" s="510"/>
      <c r="B98" s="1319">
        <v>1667</v>
      </c>
      <c r="C98" s="1319">
        <v>952831</v>
      </c>
      <c r="D98" s="1320" t="s">
        <v>727</v>
      </c>
      <c r="E98" s="1321">
        <v>2252</v>
      </c>
      <c r="F98" s="1319">
        <v>0.04</v>
      </c>
      <c r="G98" s="1321">
        <v>499.96</v>
      </c>
      <c r="H98" s="2063">
        <v>0.04</v>
      </c>
      <c r="I98" s="2073">
        <v>304.83300000000003</v>
      </c>
      <c r="J98" s="1364">
        <f t="shared" si="6"/>
        <v>0</v>
      </c>
      <c r="K98" s="1365">
        <f t="shared" si="7"/>
        <v>195.12699999999995</v>
      </c>
      <c r="L98" s="1468"/>
      <c r="M98" s="510">
        <v>72</v>
      </c>
      <c r="N98" s="3145"/>
    </row>
    <row r="99" spans="1:14" ht="14.4">
      <c r="A99" s="994"/>
      <c r="B99" s="1281">
        <v>1696</v>
      </c>
      <c r="C99" s="1282">
        <v>902378</v>
      </c>
      <c r="D99" s="1283" t="s">
        <v>798</v>
      </c>
      <c r="E99" s="1284">
        <v>879</v>
      </c>
      <c r="F99" s="1285">
        <v>50</v>
      </c>
      <c r="G99" s="1286">
        <v>450</v>
      </c>
      <c r="H99" s="2059">
        <v>26.395</v>
      </c>
      <c r="I99" s="2071">
        <v>137.315</v>
      </c>
      <c r="J99" s="1360">
        <f t="shared" si="6"/>
        <v>23.605</v>
      </c>
      <c r="K99" s="1361">
        <f t="shared" si="7"/>
        <v>312.685</v>
      </c>
      <c r="L99" s="510"/>
      <c r="M99" s="510">
        <v>73</v>
      </c>
      <c r="N99" s="3142"/>
    </row>
    <row r="100" spans="1:14" ht="14.4">
      <c r="A100" s="994"/>
      <c r="B100" s="1287">
        <v>1696</v>
      </c>
      <c r="C100" s="1288">
        <v>39480</v>
      </c>
      <c r="D100" s="1289" t="s">
        <v>799</v>
      </c>
      <c r="E100" s="1290">
        <v>1213</v>
      </c>
      <c r="F100" s="1291">
        <v>50</v>
      </c>
      <c r="G100" s="1292">
        <v>450</v>
      </c>
      <c r="H100" s="2061">
        <v>27.997</v>
      </c>
      <c r="I100" s="2072">
        <v>46.423000000000002</v>
      </c>
      <c r="J100" s="1362">
        <f t="shared" si="6"/>
        <v>22.003</v>
      </c>
      <c r="K100" s="1363">
        <f t="shared" si="7"/>
        <v>403.577</v>
      </c>
      <c r="L100" s="510"/>
      <c r="M100" s="510">
        <v>74</v>
      </c>
      <c r="N100" s="3143"/>
    </row>
    <row r="101" spans="1:14" ht="14.4">
      <c r="A101" s="994"/>
      <c r="B101" s="1287">
        <v>1696</v>
      </c>
      <c r="C101" s="1288">
        <v>910612</v>
      </c>
      <c r="D101" s="1289" t="s">
        <v>691</v>
      </c>
      <c r="E101" s="1290">
        <v>603</v>
      </c>
      <c r="F101" s="1291">
        <v>50</v>
      </c>
      <c r="G101" s="1292">
        <v>450</v>
      </c>
      <c r="H101" s="2061">
        <v>21.641999999999999</v>
      </c>
      <c r="I101" s="2072">
        <v>104.238</v>
      </c>
      <c r="J101" s="1362">
        <f t="shared" si="6"/>
        <v>28.358000000000001</v>
      </c>
      <c r="K101" s="1363">
        <f t="shared" si="7"/>
        <v>345.762</v>
      </c>
      <c r="L101" s="510"/>
      <c r="M101" s="510">
        <v>75</v>
      </c>
      <c r="N101" s="3143"/>
    </row>
    <row r="102" spans="1:14" ht="14.4">
      <c r="A102" s="994"/>
      <c r="B102" s="1287">
        <v>1696</v>
      </c>
      <c r="C102" s="1288">
        <v>955587</v>
      </c>
      <c r="D102" s="1289" t="s">
        <v>800</v>
      </c>
      <c r="E102" s="1290">
        <v>2749</v>
      </c>
      <c r="F102" s="1291">
        <v>50</v>
      </c>
      <c r="G102" s="1292">
        <v>450</v>
      </c>
      <c r="H102" s="2061">
        <v>0</v>
      </c>
      <c r="I102" s="2072">
        <v>0</v>
      </c>
      <c r="J102" s="1362">
        <f t="shared" si="6"/>
        <v>50</v>
      </c>
      <c r="K102" s="1363">
        <f t="shared" si="7"/>
        <v>450</v>
      </c>
      <c r="L102" s="510"/>
      <c r="M102" s="510">
        <v>76</v>
      </c>
      <c r="N102" s="3143"/>
    </row>
    <row r="103" spans="1:14" ht="14.4">
      <c r="A103" s="994"/>
      <c r="B103" s="1287">
        <v>1696</v>
      </c>
      <c r="C103" s="1288">
        <v>954793</v>
      </c>
      <c r="D103" s="1289" t="s">
        <v>801</v>
      </c>
      <c r="E103" s="1290">
        <v>2674</v>
      </c>
      <c r="F103" s="1291">
        <v>50</v>
      </c>
      <c r="G103" s="1292">
        <v>450</v>
      </c>
      <c r="H103" s="2061">
        <v>44.552999999999997</v>
      </c>
      <c r="I103" s="2072">
        <v>88.096999999999994</v>
      </c>
      <c r="J103" s="1362">
        <f t="shared" si="6"/>
        <v>5.4470000000000027</v>
      </c>
      <c r="K103" s="1363">
        <f t="shared" si="7"/>
        <v>361.90300000000002</v>
      </c>
      <c r="L103" s="510"/>
      <c r="M103" s="510">
        <v>77</v>
      </c>
      <c r="N103" s="3143"/>
    </row>
    <row r="104" spans="1:14" ht="14.4">
      <c r="A104" s="994"/>
      <c r="B104" s="1287">
        <v>1696</v>
      </c>
      <c r="C104" s="1288">
        <v>953084</v>
      </c>
      <c r="D104" s="1289" t="s">
        <v>802</v>
      </c>
      <c r="E104" s="1290">
        <v>2626</v>
      </c>
      <c r="F104" s="1291">
        <v>30</v>
      </c>
      <c r="G104" s="1292">
        <v>270</v>
      </c>
      <c r="H104" s="2061">
        <v>30</v>
      </c>
      <c r="I104" s="2072">
        <v>179.74799999999999</v>
      </c>
      <c r="J104" s="1889">
        <f t="shared" si="6"/>
        <v>0</v>
      </c>
      <c r="K104" s="1363">
        <f t="shared" si="7"/>
        <v>90.25200000000001</v>
      </c>
      <c r="L104" s="510"/>
      <c r="M104" s="510">
        <v>78</v>
      </c>
      <c r="N104" s="3143"/>
    </row>
    <row r="105" spans="1:14" ht="14.4">
      <c r="A105" s="994"/>
      <c r="B105" s="1287">
        <v>1696</v>
      </c>
      <c r="C105" s="1288">
        <v>951205</v>
      </c>
      <c r="D105" s="1289" t="s">
        <v>607</v>
      </c>
      <c r="E105" s="1290">
        <v>2518</v>
      </c>
      <c r="F105" s="1291">
        <v>50</v>
      </c>
      <c r="G105" s="1292">
        <v>550</v>
      </c>
      <c r="H105" s="2061">
        <v>11.349</v>
      </c>
      <c r="I105" s="2072">
        <v>108.836</v>
      </c>
      <c r="J105" s="1362">
        <f t="shared" si="6"/>
        <v>38.650999999999996</v>
      </c>
      <c r="K105" s="1363">
        <f t="shared" si="7"/>
        <v>441.16399999999999</v>
      </c>
      <c r="L105" s="510"/>
      <c r="M105" s="510">
        <v>79</v>
      </c>
      <c r="N105" s="3143"/>
    </row>
    <row r="106" spans="1:14" ht="14.4">
      <c r="A106" s="994"/>
      <c r="B106" s="1287">
        <v>1696</v>
      </c>
      <c r="C106" s="1288">
        <v>952808</v>
      </c>
      <c r="D106" s="1289" t="s">
        <v>606</v>
      </c>
      <c r="E106" s="1290">
        <v>2620</v>
      </c>
      <c r="F106" s="1291">
        <v>50</v>
      </c>
      <c r="G106" s="1292">
        <v>550</v>
      </c>
      <c r="H106" s="2061">
        <v>42.875999999999998</v>
      </c>
      <c r="I106" s="2072">
        <v>105.949</v>
      </c>
      <c r="J106" s="1362">
        <f t="shared" si="6"/>
        <v>7.1240000000000023</v>
      </c>
      <c r="K106" s="1363">
        <f t="shared" si="7"/>
        <v>444.05099999999999</v>
      </c>
      <c r="L106" s="510"/>
      <c r="M106" s="510">
        <v>80</v>
      </c>
      <c r="N106" s="3143"/>
    </row>
    <row r="107" spans="1:14" ht="14.4">
      <c r="A107" s="994"/>
      <c r="B107" s="1287">
        <v>1696</v>
      </c>
      <c r="C107" s="1288">
        <v>957803</v>
      </c>
      <c r="D107" s="1289" t="s">
        <v>803</v>
      </c>
      <c r="E107" s="1290">
        <v>2941</v>
      </c>
      <c r="F107" s="1291">
        <v>30</v>
      </c>
      <c r="G107" s="1292">
        <v>270</v>
      </c>
      <c r="H107" s="2061">
        <v>1.2070000000000001</v>
      </c>
      <c r="I107" s="2072">
        <v>135.93299999999999</v>
      </c>
      <c r="J107" s="1362">
        <f t="shared" si="6"/>
        <v>28.792999999999999</v>
      </c>
      <c r="K107" s="1363">
        <f t="shared" si="7"/>
        <v>134.06700000000001</v>
      </c>
      <c r="L107" s="510"/>
      <c r="M107" s="510">
        <v>81</v>
      </c>
      <c r="N107" s="3143"/>
    </row>
    <row r="108" spans="1:14" ht="14.4">
      <c r="A108" s="994"/>
      <c r="B108" s="1287">
        <v>1696</v>
      </c>
      <c r="C108" s="1288">
        <v>957536</v>
      </c>
      <c r="D108" s="1289" t="s">
        <v>804</v>
      </c>
      <c r="E108" s="1290">
        <v>454</v>
      </c>
      <c r="F108" s="1291">
        <v>50</v>
      </c>
      <c r="G108" s="1292">
        <v>450</v>
      </c>
      <c r="H108" s="2061">
        <v>0</v>
      </c>
      <c r="I108" s="2072">
        <v>0</v>
      </c>
      <c r="J108" s="1362">
        <f t="shared" si="6"/>
        <v>50</v>
      </c>
      <c r="K108" s="1363">
        <f t="shared" si="7"/>
        <v>450</v>
      </c>
      <c r="L108" s="510"/>
      <c r="M108" s="510">
        <v>82</v>
      </c>
      <c r="N108" s="3143"/>
    </row>
    <row r="109" spans="1:14" ht="14.4">
      <c r="A109" s="994"/>
      <c r="B109" s="1287">
        <v>1696</v>
      </c>
      <c r="C109" s="1288">
        <v>910608</v>
      </c>
      <c r="D109" s="1289" t="s">
        <v>805</v>
      </c>
      <c r="E109" s="1290">
        <v>5416</v>
      </c>
      <c r="F109" s="1291">
        <v>50</v>
      </c>
      <c r="G109" s="1292">
        <v>450</v>
      </c>
      <c r="H109" s="2061">
        <v>0</v>
      </c>
      <c r="I109" s="2072">
        <v>0</v>
      </c>
      <c r="J109" s="1362">
        <f t="shared" si="6"/>
        <v>50</v>
      </c>
      <c r="K109" s="1363">
        <f t="shared" si="7"/>
        <v>450</v>
      </c>
      <c r="L109" s="510"/>
      <c r="M109" s="510">
        <v>83</v>
      </c>
      <c r="N109" s="3143"/>
    </row>
    <row r="110" spans="1:14" ht="14.4">
      <c r="A110" s="994"/>
      <c r="B110" s="1287">
        <v>1696</v>
      </c>
      <c r="C110" s="1288">
        <v>952034</v>
      </c>
      <c r="D110" s="1289" t="s">
        <v>806</v>
      </c>
      <c r="E110" s="1290">
        <v>365</v>
      </c>
      <c r="F110" s="1291">
        <v>50</v>
      </c>
      <c r="G110" s="1292">
        <v>450</v>
      </c>
      <c r="H110" s="2061">
        <v>0</v>
      </c>
      <c r="I110" s="2072">
        <v>0</v>
      </c>
      <c r="J110" s="1362">
        <f t="shared" si="6"/>
        <v>50</v>
      </c>
      <c r="K110" s="1363">
        <f t="shared" si="7"/>
        <v>450</v>
      </c>
      <c r="L110" s="510"/>
      <c r="M110" s="510">
        <v>84</v>
      </c>
      <c r="N110" s="3143"/>
    </row>
    <row r="111" spans="1:14" ht="14.4">
      <c r="A111" s="994"/>
      <c r="B111" s="1287">
        <v>1696</v>
      </c>
      <c r="C111" s="1288">
        <v>952212</v>
      </c>
      <c r="D111" s="1289" t="s">
        <v>690</v>
      </c>
      <c r="E111" s="1290">
        <v>575</v>
      </c>
      <c r="F111" s="1291">
        <v>50</v>
      </c>
      <c r="G111" s="1292">
        <v>450</v>
      </c>
      <c r="H111" s="2061">
        <v>43.901000000000003</v>
      </c>
      <c r="I111" s="2072">
        <v>130.29900000000001</v>
      </c>
      <c r="J111" s="1362">
        <f t="shared" si="6"/>
        <v>6.0989999999999966</v>
      </c>
      <c r="K111" s="1363">
        <f t="shared" si="7"/>
        <v>319.70100000000002</v>
      </c>
      <c r="L111" s="510"/>
      <c r="M111" s="510">
        <v>85</v>
      </c>
      <c r="N111" s="3143"/>
    </row>
    <row r="112" spans="1:14" ht="14.4">
      <c r="A112" s="994"/>
      <c r="B112" s="1287">
        <v>1696</v>
      </c>
      <c r="C112" s="1288">
        <v>910367</v>
      </c>
      <c r="D112" s="1289" t="s">
        <v>807</v>
      </c>
      <c r="E112" s="1290">
        <v>1354</v>
      </c>
      <c r="F112" s="1291">
        <v>30</v>
      </c>
      <c r="G112" s="1292">
        <v>270</v>
      </c>
      <c r="H112" s="2061">
        <v>0</v>
      </c>
      <c r="I112" s="2072">
        <v>0</v>
      </c>
      <c r="J112" s="1362">
        <f t="shared" si="6"/>
        <v>30</v>
      </c>
      <c r="K112" s="1363">
        <f t="shared" si="7"/>
        <v>270</v>
      </c>
      <c r="L112" s="510"/>
      <c r="M112" s="510">
        <v>86</v>
      </c>
      <c r="N112" s="3143"/>
    </row>
    <row r="113" spans="1:14" ht="14.4">
      <c r="A113" s="994"/>
      <c r="B113" s="1287">
        <v>1696</v>
      </c>
      <c r="C113" s="1288">
        <v>923170</v>
      </c>
      <c r="D113" s="1289" t="s">
        <v>808</v>
      </c>
      <c r="E113" s="1290">
        <v>1203</v>
      </c>
      <c r="F113" s="1291">
        <v>30</v>
      </c>
      <c r="G113" s="1292">
        <v>270</v>
      </c>
      <c r="H113" s="2061">
        <v>1.6870000000000001</v>
      </c>
      <c r="I113" s="2072">
        <v>24.183</v>
      </c>
      <c r="J113" s="1362">
        <f t="shared" si="6"/>
        <v>28.312999999999999</v>
      </c>
      <c r="K113" s="1363">
        <f t="shared" si="7"/>
        <v>245.81700000000001</v>
      </c>
      <c r="L113" s="510"/>
      <c r="M113" s="510">
        <v>87</v>
      </c>
      <c r="N113" s="3143"/>
    </row>
    <row r="114" spans="1:14" ht="14.4">
      <c r="A114" s="994"/>
      <c r="B114" s="1287">
        <v>1696</v>
      </c>
      <c r="C114" s="1288">
        <v>952003</v>
      </c>
      <c r="D114" s="1289" t="s">
        <v>809</v>
      </c>
      <c r="E114" s="1290">
        <v>607</v>
      </c>
      <c r="F114" s="1291">
        <v>30</v>
      </c>
      <c r="G114" s="1292">
        <v>270</v>
      </c>
      <c r="H114" s="2061">
        <v>0</v>
      </c>
      <c r="I114" s="2072">
        <v>0</v>
      </c>
      <c r="J114" s="1362">
        <f t="shared" si="6"/>
        <v>30</v>
      </c>
      <c r="K114" s="1363">
        <f t="shared" si="7"/>
        <v>270</v>
      </c>
      <c r="L114" s="510"/>
      <c r="M114" s="510">
        <v>88</v>
      </c>
      <c r="N114" s="3143"/>
    </row>
    <row r="115" spans="1:14" ht="15" thickBot="1">
      <c r="A115" s="994"/>
      <c r="B115" s="1293">
        <v>1696</v>
      </c>
      <c r="C115" s="1294">
        <v>952209</v>
      </c>
      <c r="D115" s="1295" t="s">
        <v>810</v>
      </c>
      <c r="E115" s="1296">
        <v>652</v>
      </c>
      <c r="F115" s="1297">
        <v>40</v>
      </c>
      <c r="G115" s="1298">
        <v>360</v>
      </c>
      <c r="H115" s="2063">
        <v>0</v>
      </c>
      <c r="I115" s="2073">
        <v>0</v>
      </c>
      <c r="J115" s="1362">
        <f t="shared" si="6"/>
        <v>40</v>
      </c>
      <c r="K115" s="1363">
        <f t="shared" si="7"/>
        <v>360</v>
      </c>
      <c r="L115" s="1468"/>
      <c r="M115" s="510">
        <v>89</v>
      </c>
      <c r="N115" s="3145"/>
    </row>
    <row r="116" spans="1:14" ht="14.4">
      <c r="A116" s="994"/>
      <c r="B116" s="1281">
        <v>1862</v>
      </c>
      <c r="C116" s="1282">
        <v>953744</v>
      </c>
      <c r="D116" s="1283" t="s">
        <v>833</v>
      </c>
      <c r="E116" s="1284">
        <v>2267</v>
      </c>
      <c r="F116" s="1285">
        <v>0.02</v>
      </c>
      <c r="G116" s="1286">
        <v>149.97999999999999</v>
      </c>
      <c r="H116" s="2059">
        <v>0</v>
      </c>
      <c r="I116" s="2071">
        <v>22.61</v>
      </c>
      <c r="J116" s="1281">
        <v>0.02</v>
      </c>
      <c r="K116" s="1361">
        <f>+G116-I116</f>
        <v>127.36999999999999</v>
      </c>
      <c r="L116" s="510"/>
      <c r="M116" s="510">
        <v>90</v>
      </c>
      <c r="N116" s="3142"/>
    </row>
    <row r="117" spans="1:14" ht="14.4">
      <c r="A117" s="994"/>
      <c r="B117" s="1287">
        <v>1862</v>
      </c>
      <c r="C117" s="1288">
        <v>953084</v>
      </c>
      <c r="D117" s="1289" t="s">
        <v>802</v>
      </c>
      <c r="E117" s="1290">
        <v>2626</v>
      </c>
      <c r="F117" s="1291">
        <v>0.04</v>
      </c>
      <c r="G117" s="1292">
        <v>399.96</v>
      </c>
      <c r="H117" s="2061">
        <v>0.04</v>
      </c>
      <c r="I117" s="2072">
        <v>68.81</v>
      </c>
      <c r="J117" s="1287">
        <v>0.04</v>
      </c>
      <c r="K117" s="1314">
        <f>+G117-I117</f>
        <v>331.15</v>
      </c>
      <c r="L117" s="510"/>
      <c r="M117" s="510">
        <v>91</v>
      </c>
      <c r="N117" s="3143"/>
    </row>
    <row r="118" spans="1:14" ht="15" thickBot="1">
      <c r="A118" s="994"/>
      <c r="B118" s="1293">
        <v>1862</v>
      </c>
      <c r="C118" s="1294">
        <v>957803</v>
      </c>
      <c r="D118" s="1295" t="s">
        <v>803</v>
      </c>
      <c r="E118" s="1296">
        <v>2941</v>
      </c>
      <c r="F118" s="1297">
        <v>0.04</v>
      </c>
      <c r="G118" s="1298">
        <v>399.96</v>
      </c>
      <c r="H118" s="2063">
        <v>0</v>
      </c>
      <c r="I118" s="2073">
        <v>186.54</v>
      </c>
      <c r="J118" s="1293">
        <v>0.04</v>
      </c>
      <c r="K118" s="1321">
        <f>+G118-I118</f>
        <v>213.42</v>
      </c>
      <c r="L118" s="1468"/>
      <c r="M118" s="510">
        <v>92</v>
      </c>
      <c r="N118" s="3145"/>
    </row>
    <row r="119" spans="1:14" ht="14.4">
      <c r="A119" s="994"/>
      <c r="B119" s="4108">
        <v>1890</v>
      </c>
      <c r="C119" s="1282">
        <v>31025</v>
      </c>
      <c r="D119" s="1283" t="s">
        <v>844</v>
      </c>
      <c r="E119" s="1284"/>
      <c r="F119" s="1311">
        <v>50</v>
      </c>
      <c r="G119" s="1311">
        <v>0</v>
      </c>
      <c r="H119" s="2059">
        <v>0</v>
      </c>
      <c r="I119" s="2071">
        <v>0</v>
      </c>
      <c r="J119" s="1362">
        <f t="shared" ref="J119:J128" si="8">+F119-H119</f>
        <v>50</v>
      </c>
      <c r="K119" s="1363">
        <f t="shared" ref="K119:K182" si="9">+G119-I119</f>
        <v>0</v>
      </c>
      <c r="L119" s="510"/>
      <c r="M119" s="510">
        <v>93</v>
      </c>
      <c r="N119" s="3142"/>
    </row>
    <row r="120" spans="1:14" ht="14.4">
      <c r="A120" s="994"/>
      <c r="B120" s="4291"/>
      <c r="C120" s="1288">
        <v>902770</v>
      </c>
      <c r="D120" s="1289" t="s">
        <v>845</v>
      </c>
      <c r="E120" s="1290"/>
      <c r="F120" s="1314">
        <v>50</v>
      </c>
      <c r="G120" s="1314">
        <v>250</v>
      </c>
      <c r="H120" s="2061">
        <v>0</v>
      </c>
      <c r="I120" s="2072">
        <v>0</v>
      </c>
      <c r="J120" s="1362">
        <f t="shared" si="8"/>
        <v>50</v>
      </c>
      <c r="K120" s="1363">
        <f t="shared" si="9"/>
        <v>250</v>
      </c>
      <c r="L120" s="510"/>
      <c r="M120" s="510">
        <v>94</v>
      </c>
      <c r="N120" s="3143"/>
    </row>
    <row r="121" spans="1:14" ht="14.4">
      <c r="A121" s="994"/>
      <c r="B121" s="4291"/>
      <c r="C121" s="1288">
        <v>958198</v>
      </c>
      <c r="D121" s="1289" t="s">
        <v>846</v>
      </c>
      <c r="E121" s="1290"/>
      <c r="F121" s="1314">
        <v>50</v>
      </c>
      <c r="G121" s="1314">
        <v>0</v>
      </c>
      <c r="H121" s="2061">
        <v>1.1479999999999999</v>
      </c>
      <c r="I121" s="2072">
        <v>0</v>
      </c>
      <c r="J121" s="1362">
        <f t="shared" si="8"/>
        <v>48.851999999999997</v>
      </c>
      <c r="K121" s="1363">
        <f t="shared" si="9"/>
        <v>0</v>
      </c>
      <c r="L121" s="510"/>
      <c r="M121" s="510">
        <v>95</v>
      </c>
      <c r="N121" s="3144"/>
    </row>
    <row r="122" spans="1:14" ht="14.4">
      <c r="A122" s="994"/>
      <c r="B122" s="4291"/>
      <c r="C122" s="1288">
        <v>902723</v>
      </c>
      <c r="D122" s="1289" t="s">
        <v>847</v>
      </c>
      <c r="E122" s="1290"/>
      <c r="F122" s="1314">
        <v>50</v>
      </c>
      <c r="G122" s="1314">
        <v>0</v>
      </c>
      <c r="H122" s="2061">
        <v>0</v>
      </c>
      <c r="I122" s="2072">
        <v>0</v>
      </c>
      <c r="J122" s="1362">
        <f t="shared" si="8"/>
        <v>50</v>
      </c>
      <c r="K122" s="1363">
        <f t="shared" si="9"/>
        <v>0</v>
      </c>
      <c r="L122" s="510"/>
      <c r="M122" s="510">
        <v>96</v>
      </c>
      <c r="N122" s="3144"/>
    </row>
    <row r="123" spans="1:14" ht="14.4">
      <c r="A123" s="994"/>
      <c r="B123" s="4291"/>
      <c r="C123" s="1288">
        <v>923215</v>
      </c>
      <c r="D123" s="1289" t="s">
        <v>848</v>
      </c>
      <c r="E123" s="1290"/>
      <c r="F123" s="1314">
        <v>50</v>
      </c>
      <c r="G123" s="1314">
        <v>0</v>
      </c>
      <c r="H123" s="2061">
        <v>0</v>
      </c>
      <c r="I123" s="2072">
        <v>0</v>
      </c>
      <c r="J123" s="1362">
        <f t="shared" si="8"/>
        <v>50</v>
      </c>
      <c r="K123" s="1363">
        <f t="shared" si="9"/>
        <v>0</v>
      </c>
      <c r="L123" s="510"/>
      <c r="M123" s="510">
        <v>97</v>
      </c>
      <c r="N123" s="3144"/>
    </row>
    <row r="124" spans="1:14" ht="14.4">
      <c r="A124" s="994"/>
      <c r="B124" s="4291"/>
      <c r="C124" s="1288">
        <v>950847</v>
      </c>
      <c r="D124" s="1289" t="s">
        <v>849</v>
      </c>
      <c r="E124" s="1290"/>
      <c r="F124" s="1314">
        <v>50</v>
      </c>
      <c r="G124" s="1314">
        <v>0</v>
      </c>
      <c r="H124" s="2061">
        <v>0</v>
      </c>
      <c r="I124" s="2072">
        <v>0</v>
      </c>
      <c r="J124" s="1362">
        <f t="shared" si="8"/>
        <v>50</v>
      </c>
      <c r="K124" s="1363">
        <f t="shared" si="9"/>
        <v>0</v>
      </c>
      <c r="L124" s="510"/>
      <c r="M124" s="510">
        <v>98</v>
      </c>
      <c r="N124" s="3144"/>
    </row>
    <row r="125" spans="1:14" ht="14.4">
      <c r="A125" s="994"/>
      <c r="B125" s="4291"/>
      <c r="C125" s="1288">
        <v>951746</v>
      </c>
      <c r="D125" s="1289" t="s">
        <v>850</v>
      </c>
      <c r="E125" s="1290"/>
      <c r="F125" s="1314">
        <v>50</v>
      </c>
      <c r="G125" s="1314">
        <v>0</v>
      </c>
      <c r="H125" s="2061">
        <v>0</v>
      </c>
      <c r="I125" s="2072">
        <v>0</v>
      </c>
      <c r="J125" s="1362">
        <f t="shared" si="8"/>
        <v>50</v>
      </c>
      <c r="K125" s="1363">
        <f t="shared" si="9"/>
        <v>0</v>
      </c>
      <c r="L125" s="510"/>
      <c r="M125" s="510">
        <v>99</v>
      </c>
      <c r="N125" s="3144"/>
    </row>
    <row r="126" spans="1:14" ht="14.4">
      <c r="A126" s="994"/>
      <c r="B126" s="4291"/>
      <c r="C126" s="1288">
        <v>955834</v>
      </c>
      <c r="D126" s="1289" t="s">
        <v>851</v>
      </c>
      <c r="E126" s="1290"/>
      <c r="F126" s="1314">
        <v>50</v>
      </c>
      <c r="G126" s="1314">
        <v>167</v>
      </c>
      <c r="H126" s="2061">
        <v>6.306</v>
      </c>
      <c r="I126" s="2072">
        <v>66.623999999999995</v>
      </c>
      <c r="J126" s="1362">
        <f t="shared" si="8"/>
        <v>43.694000000000003</v>
      </c>
      <c r="K126" s="1363">
        <f t="shared" si="9"/>
        <v>100.376</v>
      </c>
      <c r="L126" s="510"/>
      <c r="M126" s="510">
        <v>100</v>
      </c>
      <c r="N126" s="3144"/>
    </row>
    <row r="127" spans="1:14" ht="14.4">
      <c r="A127" s="994"/>
      <c r="B127" s="4291"/>
      <c r="C127" s="1288">
        <v>902733</v>
      </c>
      <c r="D127" s="1289" t="s">
        <v>852</v>
      </c>
      <c r="E127" s="1290"/>
      <c r="F127" s="1314">
        <v>50</v>
      </c>
      <c r="G127" s="1314">
        <v>0</v>
      </c>
      <c r="H127" s="2061">
        <v>0</v>
      </c>
      <c r="I127" s="2072">
        <v>0</v>
      </c>
      <c r="J127" s="1362">
        <f t="shared" si="8"/>
        <v>50</v>
      </c>
      <c r="K127" s="1363">
        <f t="shared" si="9"/>
        <v>0</v>
      </c>
      <c r="L127" s="510"/>
      <c r="M127" s="510">
        <v>101</v>
      </c>
      <c r="N127" s="3144"/>
    </row>
    <row r="128" spans="1:14" ht="15" thickBot="1">
      <c r="A128" s="994"/>
      <c r="B128" s="4109"/>
      <c r="C128" s="1306">
        <v>902373</v>
      </c>
      <c r="D128" s="1307" t="s">
        <v>853</v>
      </c>
      <c r="E128" s="1308"/>
      <c r="F128" s="1314">
        <v>50</v>
      </c>
      <c r="G128" s="1314">
        <v>0</v>
      </c>
      <c r="H128" s="2063">
        <v>14.882999999999999</v>
      </c>
      <c r="I128" s="2073">
        <v>0</v>
      </c>
      <c r="J128" s="1362">
        <f t="shared" si="8"/>
        <v>35.117000000000004</v>
      </c>
      <c r="K128" s="1363">
        <f t="shared" si="9"/>
        <v>0</v>
      </c>
      <c r="L128" s="1468"/>
      <c r="M128" s="510">
        <v>102</v>
      </c>
      <c r="N128" s="3145"/>
    </row>
    <row r="129" spans="1:14" ht="14.4">
      <c r="A129" s="994"/>
      <c r="B129" s="4108">
        <v>1977</v>
      </c>
      <c r="C129" s="1310">
        <v>951349</v>
      </c>
      <c r="D129" s="1201" t="s">
        <v>931</v>
      </c>
      <c r="E129" s="1311">
        <v>1352</v>
      </c>
      <c r="F129" s="1803">
        <v>10</v>
      </c>
      <c r="G129" s="1803">
        <v>0</v>
      </c>
      <c r="H129" s="2059">
        <v>0</v>
      </c>
      <c r="I129" s="2071">
        <v>0</v>
      </c>
      <c r="J129" s="1802">
        <v>10</v>
      </c>
      <c r="K129" s="1361">
        <v>0</v>
      </c>
      <c r="L129" s="1468"/>
      <c r="M129" s="510">
        <v>103</v>
      </c>
      <c r="N129" s="3142"/>
    </row>
    <row r="130" spans="1:14" ht="15" thickBot="1">
      <c r="A130" s="994"/>
      <c r="B130" s="4109"/>
      <c r="C130" s="1319">
        <v>951633</v>
      </c>
      <c r="D130" s="1320" t="s">
        <v>930</v>
      </c>
      <c r="E130" s="1321">
        <v>602</v>
      </c>
      <c r="F130" s="1804">
        <v>10</v>
      </c>
      <c r="G130" s="1804">
        <v>0</v>
      </c>
      <c r="H130" s="2063">
        <v>0</v>
      </c>
      <c r="I130" s="2073">
        <v>0</v>
      </c>
      <c r="J130" s="1801">
        <v>10</v>
      </c>
      <c r="K130" s="1365">
        <v>0</v>
      </c>
      <c r="L130" s="1468"/>
      <c r="M130" s="510">
        <v>104</v>
      </c>
      <c r="N130" s="3145"/>
    </row>
    <row r="131" spans="1:14" ht="15" thickBot="1">
      <c r="A131" s="994"/>
      <c r="B131" s="1322">
        <v>2042</v>
      </c>
      <c r="C131" s="1928">
        <v>953641</v>
      </c>
      <c r="D131" s="1929" t="s">
        <v>856</v>
      </c>
      <c r="E131" s="1926"/>
      <c r="F131" s="1924">
        <v>0</v>
      </c>
      <c r="G131" s="1201">
        <v>500</v>
      </c>
      <c r="H131" s="2084">
        <v>0</v>
      </c>
      <c r="I131" s="2085">
        <v>145.6</v>
      </c>
      <c r="J131" s="1927">
        <f t="shared" ref="J131:J137" si="10">+F131-H131</f>
        <v>0</v>
      </c>
      <c r="K131" s="1925">
        <f t="shared" si="9"/>
        <v>354.4</v>
      </c>
      <c r="L131" s="1468"/>
      <c r="M131" s="510">
        <v>105</v>
      </c>
      <c r="N131" s="3148"/>
    </row>
    <row r="132" spans="1:14" ht="14.4">
      <c r="A132" s="994"/>
      <c r="B132" s="4108">
        <v>2246</v>
      </c>
      <c r="C132" s="1310"/>
      <c r="D132" s="1201" t="s">
        <v>673</v>
      </c>
      <c r="E132" s="1311"/>
      <c r="F132" s="1201">
        <v>0.04</v>
      </c>
      <c r="G132" s="1803">
        <v>499.96</v>
      </c>
      <c r="H132" s="2086">
        <v>0</v>
      </c>
      <c r="I132" s="2087">
        <v>0</v>
      </c>
      <c r="J132" s="1360">
        <f t="shared" si="10"/>
        <v>0.04</v>
      </c>
      <c r="K132" s="1361">
        <f t="shared" ref="K132:K137" si="11">+G132-I132</f>
        <v>499.96</v>
      </c>
      <c r="L132" s="1468"/>
      <c r="M132" s="510">
        <v>106</v>
      </c>
      <c r="N132" s="3149"/>
    </row>
    <row r="133" spans="1:14" ht="14.4">
      <c r="A133" s="994"/>
      <c r="B133" s="4291"/>
      <c r="C133" s="1312"/>
      <c r="D133" s="1313" t="s">
        <v>704</v>
      </c>
      <c r="E133" s="1314"/>
      <c r="F133" s="1313">
        <v>0.04</v>
      </c>
      <c r="G133" s="1922">
        <v>499.96</v>
      </c>
      <c r="H133" s="2088">
        <v>0</v>
      </c>
      <c r="I133" s="2089">
        <v>0</v>
      </c>
      <c r="J133" s="1362">
        <f t="shared" si="10"/>
        <v>0.04</v>
      </c>
      <c r="K133" s="1363">
        <f t="shared" si="11"/>
        <v>499.96</v>
      </c>
      <c r="L133" s="1468"/>
      <c r="M133" s="510">
        <v>107</v>
      </c>
      <c r="N133" s="3150"/>
    </row>
    <row r="134" spans="1:14" ht="14.4">
      <c r="A134" s="994"/>
      <c r="B134" s="4291"/>
      <c r="C134" s="1312"/>
      <c r="D134" s="1313" t="s">
        <v>956</v>
      </c>
      <c r="E134" s="1314"/>
      <c r="F134" s="1313">
        <v>0.04</v>
      </c>
      <c r="G134" s="1922">
        <v>499.96</v>
      </c>
      <c r="H134" s="2088">
        <v>0</v>
      </c>
      <c r="I134" s="2089">
        <v>0</v>
      </c>
      <c r="J134" s="1362">
        <f t="shared" si="10"/>
        <v>0.04</v>
      </c>
      <c r="K134" s="1363">
        <f t="shared" si="11"/>
        <v>499.96</v>
      </c>
      <c r="L134" s="1468"/>
      <c r="M134" s="510">
        <v>108</v>
      </c>
      <c r="N134" s="3150"/>
    </row>
    <row r="135" spans="1:14" ht="14.4">
      <c r="A135" s="994"/>
      <c r="B135" s="4291"/>
      <c r="C135" s="1312"/>
      <c r="D135" s="1313" t="s">
        <v>726</v>
      </c>
      <c r="E135" s="1314"/>
      <c r="F135" s="1313">
        <v>0.04</v>
      </c>
      <c r="G135" s="1922">
        <v>499.96</v>
      </c>
      <c r="H135" s="2088">
        <v>0.04</v>
      </c>
      <c r="I135" s="2089">
        <v>78.399000000000001</v>
      </c>
      <c r="J135" s="1362">
        <f t="shared" si="10"/>
        <v>0</v>
      </c>
      <c r="K135" s="1363">
        <f t="shared" si="11"/>
        <v>421.56099999999998</v>
      </c>
      <c r="L135" s="1468"/>
      <c r="M135" s="510">
        <v>109</v>
      </c>
      <c r="N135" s="3150"/>
    </row>
    <row r="136" spans="1:14" ht="14.4">
      <c r="A136" s="994"/>
      <c r="B136" s="4291"/>
      <c r="C136" s="1312"/>
      <c r="D136" s="1313" t="s">
        <v>720</v>
      </c>
      <c r="E136" s="1314"/>
      <c r="F136" s="1313">
        <v>0.04</v>
      </c>
      <c r="G136" s="1922">
        <v>999.96</v>
      </c>
      <c r="H136" s="2088">
        <v>0.04</v>
      </c>
      <c r="I136" s="2089">
        <v>692.49800000000005</v>
      </c>
      <c r="J136" s="1362">
        <f t="shared" si="10"/>
        <v>0</v>
      </c>
      <c r="K136" s="1363">
        <f t="shared" si="11"/>
        <v>307.46199999999999</v>
      </c>
      <c r="L136" s="1468"/>
      <c r="M136" s="510">
        <v>110</v>
      </c>
      <c r="N136" s="3150"/>
    </row>
    <row r="137" spans="1:14" ht="15" thickBot="1">
      <c r="A137" s="994"/>
      <c r="B137" s="4109"/>
      <c r="C137" s="1319"/>
      <c r="D137" s="1320" t="s">
        <v>957</v>
      </c>
      <c r="E137" s="1321"/>
      <c r="F137" s="1320">
        <v>0.04</v>
      </c>
      <c r="G137" s="1804">
        <v>299.95999999999998</v>
      </c>
      <c r="H137" s="2090">
        <v>0.04</v>
      </c>
      <c r="I137" s="2091">
        <v>35.923999999999999</v>
      </c>
      <c r="J137" s="1364">
        <f t="shared" si="10"/>
        <v>0</v>
      </c>
      <c r="K137" s="1365">
        <f t="shared" si="11"/>
        <v>264.036</v>
      </c>
      <c r="L137" s="1468"/>
      <c r="M137" s="510">
        <v>111</v>
      </c>
      <c r="N137" s="3151"/>
    </row>
    <row r="138" spans="1:14" ht="14.4">
      <c r="A138" s="994">
        <v>1</v>
      </c>
      <c r="B138" s="4108">
        <v>2247</v>
      </c>
      <c r="C138" s="1312">
        <v>31305</v>
      </c>
      <c r="D138" s="1313" t="s">
        <v>938</v>
      </c>
      <c r="E138" s="1314"/>
      <c r="F138" s="1313">
        <v>0</v>
      </c>
      <c r="G138" s="1922">
        <v>246</v>
      </c>
      <c r="H138" s="2088">
        <v>0</v>
      </c>
      <c r="I138" s="2092">
        <v>36.395000000000003</v>
      </c>
      <c r="J138" s="1362">
        <f t="shared" ref="J138:K195" si="12">+F138-H138</f>
        <v>0</v>
      </c>
      <c r="K138" s="1923">
        <f t="shared" si="9"/>
        <v>209.60499999999999</v>
      </c>
      <c r="L138" s="1468"/>
      <c r="M138" s="510">
        <v>112</v>
      </c>
      <c r="N138" s="3150"/>
    </row>
    <row r="139" spans="1:14" ht="14.4">
      <c r="A139" s="994">
        <v>2</v>
      </c>
      <c r="B139" s="4291"/>
      <c r="C139" s="1312">
        <v>924614</v>
      </c>
      <c r="D139" s="1313" t="s">
        <v>939</v>
      </c>
      <c r="E139" s="1314"/>
      <c r="F139" s="1313">
        <v>0</v>
      </c>
      <c r="G139" s="1922">
        <v>246</v>
      </c>
      <c r="H139" s="2088">
        <v>0</v>
      </c>
      <c r="I139" s="2092">
        <v>204.89500000000001</v>
      </c>
      <c r="J139" s="1362">
        <f t="shared" si="12"/>
        <v>0</v>
      </c>
      <c r="K139" s="1923">
        <f t="shared" si="9"/>
        <v>41.10499999999999</v>
      </c>
      <c r="L139" s="1468"/>
      <c r="M139" s="510">
        <v>113</v>
      </c>
      <c r="N139" s="3150"/>
    </row>
    <row r="140" spans="1:14" ht="14.4">
      <c r="A140" s="994">
        <v>3</v>
      </c>
      <c r="B140" s="4291"/>
      <c r="C140" s="1312">
        <v>955448</v>
      </c>
      <c r="D140" s="1313" t="s">
        <v>940</v>
      </c>
      <c r="E140" s="1314"/>
      <c r="F140" s="1313">
        <v>0</v>
      </c>
      <c r="G140" s="1922">
        <v>246</v>
      </c>
      <c r="H140" s="2088">
        <v>0</v>
      </c>
      <c r="I140" s="2092">
        <v>48.015000000000001</v>
      </c>
      <c r="J140" s="1362">
        <f t="shared" si="12"/>
        <v>0</v>
      </c>
      <c r="K140" s="1923">
        <f t="shared" si="9"/>
        <v>197.98500000000001</v>
      </c>
      <c r="L140" s="1468"/>
      <c r="M140" s="510">
        <v>114</v>
      </c>
      <c r="N140" s="3150"/>
    </row>
    <row r="141" spans="1:14" ht="14.4">
      <c r="A141" s="994">
        <v>4</v>
      </c>
      <c r="B141" s="4291"/>
      <c r="C141" s="1312">
        <v>25093</v>
      </c>
      <c r="D141" s="1313" t="s">
        <v>941</v>
      </c>
      <c r="E141" s="1314"/>
      <c r="F141" s="1313">
        <v>0</v>
      </c>
      <c r="G141" s="1922">
        <v>246</v>
      </c>
      <c r="H141" s="2088">
        <v>0</v>
      </c>
      <c r="I141" s="2092">
        <v>142.25899999999999</v>
      </c>
      <c r="J141" s="1362">
        <f t="shared" si="12"/>
        <v>0</v>
      </c>
      <c r="K141" s="1923">
        <f t="shared" si="9"/>
        <v>103.74100000000001</v>
      </c>
      <c r="L141" s="1468"/>
      <c r="M141" s="510">
        <v>115</v>
      </c>
      <c r="N141" s="3150"/>
    </row>
    <row r="142" spans="1:14" ht="14.4">
      <c r="A142" s="994">
        <v>5</v>
      </c>
      <c r="B142" s="4291"/>
      <c r="C142" s="1312">
        <v>955838</v>
      </c>
      <c r="D142" s="1313" t="s">
        <v>942</v>
      </c>
      <c r="E142" s="1314"/>
      <c r="F142" s="1313">
        <v>0</v>
      </c>
      <c r="G142" s="1922">
        <v>246</v>
      </c>
      <c r="H142" s="2088">
        <v>0</v>
      </c>
      <c r="I142" s="2092">
        <v>0</v>
      </c>
      <c r="J142" s="1362">
        <f t="shared" si="12"/>
        <v>0</v>
      </c>
      <c r="K142" s="1923">
        <f t="shared" si="9"/>
        <v>246</v>
      </c>
      <c r="L142" s="1468"/>
      <c r="M142" s="510">
        <v>116</v>
      </c>
      <c r="N142" s="3150"/>
    </row>
    <row r="143" spans="1:14" ht="14.4">
      <c r="A143" s="994">
        <v>6</v>
      </c>
      <c r="B143" s="4291"/>
      <c r="C143" s="1312">
        <v>956560</v>
      </c>
      <c r="D143" s="1313" t="s">
        <v>943</v>
      </c>
      <c r="E143" s="1314"/>
      <c r="F143" s="1313">
        <v>0</v>
      </c>
      <c r="G143" s="1922">
        <v>246</v>
      </c>
      <c r="H143" s="2088">
        <v>0</v>
      </c>
      <c r="I143" s="2092">
        <v>66.590999999999994</v>
      </c>
      <c r="J143" s="1362">
        <f t="shared" si="12"/>
        <v>0</v>
      </c>
      <c r="K143" s="1923">
        <f t="shared" si="9"/>
        <v>179.40899999999999</v>
      </c>
      <c r="L143" s="1468"/>
      <c r="M143" s="510">
        <v>117</v>
      </c>
      <c r="N143" s="3150"/>
    </row>
    <row r="144" spans="1:14" ht="14.4">
      <c r="A144" s="994">
        <v>7</v>
      </c>
      <c r="B144" s="4291"/>
      <c r="C144" s="1312">
        <v>957821</v>
      </c>
      <c r="D144" s="1313" t="s">
        <v>944</v>
      </c>
      <c r="E144" s="1314"/>
      <c r="F144" s="1313">
        <v>0</v>
      </c>
      <c r="G144" s="1922">
        <v>246</v>
      </c>
      <c r="H144" s="2088">
        <v>0</v>
      </c>
      <c r="I144" s="2092">
        <v>67.680999999999997</v>
      </c>
      <c r="J144" s="1362">
        <f t="shared" si="12"/>
        <v>0</v>
      </c>
      <c r="K144" s="1923">
        <f t="shared" si="9"/>
        <v>178.31900000000002</v>
      </c>
      <c r="L144" s="1468"/>
      <c r="M144" s="510">
        <v>118</v>
      </c>
      <c r="N144" s="3150"/>
    </row>
    <row r="145" spans="1:14" ht="14.4">
      <c r="A145" s="994">
        <v>8</v>
      </c>
      <c r="B145" s="4291"/>
      <c r="C145" s="1312">
        <v>923224</v>
      </c>
      <c r="D145" s="1313" t="s">
        <v>945</v>
      </c>
      <c r="E145" s="1314"/>
      <c r="F145" s="1313">
        <v>0</v>
      </c>
      <c r="G145" s="1922">
        <v>246</v>
      </c>
      <c r="H145" s="2088">
        <v>0</v>
      </c>
      <c r="I145" s="2092">
        <v>0</v>
      </c>
      <c r="J145" s="1362">
        <f t="shared" si="12"/>
        <v>0</v>
      </c>
      <c r="K145" s="1923">
        <f t="shared" si="9"/>
        <v>246</v>
      </c>
      <c r="L145" s="1468"/>
      <c r="M145" s="510">
        <v>119</v>
      </c>
      <c r="N145" s="3150"/>
    </row>
    <row r="146" spans="1:14" ht="14.4">
      <c r="A146" s="994">
        <v>9</v>
      </c>
      <c r="B146" s="4291"/>
      <c r="C146" s="1312">
        <v>954686</v>
      </c>
      <c r="D146" s="1313" t="s">
        <v>946</v>
      </c>
      <c r="E146" s="1314"/>
      <c r="F146" s="1313">
        <v>0</v>
      </c>
      <c r="G146" s="1922">
        <v>246</v>
      </c>
      <c r="H146" s="2088">
        <v>0</v>
      </c>
      <c r="I146" s="2092">
        <v>0</v>
      </c>
      <c r="J146" s="1362">
        <f t="shared" si="12"/>
        <v>0</v>
      </c>
      <c r="K146" s="1923">
        <f t="shared" si="9"/>
        <v>246</v>
      </c>
      <c r="L146" s="1468"/>
      <c r="M146" s="510">
        <v>120</v>
      </c>
      <c r="N146" s="3150"/>
    </row>
    <row r="147" spans="1:14" ht="14.4">
      <c r="A147" s="994">
        <v>10</v>
      </c>
      <c r="B147" s="4291"/>
      <c r="C147" s="1312">
        <v>956236</v>
      </c>
      <c r="D147" s="1313" t="s">
        <v>947</v>
      </c>
      <c r="E147" s="1314"/>
      <c r="F147" s="1313">
        <v>0</v>
      </c>
      <c r="G147" s="1922">
        <v>246</v>
      </c>
      <c r="H147" s="2088">
        <v>0</v>
      </c>
      <c r="I147" s="2092">
        <v>110.494</v>
      </c>
      <c r="J147" s="1362">
        <f t="shared" si="12"/>
        <v>0</v>
      </c>
      <c r="K147" s="1923">
        <f t="shared" si="9"/>
        <v>135.506</v>
      </c>
      <c r="L147" s="1468"/>
      <c r="M147" s="510">
        <v>121</v>
      </c>
      <c r="N147" s="3150"/>
    </row>
    <row r="148" spans="1:14" ht="14.4">
      <c r="A148" s="994">
        <v>11</v>
      </c>
      <c r="B148" s="4291"/>
      <c r="C148" s="1312">
        <v>957810</v>
      </c>
      <c r="D148" s="1313" t="s">
        <v>948</v>
      </c>
      <c r="E148" s="1314"/>
      <c r="F148" s="1313">
        <v>0</v>
      </c>
      <c r="G148" s="1922">
        <v>246</v>
      </c>
      <c r="H148" s="2088">
        <v>0</v>
      </c>
      <c r="I148" s="2092">
        <v>0</v>
      </c>
      <c r="J148" s="1362">
        <f t="shared" si="12"/>
        <v>0</v>
      </c>
      <c r="K148" s="1923">
        <f t="shared" si="9"/>
        <v>246</v>
      </c>
      <c r="L148" s="1468"/>
      <c r="M148" s="510">
        <v>122</v>
      </c>
      <c r="N148" s="3150"/>
    </row>
    <row r="149" spans="1:14" ht="14.4">
      <c r="A149" s="994">
        <v>12</v>
      </c>
      <c r="B149" s="4291"/>
      <c r="C149" s="1312">
        <v>30822</v>
      </c>
      <c r="D149" s="1313" t="s">
        <v>949</v>
      </c>
      <c r="E149" s="1314"/>
      <c r="F149" s="1313">
        <v>0</v>
      </c>
      <c r="G149" s="1922">
        <v>246</v>
      </c>
      <c r="H149" s="2088">
        <v>0</v>
      </c>
      <c r="I149" s="2092">
        <v>246</v>
      </c>
      <c r="J149" s="1362">
        <f t="shared" si="12"/>
        <v>0</v>
      </c>
      <c r="K149" s="1923">
        <f t="shared" si="9"/>
        <v>0</v>
      </c>
      <c r="L149" s="1468"/>
      <c r="M149" s="510">
        <v>123</v>
      </c>
      <c r="N149" s="3150"/>
    </row>
    <row r="150" spans="1:14" ht="14.4">
      <c r="A150" s="994">
        <v>13</v>
      </c>
      <c r="B150" s="4291"/>
      <c r="C150" s="1312">
        <v>952452</v>
      </c>
      <c r="D150" s="1313" t="s">
        <v>950</v>
      </c>
      <c r="E150" s="1314"/>
      <c r="F150" s="1313">
        <v>0</v>
      </c>
      <c r="G150" s="1922">
        <v>246</v>
      </c>
      <c r="H150" s="2088">
        <v>0</v>
      </c>
      <c r="I150" s="2092">
        <v>195.297</v>
      </c>
      <c r="J150" s="1362">
        <f t="shared" si="12"/>
        <v>0</v>
      </c>
      <c r="K150" s="1923">
        <f t="shared" si="9"/>
        <v>50.703000000000003</v>
      </c>
      <c r="L150" s="1468"/>
      <c r="M150" s="510">
        <v>124</v>
      </c>
      <c r="N150" s="3150"/>
    </row>
    <row r="151" spans="1:14" ht="14.4">
      <c r="A151" s="994">
        <v>14</v>
      </c>
      <c r="B151" s="4291"/>
      <c r="C151" s="1312">
        <v>951497</v>
      </c>
      <c r="D151" s="1313" t="s">
        <v>951</v>
      </c>
      <c r="E151" s="1314"/>
      <c r="F151" s="1313">
        <v>0</v>
      </c>
      <c r="G151" s="1922">
        <v>246</v>
      </c>
      <c r="H151" s="2088">
        <v>0</v>
      </c>
      <c r="I151" s="2092">
        <v>0</v>
      </c>
      <c r="J151" s="1362">
        <f t="shared" si="12"/>
        <v>0</v>
      </c>
      <c r="K151" s="1923">
        <f t="shared" si="9"/>
        <v>246</v>
      </c>
      <c r="L151" s="1468"/>
      <c r="M151" s="510">
        <v>125</v>
      </c>
      <c r="N151" s="3150"/>
    </row>
    <row r="152" spans="1:14" ht="14.4">
      <c r="A152" s="994">
        <v>15</v>
      </c>
      <c r="B152" s="4291"/>
      <c r="C152" s="1312">
        <v>5592</v>
      </c>
      <c r="D152" s="1313" t="s">
        <v>952</v>
      </c>
      <c r="E152" s="1314"/>
      <c r="F152" s="1313">
        <v>0</v>
      </c>
      <c r="G152" s="1922">
        <v>246</v>
      </c>
      <c r="H152" s="2088">
        <v>0</v>
      </c>
      <c r="I152" s="2092">
        <v>176.66800000000001</v>
      </c>
      <c r="J152" s="1362">
        <f t="shared" si="12"/>
        <v>0</v>
      </c>
      <c r="K152" s="1923">
        <f t="shared" si="9"/>
        <v>69.331999999999994</v>
      </c>
      <c r="L152" s="1468"/>
      <c r="M152" s="510">
        <v>126</v>
      </c>
      <c r="N152" s="3150"/>
    </row>
    <row r="153" spans="1:14" ht="14.4">
      <c r="A153" s="994">
        <v>16</v>
      </c>
      <c r="B153" s="4291"/>
      <c r="C153" s="1312">
        <v>952296</v>
      </c>
      <c r="D153" s="1313" t="s">
        <v>953</v>
      </c>
      <c r="E153" s="1314"/>
      <c r="F153" s="1313">
        <v>0</v>
      </c>
      <c r="G153" s="1922">
        <v>246</v>
      </c>
      <c r="H153" s="2088">
        <v>0</v>
      </c>
      <c r="I153" s="2092">
        <v>245.34800000000001</v>
      </c>
      <c r="J153" s="1362">
        <f t="shared" si="12"/>
        <v>0</v>
      </c>
      <c r="K153" s="1923">
        <f t="shared" si="9"/>
        <v>0.65199999999998681</v>
      </c>
      <c r="L153" s="1468"/>
      <c r="M153" s="510">
        <v>127</v>
      </c>
      <c r="N153" s="3150"/>
    </row>
    <row r="154" spans="1:14" ht="14.4">
      <c r="A154" s="994">
        <v>17</v>
      </c>
      <c r="B154" s="4291"/>
      <c r="C154" s="1312">
        <v>952311</v>
      </c>
      <c r="D154" s="1313" t="s">
        <v>954</v>
      </c>
      <c r="E154" s="1314"/>
      <c r="F154" s="1313">
        <v>0</v>
      </c>
      <c r="G154" s="1922">
        <v>246</v>
      </c>
      <c r="H154" s="2088">
        <v>0</v>
      </c>
      <c r="I154" s="2092">
        <v>141.792</v>
      </c>
      <c r="J154" s="1362">
        <f t="shared" si="12"/>
        <v>0</v>
      </c>
      <c r="K154" s="1923">
        <f t="shared" si="9"/>
        <v>104.208</v>
      </c>
      <c r="L154" s="1468"/>
      <c r="M154" s="510">
        <v>128</v>
      </c>
      <c r="N154" s="3150"/>
    </row>
    <row r="155" spans="1:14" ht="15" thickBot="1">
      <c r="A155" s="994">
        <v>18</v>
      </c>
      <c r="B155" s="4109"/>
      <c r="C155" s="1312">
        <v>953334</v>
      </c>
      <c r="D155" s="1313" t="s">
        <v>955</v>
      </c>
      <c r="E155" s="1314"/>
      <c r="F155" s="1313">
        <v>0</v>
      </c>
      <c r="G155" s="1922">
        <v>246</v>
      </c>
      <c r="H155" s="2088">
        <v>0</v>
      </c>
      <c r="I155" s="2092">
        <v>116.961</v>
      </c>
      <c r="J155" s="1362">
        <f t="shared" si="12"/>
        <v>0</v>
      </c>
      <c r="K155" s="1923">
        <f t="shared" si="9"/>
        <v>129.03899999999999</v>
      </c>
      <c r="L155" s="1468"/>
      <c r="M155" s="510">
        <v>129</v>
      </c>
      <c r="N155" s="3150"/>
    </row>
    <row r="156" spans="1:14" ht="14.4">
      <c r="A156" s="994"/>
      <c r="B156" s="4293">
        <v>2477</v>
      </c>
      <c r="C156" s="1928">
        <v>926663</v>
      </c>
      <c r="D156" s="2056" t="s">
        <v>678</v>
      </c>
      <c r="E156" s="1926">
        <v>2442</v>
      </c>
      <c r="F156" s="2056">
        <v>0.04</v>
      </c>
      <c r="G156" s="2049">
        <v>499.96</v>
      </c>
      <c r="H156" s="2095">
        <v>0.04</v>
      </c>
      <c r="I156" s="2096">
        <v>421.98200000000003</v>
      </c>
      <c r="J156" s="2053">
        <f t="shared" si="12"/>
        <v>0</v>
      </c>
      <c r="K156" s="2050">
        <f t="shared" si="9"/>
        <v>77.977999999999952</v>
      </c>
      <c r="L156" s="1468"/>
      <c r="M156" s="510">
        <v>130</v>
      </c>
      <c r="N156" s="3149"/>
    </row>
    <row r="157" spans="1:14" ht="14.4">
      <c r="A157" s="994"/>
      <c r="B157" s="4294"/>
      <c r="C157" s="2352">
        <v>951772</v>
      </c>
      <c r="D157" s="2057" t="s">
        <v>679</v>
      </c>
      <c r="E157" s="2353">
        <v>2383</v>
      </c>
      <c r="F157" s="2057">
        <v>0.04</v>
      </c>
      <c r="G157" s="1317">
        <v>499.96</v>
      </c>
      <c r="H157" s="2097">
        <v>0.04</v>
      </c>
      <c r="I157" s="2098">
        <v>177.35300000000001</v>
      </c>
      <c r="J157" s="1410">
        <f t="shared" si="12"/>
        <v>0</v>
      </c>
      <c r="K157" s="1411">
        <f t="shared" si="9"/>
        <v>322.60699999999997</v>
      </c>
      <c r="L157" s="1468"/>
      <c r="M157" s="510">
        <v>131</v>
      </c>
      <c r="N157" s="3150"/>
    </row>
    <row r="158" spans="1:14" ht="14.4">
      <c r="A158" s="994"/>
      <c r="B158" s="4294"/>
      <c r="C158" s="2352">
        <v>955878</v>
      </c>
      <c r="D158" s="2057" t="s">
        <v>985</v>
      </c>
      <c r="E158" s="2353">
        <v>2878</v>
      </c>
      <c r="F158" s="2057">
        <v>0.04</v>
      </c>
      <c r="G158" s="1317">
        <v>499.96</v>
      </c>
      <c r="H158" s="2097">
        <v>0</v>
      </c>
      <c r="I158" s="2098">
        <v>0</v>
      </c>
      <c r="J158" s="1410">
        <f t="shared" si="12"/>
        <v>0.04</v>
      </c>
      <c r="K158" s="1411">
        <f t="shared" si="9"/>
        <v>499.96</v>
      </c>
      <c r="L158" s="1468"/>
      <c r="M158" s="510">
        <v>132</v>
      </c>
      <c r="N158" s="3150"/>
    </row>
    <row r="159" spans="1:14" ht="15" thickBot="1">
      <c r="A159" s="994"/>
      <c r="B159" s="4295"/>
      <c r="C159" s="2354">
        <v>956244</v>
      </c>
      <c r="D159" s="2058" t="s">
        <v>725</v>
      </c>
      <c r="E159" s="2355">
        <v>1714</v>
      </c>
      <c r="F159" s="2058">
        <v>0.04</v>
      </c>
      <c r="G159" s="2051">
        <v>499.96</v>
      </c>
      <c r="H159" s="2099">
        <v>0</v>
      </c>
      <c r="I159" s="2100">
        <v>82.1</v>
      </c>
      <c r="J159" s="2054">
        <f t="shared" si="12"/>
        <v>0.04</v>
      </c>
      <c r="K159" s="2052">
        <f t="shared" si="9"/>
        <v>417.86</v>
      </c>
      <c r="L159" s="1468"/>
      <c r="M159" s="510">
        <v>133</v>
      </c>
      <c r="N159" s="3151"/>
    </row>
    <row r="160" spans="1:14" ht="14.4">
      <c r="A160" s="994"/>
      <c r="B160" s="4296">
        <v>2547</v>
      </c>
      <c r="C160" s="1928">
        <v>955511</v>
      </c>
      <c r="D160" s="2273" t="s">
        <v>1005</v>
      </c>
      <c r="E160" s="1803">
        <v>2876</v>
      </c>
      <c r="F160" s="2436">
        <v>0.02</v>
      </c>
      <c r="G160" s="2279">
        <v>199.98</v>
      </c>
      <c r="H160" s="2283">
        <v>0.02</v>
      </c>
      <c r="I160" s="2284">
        <v>24.228999999999999</v>
      </c>
      <c r="J160" s="2274">
        <f t="shared" si="12"/>
        <v>0</v>
      </c>
      <c r="K160" s="2275">
        <f t="shared" si="9"/>
        <v>175.75099999999998</v>
      </c>
      <c r="L160" s="1468"/>
      <c r="M160" s="510">
        <v>134</v>
      </c>
      <c r="N160" s="3149"/>
    </row>
    <row r="161" spans="1:14" ht="14.4">
      <c r="A161" s="994"/>
      <c r="B161" s="4297"/>
      <c r="C161" s="2352">
        <v>952831</v>
      </c>
      <c r="D161" s="1396" t="s">
        <v>727</v>
      </c>
      <c r="E161" s="1922">
        <v>2252</v>
      </c>
      <c r="F161" s="2437">
        <v>0.04</v>
      </c>
      <c r="G161" s="2281">
        <v>499.96</v>
      </c>
      <c r="H161" s="2285">
        <v>0</v>
      </c>
      <c r="I161" s="2286">
        <v>0</v>
      </c>
      <c r="J161" s="2272">
        <f t="shared" si="12"/>
        <v>0.04</v>
      </c>
      <c r="K161" s="2276">
        <f t="shared" si="9"/>
        <v>499.96</v>
      </c>
      <c r="L161" s="1468"/>
      <c r="M161" s="510">
        <v>135</v>
      </c>
      <c r="N161" s="3150"/>
    </row>
    <row r="162" spans="1:14" ht="14.4">
      <c r="A162" s="994"/>
      <c r="B162" s="4297"/>
      <c r="C162" s="2352">
        <v>926065</v>
      </c>
      <c r="D162" s="1396" t="s">
        <v>1006</v>
      </c>
      <c r="E162" s="1922">
        <v>676</v>
      </c>
      <c r="F162" s="2437">
        <v>0.04</v>
      </c>
      <c r="G162" s="2281">
        <v>499.96</v>
      </c>
      <c r="H162" s="2285">
        <v>0.04</v>
      </c>
      <c r="I162" s="2286">
        <v>128.25</v>
      </c>
      <c r="J162" s="2272">
        <f t="shared" si="12"/>
        <v>0</v>
      </c>
      <c r="K162" s="2276">
        <f t="shared" si="9"/>
        <v>371.71</v>
      </c>
      <c r="L162" s="1468"/>
      <c r="M162" s="510">
        <v>136</v>
      </c>
      <c r="N162" s="3150"/>
    </row>
    <row r="163" spans="1:14" ht="14.4">
      <c r="A163" s="994"/>
      <c r="B163" s="4297"/>
      <c r="C163" s="2352">
        <v>953744</v>
      </c>
      <c r="D163" s="1396" t="s">
        <v>1007</v>
      </c>
      <c r="E163" s="1922">
        <v>2267</v>
      </c>
      <c r="F163" s="2437">
        <v>0.02</v>
      </c>
      <c r="G163" s="2281">
        <v>299.98</v>
      </c>
      <c r="H163" s="2285">
        <v>0</v>
      </c>
      <c r="I163" s="2286">
        <v>0</v>
      </c>
      <c r="J163" s="2272">
        <f t="shared" si="12"/>
        <v>0.02</v>
      </c>
      <c r="K163" s="2276">
        <f t="shared" si="9"/>
        <v>299.98</v>
      </c>
      <c r="L163" s="1468"/>
      <c r="M163" s="510">
        <v>137</v>
      </c>
      <c r="N163" s="3150"/>
    </row>
    <row r="164" spans="1:14" ht="14.4">
      <c r="A164" s="994"/>
      <c r="B164" s="4297"/>
      <c r="C164" s="2352">
        <v>953084</v>
      </c>
      <c r="D164" s="1396" t="s">
        <v>802</v>
      </c>
      <c r="E164" s="1922">
        <v>2626</v>
      </c>
      <c r="F164" s="2437">
        <v>0.04</v>
      </c>
      <c r="G164" s="2281">
        <v>399.96</v>
      </c>
      <c r="H164" s="2285">
        <v>0</v>
      </c>
      <c r="I164" s="2286">
        <v>0</v>
      </c>
      <c r="J164" s="2272">
        <f t="shared" si="12"/>
        <v>0.04</v>
      </c>
      <c r="K164" s="2276">
        <f t="shared" si="9"/>
        <v>399.96</v>
      </c>
      <c r="L164" s="1468"/>
      <c r="M164" s="510">
        <v>138</v>
      </c>
      <c r="N164" s="3150"/>
    </row>
    <row r="165" spans="1:14" ht="15" thickBot="1">
      <c r="A165" s="994"/>
      <c r="B165" s="4297"/>
      <c r="C165" s="2352">
        <v>957803</v>
      </c>
      <c r="D165" s="1396" t="s">
        <v>803</v>
      </c>
      <c r="E165" s="1804">
        <v>2941</v>
      </c>
      <c r="F165" s="2437">
        <v>0.04</v>
      </c>
      <c r="G165" s="2281">
        <v>399.96</v>
      </c>
      <c r="H165" s="2285">
        <v>0</v>
      </c>
      <c r="I165" s="2286">
        <v>72.394999999999996</v>
      </c>
      <c r="J165" s="2272">
        <f t="shared" si="12"/>
        <v>0.04</v>
      </c>
      <c r="K165" s="2276">
        <f t="shared" si="9"/>
        <v>327.565</v>
      </c>
      <c r="L165" s="1468"/>
      <c r="M165" s="510">
        <v>139</v>
      </c>
      <c r="N165" s="3151"/>
    </row>
    <row r="166" spans="1:14" ht="15" thickBot="1">
      <c r="A166" s="994"/>
      <c r="B166" s="2539">
        <v>2602</v>
      </c>
      <c r="C166" s="2540">
        <v>924717</v>
      </c>
      <c r="D166" s="2540" t="s">
        <v>1092</v>
      </c>
      <c r="E166" s="2541">
        <v>948</v>
      </c>
      <c r="F166" s="2539">
        <v>0.02</v>
      </c>
      <c r="G166" s="2541">
        <v>299.98</v>
      </c>
      <c r="H166" s="2542">
        <v>0.02</v>
      </c>
      <c r="I166" s="2543">
        <v>27.213000000000001</v>
      </c>
      <c r="J166" s="2544">
        <f t="shared" si="12"/>
        <v>0</v>
      </c>
      <c r="K166" s="2524">
        <f t="shared" si="9"/>
        <v>272.767</v>
      </c>
      <c r="L166" s="1468"/>
      <c r="M166" s="510">
        <v>140</v>
      </c>
      <c r="N166" s="3150"/>
    </row>
    <row r="167" spans="1:14" ht="14.4">
      <c r="A167" s="994"/>
      <c r="B167" s="4108">
        <v>2751</v>
      </c>
      <c r="C167" s="1313"/>
      <c r="D167" s="2437" t="s">
        <v>1040</v>
      </c>
      <c r="E167" s="1313"/>
      <c r="F167" s="2280">
        <v>0.02</v>
      </c>
      <c r="G167" s="2437">
        <v>299.98</v>
      </c>
      <c r="H167" s="2271">
        <v>0</v>
      </c>
      <c r="I167" s="2286">
        <v>43.82</v>
      </c>
      <c r="J167" s="2272">
        <f t="shared" si="12"/>
        <v>0.02</v>
      </c>
      <c r="K167" s="2276">
        <f t="shared" si="9"/>
        <v>256.16000000000003</v>
      </c>
      <c r="L167" s="1468"/>
      <c r="M167" s="510">
        <v>141</v>
      </c>
      <c r="N167" s="3149"/>
    </row>
    <row r="168" spans="1:14" ht="14.4">
      <c r="A168" s="994"/>
      <c r="B168" s="4291"/>
      <c r="C168" s="1313"/>
      <c r="D168" s="2437" t="s">
        <v>1041</v>
      </c>
      <c r="E168" s="1313"/>
      <c r="F168" s="2280">
        <v>0.02</v>
      </c>
      <c r="G168" s="2437">
        <v>299.98</v>
      </c>
      <c r="H168" s="2271">
        <v>0</v>
      </c>
      <c r="I168" s="2286">
        <v>0</v>
      </c>
      <c r="J168" s="2272">
        <f t="shared" si="12"/>
        <v>0.02</v>
      </c>
      <c r="K168" s="2276">
        <f t="shared" si="9"/>
        <v>299.98</v>
      </c>
      <c r="L168" s="1468"/>
      <c r="M168" s="510">
        <v>142</v>
      </c>
      <c r="N168" s="3150"/>
    </row>
    <row r="169" spans="1:14" ht="14.4">
      <c r="A169" s="994"/>
      <c r="B169" s="4291"/>
      <c r="C169" s="1313"/>
      <c r="D169" s="2437" t="s">
        <v>1042</v>
      </c>
      <c r="E169" s="1313"/>
      <c r="F169" s="2280">
        <v>0.02</v>
      </c>
      <c r="G169" s="2437">
        <v>299.98</v>
      </c>
      <c r="H169" s="2271">
        <v>0</v>
      </c>
      <c r="I169" s="2286">
        <v>0</v>
      </c>
      <c r="J169" s="2272">
        <f t="shared" si="12"/>
        <v>0.02</v>
      </c>
      <c r="K169" s="2276">
        <f t="shared" si="9"/>
        <v>299.98</v>
      </c>
      <c r="L169" s="1468"/>
      <c r="M169" s="510">
        <v>143</v>
      </c>
      <c r="N169" s="3150"/>
    </row>
    <row r="170" spans="1:14" ht="14.4">
      <c r="A170" s="994"/>
      <c r="B170" s="4291"/>
      <c r="C170" s="1313"/>
      <c r="D170" s="2437" t="s">
        <v>1043</v>
      </c>
      <c r="E170" s="1313"/>
      <c r="F170" s="2280">
        <v>0.02</v>
      </c>
      <c r="G170" s="2437">
        <v>299.98</v>
      </c>
      <c r="H170" s="2271">
        <v>0</v>
      </c>
      <c r="I170" s="2286">
        <v>0</v>
      </c>
      <c r="J170" s="2272">
        <f t="shared" si="12"/>
        <v>0.02</v>
      </c>
      <c r="K170" s="2276">
        <f t="shared" si="9"/>
        <v>299.98</v>
      </c>
      <c r="L170" s="1468"/>
      <c r="M170" s="510">
        <v>144</v>
      </c>
      <c r="N170" s="3150"/>
    </row>
    <row r="171" spans="1:14" ht="14.4">
      <c r="A171" s="994"/>
      <c r="B171" s="4291"/>
      <c r="C171" s="1313"/>
      <c r="D171" s="2437" t="s">
        <v>683</v>
      </c>
      <c r="E171" s="1313"/>
      <c r="F171" s="2280">
        <v>0.02</v>
      </c>
      <c r="G171" s="2437">
        <v>299.98</v>
      </c>
      <c r="H171" s="2271">
        <v>0</v>
      </c>
      <c r="I171" s="2286">
        <v>0</v>
      </c>
      <c r="J171" s="2272">
        <f t="shared" si="12"/>
        <v>0.02</v>
      </c>
      <c r="K171" s="2276">
        <f t="shared" si="9"/>
        <v>299.98</v>
      </c>
      <c r="L171" s="1468"/>
      <c r="M171" s="510">
        <v>145</v>
      </c>
      <c r="N171" s="3150"/>
    </row>
    <row r="172" spans="1:14" ht="14.4">
      <c r="A172" s="994"/>
      <c r="B172" s="4291"/>
      <c r="C172" s="1313"/>
      <c r="D172" s="2437" t="s">
        <v>1044</v>
      </c>
      <c r="E172" s="1313"/>
      <c r="F172" s="2280">
        <v>0.02</v>
      </c>
      <c r="G172" s="2437">
        <v>249.98</v>
      </c>
      <c r="H172" s="2271">
        <v>0.02</v>
      </c>
      <c r="I172" s="2286">
        <v>249.98400000000001</v>
      </c>
      <c r="J172" s="2272">
        <f t="shared" si="12"/>
        <v>0</v>
      </c>
      <c r="K172" s="2276">
        <f t="shared" si="9"/>
        <v>-4.0000000000190994E-3</v>
      </c>
      <c r="L172" s="1468"/>
      <c r="M172" s="510">
        <v>146</v>
      </c>
      <c r="N172" s="3150"/>
    </row>
    <row r="173" spans="1:14" ht="14.4">
      <c r="A173" s="994"/>
      <c r="B173" s="4291"/>
      <c r="C173" s="1313"/>
      <c r="D173" s="2437" t="s">
        <v>1045</v>
      </c>
      <c r="E173" s="1313"/>
      <c r="F173" s="2280">
        <v>0.02</v>
      </c>
      <c r="G173" s="2437">
        <v>249.98</v>
      </c>
      <c r="H173" s="2271">
        <v>0.02</v>
      </c>
      <c r="I173" s="2286">
        <v>165.89500000000001</v>
      </c>
      <c r="J173" s="2272">
        <f t="shared" si="12"/>
        <v>0</v>
      </c>
      <c r="K173" s="2276">
        <f t="shared" si="9"/>
        <v>84.08499999999998</v>
      </c>
      <c r="L173" s="1468"/>
      <c r="M173" s="510">
        <v>147</v>
      </c>
      <c r="N173" s="3150"/>
    </row>
    <row r="174" spans="1:14" ht="15" thickBot="1">
      <c r="A174" s="994"/>
      <c r="B174" s="4109"/>
      <c r="C174" s="1313"/>
      <c r="D174" s="2437" t="s">
        <v>831</v>
      </c>
      <c r="E174" s="1320"/>
      <c r="F174" s="2282">
        <v>0.02</v>
      </c>
      <c r="G174" s="2438">
        <v>249.98</v>
      </c>
      <c r="H174" s="2435">
        <v>0.02</v>
      </c>
      <c r="I174" s="2287">
        <v>162.15899999999999</v>
      </c>
      <c r="J174" s="2545">
        <f t="shared" si="12"/>
        <v>0</v>
      </c>
      <c r="K174" s="2277">
        <f t="shared" si="9"/>
        <v>87.820999999999998</v>
      </c>
      <c r="L174" s="1468"/>
      <c r="M174" s="510">
        <v>148</v>
      </c>
      <c r="N174" s="3151"/>
    </row>
    <row r="175" spans="1:14" ht="14.4">
      <c r="A175" s="994"/>
      <c r="B175" s="4108">
        <v>2794</v>
      </c>
      <c r="C175" s="1201"/>
      <c r="D175" s="2436" t="s">
        <v>1054</v>
      </c>
      <c r="E175" s="1803"/>
      <c r="F175" s="2278">
        <v>150</v>
      </c>
      <c r="G175" s="2273">
        <v>450</v>
      </c>
      <c r="H175" s="2283">
        <v>9.0419999999999998</v>
      </c>
      <c r="I175" s="2434">
        <v>80.078000000000003</v>
      </c>
      <c r="J175" s="2465">
        <f t="shared" si="12"/>
        <v>140.958</v>
      </c>
      <c r="K175" s="2275">
        <f t="shared" si="9"/>
        <v>369.92200000000003</v>
      </c>
      <c r="L175" s="1468"/>
      <c r="M175" s="510">
        <v>149</v>
      </c>
      <c r="N175" s="3149"/>
    </row>
    <row r="176" spans="1:14" ht="14.4">
      <c r="A176" s="994"/>
      <c r="B176" s="4291"/>
      <c r="C176" s="1313"/>
      <c r="D176" s="3616" t="s">
        <v>1055</v>
      </c>
      <c r="E176" s="3616"/>
      <c r="F176" s="3612">
        <v>0</v>
      </c>
      <c r="G176" s="3613">
        <v>0</v>
      </c>
      <c r="H176" s="2285">
        <v>0</v>
      </c>
      <c r="I176" s="2271">
        <v>0</v>
      </c>
      <c r="J176" s="2466">
        <f t="shared" si="12"/>
        <v>0</v>
      </c>
      <c r="K176" s="2276">
        <f t="shared" si="9"/>
        <v>0</v>
      </c>
      <c r="L176" s="1468"/>
      <c r="M176" s="510">
        <v>150</v>
      </c>
      <c r="N176" s="3150"/>
    </row>
    <row r="177" spans="1:14" ht="14.4">
      <c r="A177" s="994"/>
      <c r="B177" s="4291"/>
      <c r="C177" s="1313"/>
      <c r="D177" s="2437" t="s">
        <v>1056</v>
      </c>
      <c r="E177" s="1922"/>
      <c r="F177" s="2280">
        <v>150</v>
      </c>
      <c r="G177" s="1396">
        <v>450</v>
      </c>
      <c r="H177" s="2285">
        <v>4.0190000000000001</v>
      </c>
      <c r="I177" s="2271">
        <v>151.90100000000001</v>
      </c>
      <c r="J177" s="2466">
        <f t="shared" si="12"/>
        <v>145.98099999999999</v>
      </c>
      <c r="K177" s="2276">
        <f t="shared" si="9"/>
        <v>298.09899999999999</v>
      </c>
      <c r="L177" s="1468"/>
      <c r="M177" s="510">
        <v>151</v>
      </c>
      <c r="N177" s="3150"/>
    </row>
    <row r="178" spans="1:14" ht="14.4">
      <c r="A178" s="994"/>
      <c r="B178" s="4291"/>
      <c r="C178" s="1313"/>
      <c r="D178" s="2437" t="s">
        <v>1057</v>
      </c>
      <c r="E178" s="1922"/>
      <c r="F178" s="2280">
        <v>150</v>
      </c>
      <c r="G178" s="1396">
        <v>450</v>
      </c>
      <c r="H178" s="2285">
        <v>8.7889999999999997</v>
      </c>
      <c r="I178" s="2271">
        <v>61.521000000000001</v>
      </c>
      <c r="J178" s="2466">
        <f t="shared" si="12"/>
        <v>141.21100000000001</v>
      </c>
      <c r="K178" s="2276">
        <f t="shared" si="9"/>
        <v>388.47899999999998</v>
      </c>
      <c r="L178" s="1468"/>
      <c r="M178" s="510">
        <v>152</v>
      </c>
      <c r="N178" s="3150"/>
    </row>
    <row r="179" spans="1:14" ht="14.4">
      <c r="A179" s="994"/>
      <c r="B179" s="4291"/>
      <c r="C179" s="2514"/>
      <c r="D179" s="2512" t="s">
        <v>1058</v>
      </c>
      <c r="E179" s="2513"/>
      <c r="F179" s="2511">
        <v>200</v>
      </c>
      <c r="G179" s="2514">
        <v>0</v>
      </c>
      <c r="H179" s="2515">
        <v>34.505000000000003</v>
      </c>
      <c r="I179" s="2516">
        <v>0</v>
      </c>
      <c r="J179" s="2517">
        <f t="shared" si="12"/>
        <v>165.495</v>
      </c>
      <c r="K179" s="2518">
        <f t="shared" si="9"/>
        <v>0</v>
      </c>
      <c r="L179" s="2519" t="s">
        <v>1073</v>
      </c>
      <c r="M179" s="510">
        <v>153</v>
      </c>
      <c r="N179" s="3150"/>
    </row>
    <row r="180" spans="1:14" ht="14.4">
      <c r="A180" s="994"/>
      <c r="B180" s="4291"/>
      <c r="C180" s="1313"/>
      <c r="D180" s="2437" t="s">
        <v>1059</v>
      </c>
      <c r="E180" s="1922"/>
      <c r="F180" s="3614">
        <v>75</v>
      </c>
      <c r="G180" s="3615">
        <v>225</v>
      </c>
      <c r="H180" s="2285">
        <v>0</v>
      </c>
      <c r="I180" s="2271">
        <v>0</v>
      </c>
      <c r="J180" s="2466">
        <f t="shared" si="12"/>
        <v>75</v>
      </c>
      <c r="K180" s="2276">
        <f t="shared" si="9"/>
        <v>225</v>
      </c>
      <c r="L180" s="1468"/>
      <c r="M180" s="510">
        <v>154</v>
      </c>
      <c r="N180" s="3150"/>
    </row>
    <row r="181" spans="1:14" ht="14.4">
      <c r="A181" s="994"/>
      <c r="B181" s="4291"/>
      <c r="C181" s="1313"/>
      <c r="D181" s="3616" t="s">
        <v>1060</v>
      </c>
      <c r="E181" s="3616"/>
      <c r="F181" s="3612">
        <v>0</v>
      </c>
      <c r="G181" s="3613">
        <v>0</v>
      </c>
      <c r="H181" s="2285">
        <v>0</v>
      </c>
      <c r="I181" s="2271">
        <v>0</v>
      </c>
      <c r="J181" s="2466">
        <f t="shared" si="12"/>
        <v>0</v>
      </c>
      <c r="K181" s="2276">
        <f t="shared" si="9"/>
        <v>0</v>
      </c>
      <c r="L181" s="1468"/>
      <c r="M181" s="510">
        <v>155</v>
      </c>
      <c r="N181" s="3150"/>
    </row>
    <row r="182" spans="1:14" ht="14.4">
      <c r="A182" s="994"/>
      <c r="B182" s="4291"/>
      <c r="C182" s="1313"/>
      <c r="D182" s="2437" t="s">
        <v>1061</v>
      </c>
      <c r="E182" s="1922"/>
      <c r="F182" s="2280">
        <v>50</v>
      </c>
      <c r="G182" s="1396">
        <v>150</v>
      </c>
      <c r="H182" s="2285">
        <v>2.1320000000000001</v>
      </c>
      <c r="I182" s="2271">
        <v>23.097999999999999</v>
      </c>
      <c r="J182" s="2466">
        <f t="shared" si="12"/>
        <v>47.868000000000002</v>
      </c>
      <c r="K182" s="2276">
        <f t="shared" si="9"/>
        <v>126.902</v>
      </c>
      <c r="L182" s="1468"/>
      <c r="M182" s="510">
        <v>156</v>
      </c>
      <c r="N182" s="3150"/>
    </row>
    <row r="183" spans="1:14" ht="14.4">
      <c r="A183" s="994"/>
      <c r="B183" s="4291"/>
      <c r="C183" s="1313"/>
      <c r="D183" s="2437" t="s">
        <v>1062</v>
      </c>
      <c r="E183" s="1922"/>
      <c r="F183" s="2280">
        <v>50</v>
      </c>
      <c r="G183" s="1396">
        <v>150</v>
      </c>
      <c r="H183" s="2285">
        <v>0.67300000000000004</v>
      </c>
      <c r="I183" s="2271">
        <v>150.00299999999999</v>
      </c>
      <c r="J183" s="2466">
        <f t="shared" si="12"/>
        <v>49.326999999999998</v>
      </c>
      <c r="K183" s="2276">
        <f t="shared" si="12"/>
        <v>-2.9999999999859028E-3</v>
      </c>
      <c r="L183" s="1468"/>
      <c r="M183" s="510">
        <v>157</v>
      </c>
      <c r="N183" s="3150"/>
    </row>
    <row r="184" spans="1:14" ht="14.4">
      <c r="A184" s="994"/>
      <c r="B184" s="4291"/>
      <c r="C184" s="1313"/>
      <c r="D184" s="2437" t="s">
        <v>1063</v>
      </c>
      <c r="E184" s="1922"/>
      <c r="F184" s="2280">
        <v>200</v>
      </c>
      <c r="G184" s="1396">
        <v>0</v>
      </c>
      <c r="H184" s="2285">
        <v>0</v>
      </c>
      <c r="I184" s="2271">
        <v>0</v>
      </c>
      <c r="J184" s="2466">
        <f t="shared" si="12"/>
        <v>200</v>
      </c>
      <c r="K184" s="2276">
        <f t="shared" si="12"/>
        <v>0</v>
      </c>
      <c r="L184" s="1468"/>
      <c r="M184" s="510">
        <v>158</v>
      </c>
      <c r="N184" s="3150"/>
    </row>
    <row r="185" spans="1:14" ht="14.4">
      <c r="A185" s="994"/>
      <c r="B185" s="4291"/>
      <c r="C185" s="1313"/>
      <c r="D185" s="3617" t="s">
        <v>1064</v>
      </c>
      <c r="E185" s="3616"/>
      <c r="F185" s="3612">
        <v>0</v>
      </c>
      <c r="G185" s="3613">
        <v>0</v>
      </c>
      <c r="H185" s="2285">
        <v>0</v>
      </c>
      <c r="I185" s="2271">
        <v>0</v>
      </c>
      <c r="J185" s="2466">
        <f t="shared" si="12"/>
        <v>0</v>
      </c>
      <c r="K185" s="2276">
        <f t="shared" si="12"/>
        <v>0</v>
      </c>
      <c r="L185" s="1468"/>
      <c r="M185" s="510">
        <v>159</v>
      </c>
      <c r="N185" s="3150"/>
    </row>
    <row r="186" spans="1:14" ht="14.4">
      <c r="A186" s="994"/>
      <c r="B186" s="4291"/>
      <c r="C186" s="1313"/>
      <c r="D186" s="3616" t="s">
        <v>1065</v>
      </c>
      <c r="E186" s="3616"/>
      <c r="F186" s="3612">
        <v>0</v>
      </c>
      <c r="G186" s="3613">
        <v>0</v>
      </c>
      <c r="H186" s="2285">
        <v>0</v>
      </c>
      <c r="I186" s="2271">
        <v>0</v>
      </c>
      <c r="J186" s="2466">
        <f t="shared" si="12"/>
        <v>0</v>
      </c>
      <c r="K186" s="2276">
        <f t="shared" si="12"/>
        <v>0</v>
      </c>
      <c r="L186" s="1468"/>
      <c r="M186" s="510">
        <v>160</v>
      </c>
      <c r="N186" s="3150"/>
    </row>
    <row r="187" spans="1:14" ht="14.4">
      <c r="A187" s="994"/>
      <c r="B187" s="4291"/>
      <c r="C187" s="1313"/>
      <c r="D187" s="3616" t="s">
        <v>1066</v>
      </c>
      <c r="E187" s="3616"/>
      <c r="F187" s="3612">
        <v>0</v>
      </c>
      <c r="G187" s="3613">
        <v>0</v>
      </c>
      <c r="H187" s="2285">
        <v>0</v>
      </c>
      <c r="I187" s="2271">
        <v>0</v>
      </c>
      <c r="J187" s="2466">
        <f t="shared" si="12"/>
        <v>0</v>
      </c>
      <c r="K187" s="2276">
        <f t="shared" si="12"/>
        <v>0</v>
      </c>
      <c r="L187" s="1468"/>
      <c r="M187" s="510">
        <v>161</v>
      </c>
      <c r="N187" s="3150"/>
    </row>
    <row r="188" spans="1:14" ht="14.4">
      <c r="A188" s="994"/>
      <c r="B188" s="4291"/>
      <c r="C188" s="1313"/>
      <c r="D188" s="3616" t="s">
        <v>1067</v>
      </c>
      <c r="E188" s="3616"/>
      <c r="F188" s="3612">
        <v>0</v>
      </c>
      <c r="G188" s="3613">
        <v>0</v>
      </c>
      <c r="H188" s="2285">
        <v>0</v>
      </c>
      <c r="I188" s="2271">
        <v>0</v>
      </c>
      <c r="J188" s="2466">
        <f t="shared" si="12"/>
        <v>0</v>
      </c>
      <c r="K188" s="2276">
        <f t="shared" si="12"/>
        <v>0</v>
      </c>
      <c r="L188" s="1468"/>
      <c r="M188" s="510">
        <v>162</v>
      </c>
      <c r="N188" s="3150"/>
    </row>
    <row r="189" spans="1:14" ht="14.4">
      <c r="A189" s="994"/>
      <c r="B189" s="4291"/>
      <c r="C189" s="1313"/>
      <c r="D189" s="3616" t="s">
        <v>1068</v>
      </c>
      <c r="E189" s="3616"/>
      <c r="F189" s="3612">
        <v>0</v>
      </c>
      <c r="G189" s="3613">
        <v>0</v>
      </c>
      <c r="H189" s="2285">
        <v>0</v>
      </c>
      <c r="I189" s="2271">
        <v>0</v>
      </c>
      <c r="J189" s="2466">
        <f t="shared" si="12"/>
        <v>0</v>
      </c>
      <c r="K189" s="2276">
        <f t="shared" si="12"/>
        <v>0</v>
      </c>
      <c r="L189" s="1468"/>
      <c r="M189" s="510">
        <v>163</v>
      </c>
      <c r="N189" s="3150"/>
    </row>
    <row r="190" spans="1:14" ht="14.4">
      <c r="A190" s="994"/>
      <c r="B190" s="4291"/>
      <c r="C190" s="1313"/>
      <c r="D190" s="3616" t="s">
        <v>682</v>
      </c>
      <c r="E190" s="3616"/>
      <c r="F190" s="3612">
        <v>0</v>
      </c>
      <c r="G190" s="3613">
        <v>0</v>
      </c>
      <c r="H190" s="2285">
        <v>0</v>
      </c>
      <c r="I190" s="2271">
        <v>0</v>
      </c>
      <c r="J190" s="2466">
        <f t="shared" si="12"/>
        <v>0</v>
      </c>
      <c r="K190" s="2276">
        <f t="shared" si="12"/>
        <v>0</v>
      </c>
      <c r="L190" s="1468"/>
      <c r="M190" s="510">
        <v>164</v>
      </c>
      <c r="N190" s="3150"/>
    </row>
    <row r="191" spans="1:14" ht="14.4">
      <c r="A191" s="994"/>
      <c r="B191" s="4291"/>
      <c r="C191" s="1313"/>
      <c r="D191" s="3616" t="s">
        <v>1069</v>
      </c>
      <c r="E191" s="3616"/>
      <c r="F191" s="3612">
        <v>0</v>
      </c>
      <c r="G191" s="3613">
        <v>0</v>
      </c>
      <c r="H191" s="2285">
        <v>0</v>
      </c>
      <c r="I191" s="2271">
        <v>0</v>
      </c>
      <c r="J191" s="2466">
        <f t="shared" si="12"/>
        <v>0</v>
      </c>
      <c r="K191" s="2276">
        <f t="shared" si="12"/>
        <v>0</v>
      </c>
      <c r="L191" s="1468"/>
      <c r="M191" s="510">
        <v>165</v>
      </c>
      <c r="N191" s="3150"/>
    </row>
    <row r="192" spans="1:14" ht="14.4">
      <c r="A192" s="994"/>
      <c r="B192" s="4291"/>
      <c r="C192" s="1313"/>
      <c r="D192" s="2437" t="s">
        <v>1070</v>
      </c>
      <c r="E192" s="1922"/>
      <c r="F192" s="2280">
        <v>25</v>
      </c>
      <c r="G192" s="1396">
        <v>75</v>
      </c>
      <c r="H192" s="2285">
        <v>25</v>
      </c>
      <c r="I192" s="2271">
        <v>36.808</v>
      </c>
      <c r="J192" s="2466">
        <f t="shared" si="12"/>
        <v>0</v>
      </c>
      <c r="K192" s="2276">
        <f t="shared" si="12"/>
        <v>38.192</v>
      </c>
      <c r="L192" s="1468"/>
      <c r="M192" s="510">
        <v>166</v>
      </c>
      <c r="N192" s="3150"/>
    </row>
    <row r="193" spans="1:14" ht="14.4">
      <c r="A193" s="994"/>
      <c r="B193" s="4291"/>
      <c r="C193" s="1313"/>
      <c r="D193" s="2437" t="s">
        <v>1070</v>
      </c>
      <c r="E193" s="1922"/>
      <c r="F193" s="2280">
        <v>37</v>
      </c>
      <c r="G193" s="1396">
        <v>113</v>
      </c>
      <c r="H193" s="2285">
        <v>0</v>
      </c>
      <c r="I193" s="2271">
        <v>0</v>
      </c>
      <c r="J193" s="2466">
        <f t="shared" si="12"/>
        <v>37</v>
      </c>
      <c r="K193" s="2276">
        <f t="shared" si="12"/>
        <v>113</v>
      </c>
      <c r="L193" s="1468"/>
      <c r="M193" s="510">
        <v>167</v>
      </c>
      <c r="N193" s="3150"/>
    </row>
    <row r="194" spans="1:14" ht="14.4">
      <c r="A194" s="994"/>
      <c r="B194" s="4291"/>
      <c r="C194" s="1313"/>
      <c r="D194" s="2437" t="s">
        <v>1071</v>
      </c>
      <c r="E194" s="1922"/>
      <c r="F194" s="2280">
        <v>25</v>
      </c>
      <c r="G194" s="1396">
        <v>75</v>
      </c>
      <c r="H194" s="2285">
        <v>1.5049999999999999</v>
      </c>
      <c r="I194" s="2271">
        <v>17.645</v>
      </c>
      <c r="J194" s="2466">
        <f t="shared" si="12"/>
        <v>23.495000000000001</v>
      </c>
      <c r="K194" s="2276">
        <f t="shared" si="12"/>
        <v>57.355000000000004</v>
      </c>
      <c r="L194" s="1468"/>
      <c r="M194" s="510">
        <v>168</v>
      </c>
      <c r="N194" s="3150"/>
    </row>
    <row r="195" spans="1:14" ht="15" thickBot="1">
      <c r="A195" s="994"/>
      <c r="B195" s="4109"/>
      <c r="C195" s="1313"/>
      <c r="D195" s="3616" t="s">
        <v>1072</v>
      </c>
      <c r="E195" s="3616"/>
      <c r="F195" s="3612">
        <v>0</v>
      </c>
      <c r="G195" s="3613">
        <v>0</v>
      </c>
      <c r="H195" s="2285">
        <v>0</v>
      </c>
      <c r="I195" s="2271">
        <v>0</v>
      </c>
      <c r="J195" s="2466">
        <f t="shared" si="12"/>
        <v>0</v>
      </c>
      <c r="K195" s="2276">
        <f t="shared" si="12"/>
        <v>0</v>
      </c>
      <c r="L195" s="1468"/>
      <c r="M195" s="510">
        <v>169</v>
      </c>
      <c r="N195" s="3151"/>
    </row>
    <row r="196" spans="1:14" ht="14.4">
      <c r="A196" s="994"/>
      <c r="B196" s="2550">
        <v>2879</v>
      </c>
      <c r="C196" s="1803">
        <v>6466</v>
      </c>
      <c r="D196" s="2436" t="s">
        <v>1097</v>
      </c>
      <c r="E196" s="1803">
        <v>327</v>
      </c>
      <c r="F196" s="2278">
        <v>0</v>
      </c>
      <c r="G196" s="2279">
        <v>150</v>
      </c>
      <c r="H196" s="2283">
        <v>0</v>
      </c>
      <c r="I196" s="2284">
        <v>0</v>
      </c>
      <c r="J196" s="2465">
        <f t="shared" ref="J196:J211" si="13">+F196-H196</f>
        <v>0</v>
      </c>
      <c r="K196" s="2275">
        <f t="shared" ref="K196:K211" si="14">+G196-I196</f>
        <v>150</v>
      </c>
      <c r="L196" s="1468"/>
      <c r="M196" s="510">
        <v>170</v>
      </c>
      <c r="N196" s="3150"/>
    </row>
    <row r="197" spans="1:14" ht="14.4">
      <c r="A197" s="994"/>
      <c r="B197" s="2551">
        <v>2879</v>
      </c>
      <c r="C197" s="1922">
        <v>913375</v>
      </c>
      <c r="D197" s="2437" t="s">
        <v>1098</v>
      </c>
      <c r="E197" s="1922">
        <v>1076</v>
      </c>
      <c r="F197" s="2280">
        <v>0</v>
      </c>
      <c r="G197" s="2281">
        <v>150</v>
      </c>
      <c r="H197" s="2285">
        <v>0</v>
      </c>
      <c r="I197" s="2286">
        <v>0</v>
      </c>
      <c r="J197" s="2466">
        <f t="shared" si="13"/>
        <v>0</v>
      </c>
      <c r="K197" s="2276">
        <f t="shared" si="14"/>
        <v>150</v>
      </c>
      <c r="L197" s="1468"/>
      <c r="M197" s="510">
        <v>171</v>
      </c>
      <c r="N197" s="3150"/>
    </row>
    <row r="198" spans="1:14" ht="14.4">
      <c r="A198" s="994"/>
      <c r="B198" s="2551">
        <v>2879</v>
      </c>
      <c r="C198" s="1922">
        <v>954465</v>
      </c>
      <c r="D198" s="2437" t="s">
        <v>1099</v>
      </c>
      <c r="E198" s="1922">
        <v>1311</v>
      </c>
      <c r="F198" s="2280">
        <v>0</v>
      </c>
      <c r="G198" s="2281">
        <v>300</v>
      </c>
      <c r="H198" s="2285">
        <v>0</v>
      </c>
      <c r="I198" s="2286">
        <v>0</v>
      </c>
      <c r="J198" s="2466">
        <f t="shared" si="13"/>
        <v>0</v>
      </c>
      <c r="K198" s="2276">
        <f t="shared" si="14"/>
        <v>300</v>
      </c>
      <c r="L198" s="1468"/>
      <c r="M198" s="510">
        <v>172</v>
      </c>
      <c r="N198" s="3150"/>
    </row>
    <row r="199" spans="1:14" ht="14.4">
      <c r="A199" s="994"/>
      <c r="B199" s="2551">
        <v>2879</v>
      </c>
      <c r="C199" s="1922">
        <v>922996</v>
      </c>
      <c r="D199" s="2437" t="s">
        <v>1100</v>
      </c>
      <c r="E199" s="1922">
        <v>2360</v>
      </c>
      <c r="F199" s="2280">
        <v>0</v>
      </c>
      <c r="G199" s="2281">
        <v>600</v>
      </c>
      <c r="H199" s="2285">
        <v>0</v>
      </c>
      <c r="I199" s="2286">
        <v>0</v>
      </c>
      <c r="J199" s="2466">
        <f t="shared" si="13"/>
        <v>0</v>
      </c>
      <c r="K199" s="2276">
        <f t="shared" si="14"/>
        <v>600</v>
      </c>
      <c r="L199" s="1468"/>
      <c r="M199" s="510">
        <v>173</v>
      </c>
      <c r="N199" s="3150"/>
    </row>
    <row r="200" spans="1:14" ht="14.4">
      <c r="A200" s="994"/>
      <c r="B200" s="2551">
        <v>2879</v>
      </c>
      <c r="C200" s="1922">
        <v>926655</v>
      </c>
      <c r="D200" s="2437" t="s">
        <v>705</v>
      </c>
      <c r="E200" s="1922">
        <v>2393</v>
      </c>
      <c r="F200" s="2280">
        <v>0</v>
      </c>
      <c r="G200" s="2281">
        <v>600</v>
      </c>
      <c r="H200" s="2285">
        <v>0</v>
      </c>
      <c r="I200" s="2286">
        <v>0</v>
      </c>
      <c r="J200" s="2466">
        <f t="shared" si="13"/>
        <v>0</v>
      </c>
      <c r="K200" s="2276">
        <f t="shared" si="14"/>
        <v>600</v>
      </c>
      <c r="L200" s="1468"/>
      <c r="M200" s="510">
        <v>174</v>
      </c>
      <c r="N200" s="3150"/>
    </row>
    <row r="201" spans="1:14" ht="14.4">
      <c r="A201" s="994"/>
      <c r="B201" s="2551">
        <v>2879</v>
      </c>
      <c r="C201" s="1922">
        <v>924619</v>
      </c>
      <c r="D201" s="2437" t="s">
        <v>1101</v>
      </c>
      <c r="E201" s="1922">
        <v>2583</v>
      </c>
      <c r="F201" s="2280">
        <v>0</v>
      </c>
      <c r="G201" s="2281">
        <v>200</v>
      </c>
      <c r="H201" s="2285">
        <v>0</v>
      </c>
      <c r="I201" s="2286">
        <v>0</v>
      </c>
      <c r="J201" s="2466">
        <f t="shared" si="13"/>
        <v>0</v>
      </c>
      <c r="K201" s="2276">
        <f t="shared" si="14"/>
        <v>200</v>
      </c>
      <c r="L201" s="1468"/>
      <c r="M201" s="510">
        <v>175</v>
      </c>
      <c r="N201" s="3150"/>
    </row>
    <row r="202" spans="1:14" ht="14.4">
      <c r="A202" s="994"/>
      <c r="B202" s="2551">
        <v>2879</v>
      </c>
      <c r="C202" s="1922">
        <v>950846</v>
      </c>
      <c r="D202" s="2437" t="s">
        <v>1102</v>
      </c>
      <c r="E202" s="1922">
        <v>2176</v>
      </c>
      <c r="F202" s="2280">
        <v>0</v>
      </c>
      <c r="G202" s="2281">
        <v>200</v>
      </c>
      <c r="H202" s="2285">
        <v>0</v>
      </c>
      <c r="I202" s="2286">
        <v>0</v>
      </c>
      <c r="J202" s="2466">
        <f t="shared" si="13"/>
        <v>0</v>
      </c>
      <c r="K202" s="2276">
        <f t="shared" si="14"/>
        <v>200</v>
      </c>
      <c r="L202" s="1468"/>
      <c r="M202" s="510">
        <v>176</v>
      </c>
      <c r="N202" s="3150"/>
    </row>
    <row r="203" spans="1:14" ht="14.4">
      <c r="A203" s="994"/>
      <c r="B203" s="2551">
        <v>2879</v>
      </c>
      <c r="C203" s="1922">
        <v>926663</v>
      </c>
      <c r="D203" s="2437" t="s">
        <v>678</v>
      </c>
      <c r="E203" s="1922">
        <v>2442</v>
      </c>
      <c r="F203" s="2280">
        <v>0</v>
      </c>
      <c r="G203" s="2281">
        <v>200</v>
      </c>
      <c r="H203" s="2285">
        <v>0</v>
      </c>
      <c r="I203" s="2286">
        <v>0</v>
      </c>
      <c r="J203" s="2466">
        <f t="shared" si="13"/>
        <v>0</v>
      </c>
      <c r="K203" s="2276">
        <f t="shared" si="14"/>
        <v>200</v>
      </c>
      <c r="L203" s="1468"/>
      <c r="M203" s="510">
        <v>177</v>
      </c>
      <c r="N203" s="3150"/>
    </row>
    <row r="204" spans="1:14" ht="14.4">
      <c r="A204" s="994"/>
      <c r="B204" s="2551">
        <v>2879</v>
      </c>
      <c r="C204" s="1922">
        <v>952355</v>
      </c>
      <c r="D204" s="2437" t="s">
        <v>1103</v>
      </c>
      <c r="E204" s="1922">
        <v>2761</v>
      </c>
      <c r="F204" s="2280">
        <v>0</v>
      </c>
      <c r="G204" s="2281">
        <v>300</v>
      </c>
      <c r="H204" s="2285">
        <v>0</v>
      </c>
      <c r="I204" s="2286">
        <v>0</v>
      </c>
      <c r="J204" s="2466">
        <f t="shared" si="13"/>
        <v>0</v>
      </c>
      <c r="K204" s="2276">
        <f t="shared" si="14"/>
        <v>300</v>
      </c>
      <c r="L204" s="1468"/>
      <c r="M204" s="510">
        <v>178</v>
      </c>
      <c r="N204" s="3150"/>
    </row>
    <row r="205" spans="1:14" ht="14.4">
      <c r="A205" s="994"/>
      <c r="B205" s="2551">
        <v>2879</v>
      </c>
      <c r="C205" s="1922">
        <v>951349</v>
      </c>
      <c r="D205" s="2437" t="s">
        <v>931</v>
      </c>
      <c r="E205" s="1922">
        <v>1352</v>
      </c>
      <c r="F205" s="2280">
        <v>0</v>
      </c>
      <c r="G205" s="2281">
        <v>150</v>
      </c>
      <c r="H205" s="2285">
        <v>0</v>
      </c>
      <c r="I205" s="2286">
        <v>0</v>
      </c>
      <c r="J205" s="2466">
        <f t="shared" si="13"/>
        <v>0</v>
      </c>
      <c r="K205" s="2276">
        <f t="shared" si="14"/>
        <v>150</v>
      </c>
      <c r="L205" s="1468"/>
      <c r="M205" s="510">
        <v>179</v>
      </c>
      <c r="N205" s="3150"/>
    </row>
    <row r="206" spans="1:14" ht="15" thickBot="1">
      <c r="A206" s="994"/>
      <c r="B206" s="3141">
        <v>2879</v>
      </c>
      <c r="C206" s="1922">
        <v>951633</v>
      </c>
      <c r="D206" s="2437" t="s">
        <v>930</v>
      </c>
      <c r="E206" s="1922">
        <v>602</v>
      </c>
      <c r="F206" s="2280">
        <v>0</v>
      </c>
      <c r="G206" s="2281">
        <v>150</v>
      </c>
      <c r="H206" s="2285">
        <v>0</v>
      </c>
      <c r="I206" s="2286">
        <v>0</v>
      </c>
      <c r="J206" s="2466">
        <f>+F206-H206</f>
        <v>0</v>
      </c>
      <c r="K206" s="2276">
        <f t="shared" si="14"/>
        <v>150</v>
      </c>
      <c r="L206" s="1468"/>
      <c r="M206" s="510">
        <v>180</v>
      </c>
      <c r="N206" s="3151"/>
    </row>
    <row r="207" spans="1:14" s="3140" customFormat="1" ht="14.4">
      <c r="A207" s="994"/>
      <c r="B207" s="3594">
        <v>3137</v>
      </c>
      <c r="C207" s="3595">
        <v>30822</v>
      </c>
      <c r="D207" s="3596" t="s">
        <v>949</v>
      </c>
      <c r="E207" s="3595">
        <v>1209</v>
      </c>
      <c r="F207" s="3597">
        <v>50</v>
      </c>
      <c r="G207" s="3597">
        <v>0</v>
      </c>
      <c r="H207" s="3598">
        <v>24.698</v>
      </c>
      <c r="I207" s="3599">
        <v>0</v>
      </c>
      <c r="J207" s="3600">
        <f t="shared" si="13"/>
        <v>25.302</v>
      </c>
      <c r="K207" s="3601">
        <f t="shared" si="14"/>
        <v>0</v>
      </c>
      <c r="L207" s="1468"/>
      <c r="M207" s="510">
        <v>181</v>
      </c>
      <c r="N207" s="3150"/>
    </row>
    <row r="208" spans="1:14" s="3140" customFormat="1" ht="14.4">
      <c r="A208" s="994"/>
      <c r="B208" s="3602">
        <v>3137</v>
      </c>
      <c r="C208" s="3603">
        <v>952452</v>
      </c>
      <c r="D208" s="3604" t="s">
        <v>1211</v>
      </c>
      <c r="E208" s="3603">
        <v>401</v>
      </c>
      <c r="F208" s="3605">
        <v>50</v>
      </c>
      <c r="G208" s="3605">
        <v>0</v>
      </c>
      <c r="H208" s="3606">
        <v>0</v>
      </c>
      <c r="I208" s="3607">
        <v>0</v>
      </c>
      <c r="J208" s="3608">
        <f t="shared" si="13"/>
        <v>50</v>
      </c>
      <c r="K208" s="3609">
        <f t="shared" si="14"/>
        <v>0</v>
      </c>
      <c r="L208" s="1468"/>
      <c r="M208" s="510">
        <v>182</v>
      </c>
      <c r="N208" s="3150"/>
    </row>
    <row r="209" spans="1:15" s="3140" customFormat="1" ht="14.4">
      <c r="A209" s="994"/>
      <c r="B209" s="3602">
        <v>3137</v>
      </c>
      <c r="C209" s="3603">
        <v>5592</v>
      </c>
      <c r="D209" s="3604" t="s">
        <v>952</v>
      </c>
      <c r="E209" s="3603">
        <v>495</v>
      </c>
      <c r="F209" s="3605">
        <v>50</v>
      </c>
      <c r="G209" s="3605">
        <v>0</v>
      </c>
      <c r="H209" s="3606">
        <v>25.222000000000001</v>
      </c>
      <c r="I209" s="3607">
        <v>0</v>
      </c>
      <c r="J209" s="3608">
        <f t="shared" si="13"/>
        <v>24.777999999999999</v>
      </c>
      <c r="K209" s="3609">
        <f t="shared" si="14"/>
        <v>0</v>
      </c>
      <c r="L209" s="1468"/>
      <c r="M209" s="510">
        <v>183</v>
      </c>
      <c r="N209" s="3150"/>
    </row>
    <row r="210" spans="1:15" s="3140" customFormat="1" ht="14.4">
      <c r="A210" s="994"/>
      <c r="B210" s="3602">
        <v>3137</v>
      </c>
      <c r="C210" s="3603">
        <v>952296</v>
      </c>
      <c r="D210" s="3604" t="s">
        <v>1212</v>
      </c>
      <c r="E210" s="3603">
        <v>706</v>
      </c>
      <c r="F210" s="3605">
        <v>50</v>
      </c>
      <c r="G210" s="3605">
        <v>0</v>
      </c>
      <c r="H210" s="3606">
        <v>2.3319999999999999</v>
      </c>
      <c r="I210" s="3607">
        <v>0</v>
      </c>
      <c r="J210" s="3608">
        <f t="shared" si="13"/>
        <v>47.667999999999999</v>
      </c>
      <c r="K210" s="3609">
        <f t="shared" si="14"/>
        <v>0</v>
      </c>
      <c r="L210" s="1468"/>
      <c r="M210" s="510">
        <v>184</v>
      </c>
      <c r="N210" s="3150"/>
    </row>
    <row r="211" spans="1:15" s="3140" customFormat="1" ht="15" thickBot="1">
      <c r="A211" s="994"/>
      <c r="B211" s="3602">
        <v>3137</v>
      </c>
      <c r="C211" s="3603">
        <v>952311</v>
      </c>
      <c r="D211" s="3604" t="s">
        <v>954</v>
      </c>
      <c r="E211" s="3603">
        <v>574</v>
      </c>
      <c r="F211" s="3605">
        <v>50</v>
      </c>
      <c r="G211" s="3605">
        <v>0</v>
      </c>
      <c r="H211" s="3606">
        <v>0</v>
      </c>
      <c r="I211" s="3607">
        <v>0</v>
      </c>
      <c r="J211" s="3610">
        <f t="shared" si="13"/>
        <v>50</v>
      </c>
      <c r="K211" s="3611">
        <f t="shared" si="14"/>
        <v>0</v>
      </c>
      <c r="L211" s="1468"/>
      <c r="M211" s="510">
        <v>185</v>
      </c>
      <c r="N211" s="3150"/>
    </row>
    <row r="212" spans="1:15" ht="15" thickBot="1">
      <c r="A212" s="510"/>
      <c r="B212" s="1322">
        <v>1674</v>
      </c>
      <c r="C212" s="1924"/>
      <c r="D212" s="1924" t="s">
        <v>818</v>
      </c>
      <c r="E212" s="1924"/>
      <c r="F212" s="3318">
        <v>500</v>
      </c>
      <c r="G212" s="3318">
        <v>0</v>
      </c>
      <c r="H212" s="2542">
        <v>500.72199999999998</v>
      </c>
      <c r="I212" s="2543">
        <v>0</v>
      </c>
      <c r="J212" s="3319">
        <f t="shared" ref="J212:K215" si="15">+F212-H212</f>
        <v>-0.72199999999997999</v>
      </c>
      <c r="K212" s="3320">
        <f t="shared" si="15"/>
        <v>0</v>
      </c>
      <c r="L212" s="1468"/>
      <c r="M212" s="510">
        <v>186</v>
      </c>
      <c r="N212" s="3150"/>
    </row>
    <row r="213" spans="1:15" ht="52.8" thickBot="1">
      <c r="A213" s="510"/>
      <c r="B213" s="1312">
        <v>954</v>
      </c>
      <c r="C213" s="1312">
        <v>15</v>
      </c>
      <c r="D213" s="1922" t="s">
        <v>714</v>
      </c>
      <c r="E213" s="1314">
        <v>15</v>
      </c>
      <c r="F213" s="3155">
        <v>575</v>
      </c>
      <c r="G213" s="3156">
        <v>1725</v>
      </c>
      <c r="H213" s="3157">
        <v>379.34199999999998</v>
      </c>
      <c r="I213" s="3158">
        <v>1015.34</v>
      </c>
      <c r="J213" s="3159">
        <f t="shared" si="15"/>
        <v>195.65800000000002</v>
      </c>
      <c r="K213" s="3160">
        <f t="shared" si="15"/>
        <v>709.66</v>
      </c>
      <c r="L213" s="510"/>
      <c r="M213" s="510">
        <v>187</v>
      </c>
      <c r="N213" s="3150"/>
    </row>
    <row r="214" spans="1:15" ht="46.5" customHeight="1" thickBot="1">
      <c r="A214" s="510"/>
      <c r="B214" s="1322">
        <v>954</v>
      </c>
      <c r="C214" s="1322">
        <v>30</v>
      </c>
      <c r="D214" s="1924" t="s">
        <v>715</v>
      </c>
      <c r="E214" s="1323">
        <v>30</v>
      </c>
      <c r="F214" s="2055">
        <v>275</v>
      </c>
      <c r="G214" s="2439">
        <v>725</v>
      </c>
      <c r="H214" s="2093">
        <v>205.672</v>
      </c>
      <c r="I214" s="2094">
        <v>612.61400000000003</v>
      </c>
      <c r="J214" s="2356">
        <f t="shared" si="15"/>
        <v>69.328000000000003</v>
      </c>
      <c r="K214" s="2357">
        <f t="shared" si="15"/>
        <v>112.38599999999997</v>
      </c>
      <c r="L214" s="1468"/>
      <c r="M214" s="510">
        <v>188</v>
      </c>
      <c r="N214" s="3150"/>
    </row>
    <row r="215" spans="1:15" ht="15" thickBot="1">
      <c r="A215" s="510"/>
      <c r="B215" s="3658" t="s">
        <v>1307</v>
      </c>
      <c r="C215" s="4276" t="s">
        <v>1053</v>
      </c>
      <c r="D215" s="4277"/>
      <c r="E215" s="1311"/>
      <c r="F215" s="2273">
        <v>200</v>
      </c>
      <c r="G215" s="2436">
        <v>100</v>
      </c>
      <c r="H215" s="2283">
        <v>37.176000000000002</v>
      </c>
      <c r="I215" s="2284">
        <v>31.01</v>
      </c>
      <c r="J215" s="2274">
        <f t="shared" si="15"/>
        <v>162.82400000000001</v>
      </c>
      <c r="K215" s="2275">
        <f t="shared" si="15"/>
        <v>68.989999999999995</v>
      </c>
      <c r="L215" s="1468"/>
      <c r="M215" s="510">
        <v>189</v>
      </c>
      <c r="N215" s="3150"/>
    </row>
    <row r="216" spans="1:15" s="3550" customFormat="1" ht="14.4">
      <c r="A216" s="510"/>
      <c r="B216" s="4278">
        <v>3408</v>
      </c>
      <c r="C216" s="1010"/>
      <c r="D216" s="991" t="s">
        <v>1297</v>
      </c>
      <c r="E216" s="3555"/>
      <c r="F216" s="3556">
        <v>0.04</v>
      </c>
      <c r="G216" s="3556">
        <v>299.95999999999998</v>
      </c>
      <c r="H216" s="3557">
        <v>0</v>
      </c>
      <c r="I216" s="3565">
        <v>0</v>
      </c>
      <c r="J216" s="3568">
        <f t="shared" ref="J216" si="16">+F216-H216</f>
        <v>0.04</v>
      </c>
      <c r="K216" s="3558">
        <f t="shared" ref="K216" si="17">+G216-I216</f>
        <v>299.95999999999998</v>
      </c>
      <c r="L216" s="1468"/>
      <c r="M216" s="510"/>
      <c r="N216" s="3150"/>
    </row>
    <row r="217" spans="1:15" s="3550" customFormat="1" ht="14.4">
      <c r="A217" s="510"/>
      <c r="B217" s="4279"/>
      <c r="C217" s="865"/>
      <c r="D217" s="1754" t="s">
        <v>1298</v>
      </c>
      <c r="E217" s="3552"/>
      <c r="F217" s="3553">
        <v>0.02</v>
      </c>
      <c r="G217" s="3553">
        <v>149.97999999999999</v>
      </c>
      <c r="H217" s="3554">
        <v>0</v>
      </c>
      <c r="I217" s="3566">
        <v>0</v>
      </c>
      <c r="J217" s="3569">
        <f t="shared" ref="J217:J218" si="18">+F217-H217</f>
        <v>0.02</v>
      </c>
      <c r="K217" s="3559">
        <f t="shared" ref="K217:K218" si="19">+G217-I217</f>
        <v>149.97999999999999</v>
      </c>
      <c r="L217" s="1468"/>
      <c r="M217" s="510"/>
      <c r="N217" s="3150"/>
    </row>
    <row r="218" spans="1:15" s="2890" customFormat="1" ht="15" thickBot="1">
      <c r="A218" s="510"/>
      <c r="B218" s="4280"/>
      <c r="C218" s="3560"/>
      <c r="D218" s="981" t="s">
        <v>1299</v>
      </c>
      <c r="E218" s="3561"/>
      <c r="F218" s="3562">
        <v>0.04</v>
      </c>
      <c r="G218" s="3562">
        <v>299.95999999999998</v>
      </c>
      <c r="H218" s="3563">
        <v>0</v>
      </c>
      <c r="I218" s="3567">
        <v>0</v>
      </c>
      <c r="J218" s="3570">
        <f t="shared" si="18"/>
        <v>0.04</v>
      </c>
      <c r="K218" s="3564">
        <f t="shared" si="19"/>
        <v>299.95999999999998</v>
      </c>
      <c r="L218" s="1468"/>
      <c r="M218" s="510"/>
      <c r="N218" s="3150"/>
    </row>
    <row r="219" spans="1:15" s="3647" customFormat="1" ht="15" thickBot="1">
      <c r="A219" s="510"/>
      <c r="B219" s="1322">
        <v>3537</v>
      </c>
      <c r="C219" s="3654"/>
      <c r="D219" s="3648"/>
      <c r="E219" s="3318"/>
      <c r="F219" s="3655">
        <v>404.49</v>
      </c>
      <c r="G219" s="3655">
        <v>0</v>
      </c>
      <c r="H219" s="3656">
        <v>404.49</v>
      </c>
      <c r="I219" s="3652">
        <v>0</v>
      </c>
      <c r="J219" s="3653">
        <v>0</v>
      </c>
      <c r="K219" s="2524">
        <v>0</v>
      </c>
      <c r="L219" s="1468"/>
      <c r="M219" s="510"/>
      <c r="N219" s="3150"/>
    </row>
    <row r="220" spans="1:15" ht="15" thickBot="1">
      <c r="A220" s="510"/>
      <c r="B220" s="2270"/>
      <c r="C220" s="1396"/>
      <c r="D220" s="1396"/>
      <c r="E220" s="1396"/>
      <c r="F220" s="1396"/>
      <c r="G220" s="1396"/>
      <c r="H220" s="2271"/>
      <c r="I220" s="2271"/>
      <c r="J220" s="2272"/>
      <c r="K220" s="2272"/>
      <c r="L220" s="1468"/>
      <c r="M220" s="510"/>
      <c r="N220" s="3148"/>
    </row>
    <row r="221" spans="1:15" ht="13.8" thickBot="1">
      <c r="A221" s="510"/>
      <c r="B221" s="1322" t="s">
        <v>692</v>
      </c>
      <c r="C221" s="1322"/>
      <c r="D221" s="1325"/>
      <c r="E221" s="1323"/>
      <c r="F221" s="1323">
        <f t="shared" ref="F221:J221" si="20">SUM(F27:F220)</f>
        <v>6585.5179999999991</v>
      </c>
      <c r="G221" s="1323">
        <f>SUM(G27:G220)</f>
        <v>52100.624000000025</v>
      </c>
      <c r="H221" s="1326">
        <f t="shared" si="20"/>
        <v>3204.2860000000001</v>
      </c>
      <c r="I221" s="1326">
        <f t="shared" si="20"/>
        <v>18669.898000000012</v>
      </c>
      <c r="J221" s="1326">
        <f t="shared" si="20"/>
        <v>3381.271999999999</v>
      </c>
      <c r="K221" s="3571">
        <f>SUM(K27:K220)</f>
        <v>33430.725999999988</v>
      </c>
      <c r="L221" s="510"/>
      <c r="M221" s="510"/>
      <c r="N221" s="3152"/>
    </row>
    <row r="222" spans="1:15" ht="13.8" thickBot="1">
      <c r="A222" s="510"/>
      <c r="B222" s="1313"/>
      <c r="C222" s="1313"/>
      <c r="D222" s="1324"/>
      <c r="E222" s="1313"/>
      <c r="F222" s="1313"/>
      <c r="G222" s="1313"/>
      <c r="H222" s="1396"/>
      <c r="I222" s="1396"/>
      <c r="J222" s="1313"/>
      <c r="K222" s="1313"/>
      <c r="L222" s="510"/>
      <c r="M222" s="510"/>
      <c r="N222" s="3153"/>
    </row>
    <row r="223" spans="1:15" ht="13.8" thickBot="1">
      <c r="A223" s="510"/>
      <c r="B223" s="1313"/>
      <c r="C223" s="1313"/>
      <c r="D223" s="1324"/>
      <c r="E223" s="1313"/>
      <c r="F223" s="1313"/>
      <c r="G223" s="1313"/>
      <c r="H223" s="1396"/>
      <c r="I223" s="1396"/>
      <c r="J223" s="1313"/>
      <c r="K223" s="1313"/>
      <c r="L223" s="510"/>
      <c r="M223" s="510"/>
      <c r="N223" s="3154"/>
      <c r="O223" s="510"/>
    </row>
    <row r="224" spans="1:15" ht="14.4">
      <c r="A224" s="510"/>
      <c r="B224" s="169"/>
      <c r="C224" s="169"/>
      <c r="D224" s="4288" t="s">
        <v>829</v>
      </c>
      <c r="E224" s="4288"/>
      <c r="F224" s="4288"/>
      <c r="G224" s="4288"/>
      <c r="H224" s="4288"/>
      <c r="I224" s="4288"/>
      <c r="J224" s="4288"/>
      <c r="K224" s="4288"/>
      <c r="L224" s="169"/>
      <c r="M224" s="510"/>
      <c r="N224" s="510"/>
      <c r="O224" s="510"/>
    </row>
    <row r="225" spans="1:15">
      <c r="A225" s="510"/>
      <c r="B225" s="1397"/>
      <c r="C225" s="1397"/>
      <c r="D225" s="1397"/>
      <c r="E225" s="1397"/>
      <c r="F225" s="4289"/>
      <c r="G225" s="4289"/>
      <c r="H225" s="4289"/>
      <c r="I225" s="1398"/>
      <c r="J225" s="1397"/>
      <c r="K225" s="1397"/>
      <c r="L225" s="1397"/>
      <c r="M225" s="510"/>
      <c r="N225" s="510"/>
      <c r="O225" s="510"/>
    </row>
    <row r="226" spans="1:15">
      <c r="A226" s="510"/>
      <c r="B226" s="169"/>
      <c r="C226" s="169"/>
      <c r="D226" s="169"/>
      <c r="E226" s="169"/>
      <c r="F226" s="169"/>
      <c r="G226" s="169"/>
      <c r="H226" s="169"/>
      <c r="I226" s="169"/>
      <c r="J226" s="169"/>
      <c r="K226" s="169"/>
      <c r="L226" s="169"/>
      <c r="M226" s="510"/>
      <c r="N226" s="510"/>
      <c r="O226" s="510"/>
    </row>
    <row r="227" spans="1:15" ht="13.8" thickBot="1">
      <c r="A227" s="510"/>
      <c r="B227" s="169"/>
      <c r="C227" s="169"/>
      <c r="D227" s="169"/>
      <c r="E227" s="169"/>
      <c r="F227" s="169"/>
      <c r="G227" s="169"/>
      <c r="H227" s="169"/>
      <c r="I227" s="169"/>
      <c r="J227" s="169"/>
      <c r="K227" s="169"/>
      <c r="L227" s="169"/>
      <c r="M227" s="510"/>
      <c r="N227" s="510"/>
      <c r="O227" s="510"/>
    </row>
    <row r="228" spans="1:15" ht="13.8" thickBot="1">
      <c r="A228" s="510"/>
      <c r="B228" s="1399" t="s">
        <v>830</v>
      </c>
      <c r="C228" s="1400"/>
      <c r="D228" s="1400"/>
      <c r="E228" s="1400"/>
      <c r="F228" s="1400"/>
      <c r="G228" s="4273" t="s">
        <v>598</v>
      </c>
      <c r="H228" s="4274"/>
      <c r="I228" s="4275"/>
      <c r="J228" s="4273" t="s">
        <v>599</v>
      </c>
      <c r="K228" s="4275"/>
      <c r="L228" s="4286" t="s">
        <v>600</v>
      </c>
      <c r="M228" s="993" t="s">
        <v>840</v>
      </c>
      <c r="N228" s="510"/>
      <c r="O228" s="510"/>
    </row>
    <row r="229" spans="1:15" ht="13.8" thickBot="1">
      <c r="A229" s="510"/>
      <c r="B229" s="1807" t="s">
        <v>601</v>
      </c>
      <c r="C229" s="1808" t="s">
        <v>602</v>
      </c>
      <c r="D229" s="1403" t="s">
        <v>540</v>
      </c>
      <c r="E229" s="1404" t="s">
        <v>538</v>
      </c>
      <c r="F229" s="1402" t="s">
        <v>603</v>
      </c>
      <c r="G229" s="1405" t="s">
        <v>11</v>
      </c>
      <c r="H229" s="1406" t="s">
        <v>604</v>
      </c>
      <c r="I229" s="1407" t="s">
        <v>111</v>
      </c>
      <c r="J229" s="1809" t="s">
        <v>11</v>
      </c>
      <c r="K229" s="1407" t="s">
        <v>605</v>
      </c>
      <c r="L229" s="4290"/>
      <c r="M229" s="2969" t="s">
        <v>1224</v>
      </c>
      <c r="N229" s="510"/>
      <c r="O229" s="510"/>
    </row>
    <row r="230" spans="1:15">
      <c r="A230" s="510"/>
      <c r="B230" s="1865">
        <v>835</v>
      </c>
      <c r="C230" s="1875">
        <v>41008</v>
      </c>
      <c r="D230" s="1215">
        <v>956410</v>
      </c>
      <c r="E230" s="1215" t="s">
        <v>660</v>
      </c>
      <c r="F230" s="1216" t="s">
        <v>661</v>
      </c>
      <c r="G230" s="1214">
        <v>62</v>
      </c>
      <c r="H230" s="1215">
        <v>673</v>
      </c>
      <c r="I230" s="1258">
        <f t="shared" ref="I230:I235" si="21">SUM(G230:H230)</f>
        <v>735</v>
      </c>
      <c r="J230" s="1865">
        <v>117.545</v>
      </c>
      <c r="K230" s="1866">
        <v>610.61500000000001</v>
      </c>
      <c r="L230" s="3668">
        <f t="shared" ref="L230:L235" si="22">+I230-J230-K230</f>
        <v>6.8400000000000318</v>
      </c>
      <c r="M230" s="510"/>
      <c r="N230" s="510"/>
      <c r="O230" s="510"/>
    </row>
    <row r="231" spans="1:15">
      <c r="A231" s="510"/>
      <c r="B231" s="1870">
        <v>895</v>
      </c>
      <c r="C231" s="1874">
        <v>41016</v>
      </c>
      <c r="D231" s="1869">
        <v>954962</v>
      </c>
      <c r="E231" s="1869" t="s">
        <v>662</v>
      </c>
      <c r="F231" s="1871" t="s">
        <v>693</v>
      </c>
      <c r="G231" s="1872">
        <v>15</v>
      </c>
      <c r="H231" s="1869">
        <v>157</v>
      </c>
      <c r="I231" s="3666">
        <f t="shared" si="21"/>
        <v>172</v>
      </c>
      <c r="J231" s="1867">
        <v>15.91</v>
      </c>
      <c r="K231" s="1868">
        <v>157.21</v>
      </c>
      <c r="L231" s="3669">
        <f t="shared" si="22"/>
        <v>-1.1200000000000045</v>
      </c>
      <c r="M231" s="510"/>
      <c r="N231" s="510"/>
      <c r="O231" s="510"/>
    </row>
    <row r="232" spans="1:15">
      <c r="A232" s="510"/>
      <c r="B232" s="1867">
        <v>1496</v>
      </c>
      <c r="C232" s="1873">
        <v>41065</v>
      </c>
      <c r="D232" s="1239">
        <v>923199</v>
      </c>
      <c r="E232" s="1239" t="s">
        <v>720</v>
      </c>
      <c r="F232" s="1240"/>
      <c r="G232" s="1238">
        <v>15</v>
      </c>
      <c r="H232" s="1239">
        <v>185</v>
      </c>
      <c r="I232" s="3667">
        <f t="shared" si="21"/>
        <v>200</v>
      </c>
      <c r="J232" s="1867">
        <v>14.462</v>
      </c>
      <c r="K232" s="1868">
        <v>165.98099999999999</v>
      </c>
      <c r="L232" s="3670">
        <f t="shared" si="22"/>
        <v>19.557000000000016</v>
      </c>
      <c r="M232" s="510"/>
      <c r="N232" s="510"/>
      <c r="O232" s="510"/>
    </row>
    <row r="233" spans="1:15" ht="13.8" thickBot="1">
      <c r="A233" s="510"/>
      <c r="B233" s="1966">
        <v>1861</v>
      </c>
      <c r="C233" s="1967">
        <v>41095</v>
      </c>
      <c r="D233" s="1253">
        <v>923199</v>
      </c>
      <c r="E233" s="1253" t="s">
        <v>720</v>
      </c>
      <c r="F233" s="1254"/>
      <c r="G233" s="1252">
        <v>0</v>
      </c>
      <c r="H233" s="1253">
        <v>200</v>
      </c>
      <c r="I233" s="1211">
        <f t="shared" si="21"/>
        <v>200</v>
      </c>
      <c r="J233" s="1966"/>
      <c r="K233" s="1968">
        <v>50.17</v>
      </c>
      <c r="L233" s="3671">
        <f t="shared" si="22"/>
        <v>149.82999999999998</v>
      </c>
      <c r="M233" s="510"/>
      <c r="N233" s="510"/>
      <c r="O233" s="510"/>
    </row>
    <row r="234" spans="1:15">
      <c r="A234" s="510"/>
      <c r="B234" s="1865">
        <v>1871</v>
      </c>
      <c r="C234" s="1875">
        <v>41095</v>
      </c>
      <c r="D234" s="1215">
        <v>924618</v>
      </c>
      <c r="E234" s="1215" t="s">
        <v>624</v>
      </c>
      <c r="F234" s="1216"/>
      <c r="G234" s="1214">
        <v>0</v>
      </c>
      <c r="H234" s="1215">
        <v>700</v>
      </c>
      <c r="I234" s="1258">
        <f t="shared" si="21"/>
        <v>700</v>
      </c>
      <c r="J234" s="1865">
        <v>2.38</v>
      </c>
      <c r="K234" s="1866">
        <v>682.77</v>
      </c>
      <c r="L234" s="3668">
        <f t="shared" si="22"/>
        <v>14.850000000000023</v>
      </c>
      <c r="M234" s="510"/>
      <c r="N234" s="510"/>
      <c r="O234" s="510"/>
    </row>
    <row r="235" spans="1:15" ht="13.8" thickBot="1">
      <c r="A235" s="510"/>
      <c r="B235" s="1966">
        <v>1871</v>
      </c>
      <c r="C235" s="1967">
        <v>41095</v>
      </c>
      <c r="D235" s="1253">
        <v>958676</v>
      </c>
      <c r="E235" s="1253" t="s">
        <v>831</v>
      </c>
      <c r="F235" s="1254"/>
      <c r="G235" s="1252">
        <v>0</v>
      </c>
      <c r="H235" s="1253">
        <v>800</v>
      </c>
      <c r="I235" s="1211">
        <f t="shared" si="21"/>
        <v>800</v>
      </c>
      <c r="J235" s="1966">
        <v>0.375</v>
      </c>
      <c r="K235" s="1968">
        <v>748.03899999999999</v>
      </c>
      <c r="L235" s="3671">
        <f t="shared" si="22"/>
        <v>51.586000000000013</v>
      </c>
      <c r="M235" s="510"/>
      <c r="N235" s="510"/>
      <c r="O235" s="510"/>
    </row>
    <row r="236" spans="1:15" ht="30.75" customHeight="1" thickBot="1">
      <c r="A236" s="510"/>
      <c r="B236" s="1964" t="s">
        <v>1104</v>
      </c>
      <c r="C236" s="3659">
        <v>41121</v>
      </c>
      <c r="D236" s="1964">
        <v>950818</v>
      </c>
      <c r="E236" s="3660" t="s">
        <v>1105</v>
      </c>
      <c r="F236" s="1964"/>
      <c r="G236" s="1964"/>
      <c r="H236" s="1964">
        <v>1000</v>
      </c>
      <c r="I236" s="3005">
        <f>+G236+H236</f>
        <v>1000</v>
      </c>
      <c r="J236" s="1964"/>
      <c r="K236" s="3661">
        <v>87.635000000000005</v>
      </c>
      <c r="L236" s="1963">
        <f>+H236-K236</f>
        <v>912.36500000000001</v>
      </c>
      <c r="M236" s="510"/>
      <c r="N236" s="510"/>
      <c r="O236" s="510"/>
    </row>
    <row r="237" spans="1:15" s="3647" customFormat="1">
      <c r="A237" s="510"/>
      <c r="B237" s="1865">
        <v>2166</v>
      </c>
      <c r="C237" s="1875">
        <v>41127</v>
      </c>
      <c r="D237" s="1215">
        <v>954241</v>
      </c>
      <c r="E237" s="3662" t="s">
        <v>933</v>
      </c>
      <c r="F237" s="1215"/>
      <c r="G237" s="1215">
        <v>29</v>
      </c>
      <c r="H237" s="1215">
        <v>372</v>
      </c>
      <c r="I237" s="1258">
        <v>401</v>
      </c>
      <c r="J237" s="1865"/>
      <c r="K237" s="1866">
        <v>217.9</v>
      </c>
      <c r="L237" s="3668">
        <v>183.1</v>
      </c>
      <c r="M237" s="510"/>
      <c r="N237" s="510"/>
      <c r="O237" s="510"/>
    </row>
    <row r="238" spans="1:15" s="3647" customFormat="1" ht="13.8" thickBot="1">
      <c r="A238" s="510"/>
      <c r="B238" s="3663">
        <v>2166</v>
      </c>
      <c r="C238" s="3664">
        <v>41127</v>
      </c>
      <c r="D238" s="1222">
        <v>926460</v>
      </c>
      <c r="E238" s="3665" t="s">
        <v>934</v>
      </c>
      <c r="F238" s="1222"/>
      <c r="G238" s="1222">
        <v>28</v>
      </c>
      <c r="H238" s="1222">
        <v>371</v>
      </c>
      <c r="I238" s="1261">
        <v>399</v>
      </c>
      <c r="J238" s="3663"/>
      <c r="K238" s="3673">
        <v>160.87</v>
      </c>
      <c r="L238" s="3672">
        <v>238.13</v>
      </c>
      <c r="M238" s="510"/>
      <c r="N238" s="510"/>
      <c r="O238" s="510"/>
    </row>
    <row r="239" spans="1:15">
      <c r="A239" s="510"/>
      <c r="B239" s="1264"/>
      <c r="C239" s="1265"/>
      <c r="D239" s="1264"/>
      <c r="E239" s="1264"/>
      <c r="F239" s="1264"/>
      <c r="G239" s="1264"/>
      <c r="H239" s="1264"/>
      <c r="I239" s="1264"/>
      <c r="J239" s="1264"/>
      <c r="K239" s="1849"/>
      <c r="L239" s="1264"/>
      <c r="M239" s="510"/>
      <c r="N239" s="510"/>
      <c r="O239" s="510"/>
    </row>
    <row r="240" spans="1:15" ht="13.8" thickBot="1">
      <c r="A240" s="510"/>
      <c r="B240" s="994"/>
      <c r="C240" s="994"/>
      <c r="D240" s="994"/>
      <c r="E240" s="994"/>
      <c r="F240" s="994"/>
      <c r="G240" s="994"/>
      <c r="H240" s="994"/>
      <c r="I240" s="994"/>
      <c r="J240" s="994"/>
      <c r="K240" s="994"/>
      <c r="L240" s="994"/>
      <c r="M240" s="510"/>
      <c r="N240" s="510"/>
      <c r="O240" s="510"/>
    </row>
    <row r="241" spans="1:15" ht="13.8" thickBot="1">
      <c r="A241" s="510"/>
      <c r="B241" s="1918" t="s">
        <v>692</v>
      </c>
      <c r="C241" s="1916"/>
      <c r="D241" s="1916"/>
      <c r="E241" s="1916"/>
      <c r="F241" s="1266"/>
      <c r="G241" s="1267">
        <f>SUM(G230:G240)</f>
        <v>149</v>
      </c>
      <c r="H241" s="1267">
        <f>SUM(H230:H240)</f>
        <v>4458</v>
      </c>
      <c r="I241" s="1267">
        <f>SUM(I230:I240)</f>
        <v>4607</v>
      </c>
      <c r="J241" s="2873">
        <f>SUM(J230:J236)</f>
        <v>150.672</v>
      </c>
      <c r="K241" s="1268">
        <f>SUM(K230:K236)</f>
        <v>2502.42</v>
      </c>
      <c r="L241" s="2873">
        <f>SUM(L230:L240)</f>
        <v>1575.1379999999999</v>
      </c>
      <c r="M241" s="510"/>
      <c r="N241" s="510"/>
      <c r="O241" s="510"/>
    </row>
    <row r="242" spans="1:15">
      <c r="A242" s="510"/>
      <c r="B242" s="994"/>
      <c r="C242" s="994"/>
      <c r="D242" s="994"/>
      <c r="E242" s="994"/>
      <c r="F242" s="994"/>
      <c r="G242" s="994"/>
      <c r="H242" s="994"/>
      <c r="I242" s="994"/>
      <c r="J242" s="994"/>
      <c r="K242" s="994"/>
      <c r="L242" s="994"/>
      <c r="M242" s="510"/>
      <c r="N242" s="510"/>
      <c r="O242" s="510"/>
    </row>
    <row r="243" spans="1:15" ht="13.8" thickBot="1">
      <c r="A243" s="510"/>
      <c r="B243" s="994"/>
      <c r="C243" s="994"/>
      <c r="D243" s="994"/>
      <c r="E243" s="994"/>
      <c r="F243" s="994"/>
      <c r="G243" s="994"/>
      <c r="H243" s="994"/>
      <c r="I243" s="994"/>
      <c r="J243" s="994"/>
      <c r="K243" s="994"/>
      <c r="L243" s="994"/>
      <c r="M243" s="510"/>
      <c r="N243" s="510"/>
      <c r="O243" s="510"/>
    </row>
    <row r="244" spans="1:15" ht="13.8" thickBot="1">
      <c r="A244" s="510"/>
      <c r="B244" s="1408" t="s">
        <v>710</v>
      </c>
      <c r="C244" s="1409"/>
      <c r="D244" s="1400"/>
      <c r="E244" s="1400"/>
      <c r="F244" s="1400"/>
      <c r="G244" s="1919" t="s">
        <v>598</v>
      </c>
      <c r="H244" s="1920"/>
      <c r="I244" s="1921"/>
      <c r="J244" s="4284" t="s">
        <v>599</v>
      </c>
      <c r="K244" s="4285"/>
      <c r="L244" s="4286" t="s">
        <v>600</v>
      </c>
      <c r="M244" s="510"/>
      <c r="N244" s="510"/>
      <c r="O244" s="510"/>
    </row>
    <row r="245" spans="1:15" ht="13.8" thickBot="1">
      <c r="A245" s="510"/>
      <c r="B245" s="1401" t="s">
        <v>601</v>
      </c>
      <c r="C245" s="1402" t="s">
        <v>602</v>
      </c>
      <c r="D245" s="1403" t="s">
        <v>540</v>
      </c>
      <c r="E245" s="1404" t="s">
        <v>538</v>
      </c>
      <c r="F245" s="1402" t="s">
        <v>603</v>
      </c>
      <c r="G245" s="1405" t="s">
        <v>11</v>
      </c>
      <c r="H245" s="1406" t="s">
        <v>604</v>
      </c>
      <c r="I245" s="1330" t="s">
        <v>111</v>
      </c>
      <c r="J245" s="1405" t="s">
        <v>11</v>
      </c>
      <c r="K245" s="1407" t="s">
        <v>605</v>
      </c>
      <c r="L245" s="4287"/>
      <c r="M245" s="510"/>
      <c r="N245" s="510"/>
      <c r="O245" s="510"/>
    </row>
    <row r="246" spans="1:15" ht="13.8" thickBot="1">
      <c r="A246" s="510"/>
      <c r="B246" s="1523">
        <v>1489</v>
      </c>
      <c r="C246" s="1524">
        <v>41059</v>
      </c>
      <c r="D246" s="1525">
        <v>957995</v>
      </c>
      <c r="E246" s="1526" t="s">
        <v>711</v>
      </c>
      <c r="F246" s="1527"/>
      <c r="G246" s="1523">
        <v>0</v>
      </c>
      <c r="H246" s="1526">
        <v>200</v>
      </c>
      <c r="I246" s="1528">
        <f>SUM(G246:H246)</f>
        <v>200</v>
      </c>
      <c r="J246" s="1876">
        <v>2.1659999999999999</v>
      </c>
      <c r="K246" s="1529">
        <v>184.404</v>
      </c>
      <c r="L246" s="1530">
        <f>+I246-J246-K246</f>
        <v>13.430000000000007</v>
      </c>
      <c r="M246" s="2924" t="s">
        <v>820</v>
      </c>
      <c r="N246" s="510"/>
      <c r="O246" s="510"/>
    </row>
    <row r="247" spans="1:15" s="2890" customFormat="1" ht="13.8" thickBot="1">
      <c r="A247" s="510"/>
      <c r="B247" s="2921">
        <v>3038</v>
      </c>
      <c r="C247" s="2928">
        <v>41233</v>
      </c>
      <c r="D247" s="2922">
        <v>957995</v>
      </c>
      <c r="E247" s="2922" t="s">
        <v>711</v>
      </c>
      <c r="F247" s="2925"/>
      <c r="G247" s="2925"/>
      <c r="H247" s="2925">
        <v>500</v>
      </c>
      <c r="I247" s="2925">
        <f>SUM(G247:H247)</f>
        <v>500</v>
      </c>
      <c r="J247" s="2926"/>
      <c r="K247" s="2927">
        <v>251.14</v>
      </c>
      <c r="L247" s="2923">
        <f>+I247-J247-K247</f>
        <v>248.86</v>
      </c>
      <c r="M247" s="1877"/>
      <c r="N247" s="510"/>
      <c r="O247" s="510"/>
    </row>
    <row r="248" spans="1:15" ht="13.8" thickBot="1">
      <c r="A248" s="510"/>
      <c r="B248" s="994"/>
      <c r="C248" s="994"/>
      <c r="D248" s="994"/>
      <c r="E248" s="994"/>
      <c r="F248" s="994"/>
      <c r="G248" s="994"/>
      <c r="H248" s="994"/>
      <c r="I248" s="994"/>
      <c r="J248" s="994"/>
      <c r="K248" s="994"/>
      <c r="L248" s="994"/>
      <c r="M248" s="510"/>
      <c r="N248" s="510"/>
      <c r="O248" s="510"/>
    </row>
    <row r="249" spans="1:15" ht="13.8" thickBot="1">
      <c r="A249" s="510"/>
      <c r="B249" s="2919" t="s">
        <v>811</v>
      </c>
      <c r="C249" s="2920"/>
      <c r="D249" s="1400"/>
      <c r="E249" s="1400"/>
      <c r="F249" s="1400"/>
      <c r="G249" s="4281" t="s">
        <v>598</v>
      </c>
      <c r="H249" s="4282"/>
      <c r="I249" s="4283"/>
      <c r="J249" s="4284" t="s">
        <v>599</v>
      </c>
      <c r="K249" s="4285"/>
      <c r="L249" s="4286" t="s">
        <v>600</v>
      </c>
      <c r="M249" s="510"/>
      <c r="N249" s="510"/>
      <c r="O249" s="510"/>
    </row>
    <row r="250" spans="1:15" ht="13.8" thickBot="1">
      <c r="A250" s="510"/>
      <c r="B250" s="1401" t="s">
        <v>601</v>
      </c>
      <c r="C250" s="1402" t="s">
        <v>602</v>
      </c>
      <c r="D250" s="1403" t="s">
        <v>540</v>
      </c>
      <c r="E250" s="1404" t="s">
        <v>538</v>
      </c>
      <c r="F250" s="1402" t="s">
        <v>603</v>
      </c>
      <c r="G250" s="2891" t="s">
        <v>11</v>
      </c>
      <c r="H250" s="1809" t="s">
        <v>604</v>
      </c>
      <c r="I250" s="1330" t="s">
        <v>111</v>
      </c>
      <c r="J250" s="1405" t="s">
        <v>11</v>
      </c>
      <c r="K250" s="1407" t="s">
        <v>605</v>
      </c>
      <c r="L250" s="4287"/>
      <c r="M250" s="510"/>
      <c r="N250" s="510"/>
      <c r="O250" s="510"/>
    </row>
    <row r="251" spans="1:15" ht="13.8" thickBot="1">
      <c r="A251" s="510"/>
      <c r="B251" s="3072">
        <v>1666</v>
      </c>
      <c r="C251" s="3073">
        <v>41080</v>
      </c>
      <c r="D251" s="3074"/>
      <c r="E251" s="3075" t="s">
        <v>832</v>
      </c>
      <c r="F251" s="3076"/>
      <c r="G251" s="3076">
        <v>0</v>
      </c>
      <c r="H251" s="3074">
        <v>600</v>
      </c>
      <c r="I251" s="3075">
        <f>SUM(G251:H251)</f>
        <v>600</v>
      </c>
      <c r="J251" s="3076"/>
      <c r="K251" s="3077"/>
      <c r="L251" s="3039">
        <f>+I251-J251-K251</f>
        <v>600</v>
      </c>
      <c r="M251" s="2969" t="s">
        <v>1187</v>
      </c>
      <c r="N251" s="2969"/>
      <c r="O251" s="510"/>
    </row>
    <row r="252" spans="1:15" ht="13.8" thickBot="1">
      <c r="A252" s="510"/>
      <c r="B252" s="1328">
        <v>2925</v>
      </c>
      <c r="C252" s="1331">
        <v>41220</v>
      </c>
      <c r="D252" s="1327"/>
      <c r="E252" s="1329" t="s">
        <v>1132</v>
      </c>
      <c r="F252" s="2876"/>
      <c r="G252" s="2876">
        <v>0</v>
      </c>
      <c r="H252" s="1327">
        <v>1297</v>
      </c>
      <c r="I252" s="1329">
        <f>SUM(G252:H252)</f>
        <v>1297</v>
      </c>
      <c r="J252" s="2876"/>
      <c r="K252" s="2918"/>
      <c r="L252" s="1266">
        <f>+I252-J252-K252</f>
        <v>1297</v>
      </c>
      <c r="M252" s="510"/>
      <c r="N252" s="510"/>
      <c r="O252" s="510"/>
    </row>
    <row r="253" spans="1:15" s="3108" customFormat="1" ht="15" thickBot="1">
      <c r="A253" s="510"/>
      <c r="B253" s="3113">
        <v>3115</v>
      </c>
      <c r="C253" s="3114">
        <v>41241</v>
      </c>
      <c r="D253" s="3115"/>
      <c r="E253" s="3116" t="s">
        <v>832</v>
      </c>
      <c r="F253" s="3117"/>
      <c r="G253" s="3113">
        <v>0</v>
      </c>
      <c r="H253" s="3116">
        <v>2800</v>
      </c>
      <c r="I253" s="3118">
        <f>SUM(G253:H253)</f>
        <v>2800</v>
      </c>
      <c r="J253" s="3119"/>
      <c r="K253" s="3120"/>
      <c r="L253" s="3121">
        <f>+I253-J253-K253</f>
        <v>2800</v>
      </c>
      <c r="M253" s="510"/>
      <c r="N253" s="510"/>
      <c r="O253" s="510"/>
    </row>
    <row r="254" spans="1:15" s="2890" customFormat="1" ht="13.8" thickBot="1">
      <c r="A254" s="510"/>
      <c r="B254" s="1264"/>
      <c r="C254" s="1265"/>
      <c r="D254" s="1264"/>
      <c r="E254" s="1264"/>
      <c r="F254" s="1264"/>
      <c r="G254" s="1264"/>
      <c r="H254" s="1264"/>
      <c r="I254" s="1264"/>
      <c r="J254" s="1264"/>
      <c r="K254" s="2877"/>
      <c r="L254" s="1264"/>
      <c r="M254" s="511"/>
      <c r="N254" s="510"/>
      <c r="O254" s="510"/>
    </row>
    <row r="255" spans="1:15" s="2999" customFormat="1" ht="13.8" thickBot="1">
      <c r="A255" s="510"/>
      <c r="B255" s="3003" t="s">
        <v>1181</v>
      </c>
      <c r="C255" s="3004"/>
      <c r="D255" s="1264"/>
      <c r="E255" s="1264"/>
      <c r="F255" s="1264"/>
      <c r="G255" s="3005" t="s">
        <v>598</v>
      </c>
      <c r="H255" s="1964"/>
      <c r="I255" s="1964"/>
      <c r="J255" s="1964" t="s">
        <v>599</v>
      </c>
      <c r="K255" s="3006"/>
      <c r="L255" s="1964" t="s">
        <v>600</v>
      </c>
      <c r="M255" s="511"/>
      <c r="N255" s="510"/>
      <c r="O255" s="510"/>
    </row>
    <row r="256" spans="1:15" s="2999" customFormat="1" ht="13.8" thickBot="1">
      <c r="A256" s="510"/>
      <c r="B256" s="3005" t="s">
        <v>601</v>
      </c>
      <c r="C256" s="3008" t="s">
        <v>602</v>
      </c>
      <c r="D256" s="1964" t="s">
        <v>540</v>
      </c>
      <c r="E256" s="1964" t="s">
        <v>538</v>
      </c>
      <c r="F256" s="2859" t="s">
        <v>603</v>
      </c>
      <c r="G256" s="3005" t="s">
        <v>11</v>
      </c>
      <c r="H256" s="1964" t="s">
        <v>604</v>
      </c>
      <c r="I256" s="1964" t="s">
        <v>111</v>
      </c>
      <c r="J256" s="1964" t="s">
        <v>11</v>
      </c>
      <c r="K256" s="3006" t="s">
        <v>605</v>
      </c>
      <c r="L256" s="1964"/>
      <c r="M256" s="511"/>
      <c r="N256" s="510"/>
      <c r="O256" s="510"/>
    </row>
    <row r="257" spans="1:15" s="2999" customFormat="1" ht="13.8" thickBot="1">
      <c r="A257" s="510"/>
      <c r="B257" s="3113">
        <v>3095</v>
      </c>
      <c r="C257" s="3114">
        <v>41239</v>
      </c>
      <c r="D257" s="3115">
        <v>901835</v>
      </c>
      <c r="E257" s="3116" t="s">
        <v>795</v>
      </c>
      <c r="F257" s="2859"/>
      <c r="G257" s="3005">
        <v>0</v>
      </c>
      <c r="H257" s="1964">
        <v>300</v>
      </c>
      <c r="I257" s="1964">
        <f>+G257+H257</f>
        <v>300</v>
      </c>
      <c r="J257" s="1964"/>
      <c r="K257" s="3006"/>
      <c r="L257" s="2876">
        <f t="shared" ref="L257:L258" si="23">+I257-K257</f>
        <v>300</v>
      </c>
      <c r="M257" s="511"/>
      <c r="N257" s="510"/>
      <c r="O257" s="510"/>
    </row>
    <row r="258" spans="1:15" s="2999" customFormat="1" ht="13.8" thickBot="1">
      <c r="A258" s="510"/>
      <c r="B258" s="3113">
        <v>3038</v>
      </c>
      <c r="C258" s="3114">
        <v>41233</v>
      </c>
      <c r="D258" s="3115">
        <v>955617</v>
      </c>
      <c r="E258" s="3116" t="s">
        <v>1290</v>
      </c>
      <c r="F258" s="2859"/>
      <c r="G258" s="3005">
        <v>0</v>
      </c>
      <c r="H258" s="1964">
        <v>620</v>
      </c>
      <c r="I258" s="1964">
        <f>+H258+G258</f>
        <v>620</v>
      </c>
      <c r="J258" s="1964"/>
      <c r="K258" s="3006"/>
      <c r="L258" s="2876">
        <f t="shared" si="23"/>
        <v>620</v>
      </c>
      <c r="M258" s="511"/>
      <c r="N258" s="510"/>
      <c r="O258" s="510"/>
    </row>
    <row r="259" spans="1:15" s="2999" customFormat="1" ht="13.8" thickBot="1">
      <c r="A259" s="510"/>
      <c r="B259" s="3113">
        <v>3038</v>
      </c>
      <c r="C259" s="3114">
        <v>41233</v>
      </c>
      <c r="D259" s="3115">
        <v>901835</v>
      </c>
      <c r="E259" s="3116" t="s">
        <v>795</v>
      </c>
      <c r="F259" s="1916"/>
      <c r="G259" s="1918">
        <v>0</v>
      </c>
      <c r="H259" s="2876">
        <v>367</v>
      </c>
      <c r="I259" s="2876">
        <f>+H259</f>
        <v>367</v>
      </c>
      <c r="J259" s="2876"/>
      <c r="K259" s="3007"/>
      <c r="L259" s="2876">
        <f>+I259-K259</f>
        <v>367</v>
      </c>
      <c r="M259" s="511"/>
      <c r="N259" s="510"/>
      <c r="O259" s="510"/>
    </row>
    <row r="260" spans="1:15" s="2999" customFormat="1">
      <c r="A260" s="510"/>
      <c r="B260" s="1264"/>
      <c r="C260" s="1265"/>
      <c r="D260" s="1264"/>
      <c r="E260" s="1264"/>
      <c r="F260" s="1264"/>
      <c r="G260" s="1264"/>
      <c r="H260" s="1264"/>
      <c r="I260" s="1264"/>
      <c r="J260" s="1264"/>
      <c r="K260" s="2877"/>
      <c r="L260" s="1264"/>
      <c r="M260" s="511"/>
      <c r="N260" s="510"/>
      <c r="O260" s="510"/>
    </row>
    <row r="261" spans="1:15" s="2848" customFormat="1">
      <c r="A261" s="510">
        <v>0</v>
      </c>
      <c r="B261" s="1264"/>
      <c r="C261" s="1265"/>
      <c r="D261" s="1264"/>
      <c r="E261" s="1264"/>
      <c r="F261" s="1264"/>
      <c r="G261" s="1264"/>
      <c r="H261" s="1264"/>
      <c r="I261" s="1264"/>
      <c r="J261" s="1264"/>
      <c r="K261" s="2877"/>
      <c r="L261" s="1264"/>
      <c r="M261" s="510"/>
      <c r="N261" s="510"/>
      <c r="O261" s="510"/>
    </row>
    <row r="262" spans="1:15" ht="13.8" thickBot="1">
      <c r="A262" s="510"/>
      <c r="B262" s="169"/>
      <c r="C262" s="169"/>
      <c r="D262" s="169"/>
      <c r="E262" s="169"/>
      <c r="F262" s="169"/>
      <c r="G262" s="169"/>
      <c r="H262" s="169"/>
      <c r="I262" s="169"/>
      <c r="J262" s="169"/>
      <c r="K262" s="169"/>
      <c r="L262" s="169"/>
      <c r="M262" s="510"/>
      <c r="N262" s="510"/>
      <c r="O262" s="510"/>
    </row>
    <row r="263" spans="1:15" ht="13.8" thickBot="1">
      <c r="A263" s="510"/>
      <c r="B263" s="4093" t="s">
        <v>1085</v>
      </c>
      <c r="C263" s="4094"/>
      <c r="D263" s="4094"/>
      <c r="E263" s="4094"/>
      <c r="F263" s="4094"/>
      <c r="G263" s="4094"/>
      <c r="H263" s="4094"/>
      <c r="I263" s="4094"/>
      <c r="J263" s="4094"/>
      <c r="K263" s="4094"/>
      <c r="L263" s="4095"/>
      <c r="M263" s="510"/>
      <c r="N263" s="510"/>
      <c r="O263" s="510"/>
    </row>
    <row r="264" spans="1:15" ht="13.8" thickBot="1">
      <c r="A264" s="510"/>
      <c r="N264" s="510"/>
      <c r="O264" s="510"/>
    </row>
    <row r="265" spans="1:15" ht="13.8" thickBot="1">
      <c r="A265" s="510"/>
      <c r="B265" s="1790" t="s">
        <v>929</v>
      </c>
      <c r="C265" s="1791"/>
      <c r="D265" s="1797"/>
      <c r="E265" s="1796"/>
      <c r="F265" s="1780"/>
      <c r="G265" s="1780"/>
      <c r="H265" s="1780"/>
      <c r="I265" s="1780"/>
      <c r="J265" s="1780"/>
      <c r="K265" s="1780"/>
      <c r="L265" s="1781"/>
      <c r="N265" s="510"/>
      <c r="O265" s="510"/>
    </row>
    <row r="266" spans="1:15" ht="18" customHeight="1" thickBot="1">
      <c r="A266" s="510"/>
      <c r="B266" s="1793" t="s">
        <v>928</v>
      </c>
      <c r="C266" s="1794"/>
      <c r="D266" s="1794"/>
      <c r="E266" s="1795" t="s">
        <v>859</v>
      </c>
      <c r="F266" s="513"/>
      <c r="G266" s="513"/>
      <c r="H266" s="513"/>
      <c r="I266" s="513"/>
      <c r="J266" s="513"/>
      <c r="K266" s="1779">
        <v>41278</v>
      </c>
      <c r="L266" s="1782"/>
      <c r="N266" s="510"/>
      <c r="O266" s="510"/>
    </row>
    <row r="267" spans="1:15" ht="14.4" thickBot="1">
      <c r="A267" s="510"/>
      <c r="B267" s="2497" t="s">
        <v>1082</v>
      </c>
      <c r="C267" s="1798" t="s">
        <v>745</v>
      </c>
      <c r="D267" s="1792" t="s">
        <v>860</v>
      </c>
      <c r="E267" s="1792" t="s">
        <v>861</v>
      </c>
      <c r="F267" s="1696" t="s">
        <v>862</v>
      </c>
      <c r="G267" s="2521" t="s">
        <v>753</v>
      </c>
      <c r="H267" s="1696" t="s">
        <v>144</v>
      </c>
      <c r="I267" s="1697" t="s">
        <v>110</v>
      </c>
      <c r="J267" s="1786"/>
      <c r="K267" s="1786"/>
      <c r="L267" s="1782"/>
      <c r="N267" s="510" t="s">
        <v>417</v>
      </c>
      <c r="O267" s="510"/>
    </row>
    <row r="268" spans="1:15" ht="13.8" thickBot="1">
      <c r="A268" s="510"/>
      <c r="B268" s="2489" t="s">
        <v>858</v>
      </c>
      <c r="C268" s="3106">
        <v>631.37800000000004</v>
      </c>
      <c r="D268" s="2491">
        <v>46.205000000000005</v>
      </c>
      <c r="E268" s="2491">
        <v>51.298000000000002</v>
      </c>
      <c r="F268" s="2491">
        <v>28.955000000000002</v>
      </c>
      <c r="G268" s="2491">
        <v>7252.2729999999992</v>
      </c>
      <c r="H268" s="2491">
        <f>SUM(C268:G268)</f>
        <v>8010.1089999999995</v>
      </c>
      <c r="I268" s="2492"/>
      <c r="J268" s="1786"/>
      <c r="K268" s="1786"/>
      <c r="L268" s="1782"/>
      <c r="N268" s="510"/>
      <c r="O268" s="510"/>
    </row>
    <row r="269" spans="1:15" ht="13.8" thickBot="1">
      <c r="A269" s="510"/>
      <c r="B269" s="2490"/>
      <c r="C269" s="2493"/>
      <c r="D269" s="2493"/>
      <c r="E269" s="2493"/>
      <c r="F269" s="2493"/>
      <c r="G269" s="2493"/>
      <c r="H269" s="2493"/>
      <c r="I269" s="2494"/>
      <c r="J269" s="1786"/>
      <c r="K269" s="1786"/>
      <c r="L269" s="1782"/>
      <c r="N269" s="510"/>
      <c r="O269" s="510"/>
    </row>
    <row r="270" spans="1:15" ht="14.4" thickBot="1">
      <c r="A270" s="510"/>
      <c r="B270" s="2498" t="s">
        <v>1083</v>
      </c>
      <c r="C270" s="2496" t="s">
        <v>745</v>
      </c>
      <c r="D270" s="2493"/>
      <c r="E270" s="2493"/>
      <c r="F270" s="2493"/>
      <c r="G270" s="2493"/>
      <c r="H270" s="2493"/>
      <c r="I270" s="2494"/>
      <c r="J270" s="1786"/>
      <c r="K270" s="1786"/>
      <c r="L270" s="1782"/>
      <c r="N270" s="510"/>
      <c r="O270" s="510"/>
    </row>
    <row r="271" spans="1:15" ht="14.4" thickBot="1">
      <c r="A271" s="510"/>
      <c r="B271" s="2489" t="s">
        <v>858</v>
      </c>
      <c r="C271" s="3105">
        <v>4389.6819999999998</v>
      </c>
      <c r="D271" s="3136">
        <f>478.175+73.83</f>
        <v>552.005</v>
      </c>
      <c r="E271" s="2487">
        <f>2.029+19.91</f>
        <v>21.939</v>
      </c>
      <c r="F271" s="3136">
        <f>115.011+0.57</f>
        <v>115.58099999999999</v>
      </c>
      <c r="G271" s="2487">
        <f>17288.218</f>
        <v>17288.218000000001</v>
      </c>
      <c r="H271" s="2487">
        <f>SUM(C271:G271)</f>
        <v>22367.425000000003</v>
      </c>
      <c r="I271" s="2488"/>
      <c r="J271" s="1786"/>
      <c r="K271" s="1786"/>
      <c r="L271" s="1782"/>
      <c r="N271" s="510"/>
      <c r="O271" s="510"/>
    </row>
    <row r="272" spans="1:15" ht="13.8" thickBot="1">
      <c r="A272" s="510"/>
      <c r="B272" s="2486"/>
      <c r="C272" s="1371"/>
      <c r="D272" s="1371"/>
      <c r="E272" s="1371"/>
      <c r="F272" s="1371"/>
      <c r="G272" s="1371"/>
      <c r="H272" s="1371"/>
      <c r="I272" s="1787"/>
      <c r="J272" s="1786"/>
      <c r="K272" s="1786"/>
      <c r="L272" s="1782"/>
      <c r="N272" s="510"/>
      <c r="O272" s="510"/>
    </row>
    <row r="273" spans="1:16" ht="14.4" thickBot="1">
      <c r="A273" s="510"/>
      <c r="B273" s="2498" t="s">
        <v>1084</v>
      </c>
      <c r="C273" s="2496" t="s">
        <v>745</v>
      </c>
      <c r="D273" s="2493"/>
      <c r="E273" s="2493"/>
      <c r="F273" s="2493"/>
      <c r="G273" s="2493"/>
      <c r="H273" s="2493"/>
      <c r="I273" s="2494"/>
      <c r="J273" s="1786"/>
      <c r="K273" s="2886"/>
      <c r="L273" s="1782"/>
      <c r="M273" s="730"/>
      <c r="N273" s="510"/>
      <c r="O273" s="510"/>
    </row>
    <row r="274" spans="1:16" ht="14.4" thickBot="1">
      <c r="A274" s="510"/>
      <c r="B274" s="2489" t="s">
        <v>858</v>
      </c>
      <c r="C274" s="2853">
        <f>773.44+817.91+209.12+440.47+237.22+151.2+145.62+235.33+26+29.21+1.26+11.36+30.12</f>
        <v>3108.2599999999993</v>
      </c>
      <c r="D274" s="3136">
        <f>0.976+4.45+4.24</f>
        <v>9.6660000000000004</v>
      </c>
      <c r="E274" s="2487">
        <v>15.11</v>
      </c>
      <c r="F274" s="2487">
        <v>3.19</v>
      </c>
      <c r="G274" s="2487">
        <f>869.102+8518.21+355.87+12.1+1.42+140.13+770.79</f>
        <v>10667.621999999999</v>
      </c>
      <c r="H274" s="2487">
        <f>SUM(C274:G274)</f>
        <v>13803.847999999998</v>
      </c>
      <c r="I274" s="2488"/>
      <c r="J274" s="513"/>
      <c r="K274" s="513"/>
      <c r="L274" s="1782"/>
      <c r="N274" s="510"/>
      <c r="O274" s="510"/>
    </row>
    <row r="275" spans="1:16" ht="13.8" thickBot="1">
      <c r="A275" s="510"/>
      <c r="B275" s="1018"/>
      <c r="C275" s="1371"/>
      <c r="D275" s="1786"/>
      <c r="E275" s="1786"/>
      <c r="F275" s="1786"/>
      <c r="G275" s="1786"/>
      <c r="H275" s="1786"/>
      <c r="I275" s="1787"/>
      <c r="J275" s="513" t="s">
        <v>745</v>
      </c>
      <c r="K275" s="513"/>
      <c r="L275" s="1782"/>
      <c r="N275" s="510"/>
      <c r="O275" s="510"/>
    </row>
    <row r="276" spans="1:16" ht="18" customHeight="1" thickBot="1">
      <c r="A276" s="510"/>
      <c r="B276" s="1783"/>
      <c r="C276" s="1799" t="s">
        <v>1204</v>
      </c>
      <c r="D276" s="2495"/>
      <c r="E276" s="1799" t="s">
        <v>1013</v>
      </c>
      <c r="F276" s="2522" t="s">
        <v>128</v>
      </c>
      <c r="G276" s="1901" t="s">
        <v>110</v>
      </c>
      <c r="H276" s="513"/>
      <c r="I276" s="513"/>
      <c r="J276" s="3018">
        <v>70.63</v>
      </c>
      <c r="K276" s="3107">
        <f>+F279-J276</f>
        <v>-71.949999999999704</v>
      </c>
      <c r="L276" s="1782"/>
      <c r="M276" s="513"/>
      <c r="O276" s="510"/>
      <c r="P276" s="510"/>
    </row>
    <row r="277" spans="1:16" ht="14.4" thickBot="1">
      <c r="A277" s="510"/>
      <c r="B277" s="1783"/>
      <c r="C277" s="1775" t="s">
        <v>926</v>
      </c>
      <c r="D277" s="1707">
        <v>3000</v>
      </c>
      <c r="E277" s="1775">
        <f>+D277</f>
        <v>3000</v>
      </c>
      <c r="F277" s="2520">
        <f>+E277-C268</f>
        <v>2368.6219999999998</v>
      </c>
      <c r="G277" s="2536">
        <f>+F277/E277</f>
        <v>0.78954066666666667</v>
      </c>
      <c r="H277" s="513"/>
      <c r="I277" s="2886"/>
      <c r="J277" s="2554"/>
      <c r="K277" s="513"/>
      <c r="L277" s="1782"/>
      <c r="M277" s="513"/>
      <c r="O277" s="510"/>
      <c r="P277" s="510"/>
    </row>
    <row r="278" spans="1:16" ht="14.4" thickBot="1">
      <c r="A278" s="510"/>
      <c r="B278" s="1783"/>
      <c r="C278" s="1776" t="s">
        <v>154</v>
      </c>
      <c r="D278" s="1778">
        <v>3000</v>
      </c>
      <c r="E278" s="1788">
        <f>+D278+F277</f>
        <v>5368.6219999999994</v>
      </c>
      <c r="F278" s="2684">
        <f>+E278-C271</f>
        <v>978.9399999999996</v>
      </c>
      <c r="G278" s="2538">
        <f>+F278/E278</f>
        <v>0.18234474321343536</v>
      </c>
      <c r="H278" s="513"/>
      <c r="I278" s="513"/>
      <c r="J278" s="2886">
        <f>+C274+C271+C268</f>
        <v>8129.3199999999988</v>
      </c>
      <c r="K278" s="513"/>
      <c r="L278" s="1782"/>
      <c r="M278" s="513"/>
      <c r="O278" s="510"/>
      <c r="P278" s="510"/>
    </row>
    <row r="279" spans="1:16" ht="14.4" thickBot="1">
      <c r="A279" s="510"/>
      <c r="B279" s="1783"/>
      <c r="C279" s="1777" t="s">
        <v>927</v>
      </c>
      <c r="D279" s="1143">
        <v>2128</v>
      </c>
      <c r="E279" s="1789">
        <f>+D279+F278</f>
        <v>3106.9399999999996</v>
      </c>
      <c r="F279" s="2685">
        <f>+E279-C274</f>
        <v>-1.319999999999709</v>
      </c>
      <c r="G279" s="2537">
        <f>+F279/E279</f>
        <v>-4.2485532388771881E-4</v>
      </c>
      <c r="H279" s="2549" t="s">
        <v>820</v>
      </c>
      <c r="I279" s="513"/>
      <c r="J279" s="2886">
        <f>+C271+C274</f>
        <v>7497.9419999999991</v>
      </c>
      <c r="K279" s="3134" t="s">
        <v>1207</v>
      </c>
      <c r="L279" s="1782"/>
      <c r="M279" s="513"/>
      <c r="O279" s="510"/>
      <c r="P279" s="510"/>
    </row>
    <row r="280" spans="1:16" ht="13.8" thickBot="1">
      <c r="A280" s="510"/>
      <c r="B280" s="1169"/>
      <c r="C280" s="3010" t="s">
        <v>111</v>
      </c>
      <c r="D280" s="2295">
        <f>SUM(D277:D279)</f>
        <v>8128</v>
      </c>
      <c r="E280" s="2295"/>
      <c r="F280" s="1784"/>
      <c r="G280" s="2747"/>
      <c r="H280" s="1784"/>
      <c r="I280" s="1784"/>
      <c r="J280" s="1784">
        <v>7497.94</v>
      </c>
      <c r="K280" s="3135">
        <f>(J280-J279)</f>
        <v>-1.9999999994979589E-3</v>
      </c>
      <c r="L280" s="1785"/>
      <c r="M280" s="513"/>
      <c r="O280" s="510"/>
      <c r="P280" s="510"/>
    </row>
    <row r="281" spans="1:16">
      <c r="A281" s="510"/>
      <c r="B281" s="513"/>
      <c r="C281" s="3103" t="s">
        <v>1190</v>
      </c>
      <c r="D281" s="3104">
        <f>+C274+C271+C268</f>
        <v>8129.3199999999988</v>
      </c>
      <c r="E281" s="1371"/>
      <c r="F281" s="513"/>
      <c r="G281" s="513"/>
      <c r="H281" s="513"/>
      <c r="I281" s="513"/>
      <c r="J281" s="513"/>
      <c r="K281" s="513"/>
      <c r="L281" s="513"/>
      <c r="M281" s="513"/>
      <c r="O281" s="510"/>
      <c r="P281" s="510"/>
    </row>
    <row r="282" spans="1:16" ht="13.8">
      <c r="A282" s="510"/>
      <c r="G282" s="3018"/>
      <c r="J282" s="3178" t="s">
        <v>1218</v>
      </c>
    </row>
    <row r="283" spans="1:16">
      <c r="A283" s="510"/>
      <c r="G283" s="3212" t="s">
        <v>1255</v>
      </c>
      <c r="J283" s="3178" t="s">
        <v>1220</v>
      </c>
    </row>
    <row r="284" spans="1:16" ht="13.8" thickBot="1">
      <c r="A284" s="510"/>
      <c r="G284" s="245">
        <f>SUM(G268,G271,G274)</f>
        <v>35208.112999999998</v>
      </c>
      <c r="J284">
        <v>27955.837999999971</v>
      </c>
    </row>
    <row r="285" spans="1:16" ht="13.8" thickBot="1">
      <c r="A285" s="510"/>
      <c r="J285" s="3179"/>
    </row>
    <row r="286" spans="1:16">
      <c r="J286" s="3178" t="s">
        <v>1221</v>
      </c>
    </row>
    <row r="287" spans="1:16">
      <c r="J287" s="245">
        <f>+G271+G274</f>
        <v>27955.84</v>
      </c>
    </row>
    <row r="288" spans="1:16">
      <c r="J288" s="246"/>
    </row>
    <row r="289" spans="10:10">
      <c r="J289" s="3178" t="s">
        <v>1219</v>
      </c>
    </row>
    <row r="290" spans="10:10">
      <c r="J290" s="245">
        <f>+J284-J287</f>
        <v>-2.0000000295112841E-3</v>
      </c>
    </row>
    <row r="291" spans="10:10">
      <c r="J291" s="742"/>
    </row>
  </sheetData>
  <mergeCells count="38">
    <mergeCell ref="J25:K25"/>
    <mergeCell ref="F25:G25"/>
    <mergeCell ref="B1:C1"/>
    <mergeCell ref="G2:I2"/>
    <mergeCell ref="J2:K2"/>
    <mergeCell ref="C19:C20"/>
    <mergeCell ref="B19:B20"/>
    <mergeCell ref="H25:I25"/>
    <mergeCell ref="B22:F22"/>
    <mergeCell ref="L2:L3"/>
    <mergeCell ref="B4:B5"/>
    <mergeCell ref="C4:C5"/>
    <mergeCell ref="B10:B13"/>
    <mergeCell ref="B15:B16"/>
    <mergeCell ref="C15:C16"/>
    <mergeCell ref="C10:C13"/>
    <mergeCell ref="B129:B130"/>
    <mergeCell ref="B119:B128"/>
    <mergeCell ref="B175:B195"/>
    <mergeCell ref="L35:M35"/>
    <mergeCell ref="B138:B155"/>
    <mergeCell ref="B167:B174"/>
    <mergeCell ref="B132:B137"/>
    <mergeCell ref="B156:B159"/>
    <mergeCell ref="B160:B165"/>
    <mergeCell ref="G228:I228"/>
    <mergeCell ref="C215:D215"/>
    <mergeCell ref="B216:B218"/>
    <mergeCell ref="B263:L263"/>
    <mergeCell ref="G249:I249"/>
    <mergeCell ref="J249:K249"/>
    <mergeCell ref="L249:L250"/>
    <mergeCell ref="D224:K224"/>
    <mergeCell ref="F225:H225"/>
    <mergeCell ref="J244:K244"/>
    <mergeCell ref="L244:L245"/>
    <mergeCell ref="L228:L229"/>
    <mergeCell ref="J228:K228"/>
  </mergeCells>
  <pageMargins left="0.7" right="0.7" top="0.75" bottom="0.75" header="0.3" footer="0.3"/>
  <pageSetup paperSize="9" orientation="portrait" r:id="rId1"/>
  <legacyDrawing r:id="rId2"/>
</worksheet>
</file>

<file path=xl/worksheets/sheet36.xml><?xml version="1.0" encoding="utf-8"?>
<worksheet xmlns="http://schemas.openxmlformats.org/spreadsheetml/2006/main" xmlns:r="http://schemas.openxmlformats.org/officeDocument/2006/relationships">
  <dimension ref="A1:T37"/>
  <sheetViews>
    <sheetView workbookViewId="0">
      <selection activeCell="G16" sqref="G16"/>
    </sheetView>
  </sheetViews>
  <sheetFormatPr baseColWidth="10" defaultRowHeight="13.2"/>
  <cols>
    <col min="1" max="1" width="13" bestFit="1" customWidth="1"/>
    <col min="2" max="2" width="8.33203125" bestFit="1" customWidth="1"/>
    <col min="3" max="3" width="18.6640625" bestFit="1" customWidth="1"/>
    <col min="4" max="4" width="17.88671875" bestFit="1" customWidth="1"/>
    <col min="5" max="5" width="17.109375" bestFit="1" customWidth="1"/>
    <col min="6" max="6" width="10.33203125" bestFit="1" customWidth="1"/>
    <col min="7" max="7" width="8.44140625" customWidth="1"/>
    <col min="8" max="9" width="15.109375" customWidth="1"/>
    <col min="10" max="10" width="15.6640625" bestFit="1" customWidth="1"/>
    <col min="11" max="11" width="5.33203125" style="3212" customWidth="1"/>
    <col min="12" max="14" width="15.6640625" style="3212" customWidth="1"/>
    <col min="15" max="15" width="3.88671875" customWidth="1"/>
    <col min="16" max="16" width="14.88671875" customWidth="1"/>
    <col min="17" max="17" width="10.88671875" bestFit="1" customWidth="1"/>
    <col min="18" max="18" width="13.109375" customWidth="1"/>
    <col min="19" max="19" width="12.33203125" bestFit="1" customWidth="1"/>
  </cols>
  <sheetData>
    <row r="1" spans="1:20" ht="14.4" thickBot="1">
      <c r="A1" s="3899" t="s">
        <v>555</v>
      </c>
      <c r="B1" s="4193"/>
      <c r="C1" s="139"/>
      <c r="D1" s="139"/>
      <c r="E1" s="607"/>
      <c r="F1" s="153"/>
      <c r="G1" s="142"/>
      <c r="H1" s="571"/>
      <c r="I1" s="571"/>
    </row>
    <row r="2" spans="1:20" ht="14.4" thickBot="1">
      <c r="A2" s="142"/>
      <c r="B2" s="153"/>
      <c r="C2" s="139"/>
      <c r="D2" s="139"/>
      <c r="E2" s="607"/>
      <c r="F2" s="153"/>
      <c r="G2" s="142"/>
      <c r="H2" s="571"/>
      <c r="I2" s="571"/>
      <c r="P2" s="4298" t="s">
        <v>970</v>
      </c>
      <c r="Q2" s="4298"/>
      <c r="R2" s="4298"/>
      <c r="S2" s="4298"/>
    </row>
    <row r="3" spans="1:20" ht="14.4" thickBot="1">
      <c r="A3" s="629" t="s">
        <v>561</v>
      </c>
      <c r="B3" s="615" t="s">
        <v>107</v>
      </c>
      <c r="C3" s="508" t="s">
        <v>108</v>
      </c>
      <c r="D3" s="508" t="s">
        <v>109</v>
      </c>
      <c r="E3" s="615" t="s">
        <v>47</v>
      </c>
      <c r="F3" s="615" t="s">
        <v>48</v>
      </c>
      <c r="G3" s="615" t="s">
        <v>110</v>
      </c>
      <c r="H3" s="508" t="s">
        <v>50</v>
      </c>
      <c r="I3" s="2751" t="s">
        <v>1140</v>
      </c>
      <c r="J3" s="2752" t="s">
        <v>1141</v>
      </c>
      <c r="K3" s="3218"/>
      <c r="L3" s="3219" t="s">
        <v>1140</v>
      </c>
      <c r="M3" s="4303" t="s">
        <v>1256</v>
      </c>
      <c r="N3" s="4303" t="s">
        <v>50</v>
      </c>
      <c r="O3" s="2760"/>
      <c r="P3" s="626" t="s">
        <v>558</v>
      </c>
      <c r="Q3" s="625" t="s">
        <v>559</v>
      </c>
      <c r="R3" s="627" t="s">
        <v>562</v>
      </c>
      <c r="S3" s="2004" t="s">
        <v>563</v>
      </c>
    </row>
    <row r="4" spans="1:20" ht="14.4" thickBot="1">
      <c r="A4" s="806" t="s">
        <v>558</v>
      </c>
      <c r="B4" s="807" t="s">
        <v>61</v>
      </c>
      <c r="C4" s="887">
        <v>931.31</v>
      </c>
      <c r="D4" s="887">
        <f>+C4</f>
        <v>931.31</v>
      </c>
      <c r="E4" s="849">
        <f>SUM('Algas IV reg '!B5:B8)</f>
        <v>1069.982</v>
      </c>
      <c r="F4" s="894">
        <f>+D4-E4</f>
        <v>-138.67200000000003</v>
      </c>
      <c r="G4" s="892">
        <f>1-+E4/D4</f>
        <v>-0.14889993664837697</v>
      </c>
      <c r="H4" s="1828">
        <v>41001</v>
      </c>
      <c r="I4" s="2750"/>
      <c r="J4" s="2750"/>
      <c r="K4" s="2750"/>
      <c r="L4" s="3220" t="s">
        <v>558</v>
      </c>
      <c r="M4" s="4304"/>
      <c r="N4" s="4304"/>
      <c r="O4" s="2750"/>
      <c r="P4" s="628">
        <f>+C4+C7+C10+C16+C19+C22+C28+C31+C34</f>
        <v>10955.080000000002</v>
      </c>
      <c r="Q4" s="476">
        <f>+C5+C8+C11+C17+C20+C23+C29+C32+C35</f>
        <v>9657.619999999999</v>
      </c>
      <c r="R4" s="2428">
        <f>+C6+C9+C12+C18+C21+C24+C30+C33+C36</f>
        <v>2622.8399999999997</v>
      </c>
      <c r="S4" s="2429">
        <f>SUM(P4:R4)</f>
        <v>23235.54</v>
      </c>
    </row>
    <row r="5" spans="1:20" ht="14.4" thickBot="1">
      <c r="A5" s="1819" t="s">
        <v>559</v>
      </c>
      <c r="B5" s="603" t="s">
        <v>61</v>
      </c>
      <c r="C5" s="1822">
        <v>424.71</v>
      </c>
      <c r="D5" s="1822">
        <f>+C5</f>
        <v>424.71</v>
      </c>
      <c r="E5" s="1829">
        <f>SUM('Algas IV reg '!B21:B24)</f>
        <v>209.55499999999998</v>
      </c>
      <c r="F5" s="1830">
        <f>+D5-E5</f>
        <v>215.155</v>
      </c>
      <c r="G5" s="1823">
        <f t="shared" ref="G5:G12" si="0">1-+E5/D5</f>
        <v>0.50659273386546122</v>
      </c>
      <c r="H5" s="1831"/>
      <c r="I5" s="2750"/>
      <c r="J5" s="2750"/>
      <c r="K5" s="2750"/>
      <c r="L5" s="3221">
        <f>(C10+C22+C34)*0.1</f>
        <v>410.23500000000007</v>
      </c>
      <c r="M5" s="3222">
        <f>L5-(J10+J22+J34)</f>
        <v>-363.31799999999993</v>
      </c>
      <c r="N5" s="3223">
        <v>41254</v>
      </c>
      <c r="O5" s="2750"/>
    </row>
    <row r="6" spans="1:20" ht="14.4" thickBot="1">
      <c r="A6" s="808" t="s">
        <v>560</v>
      </c>
      <c r="B6" s="809" t="s">
        <v>61</v>
      </c>
      <c r="C6" s="888">
        <v>96.17</v>
      </c>
      <c r="D6" s="888">
        <f>+C6</f>
        <v>96.17</v>
      </c>
      <c r="E6" s="850">
        <f>SUM('Algas IV reg '!B37:B40)</f>
        <v>184.423</v>
      </c>
      <c r="F6" s="895">
        <f t="shared" ref="F6:F12" si="1">+D6-E6</f>
        <v>-88.253</v>
      </c>
      <c r="G6" s="891">
        <f t="shared" si="0"/>
        <v>-0.91767703025891656</v>
      </c>
      <c r="H6" s="1832">
        <v>40990</v>
      </c>
      <c r="I6" s="2750"/>
      <c r="J6" s="2750"/>
      <c r="K6" s="2750"/>
      <c r="L6" s="2750"/>
      <c r="M6" s="2750"/>
      <c r="N6" s="2750"/>
      <c r="O6" s="2750"/>
      <c r="P6" s="2761" t="s">
        <v>1142</v>
      </c>
      <c r="Q6" s="2762"/>
      <c r="R6" s="2763"/>
    </row>
    <row r="7" spans="1:20" ht="13.8">
      <c r="A7" s="806" t="s">
        <v>558</v>
      </c>
      <c r="B7" s="1812" t="s">
        <v>62</v>
      </c>
      <c r="C7" s="887">
        <v>493.2</v>
      </c>
      <c r="D7" s="887">
        <f t="shared" ref="D7:D12" si="2">+C7+F4</f>
        <v>354.52799999999996</v>
      </c>
      <c r="E7" s="2470">
        <f>SUM('Algas IV reg '!B9:B12)</f>
        <v>426.28999999999996</v>
      </c>
      <c r="F7" s="894">
        <f t="shared" si="1"/>
        <v>-71.762</v>
      </c>
      <c r="G7" s="892">
        <f t="shared" si="0"/>
        <v>-0.20241560610163378</v>
      </c>
      <c r="H7" s="2471">
        <v>41052</v>
      </c>
      <c r="I7" s="2750"/>
      <c r="J7" s="2750"/>
      <c r="K7" s="2750"/>
      <c r="L7" s="2750"/>
      <c r="M7" s="2750"/>
      <c r="N7" s="2750"/>
      <c r="O7" s="2750"/>
      <c r="P7" s="1432" t="s">
        <v>558</v>
      </c>
      <c r="Q7" s="1432" t="s">
        <v>559</v>
      </c>
      <c r="R7" s="1432" t="s">
        <v>562</v>
      </c>
    </row>
    <row r="8" spans="1:20" ht="13.8">
      <c r="A8" s="1819" t="s">
        <v>559</v>
      </c>
      <c r="B8" s="1813" t="s">
        <v>62</v>
      </c>
      <c r="C8" s="1822">
        <v>368.12</v>
      </c>
      <c r="D8" s="1822">
        <f t="shared" si="2"/>
        <v>583.27499999999998</v>
      </c>
      <c r="E8" s="1830">
        <f>SUM('Algas IV reg '!B25:B28)</f>
        <v>93.24199999999999</v>
      </c>
      <c r="F8" s="1830">
        <f t="shared" si="1"/>
        <v>490.03300000000002</v>
      </c>
      <c r="G8" s="1823">
        <f t="shared" si="0"/>
        <v>0.84014058548712012</v>
      </c>
      <c r="H8" s="1831"/>
      <c r="I8" s="2750"/>
      <c r="J8" s="2750"/>
      <c r="K8" s="2750"/>
      <c r="L8" s="2750"/>
      <c r="M8" s="2750"/>
      <c r="N8" s="2750"/>
      <c r="O8" s="2750"/>
      <c r="P8" s="476">
        <f>(C10+C22+C34)*0.1</f>
        <v>410.23500000000007</v>
      </c>
      <c r="Q8" s="476">
        <f>(C11+C23+C35)*0.1</f>
        <v>267.22600000000006</v>
      </c>
      <c r="R8" s="476" t="s">
        <v>1143</v>
      </c>
    </row>
    <row r="9" spans="1:20" ht="14.4" thickBot="1">
      <c r="A9" s="810" t="s">
        <v>560</v>
      </c>
      <c r="B9" s="1814" t="s">
        <v>62</v>
      </c>
      <c r="C9" s="897">
        <v>18.68</v>
      </c>
      <c r="D9" s="898">
        <f t="shared" si="2"/>
        <v>-69.573000000000008</v>
      </c>
      <c r="E9" s="3217">
        <f>SUM('Algas IV reg '!B41:B44)</f>
        <v>0</v>
      </c>
      <c r="F9" s="899">
        <f t="shared" si="1"/>
        <v>-69.573000000000008</v>
      </c>
      <c r="G9" s="893">
        <v>0</v>
      </c>
      <c r="H9" s="813">
        <v>40990</v>
      </c>
      <c r="I9" s="2750"/>
      <c r="J9" s="2750"/>
      <c r="K9" s="2750"/>
      <c r="L9" s="2750"/>
      <c r="M9" s="2750"/>
      <c r="N9" s="2750"/>
      <c r="O9" s="2750"/>
    </row>
    <row r="10" spans="1:20" ht="13.8">
      <c r="A10" s="3585" t="s">
        <v>558</v>
      </c>
      <c r="B10" s="3586" t="s">
        <v>63</v>
      </c>
      <c r="C10" s="3587">
        <v>1149.6199999999999</v>
      </c>
      <c r="D10" s="3587">
        <f t="shared" si="2"/>
        <v>1077.8579999999999</v>
      </c>
      <c r="E10" s="3588">
        <f>SUM('Algas IV reg '!B13:B16)-I10</f>
        <v>1296.4969999999998</v>
      </c>
      <c r="F10" s="3588">
        <f t="shared" si="1"/>
        <v>-218.6389999999999</v>
      </c>
      <c r="G10" s="3589">
        <f t="shared" si="0"/>
        <v>-0.20284582941352203</v>
      </c>
      <c r="H10" s="3590">
        <v>41228</v>
      </c>
      <c r="I10" s="3584">
        <f>IF(H10="","",'[2]Algas IV reg '!$AL$15/1000)</f>
        <v>221.9</v>
      </c>
      <c r="J10" s="2754">
        <f>I10</f>
        <v>221.9</v>
      </c>
      <c r="K10" s="2759"/>
      <c r="L10" s="2759"/>
      <c r="M10" s="2759"/>
      <c r="N10" s="2759"/>
      <c r="O10" s="2759"/>
      <c r="P10" s="392" t="s">
        <v>1118</v>
      </c>
    </row>
    <row r="11" spans="1:20" ht="13.8">
      <c r="A11" s="622" t="s">
        <v>559</v>
      </c>
      <c r="B11" s="611" t="s">
        <v>63</v>
      </c>
      <c r="C11" s="886">
        <v>321.45999999999998</v>
      </c>
      <c r="D11" s="890">
        <f t="shared" si="2"/>
        <v>811.49299999999994</v>
      </c>
      <c r="E11" s="848">
        <f>SUM('Algas IV reg '!B29:B32)</f>
        <v>173.179</v>
      </c>
      <c r="F11" s="584">
        <f t="shared" si="1"/>
        <v>638.31399999999996</v>
      </c>
      <c r="G11" s="608">
        <f t="shared" si="0"/>
        <v>0.78659212094250963</v>
      </c>
      <c r="H11" s="623"/>
      <c r="I11" s="2755"/>
      <c r="J11" s="2756">
        <f>IF(H11="",0,'[3]Algas IV reg '!AL32/1000)</f>
        <v>0</v>
      </c>
      <c r="K11" s="2759"/>
      <c r="L11" s="2759"/>
      <c r="M11" s="2759"/>
      <c r="N11" s="2759"/>
      <c r="O11" s="2759"/>
      <c r="P11" s="533" t="s">
        <v>1124</v>
      </c>
      <c r="Q11" s="2682"/>
      <c r="R11" s="2682"/>
      <c r="S11" s="2682"/>
    </row>
    <row r="12" spans="1:20" ht="14.4" thickBot="1">
      <c r="A12" s="810" t="s">
        <v>560</v>
      </c>
      <c r="B12" s="811" t="s">
        <v>63</v>
      </c>
      <c r="C12" s="897">
        <v>75.02</v>
      </c>
      <c r="D12" s="913">
        <f t="shared" si="2"/>
        <v>5.4469999999999885</v>
      </c>
      <c r="E12" s="851">
        <f>SUM('Algas IV reg '!B45:B48)-I12</f>
        <v>-17.078000000000003</v>
      </c>
      <c r="F12" s="851">
        <f t="shared" si="1"/>
        <v>22.524999999999991</v>
      </c>
      <c r="G12" s="812">
        <f t="shared" si="0"/>
        <v>4.1353038369744883</v>
      </c>
      <c r="H12" s="813">
        <v>41204</v>
      </c>
      <c r="I12" s="2757">
        <v>107.748</v>
      </c>
      <c r="J12" s="2758">
        <f>IF(H12="",0,'[3]Algas IV reg '!$AL$49/1000)</f>
        <v>3.6</v>
      </c>
      <c r="K12" s="2759"/>
      <c r="L12" s="2759"/>
      <c r="M12" s="2759"/>
      <c r="N12" s="2759"/>
      <c r="O12" s="2759"/>
      <c r="P12" s="533" t="s">
        <v>1119</v>
      </c>
      <c r="T12" s="2683"/>
    </row>
    <row r="13" spans="1:20" ht="13.8">
      <c r="A13" s="617" t="s">
        <v>111</v>
      </c>
      <c r="B13" s="617" t="s">
        <v>61</v>
      </c>
      <c r="C13" s="902">
        <f>SUM(C4:C12)</f>
        <v>3878.29</v>
      </c>
      <c r="D13" s="903">
        <f>SUM(D4:D12)</f>
        <v>4215.2180000000008</v>
      </c>
      <c r="E13" s="904">
        <f>SUM(E4:E12)</f>
        <v>3436.0899999999997</v>
      </c>
      <c r="F13" s="904">
        <f>+D13-E13</f>
        <v>779.12800000000107</v>
      </c>
      <c r="G13" s="142"/>
      <c r="H13" s="571"/>
      <c r="I13" s="571"/>
      <c r="J13" s="571"/>
      <c r="K13" s="571"/>
      <c r="L13" s="571"/>
      <c r="M13" s="571"/>
      <c r="N13" s="571"/>
      <c r="O13" s="571"/>
      <c r="P13" s="392" t="s">
        <v>1120</v>
      </c>
    </row>
    <row r="14" spans="1:20" ht="14.4" thickBot="1">
      <c r="A14" s="609"/>
      <c r="B14" s="153"/>
      <c r="C14" s="614"/>
      <c r="D14" s="614"/>
      <c r="E14" s="610"/>
      <c r="F14" s="610"/>
      <c r="G14" s="142"/>
      <c r="H14" s="571"/>
      <c r="I14" s="571"/>
      <c r="J14" s="571"/>
      <c r="K14" s="571"/>
      <c r="L14" s="571"/>
      <c r="M14" s="571"/>
      <c r="N14" s="571"/>
      <c r="O14" s="571"/>
    </row>
    <row r="15" spans="1:20" ht="14.4" thickBot="1">
      <c r="A15" s="629" t="s">
        <v>556</v>
      </c>
      <c r="B15" s="615" t="s">
        <v>107</v>
      </c>
      <c r="C15" s="905" t="s">
        <v>108</v>
      </c>
      <c r="D15" s="905" t="s">
        <v>109</v>
      </c>
      <c r="E15" s="906" t="s">
        <v>47</v>
      </c>
      <c r="F15" s="906" t="s">
        <v>48</v>
      </c>
      <c r="G15" s="615" t="s">
        <v>110</v>
      </c>
      <c r="H15" s="508" t="s">
        <v>50</v>
      </c>
      <c r="I15" s="2751" t="s">
        <v>1140</v>
      </c>
      <c r="J15" s="2752" t="s">
        <v>1141</v>
      </c>
      <c r="K15" s="3218"/>
      <c r="L15" s="3218"/>
      <c r="M15" s="3218"/>
      <c r="N15" s="3218"/>
      <c r="O15" s="2760"/>
      <c r="P15" s="2749" t="s">
        <v>1123</v>
      </c>
      <c r="Q15" s="2683"/>
      <c r="R15" s="2683"/>
      <c r="S15" s="2683"/>
    </row>
    <row r="16" spans="1:20" ht="13.8">
      <c r="A16" s="806" t="s">
        <v>558</v>
      </c>
      <c r="B16" s="1815" t="s">
        <v>61</v>
      </c>
      <c r="C16" s="1825">
        <v>1801.88</v>
      </c>
      <c r="D16" s="887">
        <f>+C16</f>
        <v>1801.88</v>
      </c>
      <c r="E16" s="887">
        <f>SUM('Algas IV reg '!B53:B56)</f>
        <v>1770.357</v>
      </c>
      <c r="F16" s="887">
        <f>+D16-E16</f>
        <v>31.523000000000138</v>
      </c>
      <c r="G16" s="1817">
        <f>1-+E16/D16</f>
        <v>1.7494505738451016E-2</v>
      </c>
      <c r="H16" s="1818"/>
      <c r="I16" s="2750"/>
      <c r="J16" s="2750"/>
      <c r="K16" s="2750"/>
      <c r="L16" s="2750"/>
      <c r="M16" s="2750"/>
      <c r="N16" s="2750"/>
      <c r="O16" s="2750"/>
      <c r="P16" s="392" t="s">
        <v>1121</v>
      </c>
    </row>
    <row r="17" spans="1:16" ht="13.8">
      <c r="A17" s="1819" t="s">
        <v>559</v>
      </c>
      <c r="B17" s="1820" t="s">
        <v>61</v>
      </c>
      <c r="C17" s="1826">
        <v>1281.6500000000001</v>
      </c>
      <c r="D17" s="1822">
        <f>+C17</f>
        <v>1281.6500000000001</v>
      </c>
      <c r="E17" s="1822">
        <f>SUM('Algas IV reg '!B69:B72)</f>
        <v>740.02</v>
      </c>
      <c r="F17" s="1822">
        <f t="shared" ref="F17:F24" si="3">+D17-E17</f>
        <v>541.63000000000011</v>
      </c>
      <c r="G17" s="1823">
        <f>1-+E17/D17</f>
        <v>0.42260367495025952</v>
      </c>
      <c r="H17" s="1824"/>
      <c r="I17" s="2750"/>
      <c r="J17" s="2750"/>
      <c r="K17" s="2750"/>
      <c r="L17" s="2750"/>
      <c r="M17" s="2750"/>
      <c r="N17" s="2750"/>
      <c r="O17" s="2750"/>
      <c r="P17" t="s">
        <v>1122</v>
      </c>
    </row>
    <row r="18" spans="1:16" ht="14.4" thickBot="1">
      <c r="A18" s="810" t="s">
        <v>560</v>
      </c>
      <c r="B18" s="814" t="s">
        <v>61</v>
      </c>
      <c r="C18" s="907">
        <v>1250.54</v>
      </c>
      <c r="D18" s="897">
        <f>+C18</f>
        <v>1250.54</v>
      </c>
      <c r="E18" s="897">
        <f>SUM('Algas IV reg '!B85:B88)</f>
        <v>1513.2650000000001</v>
      </c>
      <c r="F18" s="898">
        <f t="shared" si="3"/>
        <v>-262.72500000000014</v>
      </c>
      <c r="G18" s="893">
        <f t="shared" ref="G18:G24" si="4">1-+E18/D18</f>
        <v>-0.2100892414476947</v>
      </c>
      <c r="H18" s="1827">
        <v>41008</v>
      </c>
      <c r="I18" s="2750"/>
      <c r="J18" s="2750"/>
      <c r="K18" s="2750"/>
      <c r="L18" s="2750"/>
      <c r="M18" s="2750"/>
      <c r="N18" s="2750"/>
      <c r="O18" s="2750"/>
    </row>
    <row r="19" spans="1:16" ht="13.8">
      <c r="A19" s="806" t="s">
        <v>558</v>
      </c>
      <c r="B19" s="1812" t="s">
        <v>62</v>
      </c>
      <c r="C19" s="2472">
        <v>1124.3399999999999</v>
      </c>
      <c r="D19" s="2472">
        <f t="shared" ref="D19:D24" si="5">+C19+F16</f>
        <v>1155.8630000000001</v>
      </c>
      <c r="E19" s="887">
        <f>SUM('Algas IV reg '!B57:B60)</f>
        <v>1604.364</v>
      </c>
      <c r="F19" s="2472">
        <f t="shared" si="3"/>
        <v>-448.50099999999998</v>
      </c>
      <c r="G19" s="2473">
        <f t="shared" si="4"/>
        <v>-0.388022628979386</v>
      </c>
      <c r="H19" s="2474">
        <v>41129</v>
      </c>
      <c r="I19" s="2750"/>
      <c r="J19" s="2750"/>
      <c r="K19" s="2750"/>
      <c r="L19" s="2750"/>
      <c r="M19" s="2750"/>
      <c r="N19" s="2750"/>
      <c r="O19" s="2750"/>
    </row>
    <row r="20" spans="1:16" ht="13.8">
      <c r="A20" s="1819" t="s">
        <v>559</v>
      </c>
      <c r="B20" s="1813" t="s">
        <v>62</v>
      </c>
      <c r="C20" s="1822">
        <v>1517.06</v>
      </c>
      <c r="D20" s="1822">
        <f t="shared" si="5"/>
        <v>2058.69</v>
      </c>
      <c r="E20" s="1822">
        <f>SUM('Algas IV reg '!B73:B76)</f>
        <v>1049.3009999999999</v>
      </c>
      <c r="F20" s="1822">
        <f t="shared" si="3"/>
        <v>1009.3890000000001</v>
      </c>
      <c r="G20" s="1823">
        <f t="shared" si="4"/>
        <v>0.49030645701878384</v>
      </c>
      <c r="H20" s="1824"/>
      <c r="I20" s="2750"/>
      <c r="J20" s="2750"/>
      <c r="K20" s="2750"/>
      <c r="L20" s="2750"/>
      <c r="M20" s="2750"/>
      <c r="N20" s="2750"/>
      <c r="O20" s="2750"/>
    </row>
    <row r="21" spans="1:16" ht="14.4" thickBot="1">
      <c r="A21" s="810" t="s">
        <v>560</v>
      </c>
      <c r="B21" s="1814" t="s">
        <v>62</v>
      </c>
      <c r="C21" s="897">
        <v>307.81</v>
      </c>
      <c r="D21" s="897">
        <f t="shared" si="5"/>
        <v>45.084999999999866</v>
      </c>
      <c r="E21" s="897">
        <f>SUM('Algas IV reg '!B89:B92)</f>
        <v>197.941</v>
      </c>
      <c r="F21" s="898">
        <f t="shared" si="3"/>
        <v>-152.85600000000014</v>
      </c>
      <c r="G21" s="893">
        <f t="shared" si="4"/>
        <v>-3.3903959188200199</v>
      </c>
      <c r="H21" s="815">
        <v>41037</v>
      </c>
      <c r="I21" s="2750"/>
      <c r="J21" s="2750"/>
      <c r="K21" s="2750"/>
      <c r="L21" s="2750"/>
      <c r="M21" s="2750"/>
      <c r="N21" s="2750"/>
      <c r="O21" s="2750"/>
    </row>
    <row r="22" spans="1:16" ht="13.8">
      <c r="A22" s="624" t="s">
        <v>558</v>
      </c>
      <c r="B22" s="618" t="s">
        <v>63</v>
      </c>
      <c r="C22" s="889">
        <v>1543.94</v>
      </c>
      <c r="D22" s="889">
        <f t="shared" si="5"/>
        <v>1095.4390000000001</v>
      </c>
      <c r="E22" s="896">
        <f>SUM('Algas IV reg '!B61:B64)-I22</f>
        <v>1273.1300000000001</v>
      </c>
      <c r="F22" s="889">
        <f t="shared" si="3"/>
        <v>-177.69100000000003</v>
      </c>
      <c r="G22" s="3591">
        <f t="shared" si="4"/>
        <v>-0.16220985376638963</v>
      </c>
      <c r="H22" s="619"/>
      <c r="I22" s="2753">
        <v>551.65300000000002</v>
      </c>
      <c r="J22" s="2754">
        <f>I22</f>
        <v>551.65300000000002</v>
      </c>
      <c r="K22" s="2759"/>
      <c r="L22" s="2759"/>
      <c r="M22" s="2759"/>
      <c r="N22" s="2759"/>
      <c r="O22" s="2759"/>
    </row>
    <row r="23" spans="1:16" ht="13.8">
      <c r="A23" s="622" t="s">
        <v>559</v>
      </c>
      <c r="B23" s="611" t="s">
        <v>63</v>
      </c>
      <c r="C23" s="890">
        <v>808.22</v>
      </c>
      <c r="D23" s="890">
        <f t="shared" si="5"/>
        <v>1817.6090000000002</v>
      </c>
      <c r="E23" s="886">
        <f>SUM('Algas IV reg '!B77:B80)</f>
        <v>1125.7279999999998</v>
      </c>
      <c r="F23" s="890">
        <f t="shared" si="3"/>
        <v>691.88100000000031</v>
      </c>
      <c r="G23" s="608">
        <f t="shared" si="4"/>
        <v>0.38065447519240947</v>
      </c>
      <c r="H23" s="620"/>
      <c r="I23" s="2755">
        <v>0</v>
      </c>
      <c r="J23" s="2756">
        <f>IF(H23="",0,'[3]Algas IV reg '!$AL$83/1000)</f>
        <v>0</v>
      </c>
      <c r="K23" s="2759"/>
      <c r="L23" s="2759"/>
      <c r="M23" s="2759"/>
      <c r="N23" s="2759"/>
      <c r="O23" s="2759"/>
    </row>
    <row r="24" spans="1:16" ht="14.4" thickBot="1">
      <c r="A24" s="810" t="s">
        <v>560</v>
      </c>
      <c r="B24" s="811" t="s">
        <v>63</v>
      </c>
      <c r="C24" s="897">
        <v>318.45</v>
      </c>
      <c r="D24" s="897">
        <f t="shared" si="5"/>
        <v>165.59399999999985</v>
      </c>
      <c r="E24" s="897">
        <f>SUM('Algas IV reg '!B93:B96)-I24</f>
        <v>161.89000000000001</v>
      </c>
      <c r="F24" s="897">
        <f t="shared" si="3"/>
        <v>3.7039999999998372</v>
      </c>
      <c r="G24" s="893">
        <f t="shared" si="4"/>
        <v>2.2367960191793435E-2</v>
      </c>
      <c r="H24" s="815">
        <v>41194</v>
      </c>
      <c r="I24" s="2757">
        <v>239.422</v>
      </c>
      <c r="J24" s="2758">
        <f>IF(H24="",0,'[3]Algas IV reg '!$AL$100/1000)</f>
        <v>24.31</v>
      </c>
      <c r="K24" s="2759"/>
      <c r="L24" s="2759"/>
      <c r="M24" s="2759"/>
      <c r="N24" s="2759"/>
      <c r="O24" s="2759"/>
    </row>
    <row r="25" spans="1:16" ht="13.8">
      <c r="A25" s="617" t="s">
        <v>111</v>
      </c>
      <c r="B25" s="621" t="s">
        <v>62</v>
      </c>
      <c r="C25" s="908">
        <f>SUM(C16:C24)</f>
        <v>9953.89</v>
      </c>
      <c r="D25" s="908">
        <f>SUM(D16:D24)</f>
        <v>10672.349999999999</v>
      </c>
      <c r="E25" s="908">
        <f>SUM(E16:E24)</f>
        <v>9435.9959999999974</v>
      </c>
      <c r="F25" s="904">
        <f>+D25-E25</f>
        <v>1236.3540000000012</v>
      </c>
      <c r="G25" s="142"/>
      <c r="H25" s="571"/>
      <c r="I25" s="571"/>
      <c r="J25" s="571"/>
      <c r="K25" s="571"/>
      <c r="L25" s="571"/>
      <c r="M25" s="571"/>
      <c r="N25" s="571"/>
      <c r="O25" s="571"/>
      <c r="P25" s="2291" t="s">
        <v>1091</v>
      </c>
    </row>
    <row r="26" spans="1:16" ht="14.4" thickBot="1">
      <c r="A26" s="612"/>
      <c r="B26" s="613"/>
      <c r="C26" s="614"/>
      <c r="D26" s="614"/>
      <c r="E26" s="614"/>
      <c r="F26" s="610"/>
      <c r="G26" s="142"/>
      <c r="H26" s="571"/>
      <c r="I26" s="571"/>
      <c r="J26" s="571"/>
      <c r="K26" s="571"/>
      <c r="L26" s="571"/>
      <c r="M26" s="571"/>
      <c r="N26" s="571"/>
      <c r="O26" s="571"/>
    </row>
    <row r="27" spans="1:16" ht="14.4" thickBot="1">
      <c r="A27" s="629" t="s">
        <v>557</v>
      </c>
      <c r="B27" s="615" t="s">
        <v>107</v>
      </c>
      <c r="C27" s="905" t="s">
        <v>108</v>
      </c>
      <c r="D27" s="905" t="s">
        <v>109</v>
      </c>
      <c r="E27" s="906" t="s">
        <v>47</v>
      </c>
      <c r="F27" s="906" t="s">
        <v>48</v>
      </c>
      <c r="G27" s="615" t="s">
        <v>110</v>
      </c>
      <c r="H27" s="508" t="s">
        <v>50</v>
      </c>
      <c r="I27" s="2751" t="s">
        <v>1140</v>
      </c>
      <c r="J27" s="2752" t="s">
        <v>1141</v>
      </c>
      <c r="K27" s="3218"/>
      <c r="L27" s="3218"/>
      <c r="M27" s="3218"/>
      <c r="N27" s="3218"/>
      <c r="O27" s="2760"/>
      <c r="P27" s="2322"/>
    </row>
    <row r="28" spans="1:16" ht="13.8">
      <c r="A28" s="806" t="s">
        <v>558</v>
      </c>
      <c r="B28" s="1815" t="s">
        <v>61</v>
      </c>
      <c r="C28" s="1816">
        <v>1580.09</v>
      </c>
      <c r="D28" s="887">
        <f>+C28</f>
        <v>1580.09</v>
      </c>
      <c r="E28" s="887">
        <f>SUM('Algas IV reg '!B101:B104)</f>
        <v>1583.4409999999998</v>
      </c>
      <c r="F28" s="887">
        <f>+D28-E28</f>
        <v>-3.3509999999998854</v>
      </c>
      <c r="G28" s="1817">
        <f t="shared" ref="G28:G36" si="6">1-+E28/D28</f>
        <v>-2.1207652728640891E-3</v>
      </c>
      <c r="H28" s="1818"/>
      <c r="I28" s="2750"/>
      <c r="J28" s="2750"/>
      <c r="K28" s="2750"/>
      <c r="L28" s="2750"/>
      <c r="M28" s="2750"/>
      <c r="N28" s="2750"/>
      <c r="O28" s="2750"/>
    </row>
    <row r="29" spans="1:16" ht="13.8">
      <c r="A29" s="1819" t="s">
        <v>559</v>
      </c>
      <c r="B29" s="1820" t="s">
        <v>61</v>
      </c>
      <c r="C29" s="1821">
        <v>1780.95</v>
      </c>
      <c r="D29" s="1822">
        <f>+C29</f>
        <v>1780.95</v>
      </c>
      <c r="E29" s="1822">
        <f>SUM('Algas IV reg '!B117:B120)</f>
        <v>1458.2160000000001</v>
      </c>
      <c r="F29" s="1822">
        <f t="shared" ref="F29:F36" si="7">+D29-E29</f>
        <v>322.73399999999992</v>
      </c>
      <c r="G29" s="1823">
        <f t="shared" si="6"/>
        <v>0.18121452034026775</v>
      </c>
      <c r="H29" s="1824"/>
      <c r="I29" s="2750"/>
      <c r="J29" s="2750"/>
      <c r="K29" s="2750"/>
      <c r="L29" s="2750"/>
      <c r="M29" s="2750"/>
      <c r="N29" s="2750"/>
      <c r="O29" s="2750"/>
    </row>
    <row r="30" spans="1:16" ht="14.4" thickBot="1">
      <c r="A30" s="810" t="s">
        <v>560</v>
      </c>
      <c r="B30" s="814" t="s">
        <v>61</v>
      </c>
      <c r="C30" s="909">
        <v>343.11</v>
      </c>
      <c r="D30" s="910">
        <f>+C30</f>
        <v>343.11</v>
      </c>
      <c r="E30" s="897">
        <f>SUM('Algas IV reg '!B133:B136)</f>
        <v>379.54500000000002</v>
      </c>
      <c r="F30" s="911">
        <f t="shared" si="7"/>
        <v>-36.435000000000002</v>
      </c>
      <c r="G30" s="893">
        <f t="shared" si="6"/>
        <v>-0.10619043455451616</v>
      </c>
      <c r="H30" s="815">
        <v>41023</v>
      </c>
      <c r="I30" s="2750"/>
      <c r="J30" s="2750"/>
      <c r="K30" s="2750"/>
      <c r="L30" s="2750"/>
      <c r="M30" s="2750"/>
      <c r="N30" s="2750"/>
      <c r="O30" s="2750"/>
    </row>
    <row r="31" spans="1:16" ht="13.8">
      <c r="A31" s="806" t="s">
        <v>558</v>
      </c>
      <c r="B31" s="1812" t="s">
        <v>62</v>
      </c>
      <c r="C31" s="887">
        <v>921.91</v>
      </c>
      <c r="D31" s="887">
        <f t="shared" ref="D31:D36" si="8">+C31+F28</f>
        <v>918.55900000000008</v>
      </c>
      <c r="E31" s="887">
        <f>SUM('Algas IV reg '!B105:B108)</f>
        <v>967.17700000000002</v>
      </c>
      <c r="F31" s="2475">
        <f t="shared" si="7"/>
        <v>-48.617999999999938</v>
      </c>
      <c r="G31" s="892">
        <f t="shared" si="6"/>
        <v>-5.2928554398791849E-2</v>
      </c>
      <c r="H31" s="1818" t="s">
        <v>986</v>
      </c>
      <c r="I31" s="2750"/>
      <c r="J31" s="2750"/>
      <c r="K31" s="2750"/>
      <c r="L31" s="2750"/>
      <c r="M31" s="2750"/>
      <c r="N31" s="2750"/>
      <c r="O31" s="2750"/>
    </row>
    <row r="32" spans="1:16" ht="13.8">
      <c r="A32" s="1819" t="s">
        <v>559</v>
      </c>
      <c r="B32" s="1813" t="s">
        <v>62</v>
      </c>
      <c r="C32" s="1822">
        <v>1612.87</v>
      </c>
      <c r="D32" s="1822">
        <f t="shared" si="8"/>
        <v>1935.6039999999998</v>
      </c>
      <c r="E32" s="1822">
        <f>SUM('Algas IV reg '!B121:B124)</f>
        <v>1620.559</v>
      </c>
      <c r="F32" s="1822">
        <f t="shared" si="7"/>
        <v>315.04499999999985</v>
      </c>
      <c r="G32" s="1823">
        <f t="shared" si="6"/>
        <v>0.16276314783395773</v>
      </c>
      <c r="H32" s="1824"/>
      <c r="I32" s="2750"/>
      <c r="J32" s="2750"/>
      <c r="K32" s="2750"/>
      <c r="L32" s="2750"/>
      <c r="M32" s="2750"/>
      <c r="N32" s="2750"/>
      <c r="O32" s="2750"/>
    </row>
    <row r="33" spans="1:15" ht="14.4" thickBot="1">
      <c r="A33" s="810" t="s">
        <v>560</v>
      </c>
      <c r="B33" s="1814" t="s">
        <v>62</v>
      </c>
      <c r="C33" s="897">
        <v>97.95</v>
      </c>
      <c r="D33" s="897">
        <f t="shared" si="8"/>
        <v>61.515000000000001</v>
      </c>
      <c r="E33" s="897">
        <f>SUM('Algas IV reg '!B137:B140)</f>
        <v>45.370000000000005</v>
      </c>
      <c r="F33" s="897">
        <f t="shared" si="7"/>
        <v>16.144999999999996</v>
      </c>
      <c r="G33" s="812">
        <f t="shared" si="6"/>
        <v>0.26245631146874737</v>
      </c>
      <c r="H33" s="912"/>
      <c r="I33" s="2750"/>
      <c r="J33" s="2750"/>
      <c r="K33" s="2750"/>
      <c r="L33" s="2750"/>
      <c r="M33" s="2750"/>
      <c r="N33" s="2750"/>
      <c r="O33" s="2750"/>
    </row>
    <row r="34" spans="1:15" ht="13.8">
      <c r="A34" s="624" t="s">
        <v>558</v>
      </c>
      <c r="B34" s="618" t="s">
        <v>63</v>
      </c>
      <c r="C34" s="889">
        <v>1408.79</v>
      </c>
      <c r="D34" s="900">
        <f t="shared" si="8"/>
        <v>1360.172</v>
      </c>
      <c r="E34" s="896">
        <f>SUM('Algas IV reg '!B109:B112)</f>
        <v>1173.972</v>
      </c>
      <c r="F34" s="896">
        <f t="shared" si="7"/>
        <v>186.20000000000005</v>
      </c>
      <c r="G34" s="616">
        <f t="shared" si="6"/>
        <v>0.13689445158406444</v>
      </c>
      <c r="H34" s="619"/>
      <c r="I34" s="2753"/>
      <c r="J34" s="2754">
        <f>I34</f>
        <v>0</v>
      </c>
      <c r="K34" s="2759"/>
      <c r="L34" s="2759"/>
      <c r="M34" s="2759"/>
      <c r="N34" s="2759"/>
      <c r="O34" s="2759"/>
    </row>
    <row r="35" spans="1:15" ht="13.8">
      <c r="A35" s="622" t="s">
        <v>559</v>
      </c>
      <c r="B35" s="611" t="s">
        <v>63</v>
      </c>
      <c r="C35" s="890">
        <v>1542.58</v>
      </c>
      <c r="D35" s="890">
        <f t="shared" si="8"/>
        <v>1857.6249999999998</v>
      </c>
      <c r="E35" s="886">
        <f>SUM('Algas IV reg '!B125:B128)</f>
        <v>1198.6589999999999</v>
      </c>
      <c r="F35" s="886">
        <f t="shared" si="7"/>
        <v>658.96599999999989</v>
      </c>
      <c r="G35" s="608">
        <f t="shared" si="6"/>
        <v>0.35473575129533674</v>
      </c>
      <c r="H35" s="620"/>
      <c r="I35" s="2755"/>
      <c r="J35" s="2756">
        <f>IF(H35="",0,'[3]Algas IV reg '!$AL$134/1000)</f>
        <v>0</v>
      </c>
      <c r="K35" s="2759"/>
      <c r="L35" s="2759"/>
      <c r="M35" s="2759"/>
      <c r="N35" s="2759"/>
      <c r="O35" s="2759"/>
    </row>
    <row r="36" spans="1:15" ht="14.4" thickBot="1">
      <c r="A36" s="2476" t="s">
        <v>560</v>
      </c>
      <c r="B36" s="2477" t="s">
        <v>63</v>
      </c>
      <c r="C36" s="2478">
        <v>115.11</v>
      </c>
      <c r="D36" s="2478">
        <f t="shared" si="8"/>
        <v>131.255</v>
      </c>
      <c r="E36" s="2478">
        <f>SUM('Algas IV reg '!B141:B144)</f>
        <v>95.156999999999996</v>
      </c>
      <c r="F36" s="2478">
        <f t="shared" si="7"/>
        <v>36.097999999999999</v>
      </c>
      <c r="G36" s="2479">
        <f t="shared" si="6"/>
        <v>0.27502190392746939</v>
      </c>
      <c r="H36" s="2480"/>
      <c r="I36" s="2757"/>
      <c r="J36" s="2758">
        <f>IF(H36="",0,'[3]Algas IV reg '!$AL$151/1000)</f>
        <v>0</v>
      </c>
      <c r="K36" s="2759"/>
      <c r="L36" s="2759"/>
      <c r="M36" s="2759"/>
      <c r="N36" s="2759"/>
      <c r="O36" s="2759"/>
    </row>
    <row r="37" spans="1:15" ht="13.8">
      <c r="A37" s="617" t="s">
        <v>111</v>
      </c>
      <c r="B37" s="621" t="s">
        <v>63</v>
      </c>
      <c r="C37" s="908">
        <f>SUM(C28:C36)</f>
        <v>9403.36</v>
      </c>
      <c r="D37" s="908">
        <f>SUM(D28:D36)</f>
        <v>9968.8799999999992</v>
      </c>
      <c r="E37" s="908">
        <f>SUM(E28:E36)</f>
        <v>8522.0959999999995</v>
      </c>
      <c r="F37" s="908">
        <f>+D37-E37</f>
        <v>1446.7839999999997</v>
      </c>
      <c r="G37" s="142"/>
      <c r="H37" s="571"/>
      <c r="I37" s="571"/>
    </row>
  </sheetData>
  <mergeCells count="4">
    <mergeCell ref="A1:B1"/>
    <mergeCell ref="P2:S2"/>
    <mergeCell ref="M3:M4"/>
    <mergeCell ref="N3:N4"/>
  </mergeCells>
  <conditionalFormatting sqref="M5">
    <cfRule type="cellIs" dxfId="0" priority="1" operator="lessThan">
      <formula>0</formula>
    </cfRule>
  </conditionalFormatting>
  <pageMargins left="0.7" right="0.7" top="0.75" bottom="0.75" header="0.3" footer="0.3"/>
  <pageSetup paperSize="9" orientation="portrait" r:id="rId1"/>
  <legacyDrawing r:id="rId2"/>
</worksheet>
</file>

<file path=xl/worksheets/sheet37.xml><?xml version="1.0" encoding="utf-8"?>
<worksheet xmlns="http://schemas.openxmlformats.org/spreadsheetml/2006/main" xmlns:r="http://schemas.openxmlformats.org/officeDocument/2006/relationships">
  <dimension ref="A1:AR145"/>
  <sheetViews>
    <sheetView topLeftCell="A84" workbookViewId="0">
      <selection activeCell="K104" sqref="K104"/>
    </sheetView>
  </sheetViews>
  <sheetFormatPr baseColWidth="10" defaultRowHeight="13.2"/>
  <cols>
    <col min="2" max="2" width="26.88671875" customWidth="1"/>
    <col min="3" max="3" width="8.33203125" bestFit="1" customWidth="1"/>
    <col min="4" max="4" width="8.109375" customWidth="1"/>
    <col min="5" max="5" width="8.6640625" bestFit="1" customWidth="1"/>
    <col min="6" max="6" width="8.88671875" bestFit="1" customWidth="1"/>
    <col min="7" max="7" width="8.88671875" customWidth="1"/>
    <col min="8" max="8" width="9.33203125" bestFit="1" customWidth="1"/>
    <col min="9" max="9" width="8.44140625" bestFit="1" customWidth="1"/>
    <col min="10" max="10" width="8.6640625" bestFit="1" customWidth="1"/>
    <col min="11" max="11" width="9.5546875" customWidth="1"/>
    <col min="12" max="12" width="8.88671875" customWidth="1"/>
    <col min="13" max="13" width="8.6640625" customWidth="1"/>
    <col min="14" max="14" width="8.88671875" bestFit="1" customWidth="1"/>
    <col min="15" max="15" width="8.109375" bestFit="1" customWidth="1"/>
    <col min="16" max="16" width="8" customWidth="1"/>
    <col min="17" max="17" width="8.44140625" bestFit="1" customWidth="1"/>
    <col min="18" max="19" width="8" bestFit="1" customWidth="1"/>
    <col min="20" max="20" width="8.44140625" customWidth="1"/>
    <col min="21" max="21" width="8.44140625" bestFit="1" customWidth="1"/>
    <col min="22" max="22" width="8" bestFit="1" customWidth="1"/>
    <col min="23" max="23" width="8.88671875" bestFit="1" customWidth="1"/>
    <col min="24" max="24" width="8" bestFit="1" customWidth="1"/>
    <col min="25" max="25" width="8.109375" bestFit="1" customWidth="1"/>
    <col min="26" max="26" width="8.6640625" bestFit="1" customWidth="1"/>
    <col min="27" max="27" width="7.6640625" bestFit="1" customWidth="1"/>
    <col min="28" max="29" width="8.5546875" bestFit="1" customWidth="1"/>
    <col min="30" max="33" width="7.6640625" bestFit="1" customWidth="1"/>
    <col min="34" max="34" width="10.5546875" bestFit="1" customWidth="1"/>
    <col min="37" max="37" width="8.109375" bestFit="1" customWidth="1"/>
    <col min="38" max="38" width="14.44140625" customWidth="1"/>
    <col min="39" max="39" width="11.88671875" bestFit="1" customWidth="1"/>
    <col min="40" max="40" width="14" customWidth="1"/>
    <col min="41" max="41" width="12.5546875" customWidth="1"/>
    <col min="42" max="42" width="14.44140625" customWidth="1"/>
  </cols>
  <sheetData>
    <row r="1" spans="1:44" ht="13.8" thickBot="1">
      <c r="A1" s="600" t="s">
        <v>554</v>
      </c>
      <c r="B1" s="601"/>
      <c r="C1" s="602"/>
      <c r="D1" s="510"/>
      <c r="E1" s="510"/>
      <c r="F1" s="510"/>
      <c r="G1" s="510"/>
      <c r="H1" s="510"/>
      <c r="I1" s="510"/>
      <c r="J1" s="510"/>
      <c r="K1" s="510"/>
      <c r="L1" s="510"/>
      <c r="M1" s="510"/>
      <c r="N1" s="510"/>
      <c r="O1" s="510"/>
      <c r="P1" s="510"/>
      <c r="Q1" s="510"/>
      <c r="R1" s="510"/>
      <c r="S1" s="510"/>
      <c r="T1" s="510"/>
      <c r="U1" s="510"/>
      <c r="V1" s="510"/>
      <c r="W1" s="510"/>
      <c r="X1" s="510"/>
      <c r="Y1" s="510"/>
      <c r="Z1" s="510"/>
      <c r="AA1" s="510"/>
      <c r="AB1" s="510"/>
      <c r="AC1" s="510"/>
      <c r="AD1" s="510"/>
      <c r="AE1" s="510"/>
      <c r="AF1" s="510"/>
      <c r="AG1" s="510"/>
      <c r="AH1" s="510"/>
    </row>
    <row r="2" spans="1:44">
      <c r="A2" s="510"/>
      <c r="B2" s="510"/>
      <c r="C2" s="510"/>
      <c r="D2" s="510"/>
      <c r="E2" s="510"/>
      <c r="F2" s="510"/>
      <c r="G2" s="510"/>
      <c r="H2" s="510"/>
      <c r="I2" s="510"/>
      <c r="J2" s="510"/>
      <c r="K2" s="510"/>
      <c r="L2" s="510"/>
      <c r="M2" s="510"/>
      <c r="N2" s="510"/>
      <c r="O2" s="510"/>
      <c r="P2" s="510"/>
      <c r="Q2" s="510"/>
      <c r="R2" s="510"/>
      <c r="S2" s="510"/>
      <c r="T2" s="510"/>
      <c r="U2" s="510"/>
      <c r="V2" s="510"/>
      <c r="W2" s="510"/>
      <c r="X2" s="510"/>
      <c r="Y2" s="510"/>
      <c r="Z2" s="510"/>
      <c r="AA2" s="510"/>
      <c r="AB2" s="510"/>
      <c r="AC2" s="510"/>
      <c r="AD2" s="510"/>
      <c r="AE2" s="510"/>
      <c r="AF2" s="510"/>
      <c r="AG2" s="510"/>
      <c r="AH2" s="510"/>
    </row>
    <row r="3" spans="1:44" ht="13.8">
      <c r="A3" s="4298" t="s">
        <v>564</v>
      </c>
      <c r="B3" s="4298"/>
      <c r="C3" s="4298"/>
      <c r="D3" s="142"/>
      <c r="E3" s="142"/>
      <c r="F3" s="142"/>
      <c r="G3" s="142"/>
      <c r="H3" s="142"/>
      <c r="I3" s="142"/>
      <c r="J3" s="142"/>
      <c r="K3" s="142"/>
      <c r="L3" s="142"/>
      <c r="M3" s="570"/>
      <c r="N3" s="142"/>
      <c r="O3" s="142"/>
      <c r="P3" s="142"/>
      <c r="Q3" s="142"/>
      <c r="R3" s="142"/>
      <c r="S3" s="142"/>
      <c r="T3" s="142"/>
      <c r="U3" s="142"/>
      <c r="V3" s="142"/>
      <c r="W3" s="142"/>
      <c r="X3" s="142"/>
      <c r="Y3" s="142"/>
      <c r="Z3" s="142"/>
      <c r="AA3" s="142"/>
      <c r="AB3" s="142"/>
      <c r="AC3" s="142"/>
      <c r="AD3" s="142"/>
      <c r="AE3" s="142"/>
      <c r="AF3" s="142"/>
      <c r="AG3" s="142"/>
      <c r="AH3" s="571"/>
    </row>
    <row r="4" spans="1:44" ht="13.8">
      <c r="A4" s="572" t="s">
        <v>142</v>
      </c>
      <c r="B4" s="572" t="s">
        <v>143</v>
      </c>
      <c r="C4">
        <v>1</v>
      </c>
      <c r="D4" s="573">
        <v>2</v>
      </c>
      <c r="E4" s="573">
        <v>3</v>
      </c>
      <c r="F4" s="573">
        <v>4</v>
      </c>
      <c r="G4" s="573">
        <v>5</v>
      </c>
      <c r="H4" s="573">
        <v>6</v>
      </c>
      <c r="I4" s="573">
        <v>7</v>
      </c>
      <c r="J4" s="573">
        <v>8</v>
      </c>
      <c r="K4" s="573">
        <v>9</v>
      </c>
      <c r="L4" s="573">
        <v>10</v>
      </c>
      <c r="M4" s="573">
        <v>11</v>
      </c>
      <c r="N4" s="573">
        <v>12</v>
      </c>
      <c r="O4" s="573">
        <v>13</v>
      </c>
      <c r="P4" s="573">
        <v>14</v>
      </c>
      <c r="Q4" s="573">
        <v>15</v>
      </c>
      <c r="R4" s="573">
        <v>16</v>
      </c>
      <c r="S4" s="573">
        <v>17</v>
      </c>
      <c r="T4" s="573">
        <v>18</v>
      </c>
      <c r="U4" s="573">
        <v>19</v>
      </c>
      <c r="V4" s="573">
        <v>20</v>
      </c>
      <c r="W4" s="509">
        <v>21</v>
      </c>
      <c r="X4" s="573">
        <v>22</v>
      </c>
      <c r="Y4" s="573">
        <v>23</v>
      </c>
      <c r="Z4" s="573">
        <v>24</v>
      </c>
      <c r="AA4" s="573">
        <v>25</v>
      </c>
      <c r="AB4" s="573">
        <v>26</v>
      </c>
      <c r="AC4" s="573">
        <v>27</v>
      </c>
      <c r="AD4" s="573">
        <v>28</v>
      </c>
      <c r="AE4" s="573">
        <v>29</v>
      </c>
      <c r="AF4" s="573">
        <v>30</v>
      </c>
      <c r="AG4" s="573">
        <v>31</v>
      </c>
      <c r="AH4" s="575" t="s">
        <v>111</v>
      </c>
      <c r="AJ4" s="593"/>
      <c r="AK4" s="593"/>
      <c r="AL4" s="593"/>
      <c r="AM4" s="593"/>
      <c r="AN4" s="593"/>
      <c r="AO4" s="593"/>
      <c r="AP4" s="593"/>
      <c r="AQ4" s="555"/>
      <c r="AR4" s="606"/>
    </row>
    <row r="5" spans="1:44" ht="13.8">
      <c r="A5" s="574" t="s">
        <v>145</v>
      </c>
      <c r="B5" s="3216">
        <f>+AH5/1000</f>
        <v>315.745</v>
      </c>
      <c r="C5" s="866">
        <v>5400</v>
      </c>
      <c r="D5" s="866">
        <v>6190</v>
      </c>
      <c r="E5" s="866">
        <v>6340</v>
      </c>
      <c r="F5" s="866">
        <v>21347</v>
      </c>
      <c r="G5" s="866">
        <v>4700</v>
      </c>
      <c r="H5" s="866">
        <v>8800</v>
      </c>
      <c r="I5" s="866">
        <v>1484</v>
      </c>
      <c r="J5" s="866">
        <v>37133</v>
      </c>
      <c r="K5" s="866">
        <v>15137</v>
      </c>
      <c r="L5" s="866">
        <v>12260</v>
      </c>
      <c r="M5" s="866">
        <v>0</v>
      </c>
      <c r="N5" s="866">
        <v>15260</v>
      </c>
      <c r="O5" s="866">
        <v>3678</v>
      </c>
      <c r="P5" s="866">
        <v>0</v>
      </c>
      <c r="Q5" s="866">
        <v>23196</v>
      </c>
      <c r="R5" s="866">
        <v>4500</v>
      </c>
      <c r="S5" s="866">
        <v>14450</v>
      </c>
      <c r="T5" s="866">
        <v>0</v>
      </c>
      <c r="U5" s="866">
        <v>11943</v>
      </c>
      <c r="V5" s="866">
        <v>0</v>
      </c>
      <c r="W5" s="866">
        <v>0</v>
      </c>
      <c r="X5" s="866">
        <v>4300</v>
      </c>
      <c r="Y5" s="866">
        <v>12800</v>
      </c>
      <c r="Z5" s="866">
        <v>69427</v>
      </c>
      <c r="AA5" s="866">
        <v>14200</v>
      </c>
      <c r="AB5" s="866">
        <v>6500</v>
      </c>
      <c r="AC5" s="866">
        <v>0</v>
      </c>
      <c r="AD5" s="866">
        <v>0</v>
      </c>
      <c r="AE5" s="866">
        <v>5000</v>
      </c>
      <c r="AF5" s="866">
        <v>11700</v>
      </c>
      <c r="AG5" s="866">
        <v>0</v>
      </c>
      <c r="AH5" s="577">
        <f>SUM(C5:AG5)</f>
        <v>315745</v>
      </c>
      <c r="AJ5" s="513"/>
      <c r="AK5" s="513"/>
      <c r="AL5" s="513"/>
      <c r="AM5" s="513"/>
      <c r="AN5" s="513"/>
      <c r="AO5" s="513"/>
      <c r="AP5" s="513"/>
    </row>
    <row r="6" spans="1:44" ht="13.8">
      <c r="A6" s="574" t="s">
        <v>146</v>
      </c>
      <c r="B6" s="480">
        <f t="shared" ref="B6:B16" si="0">+AH6/1000</f>
        <v>321.52999999999997</v>
      </c>
      <c r="C6" s="866">
        <v>13035</v>
      </c>
      <c r="D6" s="866">
        <v>13011</v>
      </c>
      <c r="E6" s="866">
        <v>6137</v>
      </c>
      <c r="F6" s="866">
        <v>12500</v>
      </c>
      <c r="G6" s="866">
        <v>0</v>
      </c>
      <c r="H6" s="866">
        <v>15358</v>
      </c>
      <c r="I6" s="866">
        <v>6928</v>
      </c>
      <c r="J6" s="866">
        <v>2500</v>
      </c>
      <c r="K6" s="866">
        <v>1200</v>
      </c>
      <c r="L6" s="866">
        <v>2800</v>
      </c>
      <c r="M6" s="866">
        <v>64029</v>
      </c>
      <c r="N6" s="866">
        <v>0</v>
      </c>
      <c r="O6" s="866">
        <v>0</v>
      </c>
      <c r="P6" s="866">
        <v>4320</v>
      </c>
      <c r="Q6" s="866">
        <v>9734</v>
      </c>
      <c r="R6" s="866">
        <v>13023</v>
      </c>
      <c r="S6" s="866">
        <v>8856</v>
      </c>
      <c r="T6" s="866">
        <v>6083</v>
      </c>
      <c r="U6" s="866">
        <v>0</v>
      </c>
      <c r="V6" s="866">
        <v>11320</v>
      </c>
      <c r="W6" s="866">
        <v>2100</v>
      </c>
      <c r="X6" s="866">
        <v>21656</v>
      </c>
      <c r="Y6" s="866">
        <v>17604</v>
      </c>
      <c r="Z6" s="866">
        <v>7564</v>
      </c>
      <c r="AA6" s="866">
        <v>15907</v>
      </c>
      <c r="AB6" s="866">
        <v>6841</v>
      </c>
      <c r="AC6" s="866">
        <v>42978</v>
      </c>
      <c r="AD6" s="866">
        <v>5100</v>
      </c>
      <c r="AE6" s="866">
        <v>10946</v>
      </c>
      <c r="AF6" s="866">
        <v>0</v>
      </c>
      <c r="AG6" s="866">
        <v>0</v>
      </c>
      <c r="AH6" s="577">
        <f t="shared" ref="AH6:AH16" si="1">SUM(C6:AG6)</f>
        <v>321530</v>
      </c>
      <c r="AJ6" s="605"/>
      <c r="AK6" s="513"/>
      <c r="AL6" s="513"/>
      <c r="AM6" s="513"/>
      <c r="AN6" s="513"/>
      <c r="AO6" s="513"/>
      <c r="AP6" s="513"/>
    </row>
    <row r="7" spans="1:44" ht="13.8">
      <c r="A7" s="574" t="s">
        <v>147</v>
      </c>
      <c r="B7" s="480">
        <f t="shared" si="0"/>
        <v>417.28699999999998</v>
      </c>
      <c r="C7" s="866">
        <v>8000</v>
      </c>
      <c r="D7" s="866">
        <v>0</v>
      </c>
      <c r="E7" s="866">
        <v>10567</v>
      </c>
      <c r="F7" s="866">
        <v>0</v>
      </c>
      <c r="G7" s="866">
        <v>8650</v>
      </c>
      <c r="H7" s="866">
        <v>43628</v>
      </c>
      <c r="I7" s="866">
        <v>0</v>
      </c>
      <c r="J7" s="866">
        <v>6940</v>
      </c>
      <c r="K7" s="866">
        <v>12500</v>
      </c>
      <c r="L7" s="866">
        <v>3680</v>
      </c>
      <c r="M7" s="866">
        <v>2984</v>
      </c>
      <c r="N7" s="866">
        <v>20153</v>
      </c>
      <c r="O7" s="866">
        <v>18530</v>
      </c>
      <c r="P7" s="866">
        <v>5900</v>
      </c>
      <c r="Q7" s="866">
        <v>11120</v>
      </c>
      <c r="R7" s="866">
        <v>24600</v>
      </c>
      <c r="S7" s="866">
        <v>5676</v>
      </c>
      <c r="T7" s="866">
        <v>3300</v>
      </c>
      <c r="U7" s="866">
        <v>48334</v>
      </c>
      <c r="V7" s="866">
        <v>11980</v>
      </c>
      <c r="W7" s="866">
        <v>11820</v>
      </c>
      <c r="X7" s="866">
        <v>1500</v>
      </c>
      <c r="Y7" s="866">
        <v>14529</v>
      </c>
      <c r="Z7" s="866">
        <v>17973</v>
      </c>
      <c r="AA7" s="866">
        <v>20479</v>
      </c>
      <c r="AB7" s="866">
        <v>2127</v>
      </c>
      <c r="AC7" s="866">
        <v>16416</v>
      </c>
      <c r="AD7" s="866">
        <v>37422</v>
      </c>
      <c r="AE7" s="866">
        <v>28849</v>
      </c>
      <c r="AF7" s="866">
        <v>16230</v>
      </c>
      <c r="AG7" s="866">
        <v>3400</v>
      </c>
      <c r="AH7" s="577">
        <f t="shared" si="1"/>
        <v>417287</v>
      </c>
      <c r="AJ7" s="513"/>
      <c r="AK7" s="513"/>
      <c r="AL7" s="513"/>
      <c r="AM7" s="513"/>
      <c r="AN7" s="513"/>
      <c r="AO7" s="513"/>
      <c r="AP7" s="513"/>
    </row>
    <row r="8" spans="1:44" ht="13.8">
      <c r="A8" s="574" t="s">
        <v>148</v>
      </c>
      <c r="B8" s="480">
        <f t="shared" si="0"/>
        <v>15.42</v>
      </c>
      <c r="C8" s="866">
        <v>0</v>
      </c>
      <c r="D8" s="866">
        <v>14420</v>
      </c>
      <c r="E8" s="866">
        <v>0</v>
      </c>
      <c r="F8" s="866">
        <v>0</v>
      </c>
      <c r="G8" s="866">
        <v>0</v>
      </c>
      <c r="H8" s="866">
        <v>1000</v>
      </c>
      <c r="I8" s="866">
        <v>0</v>
      </c>
      <c r="J8" s="866">
        <v>0</v>
      </c>
      <c r="K8" s="866">
        <v>0</v>
      </c>
      <c r="L8" s="866">
        <v>0</v>
      </c>
      <c r="M8" s="866">
        <v>0</v>
      </c>
      <c r="N8" s="866">
        <v>0</v>
      </c>
      <c r="O8" s="866">
        <v>0</v>
      </c>
      <c r="P8" s="866">
        <v>0</v>
      </c>
      <c r="Q8" s="866">
        <v>0</v>
      </c>
      <c r="R8" s="866">
        <v>0</v>
      </c>
      <c r="S8" s="866">
        <v>0</v>
      </c>
      <c r="T8" s="866">
        <v>0</v>
      </c>
      <c r="U8" s="866">
        <v>0</v>
      </c>
      <c r="V8" s="866">
        <v>0</v>
      </c>
      <c r="W8" s="866">
        <v>0</v>
      </c>
      <c r="X8" s="866">
        <v>0</v>
      </c>
      <c r="Y8" s="866">
        <v>0</v>
      </c>
      <c r="Z8" s="866">
        <v>0</v>
      </c>
      <c r="AA8" s="866">
        <v>0</v>
      </c>
      <c r="AB8" s="866">
        <v>0</v>
      </c>
      <c r="AC8" s="866">
        <v>0</v>
      </c>
      <c r="AD8" s="866">
        <v>0</v>
      </c>
      <c r="AE8" s="866">
        <v>0</v>
      </c>
      <c r="AF8" s="866">
        <v>0</v>
      </c>
      <c r="AG8" s="866">
        <v>0</v>
      </c>
      <c r="AH8" s="577">
        <f t="shared" si="1"/>
        <v>15420</v>
      </c>
      <c r="AJ8" s="513"/>
      <c r="AK8" s="513"/>
      <c r="AL8" s="513"/>
      <c r="AM8" s="513"/>
      <c r="AN8" s="513"/>
      <c r="AO8" s="513"/>
      <c r="AP8" s="513"/>
    </row>
    <row r="9" spans="1:44" ht="13.8">
      <c r="A9" s="603" t="s">
        <v>149</v>
      </c>
      <c r="B9" s="480">
        <f t="shared" si="0"/>
        <v>417.53399999999999</v>
      </c>
      <c r="C9" s="866">
        <v>50295</v>
      </c>
      <c r="D9" s="866">
        <v>72835</v>
      </c>
      <c r="E9" s="866">
        <v>70789</v>
      </c>
      <c r="F9" s="866">
        <v>33710</v>
      </c>
      <c r="G9" s="866">
        <v>45750</v>
      </c>
      <c r="H9" s="866">
        <v>28400</v>
      </c>
      <c r="I9" s="866">
        <v>9986</v>
      </c>
      <c r="J9" s="866">
        <v>13975</v>
      </c>
      <c r="K9" s="866">
        <v>0</v>
      </c>
      <c r="L9" s="866">
        <v>11366</v>
      </c>
      <c r="M9" s="866">
        <v>10390</v>
      </c>
      <c r="N9" s="866">
        <v>6612</v>
      </c>
      <c r="O9" s="866">
        <v>0</v>
      </c>
      <c r="P9" s="866">
        <v>3750</v>
      </c>
      <c r="Q9" s="866">
        <v>9793</v>
      </c>
      <c r="R9" s="866">
        <v>22300</v>
      </c>
      <c r="S9" s="866">
        <v>1500</v>
      </c>
      <c r="T9" s="866">
        <v>6861</v>
      </c>
      <c r="U9" s="866">
        <v>0</v>
      </c>
      <c r="V9" s="866">
        <v>2372</v>
      </c>
      <c r="W9" s="866">
        <v>7000</v>
      </c>
      <c r="X9" s="866">
        <v>3000</v>
      </c>
      <c r="Y9" s="866">
        <v>6350</v>
      </c>
      <c r="Z9" s="866">
        <v>0</v>
      </c>
      <c r="AA9" s="866">
        <v>0</v>
      </c>
      <c r="AB9" s="866">
        <v>0</v>
      </c>
      <c r="AC9" s="866">
        <v>0</v>
      </c>
      <c r="AD9" s="866">
        <v>0</v>
      </c>
      <c r="AE9" s="866">
        <v>0</v>
      </c>
      <c r="AF9" s="866">
        <v>0</v>
      </c>
      <c r="AG9" s="866">
        <v>500</v>
      </c>
      <c r="AH9" s="577">
        <f t="shared" si="1"/>
        <v>417534</v>
      </c>
      <c r="AJ9" s="513"/>
      <c r="AK9" s="513"/>
      <c r="AL9" s="513"/>
      <c r="AM9" s="513"/>
      <c r="AN9" s="513"/>
      <c r="AO9" s="513"/>
      <c r="AP9" s="513"/>
    </row>
    <row r="10" spans="1:44" ht="13.8">
      <c r="A10" s="603" t="s">
        <v>150</v>
      </c>
      <c r="B10" s="480">
        <f t="shared" si="0"/>
        <v>4.056</v>
      </c>
      <c r="C10" s="578">
        <v>0</v>
      </c>
      <c r="D10" s="579">
        <v>0</v>
      </c>
      <c r="E10" s="579">
        <v>0</v>
      </c>
      <c r="F10" s="579">
        <v>0</v>
      </c>
      <c r="G10" s="579">
        <v>4056</v>
      </c>
      <c r="H10" s="579">
        <v>0</v>
      </c>
      <c r="I10" s="579">
        <v>0</v>
      </c>
      <c r="J10" s="579">
        <v>0</v>
      </c>
      <c r="K10" s="579">
        <v>0</v>
      </c>
      <c r="L10" s="579">
        <v>0</v>
      </c>
      <c r="M10" s="579">
        <v>0</v>
      </c>
      <c r="N10" s="579">
        <v>0</v>
      </c>
      <c r="O10" s="579">
        <v>0</v>
      </c>
      <c r="P10" s="579">
        <v>0</v>
      </c>
      <c r="Q10" s="579">
        <v>0</v>
      </c>
      <c r="R10" s="579">
        <v>0</v>
      </c>
      <c r="S10" s="579">
        <v>0</v>
      </c>
      <c r="T10" s="579">
        <v>0</v>
      </c>
      <c r="U10" s="579">
        <v>0</v>
      </c>
      <c r="V10" s="579">
        <v>0</v>
      </c>
      <c r="W10" s="579">
        <v>0</v>
      </c>
      <c r="X10" s="579">
        <v>0</v>
      </c>
      <c r="Y10" s="579">
        <v>0</v>
      </c>
      <c r="Z10" s="579">
        <v>0</v>
      </c>
      <c r="AA10" s="579">
        <v>0</v>
      </c>
      <c r="AB10" s="579">
        <v>0</v>
      </c>
      <c r="AC10" s="579">
        <v>0</v>
      </c>
      <c r="AD10" s="579">
        <v>0</v>
      </c>
      <c r="AE10" s="579">
        <v>0</v>
      </c>
      <c r="AF10" s="579">
        <v>0</v>
      </c>
      <c r="AG10" s="579">
        <v>0</v>
      </c>
      <c r="AH10" s="577">
        <f t="shared" si="1"/>
        <v>4056</v>
      </c>
      <c r="AJ10" s="513"/>
      <c r="AK10" s="513"/>
      <c r="AL10" s="513"/>
      <c r="AM10" s="513"/>
      <c r="AN10" s="513"/>
      <c r="AO10" s="513"/>
      <c r="AP10" s="513"/>
    </row>
    <row r="11" spans="1:44" ht="13.8">
      <c r="A11" s="603" t="s">
        <v>151</v>
      </c>
      <c r="B11" s="480">
        <f t="shared" si="0"/>
        <v>4.7</v>
      </c>
      <c r="C11" s="578">
        <v>0</v>
      </c>
      <c r="D11" s="579">
        <v>0</v>
      </c>
      <c r="E11" s="579">
        <v>0</v>
      </c>
      <c r="F11" s="579">
        <v>0</v>
      </c>
      <c r="G11" s="579">
        <v>4700</v>
      </c>
      <c r="H11" s="579">
        <v>0</v>
      </c>
      <c r="I11" s="579">
        <v>0</v>
      </c>
      <c r="J11" s="579">
        <v>0</v>
      </c>
      <c r="K11" s="579">
        <v>0</v>
      </c>
      <c r="L11" s="579">
        <v>0</v>
      </c>
      <c r="M11" s="579">
        <v>0</v>
      </c>
      <c r="N11" s="579">
        <v>0</v>
      </c>
      <c r="O11" s="579">
        <v>0</v>
      </c>
      <c r="P11" s="579">
        <v>0</v>
      </c>
      <c r="Q11" s="579">
        <v>0</v>
      </c>
      <c r="R11" s="579">
        <v>0</v>
      </c>
      <c r="S11" s="579">
        <v>0</v>
      </c>
      <c r="T11" s="579">
        <v>0</v>
      </c>
      <c r="U11" s="579">
        <v>0</v>
      </c>
      <c r="V11" s="579">
        <v>0</v>
      </c>
      <c r="W11" s="579">
        <v>0</v>
      </c>
      <c r="X11" s="579">
        <v>0</v>
      </c>
      <c r="Y11" s="579">
        <v>0</v>
      </c>
      <c r="Z11" s="579">
        <v>0</v>
      </c>
      <c r="AA11" s="579">
        <v>0</v>
      </c>
      <c r="AB11" s="579">
        <v>0</v>
      </c>
      <c r="AC11" s="579">
        <v>0</v>
      </c>
      <c r="AD11" s="579">
        <v>0</v>
      </c>
      <c r="AE11" s="579">
        <v>0</v>
      </c>
      <c r="AF11" s="579">
        <v>0</v>
      </c>
      <c r="AG11" s="579">
        <v>0</v>
      </c>
      <c r="AH11" s="577">
        <f t="shared" si="1"/>
        <v>4700</v>
      </c>
      <c r="AJ11" s="513"/>
      <c r="AK11" s="513"/>
      <c r="AL11" s="513"/>
      <c r="AM11" s="513"/>
      <c r="AN11" s="513"/>
      <c r="AO11" s="513"/>
      <c r="AP11" s="513"/>
    </row>
    <row r="12" spans="1:44" ht="13.8">
      <c r="A12" s="603" t="s">
        <v>152</v>
      </c>
      <c r="B12" s="480">
        <f t="shared" si="0"/>
        <v>0</v>
      </c>
      <c r="C12" s="578">
        <v>0</v>
      </c>
      <c r="D12" s="579">
        <v>0</v>
      </c>
      <c r="E12" s="579">
        <v>0</v>
      </c>
      <c r="F12" s="579">
        <v>0</v>
      </c>
      <c r="G12" s="579">
        <v>0</v>
      </c>
      <c r="H12" s="579">
        <v>0</v>
      </c>
      <c r="I12" s="579">
        <v>0</v>
      </c>
      <c r="J12" s="579">
        <v>0</v>
      </c>
      <c r="K12" s="579">
        <v>0</v>
      </c>
      <c r="L12" s="579">
        <v>0</v>
      </c>
      <c r="M12" s="579">
        <v>0</v>
      </c>
      <c r="N12" s="579">
        <v>0</v>
      </c>
      <c r="O12" s="579">
        <v>0</v>
      </c>
      <c r="P12" s="579">
        <v>0</v>
      </c>
      <c r="Q12" s="579">
        <v>0</v>
      </c>
      <c r="R12" s="579">
        <v>0</v>
      </c>
      <c r="S12" s="579">
        <v>0</v>
      </c>
      <c r="T12" s="579">
        <v>0</v>
      </c>
      <c r="U12" s="579">
        <v>0</v>
      </c>
      <c r="V12" s="579">
        <v>0</v>
      </c>
      <c r="W12" s="579">
        <v>0</v>
      </c>
      <c r="X12" s="579">
        <v>0</v>
      </c>
      <c r="Y12" s="579">
        <v>0</v>
      </c>
      <c r="Z12" s="579">
        <v>0</v>
      </c>
      <c r="AA12" s="579">
        <v>0</v>
      </c>
      <c r="AB12" s="579">
        <v>0</v>
      </c>
      <c r="AC12" s="579">
        <v>0</v>
      </c>
      <c r="AD12" s="579">
        <v>0</v>
      </c>
      <c r="AE12" s="579">
        <v>0</v>
      </c>
      <c r="AF12" s="579">
        <v>0</v>
      </c>
      <c r="AG12" s="579">
        <v>0</v>
      </c>
      <c r="AH12" s="577">
        <f t="shared" si="1"/>
        <v>0</v>
      </c>
      <c r="AJ12" s="513"/>
      <c r="AK12" s="513"/>
      <c r="AL12" s="513"/>
      <c r="AM12" s="513"/>
      <c r="AN12" s="513"/>
      <c r="AO12" s="513"/>
      <c r="AP12" s="513"/>
    </row>
    <row r="13" spans="1:44" ht="13.8">
      <c r="A13" s="604" t="s">
        <v>153</v>
      </c>
      <c r="B13" s="480">
        <f t="shared" si="0"/>
        <v>324.04300000000001</v>
      </c>
      <c r="C13" s="2114">
        <v>40100</v>
      </c>
      <c r="D13" s="2114">
        <v>13574</v>
      </c>
      <c r="E13" s="2114">
        <v>18569</v>
      </c>
      <c r="F13" s="2114">
        <v>12056</v>
      </c>
      <c r="G13" s="2114">
        <v>17575</v>
      </c>
      <c r="H13" s="2114">
        <v>4651</v>
      </c>
      <c r="I13" s="2114">
        <v>0</v>
      </c>
      <c r="J13" s="2114">
        <v>0</v>
      </c>
      <c r="K13" s="2114">
        <v>8968</v>
      </c>
      <c r="L13" s="2114">
        <v>8798</v>
      </c>
      <c r="M13" s="2114">
        <v>26940</v>
      </c>
      <c r="N13" s="2114">
        <v>19482</v>
      </c>
      <c r="O13" s="2114">
        <v>1176</v>
      </c>
      <c r="P13" s="2114">
        <v>11440</v>
      </c>
      <c r="Q13" s="2114">
        <v>0</v>
      </c>
      <c r="R13" s="2114">
        <v>0</v>
      </c>
      <c r="S13" s="2114">
        <v>0</v>
      </c>
      <c r="T13" s="2114">
        <v>0</v>
      </c>
      <c r="U13" s="2114">
        <v>0</v>
      </c>
      <c r="V13" s="2114">
        <v>0</v>
      </c>
      <c r="W13" s="2114">
        <v>0</v>
      </c>
      <c r="X13" s="2114">
        <v>0</v>
      </c>
      <c r="Y13" s="2114">
        <v>25272</v>
      </c>
      <c r="Z13" s="2114">
        <v>35013</v>
      </c>
      <c r="AA13" s="2114">
        <v>28174</v>
      </c>
      <c r="AB13" s="2114">
        <v>26034</v>
      </c>
      <c r="AC13" s="2114">
        <v>5689</v>
      </c>
      <c r="AD13" s="2114">
        <v>12423</v>
      </c>
      <c r="AE13" s="2114">
        <v>2009</v>
      </c>
      <c r="AF13" s="2114">
        <v>6100</v>
      </c>
      <c r="AG13" s="2114">
        <v>0</v>
      </c>
      <c r="AH13" s="577">
        <f t="shared" si="1"/>
        <v>324043</v>
      </c>
      <c r="AJ13" s="513"/>
      <c r="AK13" s="513"/>
      <c r="AL13" s="513"/>
      <c r="AM13" s="513"/>
      <c r="AN13" s="513"/>
      <c r="AO13" s="513"/>
      <c r="AP13" s="513"/>
    </row>
    <row r="14" spans="1:44" ht="13.8">
      <c r="A14" s="604" t="s">
        <v>154</v>
      </c>
      <c r="B14" s="480">
        <f t="shared" si="0"/>
        <v>553.80700000000002</v>
      </c>
      <c r="C14" s="866">
        <v>15600</v>
      </c>
      <c r="D14" s="866">
        <v>13124</v>
      </c>
      <c r="E14" s="866">
        <v>8328</v>
      </c>
      <c r="F14" s="866">
        <v>6580</v>
      </c>
      <c r="G14" s="866">
        <v>12300</v>
      </c>
      <c r="H14" s="866">
        <v>19828</v>
      </c>
      <c r="I14" s="866">
        <v>13167</v>
      </c>
      <c r="J14" s="866">
        <v>18923</v>
      </c>
      <c r="K14" s="866">
        <v>23846</v>
      </c>
      <c r="L14" s="866">
        <v>62564</v>
      </c>
      <c r="M14" s="866">
        <v>8330</v>
      </c>
      <c r="N14" s="866">
        <v>54716</v>
      </c>
      <c r="O14" s="866">
        <v>70220</v>
      </c>
      <c r="P14" s="866">
        <v>34913</v>
      </c>
      <c r="Q14" s="866">
        <v>14111</v>
      </c>
      <c r="R14" s="866">
        <v>0</v>
      </c>
      <c r="S14" s="866">
        <v>15811</v>
      </c>
      <c r="T14" s="866">
        <v>8250</v>
      </c>
      <c r="U14" s="866">
        <v>0</v>
      </c>
      <c r="V14" s="866">
        <v>5000</v>
      </c>
      <c r="W14" s="866">
        <v>9606</v>
      </c>
      <c r="X14" s="866">
        <v>22600</v>
      </c>
      <c r="Y14" s="866">
        <v>19877</v>
      </c>
      <c r="Z14" s="866">
        <v>8177</v>
      </c>
      <c r="AA14" s="866">
        <v>0</v>
      </c>
      <c r="AB14" s="866">
        <v>24180</v>
      </c>
      <c r="AC14" s="866">
        <v>0</v>
      </c>
      <c r="AD14" s="866">
        <v>7840</v>
      </c>
      <c r="AE14" s="866">
        <v>17176</v>
      </c>
      <c r="AF14" s="866">
        <v>27869</v>
      </c>
      <c r="AG14" s="866">
        <v>10871</v>
      </c>
      <c r="AH14" s="577">
        <f t="shared" si="1"/>
        <v>553807</v>
      </c>
      <c r="AJ14" s="513"/>
      <c r="AK14" s="513"/>
      <c r="AL14" s="513"/>
      <c r="AM14" s="513"/>
      <c r="AN14" s="513"/>
      <c r="AO14" s="513"/>
      <c r="AP14" s="513"/>
    </row>
    <row r="15" spans="1:44" ht="13.8">
      <c r="A15" s="604" t="s">
        <v>155</v>
      </c>
      <c r="B15" s="480">
        <f t="shared" si="0"/>
        <v>585.91300000000001</v>
      </c>
      <c r="C15" s="578">
        <v>47260</v>
      </c>
      <c r="D15" s="579">
        <v>30431</v>
      </c>
      <c r="E15" s="579">
        <v>74918</v>
      </c>
      <c r="F15" s="579">
        <v>7130</v>
      </c>
      <c r="G15" s="579">
        <v>38062</v>
      </c>
      <c r="H15" s="579">
        <v>17999</v>
      </c>
      <c r="I15" s="579">
        <v>500</v>
      </c>
      <c r="J15" s="579">
        <v>30170</v>
      </c>
      <c r="K15" s="579">
        <v>8498</v>
      </c>
      <c r="L15" s="579">
        <v>24765</v>
      </c>
      <c r="M15" s="579">
        <v>9959</v>
      </c>
      <c r="N15" s="579">
        <v>37031</v>
      </c>
      <c r="O15" s="579">
        <v>46707</v>
      </c>
      <c r="P15" s="579">
        <v>45217</v>
      </c>
      <c r="Q15" s="579">
        <v>47230</v>
      </c>
      <c r="R15" s="579">
        <v>12200</v>
      </c>
      <c r="S15" s="579">
        <v>0</v>
      </c>
      <c r="T15" s="579">
        <v>1560</v>
      </c>
      <c r="U15" s="579">
        <v>7436</v>
      </c>
      <c r="V15" s="579">
        <v>0</v>
      </c>
      <c r="W15" s="579">
        <v>12910</v>
      </c>
      <c r="X15" s="579">
        <v>24811</v>
      </c>
      <c r="Y15" s="579">
        <v>13730</v>
      </c>
      <c r="Z15" s="579">
        <v>3280</v>
      </c>
      <c r="AA15" s="579">
        <v>5466</v>
      </c>
      <c r="AB15" s="579">
        <v>13002</v>
      </c>
      <c r="AC15" s="579">
        <v>6324</v>
      </c>
      <c r="AD15" s="579">
        <v>7959</v>
      </c>
      <c r="AE15" s="579">
        <v>11358</v>
      </c>
      <c r="AF15" s="579">
        <v>0</v>
      </c>
      <c r="AG15" s="579">
        <v>0</v>
      </c>
      <c r="AH15" s="577">
        <f t="shared" si="1"/>
        <v>585913</v>
      </c>
    </row>
    <row r="16" spans="1:44" ht="13.8">
      <c r="A16" s="604" t="s">
        <v>156</v>
      </c>
      <c r="B16" s="480">
        <f t="shared" si="0"/>
        <v>54.634</v>
      </c>
      <c r="C16" s="578">
        <v>6500</v>
      </c>
      <c r="D16" s="579">
        <v>0</v>
      </c>
      <c r="E16" s="579">
        <v>5430</v>
      </c>
      <c r="F16" s="579">
        <v>18062</v>
      </c>
      <c r="G16" s="579">
        <v>6800</v>
      </c>
      <c r="H16" s="579">
        <v>8239</v>
      </c>
      <c r="I16" s="579">
        <v>0</v>
      </c>
      <c r="J16" s="579">
        <v>4212</v>
      </c>
      <c r="K16" s="579">
        <v>0</v>
      </c>
      <c r="L16" s="579">
        <v>0</v>
      </c>
      <c r="M16" s="579">
        <v>2550</v>
      </c>
      <c r="N16" s="579">
        <v>2841</v>
      </c>
      <c r="O16" s="579">
        <v>0</v>
      </c>
      <c r="P16" s="579">
        <v>0</v>
      </c>
      <c r="Q16" s="579">
        <v>0</v>
      </c>
      <c r="R16" s="579">
        <v>0</v>
      </c>
      <c r="S16" s="579">
        <v>0</v>
      </c>
      <c r="T16" s="579">
        <v>0</v>
      </c>
      <c r="U16" s="579">
        <v>0</v>
      </c>
      <c r="V16" s="579">
        <v>0</v>
      </c>
      <c r="W16" s="579">
        <v>0</v>
      </c>
      <c r="X16" s="579">
        <v>0</v>
      </c>
      <c r="Y16" s="579">
        <v>0</v>
      </c>
      <c r="Z16" s="579">
        <v>0</v>
      </c>
      <c r="AA16" s="579">
        <v>0</v>
      </c>
      <c r="AB16" s="579">
        <v>0</v>
      </c>
      <c r="AC16" s="579">
        <v>0</v>
      </c>
      <c r="AD16" s="579">
        <v>0</v>
      </c>
      <c r="AE16" s="579">
        <v>0</v>
      </c>
      <c r="AF16" s="579">
        <v>0</v>
      </c>
      <c r="AG16" s="579">
        <v>0</v>
      </c>
      <c r="AH16" s="577">
        <f t="shared" si="1"/>
        <v>54634</v>
      </c>
    </row>
    <row r="17" spans="1:34" ht="13.8">
      <c r="A17" s="580" t="s">
        <v>111</v>
      </c>
      <c r="B17" s="580">
        <f>SUM(B5:B16)</f>
        <v>3014.6690000000003</v>
      </c>
      <c r="C17" s="581">
        <f>SUM(C5:C16)</f>
        <v>186190</v>
      </c>
      <c r="D17" s="581">
        <f t="shared" ref="D17:AG17" si="2">SUM(D5:D16)</f>
        <v>163585</v>
      </c>
      <c r="E17" s="581">
        <f t="shared" si="2"/>
        <v>201078</v>
      </c>
      <c r="F17" s="581">
        <f t="shared" si="2"/>
        <v>111385</v>
      </c>
      <c r="G17" s="581">
        <f t="shared" si="2"/>
        <v>142593</v>
      </c>
      <c r="H17" s="581">
        <f t="shared" si="2"/>
        <v>147903</v>
      </c>
      <c r="I17" s="581">
        <f t="shared" si="2"/>
        <v>32065</v>
      </c>
      <c r="J17" s="581">
        <f t="shared" si="2"/>
        <v>113853</v>
      </c>
      <c r="K17" s="581">
        <f t="shared" si="2"/>
        <v>70149</v>
      </c>
      <c r="L17" s="581">
        <f t="shared" si="2"/>
        <v>126233</v>
      </c>
      <c r="M17" s="581">
        <f t="shared" si="2"/>
        <v>125182</v>
      </c>
      <c r="N17" s="581">
        <f t="shared" si="2"/>
        <v>156095</v>
      </c>
      <c r="O17" s="581">
        <f t="shared" si="2"/>
        <v>140311</v>
      </c>
      <c r="P17" s="581">
        <f t="shared" si="2"/>
        <v>105540</v>
      </c>
      <c r="Q17" s="581">
        <f t="shared" si="2"/>
        <v>115184</v>
      </c>
      <c r="R17" s="581">
        <f t="shared" si="2"/>
        <v>76623</v>
      </c>
      <c r="S17" s="581">
        <f t="shared" si="2"/>
        <v>46293</v>
      </c>
      <c r="T17" s="581">
        <f t="shared" si="2"/>
        <v>26054</v>
      </c>
      <c r="U17" s="581">
        <f t="shared" si="2"/>
        <v>67713</v>
      </c>
      <c r="V17" s="581">
        <f t="shared" si="2"/>
        <v>30672</v>
      </c>
      <c r="W17" s="581">
        <f t="shared" si="2"/>
        <v>43436</v>
      </c>
      <c r="X17" s="581">
        <f t="shared" si="2"/>
        <v>77867</v>
      </c>
      <c r="Y17" s="581">
        <f t="shared" si="2"/>
        <v>110162</v>
      </c>
      <c r="Z17" s="581">
        <f t="shared" si="2"/>
        <v>141434</v>
      </c>
      <c r="AA17" s="581">
        <f t="shared" si="2"/>
        <v>84226</v>
      </c>
      <c r="AB17" s="581">
        <f t="shared" si="2"/>
        <v>78684</v>
      </c>
      <c r="AC17" s="581">
        <f t="shared" si="2"/>
        <v>71407</v>
      </c>
      <c r="AD17" s="581">
        <f t="shared" si="2"/>
        <v>70744</v>
      </c>
      <c r="AE17" s="581">
        <f t="shared" si="2"/>
        <v>75338</v>
      </c>
      <c r="AF17" s="581">
        <f t="shared" si="2"/>
        <v>61899</v>
      </c>
      <c r="AG17" s="581">
        <f t="shared" si="2"/>
        <v>14771</v>
      </c>
      <c r="AH17" s="582">
        <f>SUM(AH5:AH16)</f>
        <v>3014669</v>
      </c>
    </row>
    <row r="18" spans="1:34">
      <c r="A18" s="510"/>
      <c r="B18" s="510"/>
      <c r="C18" s="510"/>
      <c r="D18" s="510"/>
      <c r="E18" s="510"/>
      <c r="F18" s="510"/>
      <c r="G18" s="510"/>
      <c r="H18" s="510"/>
      <c r="I18" s="510"/>
      <c r="J18" s="510"/>
      <c r="K18" s="510"/>
      <c r="L18" s="510"/>
      <c r="M18" s="510"/>
      <c r="N18" s="510"/>
      <c r="O18" s="510"/>
      <c r="P18" s="510"/>
      <c r="Q18" s="510"/>
      <c r="R18" s="510"/>
      <c r="S18" s="510"/>
      <c r="T18" s="510"/>
      <c r="U18" s="510"/>
      <c r="V18" s="510"/>
      <c r="W18" s="510"/>
      <c r="X18" s="510"/>
      <c r="Y18" s="510"/>
      <c r="Z18" s="510"/>
      <c r="AA18" s="510"/>
      <c r="AB18" s="510"/>
      <c r="AC18" s="510"/>
      <c r="AD18" s="510"/>
      <c r="AE18" s="510"/>
      <c r="AF18" s="510"/>
      <c r="AG18" s="510"/>
      <c r="AH18" s="510"/>
    </row>
    <row r="19" spans="1:34" ht="13.8">
      <c r="A19" s="4298" t="s">
        <v>565</v>
      </c>
      <c r="B19" s="4298"/>
      <c r="C19" s="4298"/>
      <c r="D19" s="142"/>
      <c r="E19" s="142"/>
      <c r="F19" s="142"/>
      <c r="G19" s="142"/>
      <c r="H19" s="142"/>
      <c r="I19" s="142"/>
      <c r="J19" s="142"/>
      <c r="K19" s="142"/>
      <c r="L19" s="142"/>
      <c r="M19" s="570"/>
      <c r="N19" s="142"/>
      <c r="O19" s="142"/>
      <c r="P19" s="142"/>
      <c r="Q19" s="142"/>
      <c r="R19" s="142"/>
      <c r="S19" s="142"/>
      <c r="T19" s="142"/>
      <c r="U19" s="142"/>
      <c r="V19" s="142"/>
      <c r="W19" s="142"/>
      <c r="X19" s="142"/>
      <c r="Y19" s="142"/>
      <c r="Z19" s="142"/>
      <c r="AA19" s="142"/>
      <c r="AB19" s="142"/>
      <c r="AC19" s="142"/>
      <c r="AD19" s="142"/>
      <c r="AE19" s="142"/>
      <c r="AF19" s="142"/>
      <c r="AG19" s="142"/>
      <c r="AH19" s="571"/>
    </row>
    <row r="20" spans="1:34" ht="13.8">
      <c r="A20" s="572" t="s">
        <v>142</v>
      </c>
      <c r="B20" s="572" t="s">
        <v>143</v>
      </c>
      <c r="C20">
        <v>1</v>
      </c>
      <c r="D20" s="573">
        <v>2</v>
      </c>
      <c r="E20" s="573">
        <v>3</v>
      </c>
      <c r="F20" s="573">
        <v>4</v>
      </c>
      <c r="G20" s="573">
        <v>5</v>
      </c>
      <c r="H20" s="573">
        <v>6</v>
      </c>
      <c r="I20" s="573">
        <v>7</v>
      </c>
      <c r="J20" s="573">
        <v>8</v>
      </c>
      <c r="K20" s="573">
        <v>9</v>
      </c>
      <c r="L20" s="573">
        <v>10</v>
      </c>
      <c r="M20" s="573">
        <v>11</v>
      </c>
      <c r="N20" s="573">
        <v>12</v>
      </c>
      <c r="O20" s="573">
        <v>13</v>
      </c>
      <c r="P20" s="573">
        <v>14</v>
      </c>
      <c r="Q20" s="573">
        <v>15</v>
      </c>
      <c r="R20" s="573">
        <v>16</v>
      </c>
      <c r="S20" s="573">
        <v>17</v>
      </c>
      <c r="T20" s="573">
        <v>18</v>
      </c>
      <c r="U20" s="573">
        <v>19</v>
      </c>
      <c r="V20" s="573">
        <v>20</v>
      </c>
      <c r="W20" s="509">
        <v>21</v>
      </c>
      <c r="X20" s="573">
        <v>22</v>
      </c>
      <c r="Y20" s="573">
        <v>23</v>
      </c>
      <c r="Z20" s="573">
        <v>24</v>
      </c>
      <c r="AA20" s="573">
        <v>25</v>
      </c>
      <c r="AB20" s="573">
        <v>26</v>
      </c>
      <c r="AC20" s="573">
        <v>27</v>
      </c>
      <c r="AD20" s="573">
        <v>28</v>
      </c>
      <c r="AE20" s="573">
        <v>29</v>
      </c>
      <c r="AF20" s="573">
        <v>30</v>
      </c>
      <c r="AG20" s="573">
        <v>31</v>
      </c>
      <c r="AH20" s="575" t="s">
        <v>111</v>
      </c>
    </row>
    <row r="21" spans="1:34" ht="13.8">
      <c r="A21" s="574" t="s">
        <v>145</v>
      </c>
      <c r="B21" s="480">
        <f>+AH21/1000</f>
        <v>68.861999999999995</v>
      </c>
      <c r="C21" s="866">
        <v>0</v>
      </c>
      <c r="D21" s="866">
        <v>4380</v>
      </c>
      <c r="E21" s="866">
        <v>0</v>
      </c>
      <c r="F21" s="866">
        <v>0</v>
      </c>
      <c r="G21" s="866">
        <v>11411</v>
      </c>
      <c r="H21" s="866">
        <v>0</v>
      </c>
      <c r="I21" s="866">
        <v>8570</v>
      </c>
      <c r="J21" s="866">
        <v>10321</v>
      </c>
      <c r="K21" s="866">
        <v>0</v>
      </c>
      <c r="L21" s="866">
        <v>8255</v>
      </c>
      <c r="M21" s="866">
        <v>0</v>
      </c>
      <c r="N21" s="866">
        <v>0</v>
      </c>
      <c r="O21" s="866">
        <v>3223</v>
      </c>
      <c r="P21" s="866">
        <v>0</v>
      </c>
      <c r="Q21" s="866">
        <v>0</v>
      </c>
      <c r="R21" s="866">
        <v>0</v>
      </c>
      <c r="S21" s="866">
        <v>0</v>
      </c>
      <c r="T21" s="866">
        <v>8666</v>
      </c>
      <c r="U21" s="866">
        <v>0</v>
      </c>
      <c r="V21" s="866">
        <v>14036</v>
      </c>
      <c r="W21" s="866">
        <v>0</v>
      </c>
      <c r="X21" s="866">
        <v>0</v>
      </c>
      <c r="Y21" s="866">
        <v>0</v>
      </c>
      <c r="Z21" s="866">
        <v>0</v>
      </c>
      <c r="AA21" s="866">
        <v>0</v>
      </c>
      <c r="AB21" s="866">
        <v>0</v>
      </c>
      <c r="AC21" s="866">
        <v>0</v>
      </c>
      <c r="AD21" s="866">
        <v>0</v>
      </c>
      <c r="AE21" s="866">
        <v>0</v>
      </c>
      <c r="AF21" s="866">
        <v>0</v>
      </c>
      <c r="AG21" s="866">
        <v>0</v>
      </c>
      <c r="AH21" s="577">
        <f>SUM(C21:AG21)</f>
        <v>68862</v>
      </c>
    </row>
    <row r="22" spans="1:34" ht="13.8">
      <c r="A22" s="574" t="s">
        <v>146</v>
      </c>
      <c r="B22" s="480">
        <f t="shared" ref="B22:B32" si="3">+AH22/1000</f>
        <v>33.392000000000003</v>
      </c>
      <c r="C22" s="866">
        <v>0</v>
      </c>
      <c r="D22" s="866">
        <v>2384</v>
      </c>
      <c r="E22" s="866">
        <v>0</v>
      </c>
      <c r="F22" s="866">
        <v>0</v>
      </c>
      <c r="G22" s="866">
        <v>0</v>
      </c>
      <c r="H22" s="866">
        <v>0</v>
      </c>
      <c r="I22" s="866">
        <v>0</v>
      </c>
      <c r="J22" s="866">
        <v>0</v>
      </c>
      <c r="K22" s="866">
        <v>0</v>
      </c>
      <c r="L22" s="866">
        <v>0</v>
      </c>
      <c r="M22" s="866">
        <v>0</v>
      </c>
      <c r="N22" s="866">
        <v>0</v>
      </c>
      <c r="O22" s="866">
        <v>0</v>
      </c>
      <c r="P22" s="866">
        <v>2820</v>
      </c>
      <c r="Q22" s="866">
        <v>2753</v>
      </c>
      <c r="R22" s="866">
        <v>3720</v>
      </c>
      <c r="S22" s="866">
        <v>0</v>
      </c>
      <c r="T22" s="866">
        <v>0</v>
      </c>
      <c r="U22" s="866">
        <v>0</v>
      </c>
      <c r="V22" s="866">
        <v>2580</v>
      </c>
      <c r="W22" s="866">
        <v>0</v>
      </c>
      <c r="X22" s="866">
        <v>2530</v>
      </c>
      <c r="Y22" s="866">
        <v>2209</v>
      </c>
      <c r="Z22" s="866">
        <v>0</v>
      </c>
      <c r="AA22" s="866">
        <v>0</v>
      </c>
      <c r="AB22" s="866">
        <v>8307</v>
      </c>
      <c r="AC22" s="866">
        <v>222</v>
      </c>
      <c r="AD22" s="866">
        <v>5867</v>
      </c>
      <c r="AE22" s="866">
        <v>0</v>
      </c>
      <c r="AF22" s="866">
        <v>0</v>
      </c>
      <c r="AG22" s="866">
        <v>0</v>
      </c>
      <c r="AH22" s="577">
        <f t="shared" ref="AH22:AH32" si="4">SUM(C22:AG22)</f>
        <v>33392</v>
      </c>
    </row>
    <row r="23" spans="1:34" ht="13.8">
      <c r="A23" s="574" t="s">
        <v>147</v>
      </c>
      <c r="B23" s="480">
        <f t="shared" si="3"/>
        <v>93.835999999999999</v>
      </c>
      <c r="C23" s="866">
        <v>0</v>
      </c>
      <c r="D23" s="866">
        <v>0</v>
      </c>
      <c r="E23" s="866">
        <v>0</v>
      </c>
      <c r="F23" s="866">
        <v>0</v>
      </c>
      <c r="G23" s="866">
        <v>3015</v>
      </c>
      <c r="H23" s="866">
        <v>6140</v>
      </c>
      <c r="I23" s="866">
        <v>19225</v>
      </c>
      <c r="J23" s="866">
        <v>6396</v>
      </c>
      <c r="K23" s="866">
        <v>5417</v>
      </c>
      <c r="L23" s="866">
        <v>12743</v>
      </c>
      <c r="M23" s="866">
        <v>7089</v>
      </c>
      <c r="N23" s="866">
        <v>0</v>
      </c>
      <c r="O23" s="866">
        <v>0</v>
      </c>
      <c r="P23" s="866">
        <v>0</v>
      </c>
      <c r="Q23" s="866">
        <v>0</v>
      </c>
      <c r="R23" s="866">
        <v>0</v>
      </c>
      <c r="S23" s="866">
        <v>0</v>
      </c>
      <c r="T23" s="866">
        <v>0</v>
      </c>
      <c r="U23" s="866">
        <v>3127</v>
      </c>
      <c r="V23" s="866">
        <v>0</v>
      </c>
      <c r="W23" s="866">
        <v>2580</v>
      </c>
      <c r="X23" s="866">
        <v>1031</v>
      </c>
      <c r="Y23" s="866">
        <v>0</v>
      </c>
      <c r="Z23" s="866">
        <v>2527</v>
      </c>
      <c r="AA23" s="866">
        <v>0</v>
      </c>
      <c r="AB23" s="866">
        <v>0</v>
      </c>
      <c r="AC23" s="866">
        <v>7380</v>
      </c>
      <c r="AD23" s="866">
        <v>5487</v>
      </c>
      <c r="AE23" s="866">
        <v>4531</v>
      </c>
      <c r="AF23" s="866">
        <v>2280</v>
      </c>
      <c r="AG23" s="866">
        <v>4868</v>
      </c>
      <c r="AH23" s="577">
        <f t="shared" si="4"/>
        <v>93836</v>
      </c>
    </row>
    <row r="24" spans="1:34" ht="13.8">
      <c r="A24" s="574" t="s">
        <v>148</v>
      </c>
      <c r="B24" s="480">
        <f t="shared" si="3"/>
        <v>13.465</v>
      </c>
      <c r="C24" s="866">
        <v>7093</v>
      </c>
      <c r="D24" s="866">
        <v>0</v>
      </c>
      <c r="E24" s="866">
        <v>0</v>
      </c>
      <c r="F24" s="866">
        <v>0</v>
      </c>
      <c r="G24" s="866">
        <v>0</v>
      </c>
      <c r="H24" s="866">
        <v>0</v>
      </c>
      <c r="I24" s="866">
        <v>0</v>
      </c>
      <c r="J24" s="866">
        <v>0</v>
      </c>
      <c r="K24" s="866">
        <v>0</v>
      </c>
      <c r="L24" s="866">
        <v>4230</v>
      </c>
      <c r="M24" s="866">
        <v>2142</v>
      </c>
      <c r="N24" s="866">
        <v>0</v>
      </c>
      <c r="O24" s="866">
        <v>0</v>
      </c>
      <c r="P24" s="866">
        <v>0</v>
      </c>
      <c r="Q24" s="866">
        <v>0</v>
      </c>
      <c r="R24" s="866">
        <v>0</v>
      </c>
      <c r="S24" s="866">
        <v>0</v>
      </c>
      <c r="T24" s="866">
        <v>0</v>
      </c>
      <c r="U24" s="866">
        <v>0</v>
      </c>
      <c r="V24" s="866">
        <v>0</v>
      </c>
      <c r="W24" s="866">
        <v>0</v>
      </c>
      <c r="X24" s="866">
        <v>0</v>
      </c>
      <c r="Y24" s="866">
        <v>0</v>
      </c>
      <c r="Z24" s="866">
        <v>0</v>
      </c>
      <c r="AA24" s="866">
        <v>0</v>
      </c>
      <c r="AB24" s="866">
        <v>0</v>
      </c>
      <c r="AC24" s="866">
        <v>0</v>
      </c>
      <c r="AD24" s="866">
        <v>0</v>
      </c>
      <c r="AE24" s="866">
        <v>0</v>
      </c>
      <c r="AF24" s="866">
        <v>0</v>
      </c>
      <c r="AG24" s="866">
        <v>0</v>
      </c>
      <c r="AH24" s="577">
        <f t="shared" si="4"/>
        <v>13465</v>
      </c>
    </row>
    <row r="25" spans="1:34" ht="13.8">
      <c r="A25" s="603" t="s">
        <v>149</v>
      </c>
      <c r="B25" s="480">
        <f t="shared" si="3"/>
        <v>17.146999999999998</v>
      </c>
      <c r="C25" s="866">
        <v>1000</v>
      </c>
      <c r="D25" s="866">
        <v>0</v>
      </c>
      <c r="E25" s="866">
        <v>3200</v>
      </c>
      <c r="F25" s="866">
        <v>0</v>
      </c>
      <c r="G25" s="866">
        <v>0</v>
      </c>
      <c r="H25" s="866">
        <v>4490</v>
      </c>
      <c r="I25" s="866">
        <v>0</v>
      </c>
      <c r="J25" s="866">
        <v>0</v>
      </c>
      <c r="K25" s="866">
        <v>0</v>
      </c>
      <c r="L25" s="866">
        <v>300</v>
      </c>
      <c r="M25" s="866">
        <v>0</v>
      </c>
      <c r="N25" s="866">
        <v>0</v>
      </c>
      <c r="O25" s="866">
        <v>0</v>
      </c>
      <c r="P25" s="866">
        <v>0</v>
      </c>
      <c r="Q25" s="866">
        <v>6137</v>
      </c>
      <c r="R25" s="866">
        <v>0</v>
      </c>
      <c r="S25" s="866">
        <v>0</v>
      </c>
      <c r="T25" s="866">
        <v>0</v>
      </c>
      <c r="U25" s="866">
        <v>0</v>
      </c>
      <c r="V25" s="866">
        <v>0</v>
      </c>
      <c r="W25" s="866">
        <v>0</v>
      </c>
      <c r="X25" s="866">
        <v>0</v>
      </c>
      <c r="Y25" s="866">
        <v>0</v>
      </c>
      <c r="Z25" s="866">
        <v>0</v>
      </c>
      <c r="AA25" s="866">
        <v>0</v>
      </c>
      <c r="AB25" s="866">
        <v>0</v>
      </c>
      <c r="AC25" s="866">
        <v>0</v>
      </c>
      <c r="AD25" s="866">
        <v>0</v>
      </c>
      <c r="AE25" s="866">
        <v>2020</v>
      </c>
      <c r="AF25" s="866">
        <v>0</v>
      </c>
      <c r="AG25" s="866">
        <v>0</v>
      </c>
      <c r="AH25" s="577">
        <f t="shared" si="4"/>
        <v>17147</v>
      </c>
    </row>
    <row r="26" spans="1:34" ht="13.8">
      <c r="A26" s="603" t="s">
        <v>150</v>
      </c>
      <c r="B26" s="480">
        <f t="shared" si="3"/>
        <v>47.133000000000003</v>
      </c>
      <c r="C26" s="578">
        <v>0</v>
      </c>
      <c r="D26" s="579">
        <v>0</v>
      </c>
      <c r="E26" s="579">
        <v>6341</v>
      </c>
      <c r="F26" s="579">
        <v>0</v>
      </c>
      <c r="G26" s="579">
        <v>8937</v>
      </c>
      <c r="H26" s="579">
        <v>0</v>
      </c>
      <c r="I26" s="579">
        <v>0</v>
      </c>
      <c r="J26" s="579">
        <v>3364</v>
      </c>
      <c r="K26" s="579">
        <v>11565</v>
      </c>
      <c r="L26" s="579">
        <v>0</v>
      </c>
      <c r="M26" s="579">
        <v>0</v>
      </c>
      <c r="N26" s="579">
        <v>2187</v>
      </c>
      <c r="O26" s="579">
        <v>7372</v>
      </c>
      <c r="P26" s="579">
        <v>0</v>
      </c>
      <c r="Q26" s="579">
        <v>0</v>
      </c>
      <c r="R26" s="579">
        <v>0</v>
      </c>
      <c r="S26" s="579">
        <v>0</v>
      </c>
      <c r="T26" s="579">
        <v>0</v>
      </c>
      <c r="U26" s="579">
        <v>0</v>
      </c>
      <c r="V26" s="579">
        <v>0</v>
      </c>
      <c r="W26" s="579">
        <v>0</v>
      </c>
      <c r="X26" s="579">
        <v>0</v>
      </c>
      <c r="Y26" s="579">
        <v>7367</v>
      </c>
      <c r="Z26" s="579">
        <v>0</v>
      </c>
      <c r="AA26" s="579">
        <v>0</v>
      </c>
      <c r="AB26" s="579">
        <v>0</v>
      </c>
      <c r="AC26" s="579">
        <v>0</v>
      </c>
      <c r="AD26" s="579">
        <v>0</v>
      </c>
      <c r="AE26" s="579">
        <v>0</v>
      </c>
      <c r="AF26" s="579">
        <v>0</v>
      </c>
      <c r="AG26" s="579">
        <v>0</v>
      </c>
      <c r="AH26" s="577">
        <f t="shared" si="4"/>
        <v>47133</v>
      </c>
    </row>
    <row r="27" spans="1:34" ht="13.8">
      <c r="A27" s="603" t="s">
        <v>151</v>
      </c>
      <c r="B27" s="480">
        <f t="shared" si="3"/>
        <v>1.82</v>
      </c>
      <c r="C27" s="578">
        <v>0</v>
      </c>
      <c r="D27" s="579">
        <v>0</v>
      </c>
      <c r="E27" s="579">
        <v>0</v>
      </c>
      <c r="F27" s="579">
        <v>0</v>
      </c>
      <c r="G27" s="579">
        <v>1820</v>
      </c>
      <c r="H27" s="579">
        <v>0</v>
      </c>
      <c r="I27" s="579">
        <v>0</v>
      </c>
      <c r="J27" s="579">
        <v>0</v>
      </c>
      <c r="K27" s="579">
        <v>0</v>
      </c>
      <c r="L27" s="579">
        <v>0</v>
      </c>
      <c r="M27" s="579">
        <v>0</v>
      </c>
      <c r="N27" s="579">
        <v>0</v>
      </c>
      <c r="O27" s="579">
        <v>0</v>
      </c>
      <c r="P27" s="579">
        <v>0</v>
      </c>
      <c r="Q27" s="579">
        <v>0</v>
      </c>
      <c r="R27" s="579">
        <v>0</v>
      </c>
      <c r="S27" s="579">
        <v>0</v>
      </c>
      <c r="T27" s="579">
        <v>0</v>
      </c>
      <c r="U27" s="579">
        <v>0</v>
      </c>
      <c r="V27" s="579">
        <v>0</v>
      </c>
      <c r="W27" s="579">
        <v>0</v>
      </c>
      <c r="X27" s="579">
        <v>0</v>
      </c>
      <c r="Y27" s="579">
        <v>0</v>
      </c>
      <c r="Z27" s="579">
        <v>0</v>
      </c>
      <c r="AA27" s="579">
        <v>0</v>
      </c>
      <c r="AB27" s="579">
        <v>0</v>
      </c>
      <c r="AC27" s="579">
        <v>0</v>
      </c>
      <c r="AD27" s="579">
        <v>0</v>
      </c>
      <c r="AE27" s="579">
        <v>0</v>
      </c>
      <c r="AF27" s="579">
        <v>0</v>
      </c>
      <c r="AG27" s="579">
        <v>0</v>
      </c>
      <c r="AH27" s="577">
        <f t="shared" si="4"/>
        <v>1820</v>
      </c>
    </row>
    <row r="28" spans="1:34" ht="13.8">
      <c r="A28" s="603" t="s">
        <v>152</v>
      </c>
      <c r="B28" s="480">
        <f t="shared" si="3"/>
        <v>27.141999999999999</v>
      </c>
      <c r="C28" s="578">
        <v>0</v>
      </c>
      <c r="D28" s="579">
        <v>6566</v>
      </c>
      <c r="E28" s="579">
        <v>0</v>
      </c>
      <c r="F28" s="579">
        <v>0</v>
      </c>
      <c r="G28" s="579">
        <v>5787</v>
      </c>
      <c r="H28" s="579">
        <v>0</v>
      </c>
      <c r="I28" s="579">
        <v>0</v>
      </c>
      <c r="J28" s="579">
        <v>0</v>
      </c>
      <c r="K28" s="579">
        <v>0</v>
      </c>
      <c r="L28" s="579">
        <v>6091</v>
      </c>
      <c r="M28" s="579">
        <v>0</v>
      </c>
      <c r="N28" s="579">
        <v>0</v>
      </c>
      <c r="O28" s="579">
        <v>0</v>
      </c>
      <c r="P28" s="579">
        <v>0</v>
      </c>
      <c r="Q28" s="579">
        <v>0</v>
      </c>
      <c r="R28" s="579">
        <v>0</v>
      </c>
      <c r="S28" s="579">
        <v>0</v>
      </c>
      <c r="T28" s="579">
        <v>6109</v>
      </c>
      <c r="U28" s="579">
        <v>0</v>
      </c>
      <c r="V28" s="579">
        <v>0</v>
      </c>
      <c r="W28" s="579">
        <v>0</v>
      </c>
      <c r="X28" s="579">
        <v>0</v>
      </c>
      <c r="Y28" s="579">
        <v>1361</v>
      </c>
      <c r="Z28" s="579">
        <v>0</v>
      </c>
      <c r="AA28" s="579">
        <v>0</v>
      </c>
      <c r="AB28" s="579">
        <v>1228</v>
      </c>
      <c r="AC28" s="579">
        <v>0</v>
      </c>
      <c r="AD28" s="579">
        <v>0</v>
      </c>
      <c r="AE28" s="579">
        <v>0</v>
      </c>
      <c r="AF28" s="579">
        <v>0</v>
      </c>
      <c r="AG28" s="579">
        <v>0</v>
      </c>
      <c r="AH28" s="577">
        <f t="shared" si="4"/>
        <v>27142</v>
      </c>
    </row>
    <row r="29" spans="1:34" ht="13.8">
      <c r="A29" s="604" t="s">
        <v>153</v>
      </c>
      <c r="B29" s="480">
        <f t="shared" si="3"/>
        <v>40.908999999999999</v>
      </c>
      <c r="C29" s="578">
        <v>18100</v>
      </c>
      <c r="D29" s="579">
        <v>6187</v>
      </c>
      <c r="E29" s="579">
        <v>0</v>
      </c>
      <c r="F29" s="579">
        <v>9230</v>
      </c>
      <c r="G29" s="579">
        <v>2597</v>
      </c>
      <c r="H29" s="579">
        <v>0</v>
      </c>
      <c r="I29" s="579">
        <v>0</v>
      </c>
      <c r="J29" s="579">
        <v>0</v>
      </c>
      <c r="K29" s="579">
        <v>0</v>
      </c>
      <c r="L29" s="579">
        <v>0</v>
      </c>
      <c r="M29" s="579">
        <v>0</v>
      </c>
      <c r="N29" s="579">
        <v>0</v>
      </c>
      <c r="O29" s="579">
        <v>400</v>
      </c>
      <c r="P29" s="579">
        <v>1415</v>
      </c>
      <c r="Q29" s="579">
        <v>0</v>
      </c>
      <c r="R29" s="579">
        <v>0</v>
      </c>
      <c r="S29" s="579">
        <v>0</v>
      </c>
      <c r="T29" s="579">
        <v>0</v>
      </c>
      <c r="U29" s="579">
        <v>0</v>
      </c>
      <c r="V29" s="579">
        <v>0</v>
      </c>
      <c r="W29" s="579">
        <v>0</v>
      </c>
      <c r="X29" s="579">
        <v>0</v>
      </c>
      <c r="Y29" s="579">
        <v>0</v>
      </c>
      <c r="Z29" s="579">
        <v>0</v>
      </c>
      <c r="AA29" s="579">
        <v>880</v>
      </c>
      <c r="AB29" s="579">
        <v>0</v>
      </c>
      <c r="AC29" s="579">
        <v>0</v>
      </c>
      <c r="AD29" s="579">
        <v>0</v>
      </c>
      <c r="AE29" s="579">
        <v>0</v>
      </c>
      <c r="AF29" s="579">
        <v>2100</v>
      </c>
      <c r="AG29" s="579">
        <v>0</v>
      </c>
      <c r="AH29" s="577">
        <f t="shared" si="4"/>
        <v>40909</v>
      </c>
    </row>
    <row r="30" spans="1:34" ht="13.8">
      <c r="A30" s="604" t="s">
        <v>154</v>
      </c>
      <c r="B30" s="480">
        <f t="shared" si="3"/>
        <v>32.26</v>
      </c>
      <c r="C30" s="578">
        <v>2050</v>
      </c>
      <c r="D30" s="579">
        <v>0</v>
      </c>
      <c r="E30" s="579">
        <v>5185</v>
      </c>
      <c r="F30" s="579">
        <v>0</v>
      </c>
      <c r="G30" s="579">
        <v>5855</v>
      </c>
      <c r="H30" s="579">
        <v>0</v>
      </c>
      <c r="I30" s="579">
        <v>0</v>
      </c>
      <c r="J30" s="579">
        <v>0</v>
      </c>
      <c r="K30" s="579">
        <v>0</v>
      </c>
      <c r="L30" s="579">
        <v>0</v>
      </c>
      <c r="M30" s="579">
        <v>0</v>
      </c>
      <c r="N30" s="579">
        <v>2112</v>
      </c>
      <c r="O30" s="579">
        <v>3297</v>
      </c>
      <c r="P30" s="579">
        <v>1057</v>
      </c>
      <c r="Q30" s="579">
        <v>0</v>
      </c>
      <c r="R30" s="579">
        <v>0</v>
      </c>
      <c r="S30" s="579">
        <v>0</v>
      </c>
      <c r="T30" s="579">
        <v>0</v>
      </c>
      <c r="U30" s="579">
        <v>3632</v>
      </c>
      <c r="V30" s="579">
        <v>0</v>
      </c>
      <c r="W30" s="579">
        <v>0</v>
      </c>
      <c r="X30" s="579">
        <v>0</v>
      </c>
      <c r="Y30" s="579">
        <v>0</v>
      </c>
      <c r="Z30" s="579">
        <v>0</v>
      </c>
      <c r="AA30" s="579">
        <v>2364</v>
      </c>
      <c r="AB30" s="579">
        <v>1011</v>
      </c>
      <c r="AC30" s="579">
        <v>0</v>
      </c>
      <c r="AD30" s="579">
        <v>0</v>
      </c>
      <c r="AE30" s="579">
        <v>0</v>
      </c>
      <c r="AF30" s="579">
        <v>5697</v>
      </c>
      <c r="AG30" s="579">
        <v>0</v>
      </c>
      <c r="AH30" s="577">
        <f t="shared" si="4"/>
        <v>32260</v>
      </c>
    </row>
    <row r="31" spans="1:34" ht="13.8">
      <c r="A31" s="604" t="s">
        <v>155</v>
      </c>
      <c r="B31" s="480">
        <f t="shared" si="3"/>
        <v>97.013999999999996</v>
      </c>
      <c r="C31" s="578">
        <v>2885</v>
      </c>
      <c r="D31" s="579">
        <v>0</v>
      </c>
      <c r="E31" s="579">
        <v>2765</v>
      </c>
      <c r="F31" s="579">
        <v>11259</v>
      </c>
      <c r="G31" s="579">
        <v>8074</v>
      </c>
      <c r="H31" s="579">
        <v>2897</v>
      </c>
      <c r="I31" s="579">
        <v>10289</v>
      </c>
      <c r="J31" s="579">
        <v>12865</v>
      </c>
      <c r="K31" s="579">
        <v>14558</v>
      </c>
      <c r="L31" s="579">
        <v>0</v>
      </c>
      <c r="M31" s="579">
        <v>0</v>
      </c>
      <c r="N31" s="579">
        <v>0</v>
      </c>
      <c r="O31" s="579">
        <v>0</v>
      </c>
      <c r="P31" s="579">
        <v>5968</v>
      </c>
      <c r="Q31" s="579">
        <v>13378</v>
      </c>
      <c r="R31" s="579">
        <v>2670</v>
      </c>
      <c r="S31" s="579">
        <v>4386</v>
      </c>
      <c r="T31" s="579">
        <v>0</v>
      </c>
      <c r="U31" s="579">
        <v>3520</v>
      </c>
      <c r="V31" s="579">
        <v>0</v>
      </c>
      <c r="W31" s="579">
        <v>1500</v>
      </c>
      <c r="X31" s="579">
        <v>0</v>
      </c>
      <c r="Y31" s="579">
        <v>0</v>
      </c>
      <c r="Z31" s="579">
        <v>0</v>
      </c>
      <c r="AA31" s="579">
        <v>0</v>
      </c>
      <c r="AB31" s="579">
        <v>0</v>
      </c>
      <c r="AC31" s="579">
        <v>0</v>
      </c>
      <c r="AD31" s="579">
        <v>0</v>
      </c>
      <c r="AE31" s="579">
        <v>0</v>
      </c>
      <c r="AF31" s="579">
        <v>0</v>
      </c>
      <c r="AG31" s="579">
        <v>0</v>
      </c>
      <c r="AH31" s="577">
        <f t="shared" si="4"/>
        <v>97014</v>
      </c>
    </row>
    <row r="32" spans="1:34" ht="13.8">
      <c r="A32" s="604" t="s">
        <v>156</v>
      </c>
      <c r="B32" s="480">
        <f t="shared" si="3"/>
        <v>2.996</v>
      </c>
      <c r="C32" s="578">
        <v>0</v>
      </c>
      <c r="D32" s="579">
        <v>0</v>
      </c>
      <c r="E32" s="579">
        <v>510</v>
      </c>
      <c r="F32" s="579">
        <v>0</v>
      </c>
      <c r="G32" s="579">
        <v>0</v>
      </c>
      <c r="H32" s="579">
        <v>0</v>
      </c>
      <c r="I32" s="579">
        <v>0</v>
      </c>
      <c r="J32" s="579">
        <v>2486</v>
      </c>
      <c r="K32" s="579">
        <v>0</v>
      </c>
      <c r="L32" s="579">
        <v>0</v>
      </c>
      <c r="M32" s="579">
        <v>0</v>
      </c>
      <c r="N32" s="579">
        <v>0</v>
      </c>
      <c r="O32" s="579">
        <v>0</v>
      </c>
      <c r="P32" s="579">
        <v>0</v>
      </c>
      <c r="Q32" s="579">
        <v>0</v>
      </c>
      <c r="R32" s="579">
        <v>0</v>
      </c>
      <c r="S32" s="579">
        <v>0</v>
      </c>
      <c r="T32" s="579">
        <v>0</v>
      </c>
      <c r="U32" s="579">
        <v>0</v>
      </c>
      <c r="V32" s="579">
        <v>0</v>
      </c>
      <c r="W32" s="579">
        <v>0</v>
      </c>
      <c r="X32" s="579">
        <v>0</v>
      </c>
      <c r="Y32" s="579">
        <v>0</v>
      </c>
      <c r="Z32" s="579">
        <v>0</v>
      </c>
      <c r="AA32" s="579">
        <v>0</v>
      </c>
      <c r="AB32" s="579">
        <v>0</v>
      </c>
      <c r="AC32" s="579">
        <v>0</v>
      </c>
      <c r="AD32" s="579">
        <v>0</v>
      </c>
      <c r="AE32" s="579">
        <v>0</v>
      </c>
      <c r="AF32" s="579">
        <v>0</v>
      </c>
      <c r="AG32" s="579">
        <v>0</v>
      </c>
      <c r="AH32" s="577">
        <f t="shared" si="4"/>
        <v>2996</v>
      </c>
    </row>
    <row r="33" spans="1:34" ht="13.8">
      <c r="A33" s="580" t="s">
        <v>111</v>
      </c>
      <c r="B33" s="580">
        <f t="shared" ref="B33:AH33" si="5">SUM(B21:B32)</f>
        <v>475.97599999999994</v>
      </c>
      <c r="C33" s="581">
        <f t="shared" si="5"/>
        <v>31128</v>
      </c>
      <c r="D33" s="581">
        <f t="shared" si="5"/>
        <v>19517</v>
      </c>
      <c r="E33" s="581">
        <f t="shared" si="5"/>
        <v>18001</v>
      </c>
      <c r="F33" s="581">
        <f t="shared" si="5"/>
        <v>20489</v>
      </c>
      <c r="G33" s="581">
        <f t="shared" si="5"/>
        <v>47496</v>
      </c>
      <c r="H33" s="581">
        <f t="shared" si="5"/>
        <v>13527</v>
      </c>
      <c r="I33" s="581">
        <f t="shared" si="5"/>
        <v>38084</v>
      </c>
      <c r="J33" s="581">
        <f t="shared" si="5"/>
        <v>35432</v>
      </c>
      <c r="K33" s="581">
        <f t="shared" si="5"/>
        <v>31540</v>
      </c>
      <c r="L33" s="581">
        <f t="shared" si="5"/>
        <v>31619</v>
      </c>
      <c r="M33" s="581">
        <f t="shared" si="5"/>
        <v>9231</v>
      </c>
      <c r="N33" s="581">
        <f t="shared" si="5"/>
        <v>4299</v>
      </c>
      <c r="O33" s="581">
        <f t="shared" si="5"/>
        <v>14292</v>
      </c>
      <c r="P33" s="581">
        <f t="shared" si="5"/>
        <v>11260</v>
      </c>
      <c r="Q33" s="581">
        <f t="shared" si="5"/>
        <v>22268</v>
      </c>
      <c r="R33" s="581">
        <f t="shared" si="5"/>
        <v>6390</v>
      </c>
      <c r="S33" s="581">
        <f t="shared" si="5"/>
        <v>4386</v>
      </c>
      <c r="T33" s="581">
        <f t="shared" si="5"/>
        <v>14775</v>
      </c>
      <c r="U33" s="581">
        <f t="shared" si="5"/>
        <v>10279</v>
      </c>
      <c r="V33" s="581">
        <f t="shared" si="5"/>
        <v>16616</v>
      </c>
      <c r="W33" s="581">
        <f t="shared" si="5"/>
        <v>4080</v>
      </c>
      <c r="X33" s="581">
        <f t="shared" si="5"/>
        <v>3561</v>
      </c>
      <c r="Y33" s="581">
        <f t="shared" si="5"/>
        <v>10937</v>
      </c>
      <c r="Z33" s="581">
        <f t="shared" si="5"/>
        <v>2527</v>
      </c>
      <c r="AA33" s="581">
        <f t="shared" si="5"/>
        <v>3244</v>
      </c>
      <c r="AB33" s="581">
        <f t="shared" si="5"/>
        <v>10546</v>
      </c>
      <c r="AC33" s="581">
        <f t="shared" si="5"/>
        <v>7602</v>
      </c>
      <c r="AD33" s="581">
        <f t="shared" si="5"/>
        <v>11354</v>
      </c>
      <c r="AE33" s="581">
        <f t="shared" si="5"/>
        <v>6551</v>
      </c>
      <c r="AF33" s="581">
        <f t="shared" si="5"/>
        <v>10077</v>
      </c>
      <c r="AG33" s="581">
        <f t="shared" si="5"/>
        <v>4868</v>
      </c>
      <c r="AH33" s="582">
        <f t="shared" si="5"/>
        <v>475976</v>
      </c>
    </row>
    <row r="34" spans="1:34">
      <c r="A34" s="510"/>
      <c r="B34" s="510"/>
      <c r="C34" s="510"/>
      <c r="D34" s="510"/>
      <c r="E34" s="510"/>
      <c r="F34" s="510"/>
      <c r="G34" s="510"/>
      <c r="H34" s="510"/>
      <c r="I34" s="510"/>
      <c r="J34" s="510"/>
      <c r="K34" s="510"/>
      <c r="L34" s="510"/>
      <c r="M34" s="510"/>
      <c r="N34" s="510"/>
      <c r="O34" s="510"/>
      <c r="P34" s="510"/>
      <c r="Q34" s="510"/>
      <c r="R34" s="510"/>
      <c r="S34" s="510"/>
      <c r="T34" s="510"/>
      <c r="U34" s="510"/>
      <c r="V34" s="510"/>
      <c r="W34" s="510"/>
      <c r="X34" s="510"/>
      <c r="Y34" s="510"/>
      <c r="Z34" s="510"/>
      <c r="AA34" s="510"/>
      <c r="AB34" s="510"/>
      <c r="AC34" s="510"/>
      <c r="AD34" s="510"/>
      <c r="AE34" s="510"/>
      <c r="AF34" s="510"/>
      <c r="AG34" s="510"/>
      <c r="AH34" s="510"/>
    </row>
    <row r="35" spans="1:34" ht="13.8">
      <c r="A35" s="4298" t="s">
        <v>566</v>
      </c>
      <c r="B35" s="4298"/>
      <c r="C35" s="4298"/>
      <c r="D35" s="142"/>
      <c r="E35" s="429"/>
      <c r="F35" s="142"/>
      <c r="G35" s="142"/>
      <c r="H35" s="142"/>
      <c r="I35" s="142"/>
      <c r="J35" s="142"/>
      <c r="K35" s="142"/>
      <c r="L35" s="142"/>
      <c r="M35" s="570"/>
      <c r="N35" s="142"/>
      <c r="O35" s="142"/>
      <c r="P35" s="142"/>
      <c r="Q35" s="142"/>
      <c r="R35" s="142"/>
      <c r="S35" s="142"/>
      <c r="T35" s="142"/>
      <c r="U35" s="142"/>
      <c r="V35" s="142"/>
      <c r="W35" s="142"/>
      <c r="X35" s="142"/>
      <c r="Y35" s="142"/>
      <c r="Z35" s="142"/>
      <c r="AA35" s="142"/>
      <c r="AB35" s="142"/>
      <c r="AC35" s="142"/>
      <c r="AD35" s="142"/>
      <c r="AE35" s="142"/>
      <c r="AF35" s="142"/>
      <c r="AG35" s="142"/>
      <c r="AH35" s="571"/>
    </row>
    <row r="36" spans="1:34" ht="13.8">
      <c r="A36" s="572" t="s">
        <v>142</v>
      </c>
      <c r="B36" s="572" t="s">
        <v>143</v>
      </c>
      <c r="C36">
        <v>1</v>
      </c>
      <c r="D36" s="573">
        <v>2</v>
      </c>
      <c r="E36" s="573">
        <v>3</v>
      </c>
      <c r="F36" s="573">
        <v>4</v>
      </c>
      <c r="G36" s="573">
        <v>5</v>
      </c>
      <c r="H36" s="573">
        <v>6</v>
      </c>
      <c r="I36" s="573">
        <v>7</v>
      </c>
      <c r="J36" s="573">
        <v>8</v>
      </c>
      <c r="K36" s="573">
        <v>9</v>
      </c>
      <c r="L36" s="573">
        <v>10</v>
      </c>
      <c r="M36" s="573">
        <v>11</v>
      </c>
      <c r="N36" s="573">
        <v>12</v>
      </c>
      <c r="O36" s="573">
        <v>13</v>
      </c>
      <c r="P36" s="573">
        <v>14</v>
      </c>
      <c r="Q36" s="573">
        <v>15</v>
      </c>
      <c r="R36" s="573">
        <v>16</v>
      </c>
      <c r="S36" s="573">
        <v>17</v>
      </c>
      <c r="T36" s="573">
        <v>18</v>
      </c>
      <c r="U36" s="573">
        <v>19</v>
      </c>
      <c r="V36" s="573">
        <v>20</v>
      </c>
      <c r="W36" s="509">
        <v>21</v>
      </c>
      <c r="X36" s="573">
        <v>22</v>
      </c>
      <c r="Y36" s="573">
        <v>23</v>
      </c>
      <c r="Z36" s="573">
        <v>24</v>
      </c>
      <c r="AA36" s="573">
        <v>25</v>
      </c>
      <c r="AB36" s="573">
        <v>26</v>
      </c>
      <c r="AC36" s="573">
        <v>27</v>
      </c>
      <c r="AD36" s="573">
        <v>28</v>
      </c>
      <c r="AE36" s="573">
        <v>29</v>
      </c>
      <c r="AF36" s="573">
        <v>30</v>
      </c>
      <c r="AG36" s="573">
        <v>31</v>
      </c>
      <c r="AH36" s="575" t="s">
        <v>111</v>
      </c>
    </row>
    <row r="37" spans="1:34" ht="13.8">
      <c r="A37" s="574" t="s">
        <v>145</v>
      </c>
      <c r="B37" s="3216">
        <f>+AH37/1000</f>
        <v>36.997</v>
      </c>
      <c r="C37" s="866">
        <v>0</v>
      </c>
      <c r="D37" s="866">
        <v>4500</v>
      </c>
      <c r="E37" s="866">
        <v>0</v>
      </c>
      <c r="F37" s="866">
        <v>0</v>
      </c>
      <c r="G37" s="866">
        <v>0</v>
      </c>
      <c r="H37" s="866">
        <v>5500</v>
      </c>
      <c r="I37" s="866">
        <v>0</v>
      </c>
      <c r="J37" s="866">
        <v>0</v>
      </c>
      <c r="K37" s="866">
        <v>0</v>
      </c>
      <c r="L37" s="866">
        <v>0</v>
      </c>
      <c r="M37" s="866">
        <v>0</v>
      </c>
      <c r="N37" s="866">
        <v>0</v>
      </c>
      <c r="O37" s="866">
        <v>0</v>
      </c>
      <c r="P37" s="866">
        <v>0</v>
      </c>
      <c r="Q37" s="866">
        <v>0</v>
      </c>
      <c r="R37" s="866">
        <v>7000</v>
      </c>
      <c r="S37" s="866">
        <v>0</v>
      </c>
      <c r="T37" s="866">
        <v>0</v>
      </c>
      <c r="U37" s="866">
        <v>7714</v>
      </c>
      <c r="V37" s="866">
        <v>0</v>
      </c>
      <c r="W37" s="866">
        <v>0</v>
      </c>
      <c r="X37" s="866">
        <v>0</v>
      </c>
      <c r="Y37" s="866">
        <v>0</v>
      </c>
      <c r="Z37" s="866">
        <v>0</v>
      </c>
      <c r="AA37" s="866">
        <v>0</v>
      </c>
      <c r="AB37" s="866">
        <v>7283</v>
      </c>
      <c r="AC37" s="866">
        <v>0</v>
      </c>
      <c r="AD37" s="866">
        <v>0</v>
      </c>
      <c r="AE37" s="866">
        <v>0</v>
      </c>
      <c r="AF37" s="866">
        <v>0</v>
      </c>
      <c r="AG37" s="866">
        <v>5000</v>
      </c>
      <c r="AH37" s="577">
        <f>SUM(C37:AG37)</f>
        <v>36997</v>
      </c>
    </row>
    <row r="38" spans="1:34" ht="13.8">
      <c r="A38" s="574" t="s">
        <v>146</v>
      </c>
      <c r="B38" s="480">
        <f t="shared" ref="B38:B48" si="6">+AH38/1000</f>
        <v>85.619</v>
      </c>
      <c r="C38" s="866">
        <v>1576</v>
      </c>
      <c r="D38" s="866">
        <v>0</v>
      </c>
      <c r="E38" s="866">
        <v>0</v>
      </c>
      <c r="F38" s="866">
        <v>7350</v>
      </c>
      <c r="G38" s="866">
        <v>0</v>
      </c>
      <c r="H38" s="866">
        <v>1500</v>
      </c>
      <c r="I38" s="866">
        <v>4900</v>
      </c>
      <c r="J38" s="866">
        <v>7500</v>
      </c>
      <c r="K38" s="866">
        <v>0</v>
      </c>
      <c r="L38" s="866">
        <v>10970</v>
      </c>
      <c r="M38" s="866">
        <v>11998</v>
      </c>
      <c r="N38" s="866">
        <v>0</v>
      </c>
      <c r="O38" s="866">
        <v>2461</v>
      </c>
      <c r="P38" s="866">
        <v>3500</v>
      </c>
      <c r="Q38" s="866">
        <v>0</v>
      </c>
      <c r="R38" s="866">
        <v>4528</v>
      </c>
      <c r="S38" s="866">
        <v>1500</v>
      </c>
      <c r="T38" s="866">
        <v>0</v>
      </c>
      <c r="U38" s="866">
        <v>0</v>
      </c>
      <c r="V38" s="866">
        <v>4580</v>
      </c>
      <c r="W38" s="866">
        <v>0</v>
      </c>
      <c r="X38" s="866">
        <v>1540</v>
      </c>
      <c r="Y38" s="866">
        <v>12999</v>
      </c>
      <c r="Z38" s="866">
        <v>2363</v>
      </c>
      <c r="AA38" s="866">
        <v>0</v>
      </c>
      <c r="AB38" s="866">
        <v>0</v>
      </c>
      <c r="AC38" s="866">
        <v>0</v>
      </c>
      <c r="AD38" s="866">
        <v>0</v>
      </c>
      <c r="AE38" s="866">
        <v>6354</v>
      </c>
      <c r="AF38" s="866">
        <v>0</v>
      </c>
      <c r="AG38" s="866">
        <v>0</v>
      </c>
      <c r="AH38" s="577">
        <f t="shared" ref="AH38:AH48" si="7">SUM(C38:AG38)</f>
        <v>85619</v>
      </c>
    </row>
    <row r="39" spans="1:34" ht="13.8">
      <c r="A39" s="574" t="s">
        <v>147</v>
      </c>
      <c r="B39" s="480">
        <f t="shared" si="6"/>
        <v>61.807000000000002</v>
      </c>
      <c r="C39" s="866">
        <v>0</v>
      </c>
      <c r="D39" s="866">
        <v>0</v>
      </c>
      <c r="E39" s="866">
        <v>2237</v>
      </c>
      <c r="F39" s="866">
        <v>0</v>
      </c>
      <c r="G39" s="866">
        <v>0</v>
      </c>
      <c r="H39" s="866">
        <v>11746</v>
      </c>
      <c r="I39" s="866">
        <v>5000</v>
      </c>
      <c r="J39" s="866">
        <v>0</v>
      </c>
      <c r="K39" s="866">
        <v>0</v>
      </c>
      <c r="L39" s="866">
        <v>0</v>
      </c>
      <c r="M39" s="866">
        <v>0</v>
      </c>
      <c r="N39" s="866">
        <v>4046</v>
      </c>
      <c r="O39" s="866">
        <v>16489</v>
      </c>
      <c r="P39" s="866">
        <v>0</v>
      </c>
      <c r="Q39" s="866">
        <v>4811</v>
      </c>
      <c r="R39" s="866">
        <v>3500</v>
      </c>
      <c r="S39" s="866">
        <v>3017</v>
      </c>
      <c r="T39" s="866">
        <v>5205</v>
      </c>
      <c r="U39" s="866">
        <v>0</v>
      </c>
      <c r="V39" s="866">
        <v>2176</v>
      </c>
      <c r="W39" s="866">
        <v>3580</v>
      </c>
      <c r="X39" s="866">
        <v>0</v>
      </c>
      <c r="Y39" s="866">
        <v>0</v>
      </c>
      <c r="Z39" s="866">
        <v>0</v>
      </c>
      <c r="AA39" s="866">
        <v>0</v>
      </c>
      <c r="AB39" s="866">
        <v>0</v>
      </c>
      <c r="AC39" s="866">
        <v>0</v>
      </c>
      <c r="AD39" s="866">
        <v>0</v>
      </c>
      <c r="AE39" s="866">
        <v>0</v>
      </c>
      <c r="AF39" s="866">
        <v>0</v>
      </c>
      <c r="AG39" s="866">
        <v>0</v>
      </c>
      <c r="AH39" s="577">
        <f t="shared" si="7"/>
        <v>61807</v>
      </c>
    </row>
    <row r="40" spans="1:34" ht="13.8">
      <c r="A40" s="574" t="s">
        <v>148</v>
      </c>
      <c r="B40" s="480">
        <f t="shared" si="6"/>
        <v>0</v>
      </c>
      <c r="C40" s="866">
        <v>0</v>
      </c>
      <c r="D40" s="866">
        <v>0</v>
      </c>
      <c r="E40" s="866">
        <v>0</v>
      </c>
      <c r="F40" s="866">
        <v>0</v>
      </c>
      <c r="G40" s="866">
        <v>0</v>
      </c>
      <c r="H40" s="866">
        <v>0</v>
      </c>
      <c r="I40" s="866">
        <v>0</v>
      </c>
      <c r="J40" s="866">
        <v>0</v>
      </c>
      <c r="K40" s="866">
        <v>0</v>
      </c>
      <c r="L40" s="866">
        <v>0</v>
      </c>
      <c r="M40" s="866">
        <v>0</v>
      </c>
      <c r="N40" s="866">
        <v>0</v>
      </c>
      <c r="O40" s="866">
        <v>0</v>
      </c>
      <c r="P40" s="866">
        <v>0</v>
      </c>
      <c r="Q40" s="866">
        <v>0</v>
      </c>
      <c r="R40" s="866">
        <v>0</v>
      </c>
      <c r="S40" s="866">
        <v>0</v>
      </c>
      <c r="T40" s="866">
        <v>0</v>
      </c>
      <c r="U40" s="866">
        <v>0</v>
      </c>
      <c r="V40" s="866">
        <v>0</v>
      </c>
      <c r="W40" s="866">
        <v>0</v>
      </c>
      <c r="X40" s="866">
        <v>0</v>
      </c>
      <c r="Y40" s="866">
        <v>0</v>
      </c>
      <c r="Z40" s="866">
        <v>0</v>
      </c>
      <c r="AA40" s="866">
        <v>0</v>
      </c>
      <c r="AB40" s="866">
        <v>0</v>
      </c>
      <c r="AC40" s="866">
        <v>0</v>
      </c>
      <c r="AD40" s="866">
        <v>0</v>
      </c>
      <c r="AE40" s="866">
        <v>0</v>
      </c>
      <c r="AF40" s="866">
        <v>0</v>
      </c>
      <c r="AG40" s="866">
        <v>0</v>
      </c>
      <c r="AH40" s="577">
        <f t="shared" si="7"/>
        <v>0</v>
      </c>
    </row>
    <row r="41" spans="1:34" ht="13.8">
      <c r="A41" s="603" t="s">
        <v>149</v>
      </c>
      <c r="B41" s="480">
        <f t="shared" si="6"/>
        <v>0</v>
      </c>
      <c r="C41" s="578">
        <v>0</v>
      </c>
      <c r="D41" s="579">
        <v>0</v>
      </c>
      <c r="E41" s="579">
        <v>0</v>
      </c>
      <c r="F41" s="579">
        <v>0</v>
      </c>
      <c r="G41" s="579">
        <v>0</v>
      </c>
      <c r="H41" s="579">
        <v>0</v>
      </c>
      <c r="I41" s="579">
        <v>0</v>
      </c>
      <c r="J41" s="579">
        <v>0</v>
      </c>
      <c r="K41" s="579">
        <v>0</v>
      </c>
      <c r="L41" s="579">
        <v>0</v>
      </c>
      <c r="M41" s="579">
        <v>0</v>
      </c>
      <c r="N41" s="579">
        <v>0</v>
      </c>
      <c r="O41" s="579">
        <v>0</v>
      </c>
      <c r="P41" s="579">
        <v>0</v>
      </c>
      <c r="Q41" s="579">
        <v>0</v>
      </c>
      <c r="R41" s="579">
        <v>0</v>
      </c>
      <c r="S41" s="579">
        <v>0</v>
      </c>
      <c r="T41" s="579">
        <v>0</v>
      </c>
      <c r="U41" s="579">
        <v>0</v>
      </c>
      <c r="V41" s="579">
        <v>0</v>
      </c>
      <c r="W41" s="579">
        <v>0</v>
      </c>
      <c r="X41" s="579">
        <v>0</v>
      </c>
      <c r="Y41" s="579">
        <v>0</v>
      </c>
      <c r="Z41" s="579">
        <v>0</v>
      </c>
      <c r="AA41" s="579">
        <v>0</v>
      </c>
      <c r="AB41" s="579">
        <v>0</v>
      </c>
      <c r="AC41" s="579">
        <v>0</v>
      </c>
      <c r="AD41" s="579">
        <v>0</v>
      </c>
      <c r="AE41" s="579">
        <v>0</v>
      </c>
      <c r="AF41" s="579">
        <v>0</v>
      </c>
      <c r="AG41" s="579">
        <v>0</v>
      </c>
      <c r="AH41" s="577">
        <f t="shared" si="7"/>
        <v>0</v>
      </c>
    </row>
    <row r="42" spans="1:34" ht="13.8">
      <c r="A42" s="603" t="s">
        <v>150</v>
      </c>
      <c r="B42" s="480">
        <f t="shared" si="6"/>
        <v>0</v>
      </c>
      <c r="C42" s="578">
        <v>0</v>
      </c>
      <c r="D42" s="579">
        <v>0</v>
      </c>
      <c r="E42" s="579">
        <v>0</v>
      </c>
      <c r="F42" s="579">
        <v>0</v>
      </c>
      <c r="G42" s="579">
        <v>0</v>
      </c>
      <c r="H42" s="579">
        <v>0</v>
      </c>
      <c r="I42" s="579">
        <v>0</v>
      </c>
      <c r="J42" s="579">
        <v>0</v>
      </c>
      <c r="K42" s="579">
        <v>0</v>
      </c>
      <c r="L42" s="579">
        <v>0</v>
      </c>
      <c r="M42" s="579">
        <v>0</v>
      </c>
      <c r="N42" s="579">
        <v>0</v>
      </c>
      <c r="O42" s="579">
        <v>0</v>
      </c>
      <c r="P42" s="579">
        <v>0</v>
      </c>
      <c r="Q42" s="579">
        <v>0</v>
      </c>
      <c r="R42" s="579">
        <v>0</v>
      </c>
      <c r="S42" s="579">
        <v>0</v>
      </c>
      <c r="T42" s="579">
        <v>0</v>
      </c>
      <c r="U42" s="579">
        <v>0</v>
      </c>
      <c r="V42" s="579">
        <v>0</v>
      </c>
      <c r="W42" s="579">
        <v>0</v>
      </c>
      <c r="X42" s="579">
        <v>0</v>
      </c>
      <c r="Y42" s="579">
        <v>0</v>
      </c>
      <c r="Z42" s="579">
        <v>0</v>
      </c>
      <c r="AA42" s="579">
        <v>0</v>
      </c>
      <c r="AB42" s="579">
        <v>0</v>
      </c>
      <c r="AC42" s="579">
        <v>0</v>
      </c>
      <c r="AD42" s="579">
        <v>0</v>
      </c>
      <c r="AE42" s="579">
        <v>0</v>
      </c>
      <c r="AF42" s="579">
        <v>0</v>
      </c>
      <c r="AG42" s="579">
        <v>0</v>
      </c>
      <c r="AH42" s="577">
        <f t="shared" si="7"/>
        <v>0</v>
      </c>
    </row>
    <row r="43" spans="1:34" ht="13.8">
      <c r="A43" s="603" t="s">
        <v>151</v>
      </c>
      <c r="B43" s="480">
        <f t="shared" si="6"/>
        <v>0</v>
      </c>
      <c r="C43" s="578">
        <v>0</v>
      </c>
      <c r="D43" s="579">
        <v>0</v>
      </c>
      <c r="E43" s="579">
        <v>0</v>
      </c>
      <c r="F43" s="579">
        <v>0</v>
      </c>
      <c r="G43" s="579">
        <v>0</v>
      </c>
      <c r="H43" s="579">
        <v>0</v>
      </c>
      <c r="I43" s="579">
        <v>0</v>
      </c>
      <c r="J43" s="579">
        <v>0</v>
      </c>
      <c r="K43" s="579">
        <v>0</v>
      </c>
      <c r="L43" s="579">
        <v>0</v>
      </c>
      <c r="M43" s="579">
        <v>0</v>
      </c>
      <c r="N43" s="579">
        <v>0</v>
      </c>
      <c r="O43" s="579">
        <v>0</v>
      </c>
      <c r="P43" s="579">
        <v>0</v>
      </c>
      <c r="Q43" s="579">
        <v>0</v>
      </c>
      <c r="R43" s="579">
        <v>0</v>
      </c>
      <c r="S43" s="579">
        <v>0</v>
      </c>
      <c r="T43" s="579">
        <v>0</v>
      </c>
      <c r="U43" s="579">
        <v>0</v>
      </c>
      <c r="V43" s="579">
        <v>0</v>
      </c>
      <c r="W43" s="579">
        <v>0</v>
      </c>
      <c r="X43" s="579">
        <v>0</v>
      </c>
      <c r="Y43" s="579">
        <v>0</v>
      </c>
      <c r="Z43" s="579">
        <v>0</v>
      </c>
      <c r="AA43" s="579">
        <v>0</v>
      </c>
      <c r="AB43" s="579">
        <v>0</v>
      </c>
      <c r="AC43" s="579">
        <v>0</v>
      </c>
      <c r="AD43" s="579">
        <v>0</v>
      </c>
      <c r="AE43" s="579">
        <v>0</v>
      </c>
      <c r="AF43" s="579">
        <v>0</v>
      </c>
      <c r="AG43" s="579">
        <v>0</v>
      </c>
      <c r="AH43" s="577">
        <f t="shared" si="7"/>
        <v>0</v>
      </c>
    </row>
    <row r="44" spans="1:34" ht="13.8">
      <c r="A44" s="603" t="s">
        <v>152</v>
      </c>
      <c r="B44" s="480">
        <f t="shared" si="6"/>
        <v>0</v>
      </c>
      <c r="C44" s="578">
        <v>0</v>
      </c>
      <c r="D44" s="579">
        <v>0</v>
      </c>
      <c r="E44" s="579">
        <v>0</v>
      </c>
      <c r="F44" s="579">
        <v>0</v>
      </c>
      <c r="G44" s="579">
        <v>0</v>
      </c>
      <c r="H44" s="579">
        <v>0</v>
      </c>
      <c r="I44" s="579">
        <v>0</v>
      </c>
      <c r="J44" s="579">
        <v>0</v>
      </c>
      <c r="K44" s="579">
        <v>0</v>
      </c>
      <c r="L44" s="579">
        <v>0</v>
      </c>
      <c r="M44" s="579">
        <v>0</v>
      </c>
      <c r="N44" s="579">
        <v>0</v>
      </c>
      <c r="O44" s="579">
        <v>0</v>
      </c>
      <c r="P44" s="579">
        <v>0</v>
      </c>
      <c r="Q44" s="579">
        <v>0</v>
      </c>
      <c r="R44" s="579">
        <v>0</v>
      </c>
      <c r="S44" s="579">
        <v>0</v>
      </c>
      <c r="T44" s="579">
        <v>0</v>
      </c>
      <c r="U44" s="579">
        <v>0</v>
      </c>
      <c r="V44" s="579">
        <v>0</v>
      </c>
      <c r="W44" s="579">
        <v>0</v>
      </c>
      <c r="X44" s="579">
        <v>0</v>
      </c>
      <c r="Y44" s="579">
        <v>0</v>
      </c>
      <c r="Z44" s="579">
        <v>0</v>
      </c>
      <c r="AA44" s="579">
        <v>0</v>
      </c>
      <c r="AB44" s="579">
        <v>0</v>
      </c>
      <c r="AC44" s="579">
        <v>0</v>
      </c>
      <c r="AD44" s="579">
        <v>0</v>
      </c>
      <c r="AE44" s="579">
        <v>0</v>
      </c>
      <c r="AF44" s="579">
        <v>0</v>
      </c>
      <c r="AG44" s="579">
        <v>0</v>
      </c>
      <c r="AH44" s="577">
        <f t="shared" si="7"/>
        <v>0</v>
      </c>
    </row>
    <row r="45" spans="1:34" ht="13.8">
      <c r="A45" s="604" t="s">
        <v>153</v>
      </c>
      <c r="B45" s="480">
        <f t="shared" si="6"/>
        <v>4.5</v>
      </c>
      <c r="C45" s="578">
        <v>0</v>
      </c>
      <c r="D45" s="579">
        <v>0</v>
      </c>
      <c r="E45" s="579">
        <v>0</v>
      </c>
      <c r="F45" s="579">
        <v>0</v>
      </c>
      <c r="G45" s="579">
        <v>0</v>
      </c>
      <c r="H45" s="579">
        <v>0</v>
      </c>
      <c r="I45" s="579">
        <v>0</v>
      </c>
      <c r="J45" s="579">
        <v>0</v>
      </c>
      <c r="K45" s="579">
        <v>0</v>
      </c>
      <c r="L45" s="579">
        <v>0</v>
      </c>
      <c r="M45" s="579">
        <v>0</v>
      </c>
      <c r="N45" s="579">
        <v>4500</v>
      </c>
      <c r="O45" s="579">
        <v>0</v>
      </c>
      <c r="P45" s="579">
        <v>0</v>
      </c>
      <c r="Q45" s="579">
        <v>0</v>
      </c>
      <c r="R45" s="579">
        <v>0</v>
      </c>
      <c r="S45" s="579">
        <v>0</v>
      </c>
      <c r="T45" s="579">
        <v>0</v>
      </c>
      <c r="U45" s="579">
        <v>0</v>
      </c>
      <c r="V45" s="579">
        <v>0</v>
      </c>
      <c r="W45" s="579">
        <v>0</v>
      </c>
      <c r="X45" s="579">
        <v>0</v>
      </c>
      <c r="Y45" s="579">
        <v>0</v>
      </c>
      <c r="Z45" s="579">
        <v>0</v>
      </c>
      <c r="AA45" s="579">
        <v>0</v>
      </c>
      <c r="AB45" s="579">
        <v>0</v>
      </c>
      <c r="AC45" s="579">
        <v>0</v>
      </c>
      <c r="AD45" s="579">
        <v>0</v>
      </c>
      <c r="AE45" s="579">
        <v>0</v>
      </c>
      <c r="AF45" s="579">
        <v>0</v>
      </c>
      <c r="AG45" s="579">
        <v>0</v>
      </c>
      <c r="AH45" s="577">
        <f t="shared" si="7"/>
        <v>4500</v>
      </c>
    </row>
    <row r="46" spans="1:34" ht="13.8">
      <c r="A46" s="604" t="s">
        <v>154</v>
      </c>
      <c r="B46" s="480">
        <f t="shared" si="6"/>
        <v>17.571000000000002</v>
      </c>
      <c r="C46" s="578">
        <v>0</v>
      </c>
      <c r="D46" s="579">
        <v>0</v>
      </c>
      <c r="E46" s="579">
        <v>0</v>
      </c>
      <c r="F46" s="579">
        <v>0</v>
      </c>
      <c r="G46" s="579">
        <v>0</v>
      </c>
      <c r="H46" s="579">
        <v>0</v>
      </c>
      <c r="I46" s="579">
        <v>0</v>
      </c>
      <c r="J46" s="579">
        <v>0</v>
      </c>
      <c r="K46" s="579">
        <v>0</v>
      </c>
      <c r="L46" s="579">
        <v>0</v>
      </c>
      <c r="M46" s="579">
        <v>0</v>
      </c>
      <c r="N46" s="579">
        <v>0</v>
      </c>
      <c r="O46" s="579">
        <v>0</v>
      </c>
      <c r="P46" s="579">
        <v>0</v>
      </c>
      <c r="Q46" s="579">
        <v>0</v>
      </c>
      <c r="R46" s="579">
        <v>0</v>
      </c>
      <c r="S46" s="579">
        <v>8545</v>
      </c>
      <c r="T46" s="579">
        <v>3000</v>
      </c>
      <c r="U46" s="579">
        <v>0</v>
      </c>
      <c r="V46" s="579">
        <v>0</v>
      </c>
      <c r="W46" s="579">
        <v>6026</v>
      </c>
      <c r="X46" s="579">
        <v>0</v>
      </c>
      <c r="Y46" s="579">
        <v>0</v>
      </c>
      <c r="Z46" s="579">
        <v>0</v>
      </c>
      <c r="AA46" s="579">
        <v>0</v>
      </c>
      <c r="AB46" s="579">
        <v>0</v>
      </c>
      <c r="AC46" s="579">
        <v>0</v>
      </c>
      <c r="AD46" s="579">
        <v>0</v>
      </c>
      <c r="AE46" s="579">
        <v>0</v>
      </c>
      <c r="AF46" s="579">
        <v>0</v>
      </c>
      <c r="AG46" s="579">
        <v>0</v>
      </c>
      <c r="AH46" s="577">
        <f t="shared" si="7"/>
        <v>17571</v>
      </c>
    </row>
    <row r="47" spans="1:34" ht="13.8">
      <c r="A47" s="604" t="s">
        <v>155</v>
      </c>
      <c r="B47" s="480">
        <f t="shared" si="6"/>
        <v>29.45</v>
      </c>
      <c r="C47" s="578">
        <v>0</v>
      </c>
      <c r="D47" s="579">
        <v>0</v>
      </c>
      <c r="E47" s="579">
        <v>0</v>
      </c>
      <c r="F47" s="579">
        <v>0</v>
      </c>
      <c r="G47" s="579">
        <v>0</v>
      </c>
      <c r="H47" s="579">
        <v>0</v>
      </c>
      <c r="I47" s="579">
        <v>0</v>
      </c>
      <c r="J47" s="579">
        <v>0</v>
      </c>
      <c r="K47" s="579">
        <v>0</v>
      </c>
      <c r="L47" s="579">
        <v>0</v>
      </c>
      <c r="M47" s="579">
        <v>0</v>
      </c>
      <c r="N47" s="579">
        <v>0</v>
      </c>
      <c r="O47" s="579">
        <v>0</v>
      </c>
      <c r="P47" s="579">
        <v>3600</v>
      </c>
      <c r="Q47" s="579">
        <v>800</v>
      </c>
      <c r="R47" s="579">
        <v>2000</v>
      </c>
      <c r="S47" s="579">
        <v>0</v>
      </c>
      <c r="T47" s="579">
        <v>0</v>
      </c>
      <c r="U47" s="579">
        <v>6200</v>
      </c>
      <c r="V47" s="579">
        <v>5500</v>
      </c>
      <c r="W47" s="579">
        <v>0</v>
      </c>
      <c r="X47" s="579">
        <v>0</v>
      </c>
      <c r="Y47" s="579">
        <v>2150</v>
      </c>
      <c r="Z47" s="579">
        <v>0</v>
      </c>
      <c r="AA47" s="579">
        <v>0</v>
      </c>
      <c r="AB47" s="579">
        <v>0</v>
      </c>
      <c r="AC47" s="579">
        <v>9200</v>
      </c>
      <c r="AD47" s="579">
        <v>0</v>
      </c>
      <c r="AE47" s="579">
        <v>0</v>
      </c>
      <c r="AF47" s="579">
        <v>0</v>
      </c>
      <c r="AG47" s="579">
        <v>0</v>
      </c>
      <c r="AH47" s="577">
        <f t="shared" si="7"/>
        <v>29450</v>
      </c>
    </row>
    <row r="48" spans="1:34" ht="13.8">
      <c r="A48" s="604" t="s">
        <v>156</v>
      </c>
      <c r="B48" s="480">
        <f t="shared" si="6"/>
        <v>39.149000000000001</v>
      </c>
      <c r="C48" s="578">
        <v>0</v>
      </c>
      <c r="D48" s="579">
        <v>0</v>
      </c>
      <c r="E48" s="579">
        <v>5120</v>
      </c>
      <c r="F48" s="579">
        <v>4000</v>
      </c>
      <c r="G48" s="579">
        <v>0</v>
      </c>
      <c r="H48" s="579">
        <v>6480</v>
      </c>
      <c r="I48" s="579">
        <v>0</v>
      </c>
      <c r="J48" s="579">
        <v>4752</v>
      </c>
      <c r="K48" s="579">
        <v>0</v>
      </c>
      <c r="L48" s="579">
        <v>4300</v>
      </c>
      <c r="M48" s="579">
        <v>889</v>
      </c>
      <c r="N48" s="579">
        <v>7000</v>
      </c>
      <c r="O48" s="579">
        <v>230</v>
      </c>
      <c r="P48" s="579">
        <v>0</v>
      </c>
      <c r="Q48" s="579">
        <v>0</v>
      </c>
      <c r="R48" s="579">
        <v>0</v>
      </c>
      <c r="S48" s="579">
        <v>6378</v>
      </c>
      <c r="T48" s="579">
        <v>0</v>
      </c>
      <c r="U48" s="579">
        <v>0</v>
      </c>
      <c r="V48" s="579">
        <v>0</v>
      </c>
      <c r="W48" s="579">
        <v>0</v>
      </c>
      <c r="X48" s="579">
        <v>0</v>
      </c>
      <c r="Y48" s="579">
        <v>0</v>
      </c>
      <c r="Z48" s="579">
        <v>0</v>
      </c>
      <c r="AA48" s="579">
        <v>0</v>
      </c>
      <c r="AB48" s="579">
        <v>0</v>
      </c>
      <c r="AC48" s="579">
        <v>0</v>
      </c>
      <c r="AD48" s="579">
        <v>0</v>
      </c>
      <c r="AE48" s="579">
        <v>0</v>
      </c>
      <c r="AF48" s="579">
        <v>0</v>
      </c>
      <c r="AG48" s="579">
        <v>0</v>
      </c>
      <c r="AH48" s="577">
        <f t="shared" si="7"/>
        <v>39149</v>
      </c>
    </row>
    <row r="49" spans="1:34" ht="13.8">
      <c r="A49" s="580" t="s">
        <v>111</v>
      </c>
      <c r="B49" s="580">
        <f t="shared" ref="B49:AH49" si="8">SUM(B37:B48)</f>
        <v>275.09299999999996</v>
      </c>
      <c r="C49" s="581">
        <f t="shared" si="8"/>
        <v>1576</v>
      </c>
      <c r="D49" s="581">
        <f t="shared" si="8"/>
        <v>4500</v>
      </c>
      <c r="E49" s="581">
        <f t="shared" si="8"/>
        <v>7357</v>
      </c>
      <c r="F49" s="581">
        <f t="shared" si="8"/>
        <v>11350</v>
      </c>
      <c r="G49" s="581">
        <f t="shared" si="8"/>
        <v>0</v>
      </c>
      <c r="H49" s="581">
        <f t="shared" si="8"/>
        <v>25226</v>
      </c>
      <c r="I49" s="581">
        <f t="shared" si="8"/>
        <v>9900</v>
      </c>
      <c r="J49" s="581">
        <f t="shared" si="8"/>
        <v>12252</v>
      </c>
      <c r="K49" s="581">
        <f t="shared" si="8"/>
        <v>0</v>
      </c>
      <c r="L49" s="581">
        <f t="shared" si="8"/>
        <v>15270</v>
      </c>
      <c r="M49" s="581">
        <f t="shared" si="8"/>
        <v>12887</v>
      </c>
      <c r="N49" s="581">
        <f t="shared" si="8"/>
        <v>15546</v>
      </c>
      <c r="O49" s="581">
        <f t="shared" si="8"/>
        <v>19180</v>
      </c>
      <c r="P49" s="581">
        <f t="shared" si="8"/>
        <v>7100</v>
      </c>
      <c r="Q49" s="581">
        <f t="shared" si="8"/>
        <v>5611</v>
      </c>
      <c r="R49" s="581">
        <f t="shared" si="8"/>
        <v>17028</v>
      </c>
      <c r="S49" s="581">
        <f t="shared" si="8"/>
        <v>19440</v>
      </c>
      <c r="T49" s="581">
        <f t="shared" si="8"/>
        <v>8205</v>
      </c>
      <c r="U49" s="581">
        <f t="shared" si="8"/>
        <v>13914</v>
      </c>
      <c r="V49" s="581">
        <f t="shared" si="8"/>
        <v>12256</v>
      </c>
      <c r="W49" s="581">
        <f t="shared" si="8"/>
        <v>9606</v>
      </c>
      <c r="X49" s="581">
        <f t="shared" si="8"/>
        <v>1540</v>
      </c>
      <c r="Y49" s="581">
        <f t="shared" si="8"/>
        <v>15149</v>
      </c>
      <c r="Z49" s="581">
        <f t="shared" si="8"/>
        <v>2363</v>
      </c>
      <c r="AA49" s="581">
        <f t="shared" si="8"/>
        <v>0</v>
      </c>
      <c r="AB49" s="581">
        <f t="shared" si="8"/>
        <v>7283</v>
      </c>
      <c r="AC49" s="581">
        <f t="shared" si="8"/>
        <v>9200</v>
      </c>
      <c r="AD49" s="581">
        <f t="shared" si="8"/>
        <v>0</v>
      </c>
      <c r="AE49" s="581">
        <f t="shared" si="8"/>
        <v>6354</v>
      </c>
      <c r="AF49" s="581">
        <f t="shared" si="8"/>
        <v>0</v>
      </c>
      <c r="AG49" s="581">
        <f t="shared" si="8"/>
        <v>5000</v>
      </c>
      <c r="AH49" s="582">
        <f t="shared" si="8"/>
        <v>275093</v>
      </c>
    </row>
    <row r="50" spans="1:34">
      <c r="A50" s="510"/>
      <c r="B50" s="510"/>
      <c r="C50" s="510"/>
      <c r="D50" s="510"/>
      <c r="E50" s="510"/>
      <c r="F50" s="510"/>
      <c r="G50" s="510"/>
      <c r="H50" s="510"/>
      <c r="I50" s="510"/>
      <c r="J50" s="510"/>
      <c r="K50" s="510"/>
      <c r="L50" s="510"/>
      <c r="M50" s="510"/>
      <c r="N50" s="510"/>
      <c r="O50" s="510"/>
      <c r="P50" s="510"/>
      <c r="Q50" s="510"/>
      <c r="R50" s="510"/>
      <c r="S50" s="510"/>
      <c r="T50" s="510"/>
      <c r="U50" s="510"/>
      <c r="V50" s="510"/>
      <c r="W50" s="510"/>
      <c r="X50" s="510"/>
      <c r="Y50" s="510"/>
      <c r="Z50" s="510"/>
      <c r="AA50" s="510"/>
      <c r="AB50" s="510"/>
      <c r="AC50" s="510"/>
      <c r="AD50" s="510"/>
      <c r="AE50" s="510"/>
      <c r="AF50" s="510"/>
      <c r="AG50" s="510"/>
      <c r="AH50" s="510"/>
    </row>
    <row r="51" spans="1:34" ht="13.8">
      <c r="A51" s="4298" t="s">
        <v>567</v>
      </c>
      <c r="B51" s="4298"/>
      <c r="C51" s="4298"/>
      <c r="D51" s="142"/>
      <c r="E51" s="142"/>
      <c r="F51" s="429"/>
      <c r="G51" s="142"/>
      <c r="H51" s="142"/>
      <c r="I51" s="142"/>
      <c r="J51" s="142"/>
      <c r="K51" s="142"/>
      <c r="L51" s="142"/>
      <c r="M51" s="570"/>
      <c r="N51" s="142"/>
      <c r="O51" s="142"/>
      <c r="P51" s="142"/>
      <c r="Q51" s="142"/>
      <c r="R51" s="142"/>
      <c r="S51" s="142"/>
      <c r="T51" s="142"/>
      <c r="U51" s="142"/>
      <c r="V51" s="142"/>
      <c r="W51" s="142"/>
      <c r="X51" s="142"/>
      <c r="Y51" s="142"/>
      <c r="Z51" s="142"/>
      <c r="AA51" s="142"/>
      <c r="AB51" s="142"/>
      <c r="AC51" s="142"/>
      <c r="AD51" s="142"/>
      <c r="AE51" s="142"/>
      <c r="AF51" s="142"/>
      <c r="AG51" s="142"/>
      <c r="AH51" s="571"/>
    </row>
    <row r="52" spans="1:34" ht="13.8">
      <c r="A52" s="572" t="s">
        <v>142</v>
      </c>
      <c r="B52" s="572" t="s">
        <v>143</v>
      </c>
      <c r="C52">
        <v>1</v>
      </c>
      <c r="D52" s="573">
        <v>2</v>
      </c>
      <c r="E52" s="573">
        <v>3</v>
      </c>
      <c r="F52" s="573">
        <v>4</v>
      </c>
      <c r="G52" s="573">
        <v>5</v>
      </c>
      <c r="H52" s="573">
        <v>6</v>
      </c>
      <c r="I52" s="573">
        <v>7</v>
      </c>
      <c r="J52" s="573">
        <v>8</v>
      </c>
      <c r="K52" s="573">
        <v>9</v>
      </c>
      <c r="L52" s="573">
        <v>10</v>
      </c>
      <c r="M52" s="573">
        <v>11</v>
      </c>
      <c r="N52" s="573">
        <v>12</v>
      </c>
      <c r="O52" s="573">
        <v>13</v>
      </c>
      <c r="P52" s="573">
        <v>14</v>
      </c>
      <c r="Q52" s="573">
        <v>15</v>
      </c>
      <c r="R52" s="573">
        <v>16</v>
      </c>
      <c r="S52" s="573">
        <v>17</v>
      </c>
      <c r="T52" s="573">
        <v>18</v>
      </c>
      <c r="U52" s="573">
        <v>19</v>
      </c>
      <c r="V52" s="573">
        <v>20</v>
      </c>
      <c r="W52" s="509">
        <v>21</v>
      </c>
      <c r="X52" s="573">
        <v>22</v>
      </c>
      <c r="Y52" s="573">
        <v>23</v>
      </c>
      <c r="Z52" s="573">
        <v>24</v>
      </c>
      <c r="AA52" s="573">
        <v>25</v>
      </c>
      <c r="AB52" s="573">
        <v>26</v>
      </c>
      <c r="AC52" s="573">
        <v>27</v>
      </c>
      <c r="AD52" s="573">
        <v>28</v>
      </c>
      <c r="AE52" s="573">
        <v>29</v>
      </c>
      <c r="AF52" s="573">
        <v>30</v>
      </c>
      <c r="AG52" s="573">
        <v>31</v>
      </c>
      <c r="AH52" s="575" t="s">
        <v>111</v>
      </c>
    </row>
    <row r="53" spans="1:34" ht="13.8">
      <c r="A53" s="574" t="s">
        <v>145</v>
      </c>
      <c r="B53" s="3216">
        <f>+AH53/1000</f>
        <v>523.29499999999996</v>
      </c>
      <c r="C53" s="866">
        <v>4909</v>
      </c>
      <c r="D53" s="866">
        <v>5188</v>
      </c>
      <c r="E53" s="866">
        <v>18114</v>
      </c>
      <c r="F53" s="866">
        <v>19587</v>
      </c>
      <c r="G53" s="866">
        <v>2189</v>
      </c>
      <c r="H53" s="866">
        <v>19479</v>
      </c>
      <c r="I53" s="866">
        <v>7876</v>
      </c>
      <c r="J53" s="866">
        <v>10326</v>
      </c>
      <c r="K53" s="866">
        <v>11459</v>
      </c>
      <c r="L53" s="866">
        <v>42248</v>
      </c>
      <c r="M53" s="866">
        <v>42154</v>
      </c>
      <c r="N53" s="866">
        <v>24726</v>
      </c>
      <c r="O53" s="866">
        <v>2250</v>
      </c>
      <c r="P53" s="866">
        <v>17150</v>
      </c>
      <c r="Q53" s="866">
        <v>14542</v>
      </c>
      <c r="R53" s="866">
        <v>7286</v>
      </c>
      <c r="S53" s="866">
        <v>26683</v>
      </c>
      <c r="T53" s="866">
        <v>21983</v>
      </c>
      <c r="U53" s="866">
        <v>21436</v>
      </c>
      <c r="V53" s="866">
        <v>16974</v>
      </c>
      <c r="W53" s="866">
        <v>11858</v>
      </c>
      <c r="X53" s="866">
        <v>35678</v>
      </c>
      <c r="Y53" s="866">
        <v>6512</v>
      </c>
      <c r="Z53" s="866">
        <v>18038</v>
      </c>
      <c r="AA53" s="866">
        <v>14940</v>
      </c>
      <c r="AB53" s="866">
        <v>13496</v>
      </c>
      <c r="AC53" s="866">
        <v>21381</v>
      </c>
      <c r="AD53" s="866">
        <v>8347</v>
      </c>
      <c r="AE53" s="866">
        <v>8531</v>
      </c>
      <c r="AF53" s="866">
        <v>34630</v>
      </c>
      <c r="AG53" s="866">
        <v>13325</v>
      </c>
      <c r="AH53" s="577">
        <f>SUM(C53:AG53)</f>
        <v>523295</v>
      </c>
    </row>
    <row r="54" spans="1:34" ht="13.8">
      <c r="A54" s="574" t="s">
        <v>146</v>
      </c>
      <c r="B54" s="480">
        <f t="shared" ref="B54:B64" si="9">+AH54/1000</f>
        <v>366.53800000000001</v>
      </c>
      <c r="C54" s="866">
        <v>29987</v>
      </c>
      <c r="D54" s="866">
        <v>18644</v>
      </c>
      <c r="E54" s="866">
        <v>663</v>
      </c>
      <c r="F54" s="866">
        <v>4626</v>
      </c>
      <c r="G54" s="866">
        <v>13119</v>
      </c>
      <c r="H54" s="866">
        <v>6766</v>
      </c>
      <c r="I54" s="866">
        <v>7769</v>
      </c>
      <c r="J54" s="866">
        <v>11484</v>
      </c>
      <c r="K54" s="866">
        <v>7493</v>
      </c>
      <c r="L54" s="866">
        <v>17346</v>
      </c>
      <c r="M54" s="866">
        <v>13702</v>
      </c>
      <c r="N54" s="866">
        <v>10569</v>
      </c>
      <c r="O54" s="866">
        <v>18592</v>
      </c>
      <c r="P54" s="866">
        <v>14228</v>
      </c>
      <c r="Q54" s="866">
        <v>20828</v>
      </c>
      <c r="R54" s="866">
        <v>25757</v>
      </c>
      <c r="S54" s="866">
        <v>11264</v>
      </c>
      <c r="T54" s="866">
        <v>13730</v>
      </c>
      <c r="U54" s="866">
        <v>9277</v>
      </c>
      <c r="V54" s="866">
        <v>24213</v>
      </c>
      <c r="W54" s="866">
        <v>4471</v>
      </c>
      <c r="X54" s="866">
        <v>30317</v>
      </c>
      <c r="Y54" s="866">
        <v>4841</v>
      </c>
      <c r="Z54" s="866">
        <v>5315</v>
      </c>
      <c r="AA54" s="866">
        <v>10482</v>
      </c>
      <c r="AB54" s="866">
        <v>15592</v>
      </c>
      <c r="AC54" s="866">
        <v>3747</v>
      </c>
      <c r="AD54" s="866">
        <v>6951</v>
      </c>
      <c r="AE54" s="866">
        <v>4765</v>
      </c>
      <c r="AF54" s="866">
        <v>0</v>
      </c>
      <c r="AG54" s="866">
        <v>0</v>
      </c>
      <c r="AH54" s="577">
        <f t="shared" ref="AH54:AH64" si="10">SUM(C54:AG54)</f>
        <v>366538</v>
      </c>
    </row>
    <row r="55" spans="1:34" ht="13.8">
      <c r="A55" s="574" t="s">
        <v>147</v>
      </c>
      <c r="B55" s="480">
        <f t="shared" si="9"/>
        <v>421.33499999999998</v>
      </c>
      <c r="C55" s="866">
        <v>25505</v>
      </c>
      <c r="D55" s="866">
        <v>1230</v>
      </c>
      <c r="E55" s="866">
        <v>4320</v>
      </c>
      <c r="F55" s="866">
        <v>21483</v>
      </c>
      <c r="G55" s="866">
        <v>10945</v>
      </c>
      <c r="H55" s="866">
        <v>10902</v>
      </c>
      <c r="I55" s="866">
        <v>4176</v>
      </c>
      <c r="J55" s="866">
        <v>8612</v>
      </c>
      <c r="K55" s="866">
        <v>6027</v>
      </c>
      <c r="L55" s="866">
        <v>14791</v>
      </c>
      <c r="M55" s="866">
        <v>18982</v>
      </c>
      <c r="N55" s="866">
        <v>17939</v>
      </c>
      <c r="O55" s="866">
        <v>8572</v>
      </c>
      <c r="P55" s="866">
        <v>25118</v>
      </c>
      <c r="Q55" s="866">
        <v>18994</v>
      </c>
      <c r="R55" s="866">
        <v>5809</v>
      </c>
      <c r="S55" s="866">
        <v>11974</v>
      </c>
      <c r="T55" s="866">
        <v>3118</v>
      </c>
      <c r="U55" s="866">
        <v>6102</v>
      </c>
      <c r="V55" s="866">
        <v>16901</v>
      </c>
      <c r="W55" s="866">
        <v>17081</v>
      </c>
      <c r="X55" s="866">
        <v>15671</v>
      </c>
      <c r="Y55" s="866">
        <v>2387</v>
      </c>
      <c r="Z55" s="866">
        <v>24438</v>
      </c>
      <c r="AA55" s="866">
        <v>21486</v>
      </c>
      <c r="AB55" s="866">
        <v>7440</v>
      </c>
      <c r="AC55" s="866">
        <v>17852</v>
      </c>
      <c r="AD55" s="866">
        <v>16891</v>
      </c>
      <c r="AE55" s="866">
        <v>30776</v>
      </c>
      <c r="AF55" s="866">
        <v>18257</v>
      </c>
      <c r="AG55" s="866">
        <v>7556</v>
      </c>
      <c r="AH55" s="577">
        <f t="shared" si="10"/>
        <v>421335</v>
      </c>
    </row>
    <row r="56" spans="1:34" ht="13.8">
      <c r="A56" s="574" t="s">
        <v>148</v>
      </c>
      <c r="B56" s="480">
        <f t="shared" si="9"/>
        <v>459.18900000000002</v>
      </c>
      <c r="C56" s="866">
        <v>6154</v>
      </c>
      <c r="D56" s="866">
        <v>5975</v>
      </c>
      <c r="E56" s="866">
        <v>4508</v>
      </c>
      <c r="F56" s="866">
        <v>18275</v>
      </c>
      <c r="G56" s="866">
        <v>14577</v>
      </c>
      <c r="H56" s="866">
        <v>4071</v>
      </c>
      <c r="I56" s="866">
        <v>7029</v>
      </c>
      <c r="J56" s="866">
        <v>9299</v>
      </c>
      <c r="K56" s="866">
        <v>13247</v>
      </c>
      <c r="L56" s="866">
        <v>9712</v>
      </c>
      <c r="M56" s="866">
        <v>21798</v>
      </c>
      <c r="N56" s="866">
        <v>15233</v>
      </c>
      <c r="O56" s="866">
        <v>22629</v>
      </c>
      <c r="P56" s="866">
        <v>8198</v>
      </c>
      <c r="Q56" s="866">
        <v>2665</v>
      </c>
      <c r="R56" s="866">
        <v>13162</v>
      </c>
      <c r="S56" s="866">
        <v>21282</v>
      </c>
      <c r="T56" s="866">
        <v>15489</v>
      </c>
      <c r="U56" s="866">
        <v>9478</v>
      </c>
      <c r="V56" s="866">
        <v>18498</v>
      </c>
      <c r="W56" s="866">
        <v>23827</v>
      </c>
      <c r="X56" s="866">
        <v>14090</v>
      </c>
      <c r="Y56" s="866">
        <v>24502</v>
      </c>
      <c r="Z56" s="866">
        <v>25663</v>
      </c>
      <c r="AA56" s="866">
        <v>23022</v>
      </c>
      <c r="AB56" s="866">
        <v>58054</v>
      </c>
      <c r="AC56" s="866">
        <v>10482</v>
      </c>
      <c r="AD56" s="866">
        <v>6500</v>
      </c>
      <c r="AE56" s="866">
        <v>13433</v>
      </c>
      <c r="AF56" s="866">
        <v>18337</v>
      </c>
      <c r="AG56" s="866">
        <v>0</v>
      </c>
      <c r="AH56" s="577">
        <f t="shared" si="10"/>
        <v>459189</v>
      </c>
    </row>
    <row r="57" spans="1:34" ht="13.8">
      <c r="A57" s="603" t="s">
        <v>149</v>
      </c>
      <c r="B57" s="480">
        <f t="shared" si="9"/>
        <v>326.01</v>
      </c>
      <c r="C57" s="866">
        <v>16345</v>
      </c>
      <c r="D57" s="866">
        <v>50055</v>
      </c>
      <c r="E57" s="866">
        <v>18489</v>
      </c>
      <c r="F57" s="866">
        <v>5262</v>
      </c>
      <c r="G57" s="866">
        <v>8035</v>
      </c>
      <c r="H57" s="866">
        <v>22408</v>
      </c>
      <c r="I57" s="866">
        <v>10518</v>
      </c>
      <c r="J57" s="866">
        <v>21286</v>
      </c>
      <c r="K57" s="866">
        <v>18599</v>
      </c>
      <c r="L57" s="866">
        <v>8205</v>
      </c>
      <c r="M57" s="866">
        <v>7702</v>
      </c>
      <c r="N57" s="866">
        <v>13247</v>
      </c>
      <c r="O57" s="866">
        <v>3798</v>
      </c>
      <c r="P57" s="866">
        <v>10512</v>
      </c>
      <c r="Q57" s="866">
        <v>8606</v>
      </c>
      <c r="R57" s="866">
        <v>7076</v>
      </c>
      <c r="S57" s="866">
        <v>4258</v>
      </c>
      <c r="T57" s="866">
        <v>459</v>
      </c>
      <c r="U57" s="866">
        <v>0</v>
      </c>
      <c r="V57" s="866">
        <v>9370</v>
      </c>
      <c r="W57" s="866">
        <v>2983</v>
      </c>
      <c r="X57" s="866">
        <v>22469</v>
      </c>
      <c r="Y57" s="866">
        <v>15049</v>
      </c>
      <c r="Z57" s="866">
        <v>3441</v>
      </c>
      <c r="AA57" s="866">
        <v>1215</v>
      </c>
      <c r="AB57" s="866">
        <v>7552</v>
      </c>
      <c r="AC57" s="866">
        <v>2900</v>
      </c>
      <c r="AD57" s="866">
        <v>2474</v>
      </c>
      <c r="AE57" s="866">
        <v>19819</v>
      </c>
      <c r="AF57" s="866">
        <v>870</v>
      </c>
      <c r="AG57" s="866">
        <v>3008</v>
      </c>
      <c r="AH57" s="577">
        <f t="shared" si="10"/>
        <v>326010</v>
      </c>
    </row>
    <row r="58" spans="1:34" ht="13.8">
      <c r="A58" s="603" t="s">
        <v>150</v>
      </c>
      <c r="B58" s="480">
        <f t="shared" si="9"/>
        <v>358.59199999999998</v>
      </c>
      <c r="C58" s="578">
        <v>10864</v>
      </c>
      <c r="D58" s="579">
        <v>23523</v>
      </c>
      <c r="E58" s="579">
        <v>5811</v>
      </c>
      <c r="F58" s="579">
        <v>5246</v>
      </c>
      <c r="G58" s="579">
        <v>6107</v>
      </c>
      <c r="H58" s="579">
        <v>52101</v>
      </c>
      <c r="I58" s="579">
        <v>9269</v>
      </c>
      <c r="J58" s="579">
        <v>2061</v>
      </c>
      <c r="K58" s="579">
        <v>3319</v>
      </c>
      <c r="L58" s="579">
        <v>3604</v>
      </c>
      <c r="M58" s="579">
        <v>28368</v>
      </c>
      <c r="N58" s="579">
        <v>22932</v>
      </c>
      <c r="O58" s="579">
        <v>23978</v>
      </c>
      <c r="P58" s="579">
        <v>25378</v>
      </c>
      <c r="Q58" s="579">
        <v>1995</v>
      </c>
      <c r="R58" s="579">
        <v>9727</v>
      </c>
      <c r="S58" s="579">
        <v>2750</v>
      </c>
      <c r="T58" s="579">
        <v>14131</v>
      </c>
      <c r="U58" s="579">
        <v>4666</v>
      </c>
      <c r="V58" s="579">
        <v>4744</v>
      </c>
      <c r="W58" s="579">
        <v>6039</v>
      </c>
      <c r="X58" s="579">
        <v>7161</v>
      </c>
      <c r="Y58" s="579">
        <v>15081</v>
      </c>
      <c r="Z58" s="579">
        <v>14771</v>
      </c>
      <c r="AA58" s="579">
        <v>18391</v>
      </c>
      <c r="AB58" s="579">
        <v>4966</v>
      </c>
      <c r="AC58" s="579">
        <v>10432</v>
      </c>
      <c r="AD58" s="579">
        <v>13591</v>
      </c>
      <c r="AE58" s="579">
        <v>4878</v>
      </c>
      <c r="AF58" s="579">
        <v>2708</v>
      </c>
      <c r="AG58" s="579">
        <v>0</v>
      </c>
      <c r="AH58" s="577">
        <f t="shared" si="10"/>
        <v>358592</v>
      </c>
    </row>
    <row r="59" spans="1:34" ht="13.8">
      <c r="A59" s="603" t="s">
        <v>151</v>
      </c>
      <c r="B59" s="480">
        <f t="shared" si="9"/>
        <v>429.43099999999998</v>
      </c>
      <c r="C59" s="578">
        <v>7872</v>
      </c>
      <c r="D59" s="579">
        <v>1577</v>
      </c>
      <c r="E59" s="579">
        <v>4553</v>
      </c>
      <c r="F59" s="579">
        <v>32296</v>
      </c>
      <c r="G59" s="579">
        <v>24287</v>
      </c>
      <c r="H59" s="579">
        <v>10723</v>
      </c>
      <c r="I59" s="579">
        <v>10496</v>
      </c>
      <c r="J59" s="579">
        <v>6925</v>
      </c>
      <c r="K59" s="579">
        <v>26935</v>
      </c>
      <c r="L59" s="579">
        <v>28895</v>
      </c>
      <c r="M59" s="579">
        <v>14506</v>
      </c>
      <c r="N59" s="579">
        <v>10604</v>
      </c>
      <c r="O59" s="579">
        <v>392</v>
      </c>
      <c r="P59" s="579">
        <v>2538</v>
      </c>
      <c r="Q59" s="579">
        <v>552</v>
      </c>
      <c r="R59" s="579">
        <v>525</v>
      </c>
      <c r="S59" s="579">
        <v>15360</v>
      </c>
      <c r="T59" s="579">
        <v>10143</v>
      </c>
      <c r="U59" s="579">
        <v>13470</v>
      </c>
      <c r="V59" s="579">
        <v>16580</v>
      </c>
      <c r="W59" s="579">
        <v>17443</v>
      </c>
      <c r="X59" s="579">
        <v>27618</v>
      </c>
      <c r="Y59" s="579">
        <v>25836</v>
      </c>
      <c r="Z59" s="579">
        <v>17509</v>
      </c>
      <c r="AA59" s="579">
        <v>11368</v>
      </c>
      <c r="AB59" s="579">
        <v>18714</v>
      </c>
      <c r="AC59" s="579">
        <v>18061</v>
      </c>
      <c r="AD59" s="579">
        <v>19487</v>
      </c>
      <c r="AE59" s="579">
        <v>3435</v>
      </c>
      <c r="AF59" s="579">
        <v>26272</v>
      </c>
      <c r="AG59" s="579">
        <v>4459</v>
      </c>
      <c r="AH59" s="577">
        <f t="shared" si="10"/>
        <v>429431</v>
      </c>
    </row>
    <row r="60" spans="1:34" ht="13.8">
      <c r="A60" s="603" t="s">
        <v>152</v>
      </c>
      <c r="B60" s="480">
        <f t="shared" si="9"/>
        <v>490.33100000000002</v>
      </c>
      <c r="C60" s="578">
        <v>49787</v>
      </c>
      <c r="D60" s="579">
        <v>34081</v>
      </c>
      <c r="E60" s="579">
        <v>21961</v>
      </c>
      <c r="F60" s="579">
        <v>53606</v>
      </c>
      <c r="G60" s="579">
        <v>73993</v>
      </c>
      <c r="H60" s="579">
        <v>64693</v>
      </c>
      <c r="I60" s="579">
        <v>136647</v>
      </c>
      <c r="J60" s="579">
        <v>46743</v>
      </c>
      <c r="K60" s="579">
        <v>7100</v>
      </c>
      <c r="L60" s="579">
        <v>0</v>
      </c>
      <c r="M60" s="579">
        <v>0</v>
      </c>
      <c r="N60" s="579">
        <v>0</v>
      </c>
      <c r="O60" s="579">
        <v>0</v>
      </c>
      <c r="P60" s="579">
        <v>0</v>
      </c>
      <c r="Q60" s="579">
        <v>0</v>
      </c>
      <c r="R60" s="579">
        <v>0</v>
      </c>
      <c r="S60" s="579">
        <v>0</v>
      </c>
      <c r="T60" s="579">
        <v>0</v>
      </c>
      <c r="U60" s="579">
        <v>0</v>
      </c>
      <c r="V60" s="579">
        <v>0</v>
      </c>
      <c r="W60" s="579">
        <v>0</v>
      </c>
      <c r="X60" s="579">
        <v>0</v>
      </c>
      <c r="Y60" s="579">
        <v>0</v>
      </c>
      <c r="Z60" s="579">
        <v>0</v>
      </c>
      <c r="AA60" s="579">
        <v>0</v>
      </c>
      <c r="AB60" s="579">
        <v>0</v>
      </c>
      <c r="AC60" s="579">
        <v>0</v>
      </c>
      <c r="AD60" s="579">
        <v>0</v>
      </c>
      <c r="AE60" s="579">
        <v>1225</v>
      </c>
      <c r="AF60" s="579">
        <v>0</v>
      </c>
      <c r="AG60" s="579">
        <v>495</v>
      </c>
      <c r="AH60" s="577">
        <f t="shared" si="10"/>
        <v>490331</v>
      </c>
    </row>
    <row r="61" spans="1:34" ht="13.8">
      <c r="A61" s="604" t="s">
        <v>153</v>
      </c>
      <c r="B61" s="480">
        <f t="shared" si="9"/>
        <v>438.18700000000001</v>
      </c>
      <c r="C61" s="2113">
        <v>18770</v>
      </c>
      <c r="D61" s="2113">
        <v>18154</v>
      </c>
      <c r="E61" s="2113">
        <v>23552</v>
      </c>
      <c r="F61" s="2113">
        <v>32191</v>
      </c>
      <c r="G61" s="2113">
        <v>16505</v>
      </c>
      <c r="H61" s="2113">
        <v>7543</v>
      </c>
      <c r="I61" s="2113">
        <v>20894</v>
      </c>
      <c r="J61" s="2113">
        <v>13350</v>
      </c>
      <c r="K61" s="2113">
        <v>13055</v>
      </c>
      <c r="L61" s="2113">
        <v>14006</v>
      </c>
      <c r="M61" s="2113">
        <v>7800</v>
      </c>
      <c r="N61" s="2113">
        <v>13802</v>
      </c>
      <c r="O61" s="2113">
        <v>12898</v>
      </c>
      <c r="P61" s="2113">
        <v>1409</v>
      </c>
      <c r="Q61" s="2113">
        <v>9903</v>
      </c>
      <c r="R61" s="2113">
        <v>6362</v>
      </c>
      <c r="S61" s="2113">
        <v>4200</v>
      </c>
      <c r="T61" s="2113">
        <v>0</v>
      </c>
      <c r="U61" s="2113">
        <v>900</v>
      </c>
      <c r="V61" s="2113">
        <v>27020</v>
      </c>
      <c r="W61" s="2113">
        <v>28131</v>
      </c>
      <c r="X61" s="2113">
        <v>13443</v>
      </c>
      <c r="Y61" s="2113">
        <v>24365</v>
      </c>
      <c r="Z61" s="2113">
        <v>10964</v>
      </c>
      <c r="AA61" s="2113">
        <v>16898</v>
      </c>
      <c r="AB61" s="2113">
        <v>15243</v>
      </c>
      <c r="AC61" s="2113">
        <v>20017</v>
      </c>
      <c r="AD61" s="2113">
        <v>3859</v>
      </c>
      <c r="AE61" s="2113">
        <v>16166</v>
      </c>
      <c r="AF61" s="2113">
        <v>26787</v>
      </c>
      <c r="AG61" s="2113">
        <v>0</v>
      </c>
      <c r="AH61" s="577">
        <f t="shared" si="10"/>
        <v>438187</v>
      </c>
    </row>
    <row r="62" spans="1:34" ht="13.8">
      <c r="A62" s="604" t="s">
        <v>154</v>
      </c>
      <c r="B62" s="480">
        <f t="shared" si="9"/>
        <v>977.66</v>
      </c>
      <c r="C62" s="578">
        <v>56604</v>
      </c>
      <c r="D62" s="579">
        <v>27170</v>
      </c>
      <c r="E62" s="579">
        <v>11833</v>
      </c>
      <c r="F62" s="579">
        <v>30337</v>
      </c>
      <c r="G62" s="579">
        <v>5609</v>
      </c>
      <c r="H62" s="579">
        <v>934</v>
      </c>
      <c r="I62" s="579">
        <v>9347</v>
      </c>
      <c r="J62" s="579">
        <v>30765</v>
      </c>
      <c r="K62" s="579">
        <v>28683</v>
      </c>
      <c r="L62" s="579">
        <v>21757</v>
      </c>
      <c r="M62" s="579">
        <v>24692</v>
      </c>
      <c r="N62" s="579">
        <v>31862</v>
      </c>
      <c r="O62" s="579">
        <v>61314</v>
      </c>
      <c r="P62" s="579">
        <v>7580</v>
      </c>
      <c r="Q62" s="579">
        <v>14752</v>
      </c>
      <c r="R62" s="579">
        <v>41361</v>
      </c>
      <c r="S62" s="579">
        <v>29674</v>
      </c>
      <c r="T62" s="579">
        <v>37300</v>
      </c>
      <c r="U62" s="579">
        <v>33449</v>
      </c>
      <c r="V62" s="579">
        <v>49108</v>
      </c>
      <c r="W62" s="579">
        <v>20621</v>
      </c>
      <c r="X62" s="579">
        <v>25949</v>
      </c>
      <c r="Y62" s="579">
        <v>53973</v>
      </c>
      <c r="Z62" s="579">
        <v>30177</v>
      </c>
      <c r="AA62" s="579">
        <v>31628</v>
      </c>
      <c r="AB62" s="579">
        <v>39633</v>
      </c>
      <c r="AC62" s="579">
        <v>31680</v>
      </c>
      <c r="AD62" s="579">
        <v>40653</v>
      </c>
      <c r="AE62" s="579">
        <v>43293</v>
      </c>
      <c r="AF62" s="579">
        <v>105922</v>
      </c>
      <c r="AG62" s="579">
        <v>0</v>
      </c>
      <c r="AH62" s="577">
        <f t="shared" si="10"/>
        <v>977660</v>
      </c>
    </row>
    <row r="63" spans="1:34" ht="13.8">
      <c r="A63" s="604" t="s">
        <v>155</v>
      </c>
      <c r="B63" s="480">
        <f t="shared" si="9"/>
        <v>266.21899999999999</v>
      </c>
      <c r="C63" s="578">
        <v>18696</v>
      </c>
      <c r="D63" s="579">
        <v>1174</v>
      </c>
      <c r="E63" s="579">
        <v>0</v>
      </c>
      <c r="F63" s="579">
        <v>0</v>
      </c>
      <c r="G63" s="579">
        <v>0</v>
      </c>
      <c r="H63" s="579">
        <v>2400</v>
      </c>
      <c r="I63" s="579">
        <v>0</v>
      </c>
      <c r="J63" s="579">
        <v>5000</v>
      </c>
      <c r="K63" s="579">
        <v>8600</v>
      </c>
      <c r="L63" s="579">
        <v>8780</v>
      </c>
      <c r="M63" s="579">
        <v>0</v>
      </c>
      <c r="N63" s="579">
        <v>11429</v>
      </c>
      <c r="O63" s="579">
        <v>24272</v>
      </c>
      <c r="P63" s="579">
        <v>22835</v>
      </c>
      <c r="Q63" s="579">
        <v>19759</v>
      </c>
      <c r="R63" s="579">
        <v>11415</v>
      </c>
      <c r="S63" s="579">
        <v>9447</v>
      </c>
      <c r="T63" s="579">
        <v>14645</v>
      </c>
      <c r="U63" s="579">
        <v>26239</v>
      </c>
      <c r="V63" s="579">
        <v>17836</v>
      </c>
      <c r="W63" s="579">
        <v>12314</v>
      </c>
      <c r="X63" s="579">
        <v>17365</v>
      </c>
      <c r="Y63" s="579">
        <v>4150</v>
      </c>
      <c r="Z63" s="579">
        <v>0</v>
      </c>
      <c r="AA63" s="579">
        <v>2100</v>
      </c>
      <c r="AB63" s="579">
        <v>5410</v>
      </c>
      <c r="AC63" s="579">
        <v>0</v>
      </c>
      <c r="AD63" s="579">
        <v>5870</v>
      </c>
      <c r="AE63" s="579">
        <v>4124</v>
      </c>
      <c r="AF63" s="579">
        <v>12359</v>
      </c>
      <c r="AG63" s="579">
        <v>0</v>
      </c>
      <c r="AH63" s="577">
        <f t="shared" si="10"/>
        <v>266219</v>
      </c>
    </row>
    <row r="64" spans="1:34" ht="13.8">
      <c r="A64" s="604" t="s">
        <v>156</v>
      </c>
      <c r="B64" s="480">
        <f t="shared" si="9"/>
        <v>142.71700000000001</v>
      </c>
      <c r="C64" s="578">
        <v>5916</v>
      </c>
      <c r="D64" s="579">
        <v>7848</v>
      </c>
      <c r="E64" s="579">
        <v>20550</v>
      </c>
      <c r="F64" s="579">
        <v>12355</v>
      </c>
      <c r="G64" s="579">
        <v>8542</v>
      </c>
      <c r="H64" s="579">
        <v>16018</v>
      </c>
      <c r="I64" s="579">
        <v>6973</v>
      </c>
      <c r="J64" s="579">
        <v>9430</v>
      </c>
      <c r="K64" s="579">
        <v>19904</v>
      </c>
      <c r="L64" s="579">
        <v>15740</v>
      </c>
      <c r="M64" s="579">
        <v>10099</v>
      </c>
      <c r="N64" s="579">
        <v>0</v>
      </c>
      <c r="O64" s="579">
        <v>0</v>
      </c>
      <c r="P64" s="579">
        <v>9342</v>
      </c>
      <c r="Q64" s="579">
        <v>0</v>
      </c>
      <c r="R64" s="579">
        <v>0</v>
      </c>
      <c r="S64" s="579">
        <v>0</v>
      </c>
      <c r="T64" s="579">
        <v>0</v>
      </c>
      <c r="U64" s="579">
        <v>0</v>
      </c>
      <c r="V64" s="579">
        <v>0</v>
      </c>
      <c r="W64" s="579">
        <v>0</v>
      </c>
      <c r="X64" s="579">
        <v>0</v>
      </c>
      <c r="Y64" s="579">
        <v>0</v>
      </c>
      <c r="Z64" s="579">
        <v>0</v>
      </c>
      <c r="AA64" s="579">
        <v>0</v>
      </c>
      <c r="AB64" s="579">
        <v>0</v>
      </c>
      <c r="AC64" s="579">
        <v>0</v>
      </c>
      <c r="AD64" s="579">
        <v>0</v>
      </c>
      <c r="AE64" s="579">
        <v>0</v>
      </c>
      <c r="AF64" s="579">
        <v>0</v>
      </c>
      <c r="AG64" s="579">
        <v>0</v>
      </c>
      <c r="AH64" s="577">
        <f t="shared" si="10"/>
        <v>142717</v>
      </c>
    </row>
    <row r="65" spans="1:34" ht="13.8">
      <c r="A65" s="580" t="s">
        <v>111</v>
      </c>
      <c r="B65" s="580">
        <f t="shared" ref="B65:AH65" si="11">SUM(B53:B64)</f>
        <v>5199.5039999999999</v>
      </c>
      <c r="C65" s="581">
        <f t="shared" si="11"/>
        <v>251409</v>
      </c>
      <c r="D65" s="581">
        <f t="shared" si="11"/>
        <v>194619</v>
      </c>
      <c r="E65" s="581">
        <f t="shared" si="11"/>
        <v>134354</v>
      </c>
      <c r="F65" s="581">
        <f t="shared" si="11"/>
        <v>235264</v>
      </c>
      <c r="G65" s="581">
        <f t="shared" si="11"/>
        <v>183908</v>
      </c>
      <c r="H65" s="581">
        <f t="shared" si="11"/>
        <v>218038</v>
      </c>
      <c r="I65" s="581">
        <f t="shared" si="11"/>
        <v>230994</v>
      </c>
      <c r="J65" s="581">
        <f t="shared" si="11"/>
        <v>175281</v>
      </c>
      <c r="K65" s="581">
        <f t="shared" si="11"/>
        <v>164421</v>
      </c>
      <c r="L65" s="581">
        <f t="shared" si="11"/>
        <v>185084</v>
      </c>
      <c r="M65" s="581">
        <f t="shared" si="11"/>
        <v>189803</v>
      </c>
      <c r="N65" s="581">
        <f t="shared" si="11"/>
        <v>172343</v>
      </c>
      <c r="O65" s="581">
        <f t="shared" si="11"/>
        <v>178695</v>
      </c>
      <c r="P65" s="581">
        <f t="shared" si="11"/>
        <v>144288</v>
      </c>
      <c r="Q65" s="581">
        <f t="shared" si="11"/>
        <v>112596</v>
      </c>
      <c r="R65" s="581">
        <f t="shared" si="11"/>
        <v>128480</v>
      </c>
      <c r="S65" s="581">
        <f t="shared" si="11"/>
        <v>136892</v>
      </c>
      <c r="T65" s="581">
        <f t="shared" si="11"/>
        <v>130998</v>
      </c>
      <c r="U65" s="581">
        <f t="shared" si="11"/>
        <v>125017</v>
      </c>
      <c r="V65" s="581">
        <f t="shared" si="11"/>
        <v>201244</v>
      </c>
      <c r="W65" s="581">
        <f t="shared" si="11"/>
        <v>144768</v>
      </c>
      <c r="X65" s="581">
        <f t="shared" si="11"/>
        <v>209761</v>
      </c>
      <c r="Y65" s="581">
        <f t="shared" si="11"/>
        <v>176696</v>
      </c>
      <c r="Z65" s="581">
        <f t="shared" si="11"/>
        <v>150316</v>
      </c>
      <c r="AA65" s="581">
        <f t="shared" si="11"/>
        <v>151530</v>
      </c>
      <c r="AB65" s="581">
        <f t="shared" si="11"/>
        <v>186100</v>
      </c>
      <c r="AC65" s="581">
        <f t="shared" si="11"/>
        <v>136552</v>
      </c>
      <c r="AD65" s="581">
        <f t="shared" si="11"/>
        <v>124623</v>
      </c>
      <c r="AE65" s="581">
        <f t="shared" si="11"/>
        <v>150445</v>
      </c>
      <c r="AF65" s="581">
        <f t="shared" si="11"/>
        <v>246142</v>
      </c>
      <c r="AG65" s="581">
        <f t="shared" si="11"/>
        <v>28843</v>
      </c>
      <c r="AH65" s="582">
        <f t="shared" si="11"/>
        <v>5199504</v>
      </c>
    </row>
    <row r="66" spans="1:34">
      <c r="A66" s="510"/>
      <c r="B66" s="510"/>
      <c r="C66" s="510"/>
      <c r="D66" s="510"/>
      <c r="E66" s="510"/>
      <c r="F66" s="510"/>
      <c r="G66" s="510"/>
      <c r="H66" s="510"/>
      <c r="I66" s="510"/>
      <c r="J66" s="510"/>
      <c r="K66" s="510"/>
      <c r="L66" s="510"/>
      <c r="M66" s="510"/>
      <c r="N66" s="510"/>
      <c r="O66" s="510"/>
      <c r="P66" s="510"/>
      <c r="Q66" s="510"/>
      <c r="R66" s="510"/>
      <c r="S66" s="510"/>
      <c r="T66" s="510"/>
      <c r="U66" s="510"/>
      <c r="V66" s="510"/>
      <c r="W66" s="510"/>
      <c r="X66" s="510"/>
      <c r="Y66" s="510"/>
      <c r="Z66" s="510"/>
      <c r="AA66" s="510"/>
      <c r="AB66" s="510"/>
      <c r="AC66" s="510"/>
      <c r="AD66" s="510"/>
      <c r="AE66" s="510"/>
      <c r="AF66" s="510"/>
      <c r="AG66" s="510"/>
      <c r="AH66" s="510"/>
    </row>
    <row r="67" spans="1:34" ht="13.8">
      <c r="A67" s="4298" t="s">
        <v>568</v>
      </c>
      <c r="B67" s="4298"/>
      <c r="C67" s="4298"/>
      <c r="D67" s="142"/>
      <c r="E67" s="429"/>
      <c r="F67" s="142"/>
      <c r="G67" s="142"/>
      <c r="H67" s="142"/>
      <c r="I67" s="142"/>
      <c r="J67" s="142"/>
      <c r="K67" s="142"/>
      <c r="L67" s="142"/>
      <c r="M67" s="570"/>
      <c r="N67" s="142"/>
      <c r="O67" s="142"/>
      <c r="P67" s="142"/>
      <c r="Q67" s="142"/>
      <c r="R67" s="142"/>
      <c r="S67" s="142"/>
      <c r="T67" s="142"/>
      <c r="U67" s="142"/>
      <c r="V67" s="142"/>
      <c r="W67" s="142"/>
      <c r="X67" s="142"/>
      <c r="Y67" s="142"/>
      <c r="Z67" s="142"/>
      <c r="AA67" s="142"/>
      <c r="AB67" s="142"/>
      <c r="AC67" s="142"/>
      <c r="AD67" s="142"/>
      <c r="AE67" s="142"/>
      <c r="AF67" s="142"/>
      <c r="AG67" s="142"/>
      <c r="AH67" s="571"/>
    </row>
    <row r="68" spans="1:34" ht="13.8">
      <c r="A68" s="572" t="s">
        <v>142</v>
      </c>
      <c r="B68" s="572" t="s">
        <v>143</v>
      </c>
      <c r="C68">
        <v>1</v>
      </c>
      <c r="D68" s="573">
        <v>2</v>
      </c>
      <c r="E68" s="573">
        <v>3</v>
      </c>
      <c r="F68" s="573">
        <v>4</v>
      </c>
      <c r="G68" s="573">
        <v>5</v>
      </c>
      <c r="H68" s="573">
        <v>6</v>
      </c>
      <c r="I68" s="573">
        <v>7</v>
      </c>
      <c r="J68" s="573">
        <v>8</v>
      </c>
      <c r="K68" s="573">
        <v>9</v>
      </c>
      <c r="L68" s="573">
        <v>10</v>
      </c>
      <c r="M68" s="573">
        <v>11</v>
      </c>
      <c r="N68" s="573">
        <v>12</v>
      </c>
      <c r="O68" s="573">
        <v>13</v>
      </c>
      <c r="P68" s="573">
        <v>14</v>
      </c>
      <c r="Q68" s="573">
        <v>15</v>
      </c>
      <c r="R68" s="573">
        <v>16</v>
      </c>
      <c r="S68" s="573">
        <v>17</v>
      </c>
      <c r="T68" s="573">
        <v>18</v>
      </c>
      <c r="U68" s="573">
        <v>19</v>
      </c>
      <c r="V68" s="573">
        <v>20</v>
      </c>
      <c r="W68" s="509">
        <v>21</v>
      </c>
      <c r="X68" s="573">
        <v>22</v>
      </c>
      <c r="Y68" s="573">
        <v>23</v>
      </c>
      <c r="Z68" s="573">
        <v>24</v>
      </c>
      <c r="AA68" s="573">
        <v>25</v>
      </c>
      <c r="AB68" s="573">
        <v>26</v>
      </c>
      <c r="AC68" s="573">
        <v>27</v>
      </c>
      <c r="AD68" s="573">
        <v>28</v>
      </c>
      <c r="AE68" s="573">
        <v>29</v>
      </c>
      <c r="AF68" s="573">
        <v>30</v>
      </c>
      <c r="AG68" s="573">
        <v>31</v>
      </c>
      <c r="AH68" s="575" t="s">
        <v>111</v>
      </c>
    </row>
    <row r="69" spans="1:34" ht="13.8">
      <c r="A69" s="574" t="s">
        <v>145</v>
      </c>
      <c r="B69" s="480">
        <f>+AH69/1000</f>
        <v>147.922</v>
      </c>
      <c r="C69" s="576">
        <v>0</v>
      </c>
      <c r="D69" s="576">
        <v>17938</v>
      </c>
      <c r="E69" s="576">
        <v>7933</v>
      </c>
      <c r="F69" s="576">
        <v>0</v>
      </c>
      <c r="G69" s="576">
        <v>1920</v>
      </c>
      <c r="H69" s="576">
        <v>7996</v>
      </c>
      <c r="I69" s="576">
        <v>14011</v>
      </c>
      <c r="J69" s="576">
        <v>8360</v>
      </c>
      <c r="K69" s="576">
        <v>10355</v>
      </c>
      <c r="L69" s="576">
        <v>4848</v>
      </c>
      <c r="M69" s="576">
        <v>0</v>
      </c>
      <c r="N69" s="576">
        <v>857</v>
      </c>
      <c r="O69" s="576">
        <v>0</v>
      </c>
      <c r="P69" s="576">
        <v>1280</v>
      </c>
      <c r="Q69" s="576">
        <v>2969</v>
      </c>
      <c r="R69" s="576">
        <v>2217</v>
      </c>
      <c r="S69" s="576">
        <v>624</v>
      </c>
      <c r="T69" s="576">
        <v>3540</v>
      </c>
      <c r="U69" s="576">
        <v>9439</v>
      </c>
      <c r="V69" s="576">
        <v>1927</v>
      </c>
      <c r="W69" s="576">
        <v>1820</v>
      </c>
      <c r="X69" s="576">
        <v>13975</v>
      </c>
      <c r="Y69" s="576">
        <v>9032</v>
      </c>
      <c r="Z69" s="576">
        <v>2566</v>
      </c>
      <c r="AA69" s="576">
        <v>9636</v>
      </c>
      <c r="AB69" s="576">
        <v>1835</v>
      </c>
      <c r="AC69" s="576">
        <v>2030</v>
      </c>
      <c r="AD69" s="576">
        <v>22</v>
      </c>
      <c r="AE69" s="576">
        <v>708</v>
      </c>
      <c r="AF69" s="576">
        <v>10084</v>
      </c>
      <c r="AG69" s="576">
        <v>0</v>
      </c>
      <c r="AH69" s="577">
        <f>SUM(C69:AG69)</f>
        <v>147922</v>
      </c>
    </row>
    <row r="70" spans="1:34" ht="13.8">
      <c r="A70" s="574" t="s">
        <v>146</v>
      </c>
      <c r="B70" s="480">
        <f t="shared" ref="B70:B80" si="12">+AH70/1000</f>
        <v>153.70500000000001</v>
      </c>
      <c r="C70" s="576">
        <v>270</v>
      </c>
      <c r="D70" s="576">
        <v>1409</v>
      </c>
      <c r="E70" s="576">
        <v>0</v>
      </c>
      <c r="F70" s="576">
        <v>650</v>
      </c>
      <c r="G70" s="576">
        <v>3569</v>
      </c>
      <c r="H70" s="576">
        <v>1178</v>
      </c>
      <c r="I70" s="576">
        <v>403</v>
      </c>
      <c r="J70" s="576">
        <v>4148</v>
      </c>
      <c r="K70" s="576">
        <v>2193</v>
      </c>
      <c r="L70" s="576">
        <v>7071</v>
      </c>
      <c r="M70" s="576">
        <v>3144</v>
      </c>
      <c r="N70" s="576">
        <v>6905</v>
      </c>
      <c r="O70" s="576">
        <v>4731</v>
      </c>
      <c r="P70" s="576">
        <v>2059</v>
      </c>
      <c r="Q70" s="576">
        <v>7552</v>
      </c>
      <c r="R70" s="576">
        <v>22350</v>
      </c>
      <c r="S70" s="576">
        <v>10660</v>
      </c>
      <c r="T70" s="576">
        <v>16067</v>
      </c>
      <c r="U70" s="576">
        <v>2365</v>
      </c>
      <c r="V70" s="576">
        <v>9752</v>
      </c>
      <c r="W70" s="576">
        <v>14385</v>
      </c>
      <c r="X70" s="576">
        <v>4878</v>
      </c>
      <c r="Y70" s="576">
        <v>994</v>
      </c>
      <c r="Z70" s="576">
        <v>965</v>
      </c>
      <c r="AA70" s="576">
        <v>5119</v>
      </c>
      <c r="AB70" s="576">
        <v>1602</v>
      </c>
      <c r="AC70" s="576">
        <v>2215</v>
      </c>
      <c r="AD70" s="576">
        <v>8619</v>
      </c>
      <c r="AE70" s="576">
        <v>8452</v>
      </c>
      <c r="AF70" s="576">
        <v>0</v>
      </c>
      <c r="AG70" s="576">
        <v>0</v>
      </c>
      <c r="AH70" s="577">
        <f t="shared" ref="AH70:AH80" si="13">SUM(C70:AG70)</f>
        <v>153705</v>
      </c>
    </row>
    <row r="71" spans="1:34" ht="13.8">
      <c r="A71" s="574" t="s">
        <v>147</v>
      </c>
      <c r="B71" s="480">
        <f t="shared" si="12"/>
        <v>204.852</v>
      </c>
      <c r="C71" s="866">
        <v>1745</v>
      </c>
      <c r="D71" s="866">
        <v>0</v>
      </c>
      <c r="E71" s="866">
        <v>2505</v>
      </c>
      <c r="F71" s="866">
        <v>9412</v>
      </c>
      <c r="G71" s="866">
        <v>10879</v>
      </c>
      <c r="H71" s="866">
        <v>8806</v>
      </c>
      <c r="I71" s="866">
        <v>3820</v>
      </c>
      <c r="J71" s="866">
        <v>21853</v>
      </c>
      <c r="K71" s="866">
        <v>6258</v>
      </c>
      <c r="L71" s="866">
        <v>21160</v>
      </c>
      <c r="M71" s="866">
        <v>2145</v>
      </c>
      <c r="N71" s="866">
        <v>8151</v>
      </c>
      <c r="O71" s="866">
        <v>7528</v>
      </c>
      <c r="P71" s="866">
        <v>3550</v>
      </c>
      <c r="Q71" s="866">
        <v>4370</v>
      </c>
      <c r="R71" s="866">
        <v>10867</v>
      </c>
      <c r="S71" s="866">
        <v>8904</v>
      </c>
      <c r="T71" s="866">
        <v>772</v>
      </c>
      <c r="U71" s="866">
        <v>7197</v>
      </c>
      <c r="V71" s="866">
        <v>17733</v>
      </c>
      <c r="W71" s="866">
        <v>2843</v>
      </c>
      <c r="X71" s="866">
        <v>2318</v>
      </c>
      <c r="Y71" s="866">
        <v>300</v>
      </c>
      <c r="Z71" s="866">
        <v>10216</v>
      </c>
      <c r="AA71" s="866">
        <v>5547</v>
      </c>
      <c r="AB71" s="866">
        <v>142</v>
      </c>
      <c r="AC71" s="866">
        <v>4097</v>
      </c>
      <c r="AD71" s="866">
        <v>7584</v>
      </c>
      <c r="AE71" s="866">
        <v>11238</v>
      </c>
      <c r="AF71" s="866">
        <v>1557</v>
      </c>
      <c r="AG71" s="866">
        <v>1355</v>
      </c>
      <c r="AH71" s="577">
        <f t="shared" si="13"/>
        <v>204852</v>
      </c>
    </row>
    <row r="72" spans="1:34" ht="13.8">
      <c r="A72" s="574" t="s">
        <v>148</v>
      </c>
      <c r="B72" s="480">
        <f t="shared" si="12"/>
        <v>233.541</v>
      </c>
      <c r="C72" s="866">
        <v>2368</v>
      </c>
      <c r="D72" s="866">
        <v>3231</v>
      </c>
      <c r="E72" s="866">
        <v>910</v>
      </c>
      <c r="F72" s="866">
        <v>2380</v>
      </c>
      <c r="G72" s="866">
        <v>0</v>
      </c>
      <c r="H72" s="866">
        <v>2234</v>
      </c>
      <c r="I72" s="866">
        <v>2531</v>
      </c>
      <c r="J72" s="866">
        <v>4209</v>
      </c>
      <c r="K72" s="866">
        <v>20694</v>
      </c>
      <c r="L72" s="866">
        <v>8217</v>
      </c>
      <c r="M72" s="866">
        <v>17208</v>
      </c>
      <c r="N72" s="866">
        <v>11839</v>
      </c>
      <c r="O72" s="866">
        <v>6662</v>
      </c>
      <c r="P72" s="866">
        <v>4591</v>
      </c>
      <c r="Q72" s="866">
        <v>3304</v>
      </c>
      <c r="R72" s="866">
        <v>3226</v>
      </c>
      <c r="S72" s="866">
        <v>8530</v>
      </c>
      <c r="T72" s="866">
        <v>4936</v>
      </c>
      <c r="U72" s="866">
        <v>5746</v>
      </c>
      <c r="V72" s="866">
        <v>11567</v>
      </c>
      <c r="W72" s="866">
        <v>14552</v>
      </c>
      <c r="X72" s="866">
        <v>4305</v>
      </c>
      <c r="Y72" s="866">
        <v>11309</v>
      </c>
      <c r="Z72" s="866">
        <v>12688</v>
      </c>
      <c r="AA72" s="866">
        <v>27643</v>
      </c>
      <c r="AB72" s="866">
        <v>15681</v>
      </c>
      <c r="AC72" s="866">
        <v>7175</v>
      </c>
      <c r="AD72" s="866">
        <v>5073</v>
      </c>
      <c r="AE72" s="866">
        <v>0</v>
      </c>
      <c r="AF72" s="866">
        <v>10732</v>
      </c>
      <c r="AG72" s="866">
        <v>0</v>
      </c>
      <c r="AH72" s="577">
        <f t="shared" si="13"/>
        <v>233541</v>
      </c>
    </row>
    <row r="73" spans="1:34" ht="13.8">
      <c r="A73" s="603" t="s">
        <v>149</v>
      </c>
      <c r="B73" s="480">
        <f t="shared" si="12"/>
        <v>165.761</v>
      </c>
      <c r="C73" s="866">
        <v>6306</v>
      </c>
      <c r="D73" s="866">
        <v>9089</v>
      </c>
      <c r="E73" s="866">
        <v>5717</v>
      </c>
      <c r="F73" s="866">
        <v>763</v>
      </c>
      <c r="G73" s="866">
        <v>3686</v>
      </c>
      <c r="H73" s="866">
        <v>13799</v>
      </c>
      <c r="I73" s="866">
        <v>13970</v>
      </c>
      <c r="J73" s="866">
        <v>18196</v>
      </c>
      <c r="K73" s="866">
        <v>7110</v>
      </c>
      <c r="L73" s="866">
        <v>3890</v>
      </c>
      <c r="M73" s="866">
        <v>2031</v>
      </c>
      <c r="N73" s="866">
        <v>8664</v>
      </c>
      <c r="O73" s="866">
        <v>0</v>
      </c>
      <c r="P73" s="866">
        <v>10104</v>
      </c>
      <c r="Q73" s="866">
        <v>1087</v>
      </c>
      <c r="R73" s="866">
        <v>14728</v>
      </c>
      <c r="S73" s="866">
        <v>325</v>
      </c>
      <c r="T73" s="866">
        <v>1007</v>
      </c>
      <c r="U73" s="866">
        <v>0</v>
      </c>
      <c r="V73" s="866">
        <v>3864</v>
      </c>
      <c r="W73" s="866">
        <v>1417</v>
      </c>
      <c r="X73" s="866">
        <v>6476</v>
      </c>
      <c r="Y73" s="866">
        <v>4923</v>
      </c>
      <c r="Z73" s="866">
        <v>4021</v>
      </c>
      <c r="AA73" s="866">
        <v>800</v>
      </c>
      <c r="AB73" s="866">
        <v>8074</v>
      </c>
      <c r="AC73" s="866">
        <v>7100</v>
      </c>
      <c r="AD73" s="866">
        <v>511</v>
      </c>
      <c r="AE73" s="866">
        <v>3556</v>
      </c>
      <c r="AF73" s="866">
        <v>1398</v>
      </c>
      <c r="AG73" s="866">
        <v>3149</v>
      </c>
      <c r="AH73" s="577">
        <f t="shared" si="13"/>
        <v>165761</v>
      </c>
    </row>
    <row r="74" spans="1:34" ht="13.8">
      <c r="A74" s="603" t="s">
        <v>150</v>
      </c>
      <c r="B74" s="480">
        <f t="shared" si="12"/>
        <v>189.60300000000001</v>
      </c>
      <c r="C74" s="578">
        <v>3510</v>
      </c>
      <c r="D74" s="579">
        <v>6458</v>
      </c>
      <c r="E74" s="579">
        <v>1191</v>
      </c>
      <c r="F74" s="579">
        <v>430</v>
      </c>
      <c r="G74" s="579">
        <v>4058</v>
      </c>
      <c r="H74" s="579">
        <v>15369</v>
      </c>
      <c r="I74" s="579">
        <v>4468</v>
      </c>
      <c r="J74" s="579">
        <v>6230</v>
      </c>
      <c r="K74" s="579">
        <v>9249</v>
      </c>
      <c r="L74" s="579">
        <v>6710</v>
      </c>
      <c r="M74" s="579">
        <v>18798</v>
      </c>
      <c r="N74" s="579">
        <v>7999</v>
      </c>
      <c r="O74" s="579">
        <v>6996</v>
      </c>
      <c r="P74" s="579">
        <v>4491</v>
      </c>
      <c r="Q74" s="579">
        <v>4770</v>
      </c>
      <c r="R74" s="579">
        <v>12590</v>
      </c>
      <c r="S74" s="579">
        <v>5080</v>
      </c>
      <c r="T74" s="579">
        <v>6316</v>
      </c>
      <c r="U74" s="579">
        <v>13434</v>
      </c>
      <c r="V74" s="579">
        <v>3545</v>
      </c>
      <c r="W74" s="579">
        <v>4875</v>
      </c>
      <c r="X74" s="579">
        <v>3438</v>
      </c>
      <c r="Y74" s="579">
        <v>5699</v>
      </c>
      <c r="Z74" s="579">
        <v>5852</v>
      </c>
      <c r="AA74" s="579">
        <v>5254</v>
      </c>
      <c r="AB74" s="579">
        <v>3365</v>
      </c>
      <c r="AC74" s="579">
        <v>8249</v>
      </c>
      <c r="AD74" s="579">
        <v>5324</v>
      </c>
      <c r="AE74" s="579">
        <v>4221</v>
      </c>
      <c r="AF74" s="579">
        <v>1634</v>
      </c>
      <c r="AG74" s="579">
        <v>0</v>
      </c>
      <c r="AH74" s="577">
        <f t="shared" si="13"/>
        <v>189603</v>
      </c>
    </row>
    <row r="75" spans="1:34" ht="13.8">
      <c r="A75" s="603" t="s">
        <v>151</v>
      </c>
      <c r="B75" s="480">
        <f t="shared" si="12"/>
        <v>289.29899999999998</v>
      </c>
      <c r="C75" s="578">
        <v>5636</v>
      </c>
      <c r="D75" s="579">
        <v>9149</v>
      </c>
      <c r="E75" s="579">
        <v>7789</v>
      </c>
      <c r="F75" s="579">
        <v>31307</v>
      </c>
      <c r="G75" s="579">
        <v>34054</v>
      </c>
      <c r="H75" s="579">
        <v>4975</v>
      </c>
      <c r="I75" s="579">
        <v>6924</v>
      </c>
      <c r="J75" s="579">
        <v>12952</v>
      </c>
      <c r="K75" s="579">
        <v>24594</v>
      </c>
      <c r="L75" s="579">
        <v>9109</v>
      </c>
      <c r="M75" s="579">
        <v>8477</v>
      </c>
      <c r="N75" s="579">
        <v>15744</v>
      </c>
      <c r="O75" s="579">
        <v>1485</v>
      </c>
      <c r="P75" s="579">
        <v>3815</v>
      </c>
      <c r="Q75" s="579">
        <v>1135</v>
      </c>
      <c r="R75" s="579">
        <v>700</v>
      </c>
      <c r="S75" s="579">
        <v>3420</v>
      </c>
      <c r="T75" s="579">
        <v>3319</v>
      </c>
      <c r="U75" s="579">
        <v>3426</v>
      </c>
      <c r="V75" s="579">
        <v>13725</v>
      </c>
      <c r="W75" s="579">
        <v>8954</v>
      </c>
      <c r="X75" s="579">
        <v>4724</v>
      </c>
      <c r="Y75" s="579">
        <v>5795</v>
      </c>
      <c r="Z75" s="579">
        <v>4105</v>
      </c>
      <c r="AA75" s="579">
        <v>11361</v>
      </c>
      <c r="AB75" s="579">
        <v>22734</v>
      </c>
      <c r="AC75" s="579">
        <v>13223</v>
      </c>
      <c r="AD75" s="579">
        <v>7365</v>
      </c>
      <c r="AE75" s="579">
        <v>2527</v>
      </c>
      <c r="AF75" s="579">
        <v>5406</v>
      </c>
      <c r="AG75" s="579">
        <v>1370</v>
      </c>
      <c r="AH75" s="577">
        <f t="shared" si="13"/>
        <v>289299</v>
      </c>
    </row>
    <row r="76" spans="1:34" ht="13.8">
      <c r="A76" s="603" t="s">
        <v>152</v>
      </c>
      <c r="B76" s="480">
        <f t="shared" si="12"/>
        <v>404.63799999999998</v>
      </c>
      <c r="C76" s="578">
        <v>16878</v>
      </c>
      <c r="D76" s="579">
        <v>4392</v>
      </c>
      <c r="E76" s="579">
        <v>9079</v>
      </c>
      <c r="F76" s="579">
        <v>13786</v>
      </c>
      <c r="G76" s="579">
        <v>24404</v>
      </c>
      <c r="H76" s="579">
        <v>13178</v>
      </c>
      <c r="I76" s="579">
        <v>33954</v>
      </c>
      <c r="J76" s="579">
        <v>23561</v>
      </c>
      <c r="K76" s="579">
        <v>0</v>
      </c>
      <c r="L76" s="579">
        <v>1674</v>
      </c>
      <c r="M76" s="579">
        <v>8330</v>
      </c>
      <c r="N76" s="579">
        <v>10182</v>
      </c>
      <c r="O76" s="579">
        <v>0</v>
      </c>
      <c r="P76" s="579">
        <v>8112</v>
      </c>
      <c r="Q76" s="579">
        <v>27793</v>
      </c>
      <c r="R76" s="579">
        <v>3688</v>
      </c>
      <c r="S76" s="579">
        <v>9947</v>
      </c>
      <c r="T76" s="579">
        <v>20714</v>
      </c>
      <c r="U76" s="579">
        <v>41505</v>
      </c>
      <c r="V76" s="579">
        <v>36832</v>
      </c>
      <c r="W76" s="579">
        <v>25640</v>
      </c>
      <c r="X76" s="579">
        <v>1823</v>
      </c>
      <c r="Y76" s="579">
        <v>2850</v>
      </c>
      <c r="Z76" s="579">
        <v>26095</v>
      </c>
      <c r="AA76" s="579">
        <v>6220</v>
      </c>
      <c r="AB76" s="579">
        <v>1864</v>
      </c>
      <c r="AC76" s="579">
        <v>13483</v>
      </c>
      <c r="AD76" s="579">
        <v>7842</v>
      </c>
      <c r="AE76" s="579">
        <v>8061</v>
      </c>
      <c r="AF76" s="579">
        <v>742</v>
      </c>
      <c r="AG76" s="579">
        <v>2009</v>
      </c>
      <c r="AH76" s="577">
        <f t="shared" si="13"/>
        <v>404638</v>
      </c>
    </row>
    <row r="77" spans="1:34" ht="13.8">
      <c r="A77" s="604" t="s">
        <v>153</v>
      </c>
      <c r="B77" s="480">
        <f t="shared" si="12"/>
        <v>294.47899999999998</v>
      </c>
      <c r="C77" s="866">
        <v>15320</v>
      </c>
      <c r="D77" s="866">
        <v>19545</v>
      </c>
      <c r="E77" s="866">
        <v>29462</v>
      </c>
      <c r="F77" s="866">
        <v>9083</v>
      </c>
      <c r="G77" s="866">
        <v>4938</v>
      </c>
      <c r="H77" s="866">
        <v>9457</v>
      </c>
      <c r="I77" s="866">
        <v>15764</v>
      </c>
      <c r="J77" s="866">
        <v>6732</v>
      </c>
      <c r="K77" s="866">
        <v>9365</v>
      </c>
      <c r="L77" s="866">
        <v>17621</v>
      </c>
      <c r="M77" s="866">
        <v>4303</v>
      </c>
      <c r="N77" s="866">
        <v>16446</v>
      </c>
      <c r="O77" s="866">
        <v>8133</v>
      </c>
      <c r="P77" s="866">
        <v>3228</v>
      </c>
      <c r="Q77" s="866">
        <v>1812</v>
      </c>
      <c r="R77" s="866">
        <v>3205</v>
      </c>
      <c r="S77" s="866">
        <v>2300</v>
      </c>
      <c r="T77" s="866">
        <v>0</v>
      </c>
      <c r="U77" s="866">
        <v>0</v>
      </c>
      <c r="V77" s="866">
        <v>7911</v>
      </c>
      <c r="W77" s="866">
        <v>24738</v>
      </c>
      <c r="X77" s="866">
        <v>10592</v>
      </c>
      <c r="Y77" s="866">
        <v>3892</v>
      </c>
      <c r="Z77" s="866">
        <v>15187</v>
      </c>
      <c r="AA77" s="866">
        <v>18490</v>
      </c>
      <c r="AB77" s="866">
        <v>4700</v>
      </c>
      <c r="AC77" s="866">
        <v>4169</v>
      </c>
      <c r="AD77" s="866">
        <v>3100</v>
      </c>
      <c r="AE77" s="866">
        <v>11259</v>
      </c>
      <c r="AF77" s="866">
        <v>13727</v>
      </c>
      <c r="AG77" s="866">
        <v>0</v>
      </c>
      <c r="AH77" s="577">
        <f t="shared" si="13"/>
        <v>294479</v>
      </c>
    </row>
    <row r="78" spans="1:34" ht="13.8">
      <c r="A78" s="604" t="s">
        <v>154</v>
      </c>
      <c r="B78" s="480">
        <f t="shared" si="12"/>
        <v>254.08199999999999</v>
      </c>
      <c r="C78" s="866">
        <v>1186</v>
      </c>
      <c r="D78" s="866">
        <v>4814</v>
      </c>
      <c r="E78" s="866">
        <v>0</v>
      </c>
      <c r="F78" s="866">
        <v>18973</v>
      </c>
      <c r="G78" s="866">
        <v>5704</v>
      </c>
      <c r="H78" s="866">
        <v>387</v>
      </c>
      <c r="I78" s="866">
        <v>3879</v>
      </c>
      <c r="J78" s="866">
        <v>15996</v>
      </c>
      <c r="K78" s="866">
        <v>9448</v>
      </c>
      <c r="L78" s="866">
        <v>13371</v>
      </c>
      <c r="M78" s="866">
        <v>12300</v>
      </c>
      <c r="N78" s="866">
        <v>3249</v>
      </c>
      <c r="O78" s="866">
        <v>30754</v>
      </c>
      <c r="P78" s="866">
        <v>7720</v>
      </c>
      <c r="Q78" s="866">
        <v>0</v>
      </c>
      <c r="R78" s="866">
        <v>7714</v>
      </c>
      <c r="S78" s="866">
        <v>1745</v>
      </c>
      <c r="T78" s="866">
        <v>17244</v>
      </c>
      <c r="U78" s="866">
        <v>13988</v>
      </c>
      <c r="V78" s="866">
        <v>23173</v>
      </c>
      <c r="W78" s="866">
        <v>23667</v>
      </c>
      <c r="X78" s="866">
        <v>7616</v>
      </c>
      <c r="Y78" s="866">
        <v>2673</v>
      </c>
      <c r="Z78" s="866">
        <v>0</v>
      </c>
      <c r="AA78" s="866">
        <v>3760</v>
      </c>
      <c r="AB78" s="866">
        <v>2800</v>
      </c>
      <c r="AC78" s="866">
        <v>10266</v>
      </c>
      <c r="AD78" s="866">
        <v>0</v>
      </c>
      <c r="AE78" s="866">
        <v>6955</v>
      </c>
      <c r="AF78" s="866">
        <v>4700</v>
      </c>
      <c r="AG78" s="866">
        <v>0</v>
      </c>
      <c r="AH78" s="577">
        <f t="shared" si="13"/>
        <v>254082</v>
      </c>
    </row>
    <row r="79" spans="1:34" ht="13.8">
      <c r="A79" s="604" t="s">
        <v>155</v>
      </c>
      <c r="B79" s="480">
        <f t="shared" si="12"/>
        <v>347.12099999999998</v>
      </c>
      <c r="C79" s="578">
        <v>415</v>
      </c>
      <c r="D79" s="579">
        <v>52</v>
      </c>
      <c r="E79" s="579">
        <v>0</v>
      </c>
      <c r="F79" s="579">
        <v>15934</v>
      </c>
      <c r="G79" s="579">
        <v>0</v>
      </c>
      <c r="H79" s="579">
        <v>4268</v>
      </c>
      <c r="I79" s="579">
        <v>1970</v>
      </c>
      <c r="J79" s="579">
        <v>16295</v>
      </c>
      <c r="K79" s="579">
        <v>17341</v>
      </c>
      <c r="L79" s="579">
        <v>18791</v>
      </c>
      <c r="M79" s="579">
        <v>17398</v>
      </c>
      <c r="N79" s="579">
        <v>4580</v>
      </c>
      <c r="O79" s="579">
        <v>750</v>
      </c>
      <c r="P79" s="579">
        <v>14485</v>
      </c>
      <c r="Q79" s="579">
        <v>9874</v>
      </c>
      <c r="R79" s="579">
        <v>11572</v>
      </c>
      <c r="S79" s="579">
        <v>16130</v>
      </c>
      <c r="T79" s="579">
        <v>7171</v>
      </c>
      <c r="U79" s="579">
        <v>26632</v>
      </c>
      <c r="V79" s="579">
        <v>13912</v>
      </c>
      <c r="W79" s="579">
        <v>17904</v>
      </c>
      <c r="X79" s="579">
        <v>7920</v>
      </c>
      <c r="Y79" s="579">
        <v>680</v>
      </c>
      <c r="Z79" s="579">
        <v>0</v>
      </c>
      <c r="AA79" s="579">
        <v>4405</v>
      </c>
      <c r="AB79" s="579">
        <v>16875</v>
      </c>
      <c r="AC79" s="579">
        <v>15309</v>
      </c>
      <c r="AD79" s="579">
        <v>18414</v>
      </c>
      <c r="AE79" s="579">
        <v>33288</v>
      </c>
      <c r="AF79" s="579">
        <v>34756</v>
      </c>
      <c r="AG79" s="579">
        <v>0</v>
      </c>
      <c r="AH79" s="577">
        <f t="shared" si="13"/>
        <v>347121</v>
      </c>
    </row>
    <row r="80" spans="1:34" ht="13.8">
      <c r="A80" s="604" t="s">
        <v>156</v>
      </c>
      <c r="B80" s="480">
        <f t="shared" si="12"/>
        <v>230.04599999999999</v>
      </c>
      <c r="C80" s="578">
        <v>15721</v>
      </c>
      <c r="D80" s="579">
        <v>27174</v>
      </c>
      <c r="E80" s="579">
        <v>3942</v>
      </c>
      <c r="F80" s="579">
        <v>5900</v>
      </c>
      <c r="G80" s="579">
        <v>9279</v>
      </c>
      <c r="H80" s="579">
        <v>15117</v>
      </c>
      <c r="I80" s="579">
        <v>8958</v>
      </c>
      <c r="J80" s="579">
        <v>2490</v>
      </c>
      <c r="K80" s="579">
        <v>600</v>
      </c>
      <c r="L80" s="579">
        <v>30326</v>
      </c>
      <c r="M80" s="579">
        <v>17894</v>
      </c>
      <c r="N80" s="579">
        <v>17276</v>
      </c>
      <c r="O80" s="579">
        <v>19473</v>
      </c>
      <c r="P80" s="579">
        <v>14833</v>
      </c>
      <c r="Q80" s="579">
        <v>32382</v>
      </c>
      <c r="R80" s="579">
        <v>0</v>
      </c>
      <c r="S80" s="579">
        <v>8681</v>
      </c>
      <c r="T80" s="579">
        <v>0</v>
      </c>
      <c r="U80" s="579">
        <v>0</v>
      </c>
      <c r="V80" s="579">
        <v>0</v>
      </c>
      <c r="W80" s="579">
        <v>0</v>
      </c>
      <c r="X80" s="579">
        <v>0</v>
      </c>
      <c r="Y80" s="579">
        <v>0</v>
      </c>
      <c r="Z80" s="579">
        <v>0</v>
      </c>
      <c r="AA80" s="579">
        <v>0</v>
      </c>
      <c r="AB80" s="579">
        <v>0</v>
      </c>
      <c r="AC80" s="579">
        <v>0</v>
      </c>
      <c r="AD80" s="579">
        <v>0</v>
      </c>
      <c r="AE80" s="579">
        <v>0</v>
      </c>
      <c r="AF80" s="579">
        <v>0</v>
      </c>
      <c r="AG80" s="579">
        <v>0</v>
      </c>
      <c r="AH80" s="577">
        <f t="shared" si="13"/>
        <v>230046</v>
      </c>
    </row>
    <row r="81" spans="1:34" ht="13.8">
      <c r="A81" s="580" t="s">
        <v>111</v>
      </c>
      <c r="B81" s="580">
        <f t="shared" ref="B81:AH81" si="14">SUM(B69:B80)</f>
        <v>2915.0489999999995</v>
      </c>
      <c r="C81" s="581">
        <f t="shared" si="14"/>
        <v>69355</v>
      </c>
      <c r="D81" s="581">
        <f t="shared" si="14"/>
        <v>103251</v>
      </c>
      <c r="E81" s="581">
        <f t="shared" si="14"/>
        <v>68528</v>
      </c>
      <c r="F81" s="581">
        <f t="shared" si="14"/>
        <v>108618</v>
      </c>
      <c r="G81" s="581">
        <f t="shared" si="14"/>
        <v>102491</v>
      </c>
      <c r="H81" s="581">
        <f t="shared" si="14"/>
        <v>96764</v>
      </c>
      <c r="I81" s="581">
        <f t="shared" si="14"/>
        <v>110652</v>
      </c>
      <c r="J81" s="581">
        <f t="shared" si="14"/>
        <v>141022</v>
      </c>
      <c r="K81" s="581">
        <f t="shared" si="14"/>
        <v>117207</v>
      </c>
      <c r="L81" s="581">
        <f t="shared" si="14"/>
        <v>142788</v>
      </c>
      <c r="M81" s="581">
        <f t="shared" si="14"/>
        <v>112028</v>
      </c>
      <c r="N81" s="581">
        <f t="shared" si="14"/>
        <v>111892</v>
      </c>
      <c r="O81" s="581">
        <f t="shared" si="14"/>
        <v>86512</v>
      </c>
      <c r="P81" s="581">
        <f t="shared" si="14"/>
        <v>78268</v>
      </c>
      <c r="Q81" s="581">
        <f t="shared" si="14"/>
        <v>97048</v>
      </c>
      <c r="R81" s="581">
        <f t="shared" si="14"/>
        <v>92857</v>
      </c>
      <c r="S81" s="581">
        <f t="shared" si="14"/>
        <v>76346</v>
      </c>
      <c r="T81" s="581">
        <f t="shared" si="14"/>
        <v>81086</v>
      </c>
      <c r="U81" s="581">
        <f t="shared" si="14"/>
        <v>123732</v>
      </c>
      <c r="V81" s="581">
        <f t="shared" si="14"/>
        <v>143941</v>
      </c>
      <c r="W81" s="581">
        <f t="shared" si="14"/>
        <v>140795</v>
      </c>
      <c r="X81" s="581">
        <f t="shared" si="14"/>
        <v>68065</v>
      </c>
      <c r="Y81" s="581">
        <f t="shared" si="14"/>
        <v>48147</v>
      </c>
      <c r="Z81" s="581">
        <f t="shared" si="14"/>
        <v>81695</v>
      </c>
      <c r="AA81" s="581">
        <f t="shared" si="14"/>
        <v>98235</v>
      </c>
      <c r="AB81" s="581">
        <f t="shared" si="14"/>
        <v>79672</v>
      </c>
      <c r="AC81" s="581">
        <f t="shared" si="14"/>
        <v>87316</v>
      </c>
      <c r="AD81" s="581">
        <f t="shared" si="14"/>
        <v>63854</v>
      </c>
      <c r="AE81" s="581">
        <f t="shared" si="14"/>
        <v>90265</v>
      </c>
      <c r="AF81" s="581">
        <f t="shared" si="14"/>
        <v>84736</v>
      </c>
      <c r="AG81" s="581">
        <f t="shared" si="14"/>
        <v>7883</v>
      </c>
      <c r="AH81" s="577">
        <f t="shared" si="14"/>
        <v>2915049</v>
      </c>
    </row>
    <row r="82" spans="1:34">
      <c r="A82" s="510"/>
      <c r="B82" s="510"/>
      <c r="C82" s="510"/>
      <c r="D82" s="510"/>
      <c r="E82" s="510"/>
      <c r="F82" s="510"/>
      <c r="G82" s="510"/>
      <c r="H82" s="510"/>
      <c r="I82" s="510"/>
      <c r="J82" s="510"/>
      <c r="K82" s="510"/>
      <c r="L82" s="510"/>
      <c r="M82" s="510"/>
      <c r="N82" s="510"/>
      <c r="O82" s="510"/>
      <c r="P82" s="510"/>
      <c r="Q82" s="510"/>
      <c r="R82" s="510"/>
      <c r="S82" s="510"/>
      <c r="T82" s="510"/>
      <c r="U82" s="510"/>
      <c r="V82" s="510"/>
      <c r="W82" s="510"/>
      <c r="X82" s="510"/>
      <c r="Y82" s="510"/>
      <c r="Z82" s="510"/>
      <c r="AA82" s="510"/>
      <c r="AB82" s="510"/>
      <c r="AC82" s="510"/>
      <c r="AD82" s="510"/>
      <c r="AE82" s="510"/>
      <c r="AF82" s="510"/>
      <c r="AG82" s="510"/>
      <c r="AH82" s="510"/>
    </row>
    <row r="83" spans="1:34" ht="13.8">
      <c r="A83" s="4298" t="s">
        <v>569</v>
      </c>
      <c r="B83" s="4298"/>
      <c r="C83" s="4298"/>
      <c r="D83" s="142"/>
      <c r="E83" s="429"/>
      <c r="F83" s="142"/>
      <c r="G83" s="142"/>
      <c r="H83" s="142"/>
      <c r="I83" s="142"/>
      <c r="J83" s="142"/>
      <c r="K83" s="142"/>
      <c r="L83" s="142"/>
      <c r="M83" s="570"/>
      <c r="N83" s="142"/>
      <c r="O83" s="142"/>
      <c r="P83" s="142"/>
      <c r="Q83" s="142"/>
      <c r="R83" s="142"/>
      <c r="S83" s="142"/>
      <c r="T83" s="142"/>
      <c r="U83" s="142"/>
      <c r="V83" s="142"/>
      <c r="W83" s="142"/>
      <c r="X83" s="142"/>
      <c r="Y83" s="142"/>
      <c r="Z83" s="142"/>
      <c r="AA83" s="142"/>
      <c r="AB83" s="142"/>
      <c r="AC83" s="142"/>
      <c r="AD83" s="142"/>
      <c r="AE83" s="142"/>
      <c r="AF83" s="142"/>
      <c r="AG83" s="142"/>
      <c r="AH83" s="571"/>
    </row>
    <row r="84" spans="1:34" ht="13.8">
      <c r="A84" s="572" t="s">
        <v>142</v>
      </c>
      <c r="B84" s="572" t="s">
        <v>143</v>
      </c>
      <c r="C84">
        <v>1</v>
      </c>
      <c r="D84" s="573">
        <v>2</v>
      </c>
      <c r="E84" s="573">
        <v>3</v>
      </c>
      <c r="F84" s="573">
        <v>4</v>
      </c>
      <c r="G84" s="573">
        <v>5</v>
      </c>
      <c r="H84" s="573">
        <v>6</v>
      </c>
      <c r="I84" s="573">
        <v>7</v>
      </c>
      <c r="J84" s="573">
        <v>8</v>
      </c>
      <c r="K84" s="573">
        <v>9</v>
      </c>
      <c r="L84" s="573">
        <v>10</v>
      </c>
      <c r="M84" s="573">
        <v>11</v>
      </c>
      <c r="N84" s="573">
        <v>12</v>
      </c>
      <c r="O84" s="573">
        <v>13</v>
      </c>
      <c r="P84" s="573">
        <v>14</v>
      </c>
      <c r="Q84" s="573">
        <v>15</v>
      </c>
      <c r="R84" s="573">
        <v>16</v>
      </c>
      <c r="S84" s="573">
        <v>17</v>
      </c>
      <c r="T84" s="573">
        <v>18</v>
      </c>
      <c r="U84" s="573">
        <v>19</v>
      </c>
      <c r="V84" s="573">
        <v>20</v>
      </c>
      <c r="W84" s="509">
        <v>21</v>
      </c>
      <c r="X84" s="573">
        <v>22</v>
      </c>
      <c r="Y84" s="573">
        <v>23</v>
      </c>
      <c r="Z84" s="573">
        <v>24</v>
      </c>
      <c r="AA84" s="573">
        <v>25</v>
      </c>
      <c r="AB84" s="573">
        <v>26</v>
      </c>
      <c r="AC84" s="573">
        <v>27</v>
      </c>
      <c r="AD84" s="573">
        <v>28</v>
      </c>
      <c r="AE84" s="573">
        <v>29</v>
      </c>
      <c r="AF84" s="573">
        <v>30</v>
      </c>
      <c r="AG84" s="573">
        <v>31</v>
      </c>
      <c r="AH84" s="575" t="s">
        <v>111</v>
      </c>
    </row>
    <row r="85" spans="1:34" ht="13.8">
      <c r="A85" s="574" t="s">
        <v>145</v>
      </c>
      <c r="B85" s="480">
        <f>+AH85/1000</f>
        <v>363.92700000000002</v>
      </c>
      <c r="C85" s="866">
        <v>0</v>
      </c>
      <c r="D85" s="866">
        <v>8000</v>
      </c>
      <c r="E85" s="866">
        <v>21055</v>
      </c>
      <c r="F85" s="866">
        <v>19030</v>
      </c>
      <c r="G85" s="866">
        <v>5812</v>
      </c>
      <c r="H85" s="866">
        <v>10034</v>
      </c>
      <c r="I85" s="866">
        <v>5238</v>
      </c>
      <c r="J85" s="866">
        <v>8507</v>
      </c>
      <c r="K85" s="866">
        <v>8892</v>
      </c>
      <c r="L85" s="866">
        <v>23364</v>
      </c>
      <c r="M85" s="866">
        <v>18978</v>
      </c>
      <c r="N85" s="866">
        <v>17963</v>
      </c>
      <c r="O85" s="866">
        <v>5598</v>
      </c>
      <c r="P85" s="866">
        <v>3739</v>
      </c>
      <c r="Q85" s="866">
        <v>11866</v>
      </c>
      <c r="R85" s="866">
        <v>19185</v>
      </c>
      <c r="S85" s="866">
        <v>11039</v>
      </c>
      <c r="T85" s="866">
        <v>15985</v>
      </c>
      <c r="U85" s="866">
        <v>44161</v>
      </c>
      <c r="V85" s="866">
        <v>2890</v>
      </c>
      <c r="W85" s="866">
        <v>0</v>
      </c>
      <c r="X85" s="866">
        <v>6600</v>
      </c>
      <c r="Y85" s="866">
        <v>16002</v>
      </c>
      <c r="Z85" s="866">
        <v>13610</v>
      </c>
      <c r="AA85" s="866">
        <v>12209</v>
      </c>
      <c r="AB85" s="866">
        <v>7470</v>
      </c>
      <c r="AC85" s="866">
        <v>215</v>
      </c>
      <c r="AD85" s="866">
        <v>340</v>
      </c>
      <c r="AE85" s="866">
        <v>4845</v>
      </c>
      <c r="AF85" s="866">
        <v>21333</v>
      </c>
      <c r="AG85" s="866">
        <v>19967</v>
      </c>
      <c r="AH85" s="577">
        <f>SUM(C85:AG85)</f>
        <v>363927</v>
      </c>
    </row>
    <row r="86" spans="1:34" ht="13.8">
      <c r="A86" s="574" t="s">
        <v>146</v>
      </c>
      <c r="B86" s="480">
        <f t="shared" ref="B86:B96" si="15">+AH86/1000</f>
        <v>367.60700000000003</v>
      </c>
      <c r="C86" s="576">
        <v>18417</v>
      </c>
      <c r="D86" s="576">
        <v>15920</v>
      </c>
      <c r="E86" s="576">
        <v>0</v>
      </c>
      <c r="F86" s="576">
        <v>4700</v>
      </c>
      <c r="G86" s="576">
        <v>7717</v>
      </c>
      <c r="H86" s="576">
        <v>19044</v>
      </c>
      <c r="I86" s="576">
        <v>20868</v>
      </c>
      <c r="J86" s="576">
        <v>19774</v>
      </c>
      <c r="K86" s="576">
        <v>4439</v>
      </c>
      <c r="L86" s="576">
        <v>271</v>
      </c>
      <c r="M86" s="576">
        <v>7158</v>
      </c>
      <c r="N86" s="576">
        <v>18765</v>
      </c>
      <c r="O86" s="576">
        <v>21599</v>
      </c>
      <c r="P86" s="576">
        <v>5380</v>
      </c>
      <c r="Q86" s="576">
        <v>7809</v>
      </c>
      <c r="R86" s="576">
        <v>35104</v>
      </c>
      <c r="S86" s="576">
        <v>9426</v>
      </c>
      <c r="T86" s="576">
        <v>12024</v>
      </c>
      <c r="U86" s="576">
        <v>5955</v>
      </c>
      <c r="V86" s="576">
        <v>20671</v>
      </c>
      <c r="W86" s="576">
        <v>7178</v>
      </c>
      <c r="X86" s="576">
        <v>24761</v>
      </c>
      <c r="Y86" s="576">
        <v>11296</v>
      </c>
      <c r="Z86" s="576">
        <v>5416</v>
      </c>
      <c r="AA86" s="576">
        <v>7353</v>
      </c>
      <c r="AB86" s="576">
        <v>12756</v>
      </c>
      <c r="AC86" s="576">
        <v>18141</v>
      </c>
      <c r="AD86" s="576">
        <v>8849</v>
      </c>
      <c r="AE86" s="576">
        <v>16816</v>
      </c>
      <c r="AF86" s="576">
        <v>0</v>
      </c>
      <c r="AG86" s="576">
        <v>0</v>
      </c>
      <c r="AH86" s="577">
        <f t="shared" ref="AH86:AH96" si="16">SUM(C86:AG86)</f>
        <v>367607</v>
      </c>
    </row>
    <row r="87" spans="1:34" ht="13.8">
      <c r="A87" s="574" t="s">
        <v>147</v>
      </c>
      <c r="B87" s="480">
        <f t="shared" si="15"/>
        <v>477.49900000000002</v>
      </c>
      <c r="C87" s="866">
        <v>24137</v>
      </c>
      <c r="D87" s="866">
        <v>19858</v>
      </c>
      <c r="E87" s="866">
        <v>6262</v>
      </c>
      <c r="F87" s="866">
        <v>29373</v>
      </c>
      <c r="G87" s="866">
        <v>26343</v>
      </c>
      <c r="H87" s="866">
        <v>18768</v>
      </c>
      <c r="I87" s="866">
        <v>14000</v>
      </c>
      <c r="J87" s="866">
        <v>24478</v>
      </c>
      <c r="K87" s="866">
        <v>16099</v>
      </c>
      <c r="L87" s="866">
        <v>18471</v>
      </c>
      <c r="M87" s="866">
        <v>3073</v>
      </c>
      <c r="N87" s="866">
        <v>15413</v>
      </c>
      <c r="O87" s="866">
        <v>5617</v>
      </c>
      <c r="P87" s="866">
        <v>11640</v>
      </c>
      <c r="Q87" s="866">
        <v>31314</v>
      </c>
      <c r="R87" s="866">
        <v>2722</v>
      </c>
      <c r="S87" s="866">
        <v>17124</v>
      </c>
      <c r="T87" s="866">
        <v>4232</v>
      </c>
      <c r="U87" s="866">
        <v>28798</v>
      </c>
      <c r="V87" s="866">
        <v>12944</v>
      </c>
      <c r="W87" s="866">
        <v>12287</v>
      </c>
      <c r="X87" s="866">
        <v>30583</v>
      </c>
      <c r="Y87" s="866">
        <v>10900</v>
      </c>
      <c r="Z87" s="866">
        <v>20456</v>
      </c>
      <c r="AA87" s="866">
        <v>4725</v>
      </c>
      <c r="AB87" s="866">
        <v>12711</v>
      </c>
      <c r="AC87" s="866">
        <v>15551</v>
      </c>
      <c r="AD87" s="866">
        <v>3670</v>
      </c>
      <c r="AE87" s="866">
        <v>26485</v>
      </c>
      <c r="AF87" s="866">
        <v>5500</v>
      </c>
      <c r="AG87" s="866">
        <v>3965</v>
      </c>
      <c r="AH87" s="577">
        <f t="shared" si="16"/>
        <v>477499</v>
      </c>
    </row>
    <row r="88" spans="1:34" ht="13.8">
      <c r="A88" s="574" t="s">
        <v>148</v>
      </c>
      <c r="B88" s="480">
        <f t="shared" si="15"/>
        <v>304.23200000000003</v>
      </c>
      <c r="C88" s="866">
        <v>62510</v>
      </c>
      <c r="D88" s="866">
        <v>20005</v>
      </c>
      <c r="E88" s="866">
        <v>11950</v>
      </c>
      <c r="F88" s="866">
        <v>12830</v>
      </c>
      <c r="G88" s="866">
        <v>16630</v>
      </c>
      <c r="H88" s="866">
        <v>13313</v>
      </c>
      <c r="I88" s="866">
        <v>9294</v>
      </c>
      <c r="J88" s="866">
        <v>5817</v>
      </c>
      <c r="K88" s="866">
        <v>125392</v>
      </c>
      <c r="L88" s="866">
        <v>2500</v>
      </c>
      <c r="M88" s="866">
        <v>0</v>
      </c>
      <c r="N88" s="866">
        <v>11500</v>
      </c>
      <c r="O88" s="866">
        <v>10514</v>
      </c>
      <c r="P88" s="866">
        <v>0</v>
      </c>
      <c r="Q88" s="866">
        <v>0</v>
      </c>
      <c r="R88" s="866">
        <v>0</v>
      </c>
      <c r="S88" s="866">
        <v>0</v>
      </c>
      <c r="T88" s="866">
        <v>1977</v>
      </c>
      <c r="U88" s="866">
        <v>0</v>
      </c>
      <c r="V88" s="866">
        <v>0</v>
      </c>
      <c r="W88" s="866">
        <v>0</v>
      </c>
      <c r="X88" s="866">
        <v>0</v>
      </c>
      <c r="Y88" s="866">
        <v>0</v>
      </c>
      <c r="Z88" s="866">
        <v>0</v>
      </c>
      <c r="AA88" s="866">
        <v>0</v>
      </c>
      <c r="AB88" s="866">
        <v>0</v>
      </c>
      <c r="AC88" s="866">
        <v>0</v>
      </c>
      <c r="AD88" s="866">
        <v>0</v>
      </c>
      <c r="AE88" s="866">
        <v>0</v>
      </c>
      <c r="AF88" s="866">
        <v>0</v>
      </c>
      <c r="AG88" s="866">
        <v>0</v>
      </c>
      <c r="AH88" s="577">
        <f t="shared" si="16"/>
        <v>304232</v>
      </c>
    </row>
    <row r="89" spans="1:34" ht="13.8">
      <c r="A89" s="603" t="s">
        <v>149</v>
      </c>
      <c r="B89" s="480">
        <f t="shared" si="15"/>
        <v>197.941</v>
      </c>
      <c r="C89" s="866">
        <v>5000</v>
      </c>
      <c r="D89" s="866">
        <v>12816</v>
      </c>
      <c r="E89" s="866">
        <v>27686</v>
      </c>
      <c r="F89" s="866">
        <v>34307</v>
      </c>
      <c r="G89" s="866">
        <v>7210</v>
      </c>
      <c r="H89" s="866">
        <v>64904</v>
      </c>
      <c r="I89" s="866">
        <v>27510</v>
      </c>
      <c r="J89" s="866">
        <v>15228</v>
      </c>
      <c r="K89" s="866">
        <v>0</v>
      </c>
      <c r="L89" s="866">
        <v>0</v>
      </c>
      <c r="M89" s="866">
        <v>0</v>
      </c>
      <c r="N89" s="866">
        <v>0</v>
      </c>
      <c r="O89" s="866">
        <v>0</v>
      </c>
      <c r="P89" s="866">
        <v>0</v>
      </c>
      <c r="Q89" s="866">
        <v>0</v>
      </c>
      <c r="R89" s="866">
        <v>0</v>
      </c>
      <c r="S89" s="866">
        <v>500</v>
      </c>
      <c r="T89" s="866">
        <v>1200</v>
      </c>
      <c r="U89" s="866">
        <v>280</v>
      </c>
      <c r="V89" s="866">
        <v>1300</v>
      </c>
      <c r="W89" s="866">
        <v>0</v>
      </c>
      <c r="X89" s="866">
        <v>0</v>
      </c>
      <c r="Y89" s="866">
        <v>0</v>
      </c>
      <c r="Z89" s="866">
        <v>0</v>
      </c>
      <c r="AA89" s="866">
        <v>0</v>
      </c>
      <c r="AB89" s="866">
        <v>0</v>
      </c>
      <c r="AC89" s="866">
        <v>0</v>
      </c>
      <c r="AD89" s="866">
        <v>0</v>
      </c>
      <c r="AE89" s="866">
        <v>0</v>
      </c>
      <c r="AF89" s="866">
        <v>0</v>
      </c>
      <c r="AG89" s="866">
        <v>0</v>
      </c>
      <c r="AH89" s="577">
        <f t="shared" si="16"/>
        <v>197941</v>
      </c>
    </row>
    <row r="90" spans="1:34" ht="13.8">
      <c r="A90" s="603" t="s">
        <v>150</v>
      </c>
      <c r="B90" s="480">
        <f t="shared" si="15"/>
        <v>0</v>
      </c>
      <c r="C90" s="578">
        <v>0</v>
      </c>
      <c r="D90" s="579">
        <v>0</v>
      </c>
      <c r="E90" s="579">
        <v>0</v>
      </c>
      <c r="F90" s="579">
        <v>0</v>
      </c>
      <c r="G90" s="579">
        <v>0</v>
      </c>
      <c r="H90" s="579">
        <v>0</v>
      </c>
      <c r="I90" s="579">
        <v>0</v>
      </c>
      <c r="J90" s="579">
        <v>0</v>
      </c>
      <c r="K90" s="579">
        <v>0</v>
      </c>
      <c r="L90" s="579">
        <v>0</v>
      </c>
      <c r="M90" s="579">
        <v>0</v>
      </c>
      <c r="N90" s="579">
        <v>0</v>
      </c>
      <c r="O90" s="579">
        <v>0</v>
      </c>
      <c r="P90" s="579">
        <v>0</v>
      </c>
      <c r="Q90" s="579">
        <v>0</v>
      </c>
      <c r="R90" s="579">
        <v>0</v>
      </c>
      <c r="S90" s="579">
        <v>0</v>
      </c>
      <c r="T90" s="579">
        <v>0</v>
      </c>
      <c r="U90" s="579">
        <v>0</v>
      </c>
      <c r="V90" s="579">
        <v>0</v>
      </c>
      <c r="W90" s="579">
        <v>0</v>
      </c>
      <c r="X90" s="579">
        <v>0</v>
      </c>
      <c r="Y90" s="579">
        <v>0</v>
      </c>
      <c r="Z90" s="579">
        <v>0</v>
      </c>
      <c r="AA90" s="579">
        <v>0</v>
      </c>
      <c r="AB90" s="579">
        <v>0</v>
      </c>
      <c r="AC90" s="579">
        <v>0</v>
      </c>
      <c r="AD90" s="579">
        <v>0</v>
      </c>
      <c r="AE90" s="579">
        <v>0</v>
      </c>
      <c r="AF90" s="579">
        <v>0</v>
      </c>
      <c r="AG90" s="579">
        <v>0</v>
      </c>
      <c r="AH90" s="577">
        <f t="shared" si="16"/>
        <v>0</v>
      </c>
    </row>
    <row r="91" spans="1:34" ht="13.8">
      <c r="A91" s="603" t="s">
        <v>151</v>
      </c>
      <c r="B91" s="480">
        <f t="shared" si="15"/>
        <v>0</v>
      </c>
      <c r="C91" s="578">
        <v>0</v>
      </c>
      <c r="D91" s="579">
        <v>0</v>
      </c>
      <c r="E91" s="579">
        <v>0</v>
      </c>
      <c r="F91" s="579">
        <v>0</v>
      </c>
      <c r="G91" s="579">
        <v>0</v>
      </c>
      <c r="H91" s="579">
        <v>0</v>
      </c>
      <c r="I91" s="579">
        <v>0</v>
      </c>
      <c r="J91" s="579">
        <v>0</v>
      </c>
      <c r="K91" s="579">
        <v>0</v>
      </c>
      <c r="L91" s="579">
        <v>0</v>
      </c>
      <c r="M91" s="579">
        <v>0</v>
      </c>
      <c r="N91" s="579">
        <v>0</v>
      </c>
      <c r="O91" s="579">
        <v>0</v>
      </c>
      <c r="P91" s="579">
        <v>0</v>
      </c>
      <c r="Q91" s="579">
        <v>0</v>
      </c>
      <c r="R91" s="579">
        <v>0</v>
      </c>
      <c r="S91" s="579">
        <v>0</v>
      </c>
      <c r="T91" s="579">
        <v>0</v>
      </c>
      <c r="U91" s="579">
        <v>0</v>
      </c>
      <c r="V91" s="579">
        <v>0</v>
      </c>
      <c r="W91" s="579">
        <v>0</v>
      </c>
      <c r="X91" s="579">
        <v>0</v>
      </c>
      <c r="Y91" s="579">
        <v>0</v>
      </c>
      <c r="Z91" s="579">
        <v>0</v>
      </c>
      <c r="AA91" s="579">
        <v>0</v>
      </c>
      <c r="AB91" s="579">
        <v>0</v>
      </c>
      <c r="AC91" s="579">
        <v>0</v>
      </c>
      <c r="AD91" s="579">
        <v>0</v>
      </c>
      <c r="AE91" s="579">
        <v>0</v>
      </c>
      <c r="AF91" s="579">
        <v>0</v>
      </c>
      <c r="AG91" s="579">
        <v>0</v>
      </c>
      <c r="AH91" s="577">
        <f t="shared" si="16"/>
        <v>0</v>
      </c>
    </row>
    <row r="92" spans="1:34" ht="13.8">
      <c r="A92" s="603" t="s">
        <v>152</v>
      </c>
      <c r="B92" s="480">
        <f t="shared" si="15"/>
        <v>0</v>
      </c>
      <c r="C92" s="578">
        <v>0</v>
      </c>
      <c r="D92" s="579">
        <v>0</v>
      </c>
      <c r="E92" s="579">
        <v>0</v>
      </c>
      <c r="F92" s="579">
        <v>0</v>
      </c>
      <c r="G92" s="579">
        <v>0</v>
      </c>
      <c r="H92" s="579">
        <v>0</v>
      </c>
      <c r="I92" s="579">
        <v>0</v>
      </c>
      <c r="J92" s="579">
        <v>0</v>
      </c>
      <c r="K92" s="579">
        <v>0</v>
      </c>
      <c r="L92" s="579">
        <v>0</v>
      </c>
      <c r="M92" s="579">
        <v>0</v>
      </c>
      <c r="N92" s="579">
        <v>0</v>
      </c>
      <c r="O92" s="579">
        <v>0</v>
      </c>
      <c r="P92" s="579">
        <v>0</v>
      </c>
      <c r="Q92" s="579">
        <v>0</v>
      </c>
      <c r="R92" s="579">
        <v>0</v>
      </c>
      <c r="S92" s="579">
        <v>0</v>
      </c>
      <c r="T92" s="579">
        <v>0</v>
      </c>
      <c r="U92" s="579">
        <v>0</v>
      </c>
      <c r="V92" s="579">
        <v>0</v>
      </c>
      <c r="W92" s="579">
        <v>0</v>
      </c>
      <c r="X92" s="579">
        <v>0</v>
      </c>
      <c r="Y92" s="579">
        <v>0</v>
      </c>
      <c r="Z92" s="579">
        <v>0</v>
      </c>
      <c r="AA92" s="579">
        <v>0</v>
      </c>
      <c r="AB92" s="579">
        <v>0</v>
      </c>
      <c r="AC92" s="579">
        <v>0</v>
      </c>
      <c r="AD92" s="579">
        <v>0</v>
      </c>
      <c r="AE92" s="579">
        <v>0</v>
      </c>
      <c r="AF92" s="579">
        <v>0</v>
      </c>
      <c r="AG92" s="579">
        <v>0</v>
      </c>
      <c r="AH92" s="577">
        <f t="shared" si="16"/>
        <v>0</v>
      </c>
    </row>
    <row r="93" spans="1:34" ht="13.8">
      <c r="A93" s="604" t="s">
        <v>153</v>
      </c>
      <c r="B93" s="480">
        <f t="shared" si="15"/>
        <v>140.77199999999999</v>
      </c>
      <c r="C93" s="866">
        <v>4600</v>
      </c>
      <c r="D93" s="866">
        <v>2203</v>
      </c>
      <c r="E93" s="866">
        <v>11192</v>
      </c>
      <c r="F93" s="866">
        <v>17400</v>
      </c>
      <c r="G93" s="866">
        <v>11100</v>
      </c>
      <c r="H93" s="866">
        <v>14006</v>
      </c>
      <c r="I93" s="866">
        <v>2000</v>
      </c>
      <c r="J93" s="866">
        <v>5590</v>
      </c>
      <c r="K93" s="866">
        <v>11019</v>
      </c>
      <c r="L93" s="866">
        <v>2000</v>
      </c>
      <c r="M93" s="866">
        <v>2400</v>
      </c>
      <c r="N93" s="866">
        <v>0</v>
      </c>
      <c r="O93" s="866">
        <v>0</v>
      </c>
      <c r="P93" s="866">
        <v>2400</v>
      </c>
      <c r="Q93" s="866">
        <v>507</v>
      </c>
      <c r="R93" s="866">
        <v>1690</v>
      </c>
      <c r="S93" s="866">
        <v>0</v>
      </c>
      <c r="T93" s="866">
        <v>0</v>
      </c>
      <c r="U93" s="866">
        <v>0</v>
      </c>
      <c r="V93" s="866">
        <v>1800</v>
      </c>
      <c r="W93" s="866">
        <v>10000</v>
      </c>
      <c r="X93" s="866">
        <v>5042</v>
      </c>
      <c r="Y93" s="866">
        <v>5063</v>
      </c>
      <c r="Z93" s="866">
        <v>0</v>
      </c>
      <c r="AA93" s="866">
        <v>9700</v>
      </c>
      <c r="AB93" s="866">
        <v>0</v>
      </c>
      <c r="AC93" s="866">
        <v>6560</v>
      </c>
      <c r="AD93" s="866">
        <v>2400</v>
      </c>
      <c r="AE93" s="866">
        <v>2100</v>
      </c>
      <c r="AF93" s="866">
        <v>10000</v>
      </c>
      <c r="AG93" s="866">
        <v>0</v>
      </c>
      <c r="AH93" s="577">
        <f t="shared" si="16"/>
        <v>140772</v>
      </c>
    </row>
    <row r="94" spans="1:34" ht="13.8">
      <c r="A94" s="604" t="s">
        <v>154</v>
      </c>
      <c r="B94" s="480">
        <f t="shared" si="15"/>
        <v>91.372</v>
      </c>
      <c r="C94" s="866">
        <v>5176</v>
      </c>
      <c r="D94" s="866">
        <v>1346</v>
      </c>
      <c r="E94" s="866">
        <v>5020</v>
      </c>
      <c r="F94" s="866">
        <v>6268</v>
      </c>
      <c r="G94" s="866">
        <v>2400</v>
      </c>
      <c r="H94" s="866">
        <v>0</v>
      </c>
      <c r="I94" s="866">
        <v>14311</v>
      </c>
      <c r="J94" s="866">
        <v>27094</v>
      </c>
      <c r="K94" s="866">
        <v>7500</v>
      </c>
      <c r="L94" s="866">
        <v>6757</v>
      </c>
      <c r="M94" s="866">
        <v>13000</v>
      </c>
      <c r="N94" s="866">
        <v>2500</v>
      </c>
      <c r="O94" s="866">
        <v>0</v>
      </c>
      <c r="P94" s="866">
        <v>0</v>
      </c>
      <c r="Q94" s="866">
        <v>0</v>
      </c>
      <c r="R94" s="866">
        <v>0</v>
      </c>
      <c r="S94" s="866">
        <v>0</v>
      </c>
      <c r="T94" s="866">
        <v>0</v>
      </c>
      <c r="U94" s="866">
        <v>0</v>
      </c>
      <c r="V94" s="866">
        <v>0</v>
      </c>
      <c r="W94" s="866">
        <v>0</v>
      </c>
      <c r="X94" s="866">
        <v>0</v>
      </c>
      <c r="Y94" s="866">
        <v>0</v>
      </c>
      <c r="Z94" s="866">
        <v>0</v>
      </c>
      <c r="AA94" s="866">
        <v>0</v>
      </c>
      <c r="AB94" s="866">
        <v>0</v>
      </c>
      <c r="AC94" s="866">
        <v>0</v>
      </c>
      <c r="AD94" s="866">
        <v>0</v>
      </c>
      <c r="AE94" s="866">
        <v>0</v>
      </c>
      <c r="AF94" s="866">
        <v>0</v>
      </c>
      <c r="AG94" s="866">
        <v>0</v>
      </c>
      <c r="AH94" s="577">
        <f t="shared" si="16"/>
        <v>91372</v>
      </c>
    </row>
    <row r="95" spans="1:34" ht="13.8">
      <c r="A95" s="604" t="s">
        <v>155</v>
      </c>
      <c r="B95" s="480">
        <f t="shared" si="15"/>
        <v>98.914000000000001</v>
      </c>
      <c r="C95" s="578">
        <v>0</v>
      </c>
      <c r="D95" s="579">
        <v>0</v>
      </c>
      <c r="E95" s="579">
        <v>0</v>
      </c>
      <c r="F95" s="579">
        <v>0</v>
      </c>
      <c r="G95" s="579">
        <v>0</v>
      </c>
      <c r="H95" s="579">
        <v>0</v>
      </c>
      <c r="I95" s="579">
        <v>0</v>
      </c>
      <c r="J95" s="579">
        <v>6380</v>
      </c>
      <c r="K95" s="579">
        <v>0</v>
      </c>
      <c r="L95" s="579">
        <v>21754</v>
      </c>
      <c r="M95" s="579">
        <v>6112</v>
      </c>
      <c r="N95" s="579">
        <v>0</v>
      </c>
      <c r="O95" s="579">
        <v>4000</v>
      </c>
      <c r="P95" s="579">
        <v>3100</v>
      </c>
      <c r="Q95" s="579">
        <v>1862</v>
      </c>
      <c r="R95" s="579">
        <v>10000</v>
      </c>
      <c r="S95" s="579">
        <v>1463</v>
      </c>
      <c r="T95" s="579">
        <v>4875</v>
      </c>
      <c r="U95" s="579">
        <v>0</v>
      </c>
      <c r="V95" s="579">
        <v>4792</v>
      </c>
      <c r="W95" s="579">
        <v>0</v>
      </c>
      <c r="X95" s="579">
        <v>8880</v>
      </c>
      <c r="Y95" s="579">
        <v>0</v>
      </c>
      <c r="Z95" s="579">
        <v>0</v>
      </c>
      <c r="AA95" s="579">
        <v>6099</v>
      </c>
      <c r="AB95" s="579">
        <v>4618</v>
      </c>
      <c r="AC95" s="579">
        <v>14979</v>
      </c>
      <c r="AD95" s="579">
        <v>0</v>
      </c>
      <c r="AE95" s="579">
        <v>0</v>
      </c>
      <c r="AF95" s="579">
        <v>0</v>
      </c>
      <c r="AG95" s="579">
        <v>0</v>
      </c>
      <c r="AH95" s="577">
        <f t="shared" si="16"/>
        <v>98914</v>
      </c>
    </row>
    <row r="96" spans="1:34" ht="13.8">
      <c r="A96" s="604" t="s">
        <v>156</v>
      </c>
      <c r="B96" s="480">
        <f t="shared" si="15"/>
        <v>70.254000000000005</v>
      </c>
      <c r="C96" s="578">
        <v>0</v>
      </c>
      <c r="D96" s="579">
        <v>0</v>
      </c>
      <c r="E96" s="579">
        <v>20125</v>
      </c>
      <c r="F96" s="579">
        <v>11586</v>
      </c>
      <c r="G96" s="579">
        <v>1960</v>
      </c>
      <c r="H96" s="579">
        <v>4410</v>
      </c>
      <c r="I96" s="579">
        <v>0</v>
      </c>
      <c r="J96" s="579">
        <v>0</v>
      </c>
      <c r="K96" s="579">
        <v>0</v>
      </c>
      <c r="L96" s="579">
        <v>4940</v>
      </c>
      <c r="M96" s="579">
        <v>3511</v>
      </c>
      <c r="N96" s="579">
        <v>2760</v>
      </c>
      <c r="O96" s="579">
        <v>1240</v>
      </c>
      <c r="P96" s="579">
        <v>5600</v>
      </c>
      <c r="Q96" s="579">
        <v>3000</v>
      </c>
      <c r="R96" s="579">
        <v>0</v>
      </c>
      <c r="S96" s="579">
        <v>3122</v>
      </c>
      <c r="T96" s="579">
        <v>8000</v>
      </c>
      <c r="U96" s="579">
        <v>0</v>
      </c>
      <c r="V96" s="579">
        <v>0</v>
      </c>
      <c r="W96" s="579">
        <v>0</v>
      </c>
      <c r="X96" s="579">
        <v>0</v>
      </c>
      <c r="Y96" s="579">
        <v>0</v>
      </c>
      <c r="Z96" s="579">
        <v>0</v>
      </c>
      <c r="AA96" s="579">
        <v>0</v>
      </c>
      <c r="AB96" s="579">
        <v>0</v>
      </c>
      <c r="AC96" s="579">
        <v>0</v>
      </c>
      <c r="AD96" s="579">
        <v>0</v>
      </c>
      <c r="AE96" s="579">
        <v>0</v>
      </c>
      <c r="AF96" s="579">
        <v>0</v>
      </c>
      <c r="AG96" s="579">
        <v>0</v>
      </c>
      <c r="AH96" s="577">
        <f t="shared" si="16"/>
        <v>70254</v>
      </c>
    </row>
    <row r="97" spans="1:34" ht="13.8">
      <c r="A97" s="580" t="s">
        <v>111</v>
      </c>
      <c r="B97" s="580">
        <f t="shared" ref="B97:AH97" si="17">SUM(B85:B96)</f>
        <v>2112.518</v>
      </c>
      <c r="C97" s="581">
        <f t="shared" si="17"/>
        <v>119840</v>
      </c>
      <c r="D97" s="581">
        <f t="shared" si="17"/>
        <v>80148</v>
      </c>
      <c r="E97" s="581">
        <f t="shared" si="17"/>
        <v>103290</v>
      </c>
      <c r="F97" s="581">
        <f t="shared" si="17"/>
        <v>135494</v>
      </c>
      <c r="G97" s="581">
        <f t="shared" si="17"/>
        <v>79172</v>
      </c>
      <c r="H97" s="581">
        <f t="shared" si="17"/>
        <v>144479</v>
      </c>
      <c r="I97" s="581">
        <f t="shared" si="17"/>
        <v>93221</v>
      </c>
      <c r="J97" s="581">
        <f t="shared" si="17"/>
        <v>112868</v>
      </c>
      <c r="K97" s="581">
        <f t="shared" si="17"/>
        <v>173341</v>
      </c>
      <c r="L97" s="581">
        <f t="shared" si="17"/>
        <v>80057</v>
      </c>
      <c r="M97" s="581">
        <f t="shared" si="17"/>
        <v>54232</v>
      </c>
      <c r="N97" s="581">
        <f t="shared" si="17"/>
        <v>68901</v>
      </c>
      <c r="O97" s="581">
        <f t="shared" si="17"/>
        <v>48568</v>
      </c>
      <c r="P97" s="581">
        <f t="shared" si="17"/>
        <v>31859</v>
      </c>
      <c r="Q97" s="581">
        <f t="shared" si="17"/>
        <v>56358</v>
      </c>
      <c r="R97" s="581">
        <f t="shared" si="17"/>
        <v>68701</v>
      </c>
      <c r="S97" s="581">
        <f t="shared" si="17"/>
        <v>42674</v>
      </c>
      <c r="T97" s="581">
        <f t="shared" si="17"/>
        <v>48293</v>
      </c>
      <c r="U97" s="581">
        <f t="shared" si="17"/>
        <v>79194</v>
      </c>
      <c r="V97" s="581">
        <f t="shared" si="17"/>
        <v>44397</v>
      </c>
      <c r="W97" s="581">
        <f t="shared" si="17"/>
        <v>29465</v>
      </c>
      <c r="X97" s="581">
        <f t="shared" si="17"/>
        <v>75866</v>
      </c>
      <c r="Y97" s="581">
        <f t="shared" si="17"/>
        <v>43261</v>
      </c>
      <c r="Z97" s="581">
        <f t="shared" si="17"/>
        <v>39482</v>
      </c>
      <c r="AA97" s="581">
        <f t="shared" si="17"/>
        <v>40086</v>
      </c>
      <c r="AB97" s="581">
        <f t="shared" si="17"/>
        <v>37555</v>
      </c>
      <c r="AC97" s="581">
        <f t="shared" si="17"/>
        <v>55446</v>
      </c>
      <c r="AD97" s="581">
        <f t="shared" si="17"/>
        <v>15259</v>
      </c>
      <c r="AE97" s="581">
        <f t="shared" si="17"/>
        <v>50246</v>
      </c>
      <c r="AF97" s="581">
        <f t="shared" si="17"/>
        <v>36833</v>
      </c>
      <c r="AG97" s="581">
        <f t="shared" si="17"/>
        <v>23932</v>
      </c>
      <c r="AH97" s="582">
        <f t="shared" si="17"/>
        <v>2112518</v>
      </c>
    </row>
    <row r="98" spans="1:34">
      <c r="A98" s="510"/>
      <c r="B98" s="510"/>
      <c r="C98" s="510"/>
      <c r="D98" s="510"/>
      <c r="E98" s="510"/>
      <c r="F98" s="510"/>
      <c r="G98" s="510"/>
      <c r="H98" s="510"/>
      <c r="I98" s="510"/>
      <c r="J98" s="510"/>
      <c r="K98" s="510"/>
      <c r="L98" s="510"/>
      <c r="M98" s="510"/>
      <c r="N98" s="510"/>
      <c r="O98" s="510"/>
      <c r="P98" s="510"/>
      <c r="Q98" s="510"/>
      <c r="R98" s="510"/>
      <c r="S98" s="510"/>
      <c r="T98" s="510"/>
      <c r="U98" s="510"/>
      <c r="V98" s="510"/>
      <c r="W98" s="510"/>
      <c r="X98" s="510"/>
      <c r="Y98" s="510"/>
      <c r="Z98" s="510"/>
      <c r="AA98" s="510"/>
      <c r="AB98" s="510"/>
      <c r="AC98" s="510"/>
      <c r="AD98" s="510"/>
      <c r="AE98" s="510"/>
      <c r="AF98" s="510"/>
      <c r="AG98" s="510"/>
      <c r="AH98" s="510"/>
    </row>
    <row r="99" spans="1:34" ht="13.8">
      <c r="A99" s="4259" t="s">
        <v>570</v>
      </c>
      <c r="B99" s="4260"/>
      <c r="C99" s="4298"/>
      <c r="D99" s="142"/>
      <c r="E99" s="142"/>
      <c r="F99" s="142"/>
      <c r="G99" s="142"/>
      <c r="H99" s="142"/>
      <c r="I99" s="142"/>
      <c r="J99" s="142"/>
      <c r="K99" s="142"/>
      <c r="L99" s="142"/>
      <c r="M99" s="570"/>
      <c r="N99" s="142"/>
      <c r="O99" s="142"/>
      <c r="P99" s="142"/>
      <c r="Q99" s="142"/>
      <c r="R99" s="142"/>
      <c r="S99" s="142"/>
      <c r="T99" s="142"/>
      <c r="U99" s="142"/>
      <c r="V99" s="142"/>
      <c r="W99" s="142"/>
      <c r="X99" s="142"/>
      <c r="Y99" s="142"/>
      <c r="Z99" s="142"/>
      <c r="AA99" s="142"/>
      <c r="AB99" s="142"/>
      <c r="AC99" s="142"/>
      <c r="AD99" s="142"/>
      <c r="AE99" s="142"/>
      <c r="AF99" s="142"/>
      <c r="AG99" s="142"/>
      <c r="AH99" s="571"/>
    </row>
    <row r="100" spans="1:34" ht="13.8">
      <c r="A100" s="572" t="s">
        <v>142</v>
      </c>
      <c r="B100" s="572" t="s">
        <v>143</v>
      </c>
      <c r="C100">
        <v>1</v>
      </c>
      <c r="D100" s="573">
        <v>2</v>
      </c>
      <c r="E100" s="573">
        <v>3</v>
      </c>
      <c r="F100" s="573">
        <v>4</v>
      </c>
      <c r="G100" s="573">
        <v>5</v>
      </c>
      <c r="H100" s="573">
        <v>6</v>
      </c>
      <c r="I100" s="573">
        <v>7</v>
      </c>
      <c r="J100" s="573">
        <v>8</v>
      </c>
      <c r="K100" s="573">
        <v>9</v>
      </c>
      <c r="L100" s="573">
        <v>10</v>
      </c>
      <c r="M100" s="573">
        <v>11</v>
      </c>
      <c r="N100" s="573">
        <v>12</v>
      </c>
      <c r="O100" s="573">
        <v>13</v>
      </c>
      <c r="P100" s="573">
        <v>14</v>
      </c>
      <c r="Q100" s="573">
        <v>15</v>
      </c>
      <c r="R100" s="573">
        <v>16</v>
      </c>
      <c r="S100" s="573">
        <v>17</v>
      </c>
      <c r="T100" s="573">
        <v>18</v>
      </c>
      <c r="U100" s="573">
        <v>19</v>
      </c>
      <c r="V100" s="573">
        <v>20</v>
      </c>
      <c r="W100" s="509">
        <v>21</v>
      </c>
      <c r="X100" s="573">
        <v>22</v>
      </c>
      <c r="Y100" s="573">
        <v>23</v>
      </c>
      <c r="Z100" s="573">
        <v>24</v>
      </c>
      <c r="AA100" s="573">
        <v>25</v>
      </c>
      <c r="AB100" s="573">
        <v>26</v>
      </c>
      <c r="AC100" s="573">
        <v>27</v>
      </c>
      <c r="AD100" s="573">
        <v>28</v>
      </c>
      <c r="AE100" s="573">
        <v>29</v>
      </c>
      <c r="AF100" s="573">
        <v>30</v>
      </c>
      <c r="AG100" s="573">
        <v>31</v>
      </c>
      <c r="AH100" s="575" t="s">
        <v>111</v>
      </c>
    </row>
    <row r="101" spans="1:34" ht="13.8">
      <c r="A101" s="574" t="s">
        <v>145</v>
      </c>
      <c r="B101" s="3216">
        <f>+AH101/1000</f>
        <v>430.90800000000002</v>
      </c>
      <c r="C101" s="866">
        <v>3000</v>
      </c>
      <c r="D101" s="866">
        <v>8670</v>
      </c>
      <c r="E101" s="866">
        <v>13464</v>
      </c>
      <c r="F101" s="866">
        <v>10691</v>
      </c>
      <c r="G101" s="866">
        <v>10487</v>
      </c>
      <c r="H101" s="866">
        <v>9411</v>
      </c>
      <c r="I101" s="866">
        <v>5952</v>
      </c>
      <c r="J101" s="866">
        <v>7885</v>
      </c>
      <c r="K101" s="866">
        <v>8096</v>
      </c>
      <c r="L101" s="866">
        <v>25247</v>
      </c>
      <c r="M101" s="866">
        <v>25544</v>
      </c>
      <c r="N101" s="866">
        <v>11087</v>
      </c>
      <c r="O101" s="866">
        <v>4700</v>
      </c>
      <c r="P101" s="866">
        <v>5362</v>
      </c>
      <c r="Q101" s="866">
        <v>3890</v>
      </c>
      <c r="R101" s="866">
        <v>13088</v>
      </c>
      <c r="S101" s="866">
        <v>21253</v>
      </c>
      <c r="T101" s="866">
        <v>22077</v>
      </c>
      <c r="U101" s="866">
        <v>23851</v>
      </c>
      <c r="V101" s="866">
        <v>12038</v>
      </c>
      <c r="W101" s="866">
        <v>30193</v>
      </c>
      <c r="X101" s="866">
        <v>18621</v>
      </c>
      <c r="Y101" s="866">
        <v>26591</v>
      </c>
      <c r="Z101" s="866">
        <v>23301</v>
      </c>
      <c r="AA101" s="866">
        <v>17826</v>
      </c>
      <c r="AB101" s="866">
        <v>21904</v>
      </c>
      <c r="AC101" s="866">
        <v>11872</v>
      </c>
      <c r="AD101" s="866">
        <v>10892</v>
      </c>
      <c r="AE101" s="866">
        <v>0</v>
      </c>
      <c r="AF101" s="866">
        <v>19418</v>
      </c>
      <c r="AG101" s="866">
        <v>4497</v>
      </c>
      <c r="AH101" s="577">
        <f>SUM(C101:AG101)</f>
        <v>430908</v>
      </c>
    </row>
    <row r="102" spans="1:34" ht="13.8">
      <c r="A102" s="574" t="s">
        <v>146</v>
      </c>
      <c r="B102" s="480">
        <f t="shared" ref="B102:B112" si="18">+AH102/1000</f>
        <v>313.03699999999998</v>
      </c>
      <c r="C102" s="866">
        <v>7860</v>
      </c>
      <c r="D102" s="866">
        <v>6852</v>
      </c>
      <c r="E102" s="866">
        <v>15348</v>
      </c>
      <c r="F102" s="866">
        <v>184</v>
      </c>
      <c r="G102" s="866">
        <v>3718</v>
      </c>
      <c r="H102" s="866">
        <v>7611</v>
      </c>
      <c r="I102" s="866">
        <v>10179</v>
      </c>
      <c r="J102" s="866">
        <v>22078</v>
      </c>
      <c r="K102" s="866">
        <v>7568</v>
      </c>
      <c r="L102" s="866">
        <v>9435</v>
      </c>
      <c r="M102" s="866">
        <v>27098</v>
      </c>
      <c r="N102" s="866">
        <v>7946</v>
      </c>
      <c r="O102" s="866">
        <v>6101</v>
      </c>
      <c r="P102" s="866">
        <v>5934</v>
      </c>
      <c r="Q102" s="866">
        <v>18135</v>
      </c>
      <c r="R102" s="866">
        <v>7814</v>
      </c>
      <c r="S102" s="866">
        <v>13778</v>
      </c>
      <c r="T102" s="866">
        <v>5566</v>
      </c>
      <c r="U102" s="866">
        <v>0</v>
      </c>
      <c r="V102" s="866">
        <v>48540</v>
      </c>
      <c r="W102" s="866">
        <v>11713</v>
      </c>
      <c r="X102" s="866">
        <v>4064</v>
      </c>
      <c r="Y102" s="866">
        <v>8435</v>
      </c>
      <c r="Z102" s="866">
        <v>1377</v>
      </c>
      <c r="AA102" s="866">
        <v>4295</v>
      </c>
      <c r="AB102" s="866">
        <v>2675</v>
      </c>
      <c r="AC102" s="866">
        <v>21571</v>
      </c>
      <c r="AD102" s="866">
        <v>6023</v>
      </c>
      <c r="AE102" s="866">
        <v>21139</v>
      </c>
      <c r="AF102" s="866">
        <v>0</v>
      </c>
      <c r="AG102" s="866">
        <v>0</v>
      </c>
      <c r="AH102" s="577">
        <f t="shared" ref="AH102:AH112" si="19">SUM(C102:AG102)</f>
        <v>313037</v>
      </c>
    </row>
    <row r="103" spans="1:34" ht="13.8">
      <c r="A103" s="574" t="s">
        <v>147</v>
      </c>
      <c r="B103" s="480">
        <f t="shared" si="18"/>
        <v>391.99200000000002</v>
      </c>
      <c r="C103" s="866">
        <v>12932</v>
      </c>
      <c r="D103" s="866">
        <v>7125</v>
      </c>
      <c r="E103" s="866">
        <v>811</v>
      </c>
      <c r="F103" s="866">
        <v>3308</v>
      </c>
      <c r="G103" s="866">
        <v>18302</v>
      </c>
      <c r="H103" s="866">
        <v>15799</v>
      </c>
      <c r="I103" s="866">
        <v>7749</v>
      </c>
      <c r="J103" s="866">
        <v>10316</v>
      </c>
      <c r="K103" s="866">
        <v>20782</v>
      </c>
      <c r="L103" s="866">
        <v>15666</v>
      </c>
      <c r="M103" s="866">
        <v>9831</v>
      </c>
      <c r="N103" s="866">
        <v>21076</v>
      </c>
      <c r="O103" s="866">
        <v>35613</v>
      </c>
      <c r="P103" s="866">
        <v>20311</v>
      </c>
      <c r="Q103" s="866">
        <v>22206</v>
      </c>
      <c r="R103" s="866">
        <v>12450</v>
      </c>
      <c r="S103" s="866">
        <v>3723</v>
      </c>
      <c r="T103" s="866">
        <v>6717</v>
      </c>
      <c r="U103" s="866">
        <v>23148</v>
      </c>
      <c r="V103" s="866">
        <v>14605</v>
      </c>
      <c r="W103" s="866">
        <v>10621</v>
      </c>
      <c r="X103" s="866">
        <v>6250</v>
      </c>
      <c r="Y103" s="866">
        <v>19296</v>
      </c>
      <c r="Z103" s="866">
        <v>13721</v>
      </c>
      <c r="AA103" s="866">
        <v>8282</v>
      </c>
      <c r="AB103" s="866">
        <v>17233</v>
      </c>
      <c r="AC103" s="866">
        <v>4877</v>
      </c>
      <c r="AD103" s="866">
        <v>5546</v>
      </c>
      <c r="AE103" s="866">
        <v>6055</v>
      </c>
      <c r="AF103" s="866">
        <v>10264</v>
      </c>
      <c r="AG103" s="866">
        <v>7377</v>
      </c>
      <c r="AH103" s="577">
        <f t="shared" si="19"/>
        <v>391992</v>
      </c>
    </row>
    <row r="104" spans="1:34" ht="13.8">
      <c r="A104" s="574" t="s">
        <v>148</v>
      </c>
      <c r="B104" s="480">
        <f t="shared" si="18"/>
        <v>447.50400000000002</v>
      </c>
      <c r="C104" s="866">
        <v>13662</v>
      </c>
      <c r="D104" s="866">
        <v>7975</v>
      </c>
      <c r="E104" s="866">
        <v>23979</v>
      </c>
      <c r="F104" s="866">
        <v>14508</v>
      </c>
      <c r="G104" s="866">
        <v>5870</v>
      </c>
      <c r="H104" s="866">
        <v>3500</v>
      </c>
      <c r="I104" s="866">
        <v>3282</v>
      </c>
      <c r="J104" s="866">
        <v>255</v>
      </c>
      <c r="K104" s="866">
        <v>8610</v>
      </c>
      <c r="L104" s="866">
        <v>21647</v>
      </c>
      <c r="M104" s="866">
        <v>18947</v>
      </c>
      <c r="N104" s="866">
        <v>28018</v>
      </c>
      <c r="O104" s="866">
        <v>10799</v>
      </c>
      <c r="P104" s="866">
        <v>50292</v>
      </c>
      <c r="Q104" s="866">
        <v>8935</v>
      </c>
      <c r="R104" s="866">
        <v>33368</v>
      </c>
      <c r="S104" s="866">
        <v>16169</v>
      </c>
      <c r="T104" s="866">
        <v>10718</v>
      </c>
      <c r="U104" s="866">
        <v>21190</v>
      </c>
      <c r="V104" s="866">
        <v>4664</v>
      </c>
      <c r="W104" s="866">
        <v>17145</v>
      </c>
      <c r="X104" s="866">
        <v>3149</v>
      </c>
      <c r="Y104" s="866">
        <v>12030</v>
      </c>
      <c r="Z104" s="866">
        <v>21194</v>
      </c>
      <c r="AA104" s="866">
        <v>23473</v>
      </c>
      <c r="AB104" s="866">
        <v>23657</v>
      </c>
      <c r="AC104" s="866">
        <v>11222</v>
      </c>
      <c r="AD104" s="866">
        <v>16102</v>
      </c>
      <c r="AE104" s="866">
        <v>1302</v>
      </c>
      <c r="AF104" s="866">
        <v>11842</v>
      </c>
      <c r="AG104" s="866">
        <v>0</v>
      </c>
      <c r="AH104" s="577">
        <f t="shared" si="19"/>
        <v>447504</v>
      </c>
    </row>
    <row r="105" spans="1:34" ht="13.8">
      <c r="A105" s="603" t="s">
        <v>149</v>
      </c>
      <c r="B105" s="480">
        <f t="shared" si="18"/>
        <v>306.214</v>
      </c>
      <c r="C105" s="866">
        <v>8762</v>
      </c>
      <c r="D105" s="866">
        <v>7027</v>
      </c>
      <c r="E105" s="866">
        <v>20529</v>
      </c>
      <c r="F105" s="866">
        <v>0</v>
      </c>
      <c r="G105" s="866">
        <v>3322</v>
      </c>
      <c r="H105" s="866">
        <v>181</v>
      </c>
      <c r="I105" s="866">
        <v>22163</v>
      </c>
      <c r="J105" s="866">
        <v>5011</v>
      </c>
      <c r="K105" s="866">
        <v>20342</v>
      </c>
      <c r="L105" s="866">
        <v>35925</v>
      </c>
      <c r="M105" s="866">
        <v>23231</v>
      </c>
      <c r="N105" s="866">
        <v>10818</v>
      </c>
      <c r="O105" s="866">
        <v>13532</v>
      </c>
      <c r="P105" s="866">
        <v>7031</v>
      </c>
      <c r="Q105" s="866">
        <v>27202</v>
      </c>
      <c r="R105" s="866">
        <v>15389</v>
      </c>
      <c r="S105" s="866">
        <v>11083</v>
      </c>
      <c r="T105" s="866">
        <v>1195</v>
      </c>
      <c r="U105" s="866">
        <v>4216</v>
      </c>
      <c r="V105" s="866">
        <v>2786</v>
      </c>
      <c r="W105" s="866">
        <v>236</v>
      </c>
      <c r="X105" s="866">
        <v>12233</v>
      </c>
      <c r="Y105" s="866">
        <v>22353</v>
      </c>
      <c r="Z105" s="866">
        <v>4043</v>
      </c>
      <c r="AA105" s="866">
        <v>10055</v>
      </c>
      <c r="AB105" s="866">
        <v>0</v>
      </c>
      <c r="AC105" s="866">
        <v>2734</v>
      </c>
      <c r="AD105" s="866">
        <v>585</v>
      </c>
      <c r="AE105" s="866">
        <v>3858</v>
      </c>
      <c r="AF105" s="866">
        <v>6810</v>
      </c>
      <c r="AG105" s="866">
        <v>3562</v>
      </c>
      <c r="AH105" s="577">
        <f t="shared" si="19"/>
        <v>306214</v>
      </c>
    </row>
    <row r="106" spans="1:34" ht="13.8">
      <c r="A106" s="603" t="s">
        <v>150</v>
      </c>
      <c r="B106" s="480">
        <f t="shared" si="18"/>
        <v>161.20699999999999</v>
      </c>
      <c r="C106" s="866">
        <v>6247</v>
      </c>
      <c r="D106" s="866">
        <v>2575</v>
      </c>
      <c r="E106" s="866">
        <v>8431</v>
      </c>
      <c r="F106" s="866">
        <v>2800</v>
      </c>
      <c r="G106" s="866">
        <v>10224</v>
      </c>
      <c r="H106" s="866">
        <v>18372</v>
      </c>
      <c r="I106" s="866">
        <v>1638</v>
      </c>
      <c r="J106" s="866">
        <v>5934</v>
      </c>
      <c r="K106" s="866">
        <v>12895</v>
      </c>
      <c r="L106" s="866">
        <v>13768</v>
      </c>
      <c r="M106" s="866">
        <v>3222</v>
      </c>
      <c r="N106" s="866">
        <v>4990</v>
      </c>
      <c r="O106" s="866">
        <v>3410</v>
      </c>
      <c r="P106" s="866">
        <v>6022</v>
      </c>
      <c r="Q106" s="866">
        <v>5041</v>
      </c>
      <c r="R106" s="866">
        <v>2580</v>
      </c>
      <c r="S106" s="866">
        <v>1300</v>
      </c>
      <c r="T106" s="866">
        <v>0</v>
      </c>
      <c r="U106" s="866">
        <v>0</v>
      </c>
      <c r="V106" s="866">
        <v>2368</v>
      </c>
      <c r="W106" s="866">
        <v>0</v>
      </c>
      <c r="X106" s="866">
        <v>3180</v>
      </c>
      <c r="Y106" s="866">
        <v>3300</v>
      </c>
      <c r="Z106" s="866">
        <v>775</v>
      </c>
      <c r="AA106" s="866">
        <v>0</v>
      </c>
      <c r="AB106" s="866">
        <v>10518</v>
      </c>
      <c r="AC106" s="866">
        <v>3730</v>
      </c>
      <c r="AD106" s="866">
        <v>23806</v>
      </c>
      <c r="AE106" s="866">
        <v>1221</v>
      </c>
      <c r="AF106" s="866">
        <v>2860</v>
      </c>
      <c r="AG106" s="866">
        <v>0</v>
      </c>
      <c r="AH106" s="577">
        <f t="shared" si="19"/>
        <v>161207</v>
      </c>
    </row>
    <row r="107" spans="1:34" ht="13.8">
      <c r="A107" s="603" t="s">
        <v>151</v>
      </c>
      <c r="B107" s="480">
        <f t="shared" si="18"/>
        <v>204.57300000000001</v>
      </c>
      <c r="C107" s="866">
        <v>400</v>
      </c>
      <c r="D107" s="866">
        <v>6286</v>
      </c>
      <c r="E107" s="866">
        <v>2146</v>
      </c>
      <c r="F107" s="866">
        <v>8127</v>
      </c>
      <c r="G107" s="866">
        <v>15683</v>
      </c>
      <c r="H107" s="866">
        <v>946</v>
      </c>
      <c r="I107" s="866">
        <v>3179</v>
      </c>
      <c r="J107" s="866">
        <v>1513</v>
      </c>
      <c r="K107" s="866">
        <v>4937</v>
      </c>
      <c r="L107" s="866">
        <v>12766</v>
      </c>
      <c r="M107" s="866">
        <v>33115</v>
      </c>
      <c r="N107" s="866">
        <v>10537</v>
      </c>
      <c r="O107" s="866">
        <v>3200</v>
      </c>
      <c r="P107" s="866">
        <v>4407</v>
      </c>
      <c r="Q107" s="866">
        <v>0</v>
      </c>
      <c r="R107" s="866">
        <v>0</v>
      </c>
      <c r="S107" s="866">
        <v>2664</v>
      </c>
      <c r="T107" s="866">
        <v>14742</v>
      </c>
      <c r="U107" s="866">
        <v>9604</v>
      </c>
      <c r="V107" s="866">
        <v>5750</v>
      </c>
      <c r="W107" s="866">
        <v>7094</v>
      </c>
      <c r="X107" s="866">
        <v>551</v>
      </c>
      <c r="Y107" s="866">
        <v>3365</v>
      </c>
      <c r="Z107" s="866">
        <v>548</v>
      </c>
      <c r="AA107" s="866">
        <v>6755</v>
      </c>
      <c r="AB107" s="866">
        <v>17405</v>
      </c>
      <c r="AC107" s="866">
        <v>5517</v>
      </c>
      <c r="AD107" s="866">
        <v>2303</v>
      </c>
      <c r="AE107" s="866">
        <v>2528</v>
      </c>
      <c r="AF107" s="866">
        <v>10038</v>
      </c>
      <c r="AG107" s="866">
        <v>8467</v>
      </c>
      <c r="AH107" s="577">
        <f t="shared" si="19"/>
        <v>204573</v>
      </c>
    </row>
    <row r="108" spans="1:34" ht="13.8">
      <c r="A108" s="603" t="s">
        <v>152</v>
      </c>
      <c r="B108" s="480">
        <f t="shared" si="18"/>
        <v>295.18299999999999</v>
      </c>
      <c r="C108" s="866">
        <v>10111</v>
      </c>
      <c r="D108" s="866">
        <v>4465</v>
      </c>
      <c r="E108" s="866">
        <v>3212</v>
      </c>
      <c r="F108" s="866">
        <v>450</v>
      </c>
      <c r="G108" s="866">
        <v>2920</v>
      </c>
      <c r="H108" s="866">
        <v>1444</v>
      </c>
      <c r="I108" s="866">
        <v>5499</v>
      </c>
      <c r="J108" s="866">
        <v>9784</v>
      </c>
      <c r="K108" s="866">
        <v>26500</v>
      </c>
      <c r="L108" s="866">
        <v>4041</v>
      </c>
      <c r="M108" s="866">
        <v>1100</v>
      </c>
      <c r="N108" s="866">
        <v>18890</v>
      </c>
      <c r="O108" s="866">
        <v>4550</v>
      </c>
      <c r="P108" s="866">
        <v>1841</v>
      </c>
      <c r="Q108" s="866">
        <v>700</v>
      </c>
      <c r="R108" s="866">
        <v>0</v>
      </c>
      <c r="S108" s="866">
        <v>680</v>
      </c>
      <c r="T108" s="866">
        <v>6756</v>
      </c>
      <c r="U108" s="866">
        <v>2468</v>
      </c>
      <c r="V108" s="866">
        <v>17644</v>
      </c>
      <c r="W108" s="866">
        <v>24611</v>
      </c>
      <c r="X108" s="866">
        <v>6934</v>
      </c>
      <c r="Y108" s="866">
        <v>0</v>
      </c>
      <c r="Z108" s="866">
        <v>1526</v>
      </c>
      <c r="AA108" s="866">
        <v>38362</v>
      </c>
      <c r="AB108" s="866">
        <v>12411</v>
      </c>
      <c r="AC108" s="866">
        <v>19805</v>
      </c>
      <c r="AD108" s="866">
        <v>26801</v>
      </c>
      <c r="AE108" s="866">
        <v>6757</v>
      </c>
      <c r="AF108" s="866">
        <v>6155</v>
      </c>
      <c r="AG108" s="866">
        <v>28766</v>
      </c>
      <c r="AH108" s="577">
        <f t="shared" si="19"/>
        <v>295183</v>
      </c>
    </row>
    <row r="109" spans="1:34" ht="13.8">
      <c r="A109" s="604" t="s">
        <v>153</v>
      </c>
      <c r="B109" s="480">
        <f t="shared" si="18"/>
        <v>206.054</v>
      </c>
      <c r="C109" s="866">
        <v>7570</v>
      </c>
      <c r="D109" s="866">
        <v>4560</v>
      </c>
      <c r="E109" s="866">
        <v>15460</v>
      </c>
      <c r="F109" s="866">
        <v>8192</v>
      </c>
      <c r="G109" s="866">
        <v>27478</v>
      </c>
      <c r="H109" s="866">
        <v>1800</v>
      </c>
      <c r="I109" s="866">
        <v>3687</v>
      </c>
      <c r="J109" s="866">
        <v>2999</v>
      </c>
      <c r="K109" s="866">
        <v>9242</v>
      </c>
      <c r="L109" s="866">
        <v>6815</v>
      </c>
      <c r="M109" s="866">
        <v>15779</v>
      </c>
      <c r="N109" s="866">
        <v>11684</v>
      </c>
      <c r="O109" s="866">
        <v>7339</v>
      </c>
      <c r="P109" s="866">
        <v>577</v>
      </c>
      <c r="Q109" s="866">
        <v>1643</v>
      </c>
      <c r="R109" s="866">
        <v>3867</v>
      </c>
      <c r="S109" s="866">
        <v>1536</v>
      </c>
      <c r="T109" s="866">
        <v>0</v>
      </c>
      <c r="U109" s="866">
        <v>807</v>
      </c>
      <c r="V109" s="866">
        <v>8583</v>
      </c>
      <c r="W109" s="866">
        <v>1958</v>
      </c>
      <c r="X109" s="866">
        <v>5254</v>
      </c>
      <c r="Y109" s="866">
        <v>4215</v>
      </c>
      <c r="Z109" s="866">
        <v>7498</v>
      </c>
      <c r="AA109" s="866">
        <v>10538</v>
      </c>
      <c r="AB109" s="866">
        <v>8437</v>
      </c>
      <c r="AC109" s="866">
        <v>12254</v>
      </c>
      <c r="AD109" s="866">
        <v>5007</v>
      </c>
      <c r="AE109" s="866">
        <v>4895</v>
      </c>
      <c r="AF109" s="866">
        <v>6380</v>
      </c>
      <c r="AG109" s="866">
        <v>0</v>
      </c>
      <c r="AH109" s="577">
        <f t="shared" si="19"/>
        <v>206054</v>
      </c>
    </row>
    <row r="110" spans="1:34" ht="13.8">
      <c r="A110" s="604" t="s">
        <v>154</v>
      </c>
      <c r="B110" s="480">
        <f t="shared" si="18"/>
        <v>339.39400000000001</v>
      </c>
      <c r="C110" s="866">
        <v>8416</v>
      </c>
      <c r="D110" s="866">
        <v>20595</v>
      </c>
      <c r="E110" s="866">
        <v>13500</v>
      </c>
      <c r="F110" s="866">
        <v>2659</v>
      </c>
      <c r="G110" s="866">
        <v>5699</v>
      </c>
      <c r="H110" s="866">
        <v>11808</v>
      </c>
      <c r="I110" s="866">
        <v>4666</v>
      </c>
      <c r="J110" s="866">
        <v>3476</v>
      </c>
      <c r="K110" s="866">
        <v>4402</v>
      </c>
      <c r="L110" s="866">
        <v>12231</v>
      </c>
      <c r="M110" s="866">
        <v>6601</v>
      </c>
      <c r="N110" s="579">
        <v>877</v>
      </c>
      <c r="O110" s="579">
        <v>14182</v>
      </c>
      <c r="P110" s="579">
        <v>11332</v>
      </c>
      <c r="Q110" s="579">
        <v>19110</v>
      </c>
      <c r="R110" s="579">
        <v>28196</v>
      </c>
      <c r="S110" s="579">
        <v>20551</v>
      </c>
      <c r="T110" s="579">
        <v>11893</v>
      </c>
      <c r="U110" s="579">
        <v>9539</v>
      </c>
      <c r="V110" s="579">
        <v>17746</v>
      </c>
      <c r="W110" s="579">
        <v>2650</v>
      </c>
      <c r="X110" s="579">
        <v>19521</v>
      </c>
      <c r="Y110" s="579">
        <v>9108</v>
      </c>
      <c r="Z110" s="579">
        <v>19731</v>
      </c>
      <c r="AA110" s="579">
        <v>8561</v>
      </c>
      <c r="AB110" s="579">
        <v>10305</v>
      </c>
      <c r="AC110" s="579">
        <v>8800</v>
      </c>
      <c r="AD110" s="579">
        <v>2000</v>
      </c>
      <c r="AE110" s="579">
        <v>4189</v>
      </c>
      <c r="AF110" s="579">
        <v>14756</v>
      </c>
      <c r="AG110" s="579">
        <v>12294</v>
      </c>
      <c r="AH110" s="577">
        <f t="shared" si="19"/>
        <v>339394</v>
      </c>
    </row>
    <row r="111" spans="1:34" ht="13.8">
      <c r="A111" s="604" t="s">
        <v>155</v>
      </c>
      <c r="B111" s="480">
        <f t="shared" si="18"/>
        <v>347.56700000000001</v>
      </c>
      <c r="C111" s="578">
        <v>6456</v>
      </c>
      <c r="D111" s="579">
        <v>4152</v>
      </c>
      <c r="E111" s="579">
        <v>6384</v>
      </c>
      <c r="F111" s="579">
        <v>1655</v>
      </c>
      <c r="G111" s="579">
        <v>5890</v>
      </c>
      <c r="H111" s="579">
        <v>11006</v>
      </c>
      <c r="I111" s="579">
        <v>3574</v>
      </c>
      <c r="J111" s="579">
        <v>2604</v>
      </c>
      <c r="K111" s="579">
        <v>9662</v>
      </c>
      <c r="L111" s="579">
        <v>11283</v>
      </c>
      <c r="M111" s="579">
        <v>4814</v>
      </c>
      <c r="N111" s="579">
        <v>25974</v>
      </c>
      <c r="O111" s="579">
        <v>14199</v>
      </c>
      <c r="P111" s="579">
        <v>1000</v>
      </c>
      <c r="Q111" s="579">
        <v>5631</v>
      </c>
      <c r="R111" s="579">
        <v>25372</v>
      </c>
      <c r="S111" s="579">
        <v>37377</v>
      </c>
      <c r="T111" s="579">
        <v>2365</v>
      </c>
      <c r="U111" s="579">
        <v>10826</v>
      </c>
      <c r="V111" s="579">
        <v>24711</v>
      </c>
      <c r="W111" s="579">
        <v>13792</v>
      </c>
      <c r="X111" s="579">
        <v>5489</v>
      </c>
      <c r="Y111" s="579">
        <v>18552</v>
      </c>
      <c r="Z111" s="579">
        <v>23401</v>
      </c>
      <c r="AA111" s="579">
        <v>10020</v>
      </c>
      <c r="AB111" s="579">
        <v>11605</v>
      </c>
      <c r="AC111" s="579">
        <v>3978</v>
      </c>
      <c r="AD111" s="579">
        <v>17284</v>
      </c>
      <c r="AE111" s="579">
        <v>10714</v>
      </c>
      <c r="AF111" s="579">
        <v>17797</v>
      </c>
      <c r="AG111" s="579">
        <v>0</v>
      </c>
      <c r="AH111" s="577">
        <f t="shared" si="19"/>
        <v>347567</v>
      </c>
    </row>
    <row r="112" spans="1:34" ht="13.8">
      <c r="A112" s="604" t="s">
        <v>156</v>
      </c>
      <c r="B112" s="480">
        <f t="shared" si="18"/>
        <v>280.95699999999999</v>
      </c>
      <c r="C112" s="578">
        <v>54793</v>
      </c>
      <c r="D112" s="579">
        <v>15752</v>
      </c>
      <c r="E112" s="579">
        <v>35545</v>
      </c>
      <c r="F112" s="579">
        <v>15801</v>
      </c>
      <c r="G112" s="579">
        <v>31433</v>
      </c>
      <c r="H112" s="579">
        <v>5624</v>
      </c>
      <c r="I112" s="579">
        <v>18249</v>
      </c>
      <c r="J112" s="579">
        <v>13279</v>
      </c>
      <c r="K112" s="579">
        <v>7094</v>
      </c>
      <c r="L112" s="579">
        <v>8742</v>
      </c>
      <c r="M112" s="579">
        <v>3944</v>
      </c>
      <c r="N112" s="579">
        <v>16694</v>
      </c>
      <c r="O112" s="579">
        <v>12809</v>
      </c>
      <c r="P112" s="579">
        <v>8019</v>
      </c>
      <c r="Q112" s="579">
        <v>29139</v>
      </c>
      <c r="R112" s="579">
        <v>1820</v>
      </c>
      <c r="S112" s="579">
        <v>2220</v>
      </c>
      <c r="T112" s="579">
        <v>0</v>
      </c>
      <c r="U112" s="579">
        <v>0</v>
      </c>
      <c r="V112" s="579">
        <v>0</v>
      </c>
      <c r="W112" s="579">
        <v>0</v>
      </c>
      <c r="X112" s="579">
        <v>0</v>
      </c>
      <c r="Y112" s="579">
        <v>0</v>
      </c>
      <c r="Z112" s="579">
        <v>0</v>
      </c>
      <c r="AA112" s="579">
        <v>0</v>
      </c>
      <c r="AB112" s="579">
        <v>0</v>
      </c>
      <c r="AC112" s="579">
        <v>0</v>
      </c>
      <c r="AD112" s="579">
        <v>0</v>
      </c>
      <c r="AE112" s="579">
        <v>0</v>
      </c>
      <c r="AF112" s="579">
        <v>0</v>
      </c>
      <c r="AG112" s="579">
        <v>0</v>
      </c>
      <c r="AH112" s="577">
        <f t="shared" si="19"/>
        <v>280957</v>
      </c>
    </row>
    <row r="113" spans="1:34" ht="13.8">
      <c r="A113" s="580" t="s">
        <v>111</v>
      </c>
      <c r="B113" s="580">
        <f t="shared" ref="B113:AH113" si="20">SUM(B101:B112)</f>
        <v>3724.5899999999997</v>
      </c>
      <c r="C113" s="581">
        <f t="shared" si="20"/>
        <v>140209</v>
      </c>
      <c r="D113" s="581">
        <f t="shared" si="20"/>
        <v>96034</v>
      </c>
      <c r="E113" s="581">
        <f t="shared" si="20"/>
        <v>158809</v>
      </c>
      <c r="F113" s="581">
        <f t="shared" si="20"/>
        <v>68375</v>
      </c>
      <c r="G113" s="581">
        <f t="shared" si="20"/>
        <v>141026</v>
      </c>
      <c r="H113" s="581">
        <f t="shared" si="20"/>
        <v>87502</v>
      </c>
      <c r="I113" s="581">
        <f t="shared" si="20"/>
        <v>89817</v>
      </c>
      <c r="J113" s="581">
        <f t="shared" si="20"/>
        <v>85134</v>
      </c>
      <c r="K113" s="581">
        <f t="shared" si="20"/>
        <v>140130</v>
      </c>
      <c r="L113" s="581">
        <f t="shared" si="20"/>
        <v>177566</v>
      </c>
      <c r="M113" s="581">
        <f t="shared" si="20"/>
        <v>173226</v>
      </c>
      <c r="N113" s="581">
        <f t="shared" si="20"/>
        <v>168591</v>
      </c>
      <c r="O113" s="581">
        <f t="shared" si="20"/>
        <v>130434</v>
      </c>
      <c r="P113" s="581">
        <f t="shared" si="20"/>
        <v>122128</v>
      </c>
      <c r="Q113" s="581">
        <f t="shared" si="20"/>
        <v>141632</v>
      </c>
      <c r="R113" s="581">
        <f t="shared" si="20"/>
        <v>143944</v>
      </c>
      <c r="S113" s="581">
        <f t="shared" si="20"/>
        <v>132334</v>
      </c>
      <c r="T113" s="581">
        <f t="shared" si="20"/>
        <v>82029</v>
      </c>
      <c r="U113" s="581">
        <f t="shared" si="20"/>
        <v>105649</v>
      </c>
      <c r="V113" s="581">
        <f t="shared" si="20"/>
        <v>159435</v>
      </c>
      <c r="W113" s="581">
        <f t="shared" si="20"/>
        <v>120013</v>
      </c>
      <c r="X113" s="581">
        <f t="shared" si="20"/>
        <v>85246</v>
      </c>
      <c r="Y113" s="581">
        <f t="shared" si="20"/>
        <v>127245</v>
      </c>
      <c r="Z113" s="581">
        <f t="shared" si="20"/>
        <v>117115</v>
      </c>
      <c r="AA113" s="581">
        <f t="shared" si="20"/>
        <v>138167</v>
      </c>
      <c r="AB113" s="581">
        <f t="shared" si="20"/>
        <v>136150</v>
      </c>
      <c r="AC113" s="581">
        <f t="shared" si="20"/>
        <v>106360</v>
      </c>
      <c r="AD113" s="581">
        <f t="shared" si="20"/>
        <v>116349</v>
      </c>
      <c r="AE113" s="581">
        <f t="shared" si="20"/>
        <v>62658</v>
      </c>
      <c r="AF113" s="581">
        <f t="shared" si="20"/>
        <v>106320</v>
      </c>
      <c r="AG113" s="581">
        <f t="shared" si="20"/>
        <v>64963</v>
      </c>
      <c r="AH113" s="582">
        <f t="shared" si="20"/>
        <v>3724590</v>
      </c>
    </row>
    <row r="114" spans="1:34">
      <c r="A114" s="510"/>
      <c r="B114" s="510"/>
      <c r="C114" s="510"/>
      <c r="D114" s="510"/>
      <c r="E114" s="510"/>
      <c r="F114" s="510"/>
      <c r="G114" s="510"/>
      <c r="H114" s="510"/>
      <c r="I114" s="510"/>
      <c r="J114" s="510"/>
      <c r="K114" s="510"/>
      <c r="L114" s="510"/>
      <c r="M114" s="510"/>
      <c r="N114" s="510"/>
      <c r="O114" s="510"/>
      <c r="P114" s="510"/>
      <c r="Q114" s="510"/>
      <c r="R114" s="510"/>
      <c r="S114" s="510"/>
      <c r="T114" s="510"/>
      <c r="U114" s="510"/>
      <c r="V114" s="510"/>
      <c r="W114" s="510"/>
      <c r="X114" s="510"/>
      <c r="Y114" s="510"/>
      <c r="Z114" s="510"/>
      <c r="AA114" s="510"/>
      <c r="AB114" s="510"/>
      <c r="AC114" s="510"/>
      <c r="AD114" s="510"/>
      <c r="AE114" s="510"/>
      <c r="AF114" s="510"/>
      <c r="AG114" s="510"/>
      <c r="AH114" s="510"/>
    </row>
    <row r="115" spans="1:34" ht="13.8">
      <c r="A115" s="4259" t="s">
        <v>571</v>
      </c>
      <c r="B115" s="4260"/>
      <c r="C115" s="4298"/>
      <c r="D115" s="142"/>
      <c r="E115" s="429"/>
      <c r="F115" s="142"/>
      <c r="G115" s="142"/>
      <c r="H115" s="142"/>
      <c r="I115" s="142"/>
      <c r="J115" s="142"/>
      <c r="K115" s="142"/>
      <c r="L115" s="142"/>
      <c r="M115" s="570"/>
      <c r="N115" s="142"/>
      <c r="O115" s="142"/>
      <c r="P115" s="142"/>
      <c r="Q115" s="142"/>
      <c r="R115" s="142"/>
      <c r="S115" s="142"/>
      <c r="T115" s="142"/>
      <c r="U115" s="142"/>
      <c r="V115" s="142"/>
      <c r="W115" s="142"/>
      <c r="X115" s="142"/>
      <c r="Y115" s="142"/>
      <c r="Z115" s="142"/>
      <c r="AA115" s="142"/>
      <c r="AB115" s="142"/>
      <c r="AC115" s="142"/>
      <c r="AD115" s="142"/>
      <c r="AE115" s="142"/>
      <c r="AF115" s="142"/>
      <c r="AG115" s="142"/>
      <c r="AH115" s="571"/>
    </row>
    <row r="116" spans="1:34" ht="13.8">
      <c r="A116" s="572" t="s">
        <v>142</v>
      </c>
      <c r="B116" s="572" t="s">
        <v>143</v>
      </c>
      <c r="C116">
        <v>1</v>
      </c>
      <c r="D116" s="573">
        <v>2</v>
      </c>
      <c r="E116" s="573">
        <v>3</v>
      </c>
      <c r="F116" s="573">
        <v>4</v>
      </c>
      <c r="G116" s="573">
        <v>5</v>
      </c>
      <c r="H116" s="573">
        <v>6</v>
      </c>
      <c r="I116" s="573">
        <v>7</v>
      </c>
      <c r="J116" s="573">
        <v>8</v>
      </c>
      <c r="K116" s="573">
        <v>9</v>
      </c>
      <c r="L116" s="573">
        <v>10</v>
      </c>
      <c r="M116" s="573">
        <v>11</v>
      </c>
      <c r="N116" s="573">
        <v>12</v>
      </c>
      <c r="O116" s="573">
        <v>13</v>
      </c>
      <c r="P116" s="573">
        <v>14</v>
      </c>
      <c r="Q116" s="573">
        <v>15</v>
      </c>
      <c r="R116" s="573">
        <v>16</v>
      </c>
      <c r="S116" s="573">
        <v>17</v>
      </c>
      <c r="T116" s="573">
        <v>18</v>
      </c>
      <c r="U116" s="573">
        <v>19</v>
      </c>
      <c r="V116" s="573">
        <v>20</v>
      </c>
      <c r="W116" s="509">
        <v>21</v>
      </c>
      <c r="X116" s="573">
        <v>22</v>
      </c>
      <c r="Y116" s="573">
        <v>23</v>
      </c>
      <c r="Z116" s="573">
        <v>24</v>
      </c>
      <c r="AA116" s="573">
        <v>25</v>
      </c>
      <c r="AB116" s="573">
        <v>26</v>
      </c>
      <c r="AC116" s="573">
        <v>27</v>
      </c>
      <c r="AD116" s="573">
        <v>28</v>
      </c>
      <c r="AE116" s="573">
        <v>29</v>
      </c>
      <c r="AF116" s="573">
        <v>30</v>
      </c>
      <c r="AG116" s="573">
        <v>31</v>
      </c>
      <c r="AH116" s="575" t="s">
        <v>111</v>
      </c>
    </row>
    <row r="117" spans="1:34" ht="13.8">
      <c r="A117" s="574" t="s">
        <v>145</v>
      </c>
      <c r="B117" s="480">
        <f>+AH117/1000</f>
        <v>443.76100000000002</v>
      </c>
      <c r="C117" s="576">
        <v>0</v>
      </c>
      <c r="D117" s="576">
        <v>8481</v>
      </c>
      <c r="E117" s="576">
        <v>17405</v>
      </c>
      <c r="F117" s="576">
        <v>14390</v>
      </c>
      <c r="G117" s="576">
        <v>8940</v>
      </c>
      <c r="H117" s="576">
        <v>34457</v>
      </c>
      <c r="I117" s="576">
        <v>14180</v>
      </c>
      <c r="J117" s="576">
        <v>17570</v>
      </c>
      <c r="K117" s="576">
        <v>7795</v>
      </c>
      <c r="L117" s="576">
        <v>13344</v>
      </c>
      <c r="M117" s="576">
        <v>3865</v>
      </c>
      <c r="N117" s="576">
        <v>506</v>
      </c>
      <c r="O117" s="576">
        <v>5410</v>
      </c>
      <c r="P117" s="576">
        <v>6272</v>
      </c>
      <c r="Q117" s="576">
        <v>5770</v>
      </c>
      <c r="R117" s="576">
        <v>8452</v>
      </c>
      <c r="S117" s="576">
        <v>9972</v>
      </c>
      <c r="T117" s="576">
        <v>42593</v>
      </c>
      <c r="U117" s="576">
        <v>42942</v>
      </c>
      <c r="V117" s="576">
        <v>2050</v>
      </c>
      <c r="W117" s="576">
        <v>35209</v>
      </c>
      <c r="X117" s="576">
        <v>14596</v>
      </c>
      <c r="Y117" s="576">
        <v>19916</v>
      </c>
      <c r="Z117" s="576">
        <v>25115</v>
      </c>
      <c r="AA117" s="576">
        <v>31073</v>
      </c>
      <c r="AB117" s="576">
        <v>14417</v>
      </c>
      <c r="AC117" s="576">
        <v>13527</v>
      </c>
      <c r="AD117" s="576">
        <v>6170</v>
      </c>
      <c r="AE117" s="576">
        <v>0</v>
      </c>
      <c r="AF117" s="576">
        <v>16144</v>
      </c>
      <c r="AG117" s="576">
        <v>3200</v>
      </c>
      <c r="AH117" s="577">
        <f>SUM(C117:AG117)</f>
        <v>443761</v>
      </c>
    </row>
    <row r="118" spans="1:34" ht="13.8">
      <c r="A118" s="574" t="s">
        <v>146</v>
      </c>
      <c r="B118" s="480">
        <f t="shared" ref="B118:B128" si="21">+AH118/1000</f>
        <v>242.685</v>
      </c>
      <c r="C118" s="576">
        <v>74</v>
      </c>
      <c r="D118" s="576">
        <v>8423</v>
      </c>
      <c r="E118" s="576">
        <v>0</v>
      </c>
      <c r="F118" s="576">
        <v>1322</v>
      </c>
      <c r="G118" s="576">
        <v>0</v>
      </c>
      <c r="H118" s="576">
        <v>3027</v>
      </c>
      <c r="I118" s="576">
        <v>950</v>
      </c>
      <c r="J118" s="576">
        <v>416</v>
      </c>
      <c r="K118" s="576">
        <v>104</v>
      </c>
      <c r="L118" s="576">
        <v>28741</v>
      </c>
      <c r="M118" s="576">
        <v>1387</v>
      </c>
      <c r="N118" s="576">
        <v>2267</v>
      </c>
      <c r="O118" s="576">
        <v>6143</v>
      </c>
      <c r="P118" s="576">
        <v>5687</v>
      </c>
      <c r="Q118" s="576">
        <v>12562</v>
      </c>
      <c r="R118" s="576">
        <v>1964</v>
      </c>
      <c r="S118" s="576">
        <v>10048</v>
      </c>
      <c r="T118" s="576">
        <v>4046</v>
      </c>
      <c r="U118" s="576">
        <v>8599</v>
      </c>
      <c r="V118" s="576">
        <v>4827</v>
      </c>
      <c r="W118" s="576">
        <v>35033</v>
      </c>
      <c r="X118" s="576">
        <v>2597</v>
      </c>
      <c r="Y118" s="576">
        <v>5173</v>
      </c>
      <c r="Z118" s="576">
        <v>61907</v>
      </c>
      <c r="AA118" s="576">
        <v>0</v>
      </c>
      <c r="AB118" s="576">
        <v>6590</v>
      </c>
      <c r="AC118" s="576">
        <v>25216</v>
      </c>
      <c r="AD118" s="576">
        <v>2967</v>
      </c>
      <c r="AE118" s="576">
        <v>2615</v>
      </c>
      <c r="AF118" s="576">
        <v>0</v>
      </c>
      <c r="AG118" s="576">
        <v>0</v>
      </c>
      <c r="AH118" s="577">
        <f t="shared" ref="AH118:AH128" si="22">SUM(C118:AG118)</f>
        <v>242685</v>
      </c>
    </row>
    <row r="119" spans="1:34" ht="13.8">
      <c r="A119" s="574" t="s">
        <v>147</v>
      </c>
      <c r="B119" s="480">
        <f t="shared" si="21"/>
        <v>420.90600000000001</v>
      </c>
      <c r="C119" s="866">
        <v>2564</v>
      </c>
      <c r="D119" s="866">
        <v>16731</v>
      </c>
      <c r="E119" s="866">
        <v>2350</v>
      </c>
      <c r="F119" s="866">
        <v>930</v>
      </c>
      <c r="G119" s="866">
        <v>11408</v>
      </c>
      <c r="H119" s="866">
        <v>28537</v>
      </c>
      <c r="I119" s="866">
        <v>2043</v>
      </c>
      <c r="J119" s="866">
        <v>16188</v>
      </c>
      <c r="K119" s="866">
        <v>12219</v>
      </c>
      <c r="L119" s="866">
        <v>8533</v>
      </c>
      <c r="M119" s="866">
        <v>6450</v>
      </c>
      <c r="N119" s="866">
        <v>48422</v>
      </c>
      <c r="O119" s="866">
        <v>11204</v>
      </c>
      <c r="P119" s="866">
        <v>19060</v>
      </c>
      <c r="Q119" s="866">
        <v>23007</v>
      </c>
      <c r="R119" s="866">
        <v>1828</v>
      </c>
      <c r="S119" s="866">
        <v>6216</v>
      </c>
      <c r="T119" s="866">
        <v>12763</v>
      </c>
      <c r="U119" s="866">
        <v>10541</v>
      </c>
      <c r="V119" s="866">
        <v>10282</v>
      </c>
      <c r="W119" s="866">
        <v>12258</v>
      </c>
      <c r="X119" s="866">
        <v>16083</v>
      </c>
      <c r="Y119" s="866">
        <v>16999</v>
      </c>
      <c r="Z119" s="866">
        <v>13919</v>
      </c>
      <c r="AA119" s="866">
        <v>18381</v>
      </c>
      <c r="AB119" s="866">
        <v>13052</v>
      </c>
      <c r="AC119" s="866">
        <v>14446</v>
      </c>
      <c r="AD119" s="866">
        <v>15183</v>
      </c>
      <c r="AE119" s="866">
        <v>18934</v>
      </c>
      <c r="AF119" s="866">
        <v>15254</v>
      </c>
      <c r="AG119" s="866">
        <v>15121</v>
      </c>
      <c r="AH119" s="577">
        <f t="shared" si="22"/>
        <v>420906</v>
      </c>
    </row>
    <row r="120" spans="1:34" ht="13.8">
      <c r="A120" s="574" t="s">
        <v>148</v>
      </c>
      <c r="B120" s="480">
        <f t="shared" si="21"/>
        <v>350.86399999999998</v>
      </c>
      <c r="C120" s="866">
        <v>16629</v>
      </c>
      <c r="D120" s="866">
        <v>7646</v>
      </c>
      <c r="E120" s="866">
        <v>12389</v>
      </c>
      <c r="F120" s="866">
        <v>7996</v>
      </c>
      <c r="G120" s="866">
        <v>6994</v>
      </c>
      <c r="H120" s="866">
        <v>12723</v>
      </c>
      <c r="I120" s="866">
        <v>6379</v>
      </c>
      <c r="J120" s="866">
        <v>6199</v>
      </c>
      <c r="K120" s="866">
        <v>6376</v>
      </c>
      <c r="L120" s="866">
        <v>18339</v>
      </c>
      <c r="M120" s="866">
        <v>17637</v>
      </c>
      <c r="N120" s="866">
        <v>22706</v>
      </c>
      <c r="O120" s="866">
        <v>3094</v>
      </c>
      <c r="P120" s="866">
        <v>3632</v>
      </c>
      <c r="Q120" s="866">
        <v>5155</v>
      </c>
      <c r="R120" s="866">
        <v>4632</v>
      </c>
      <c r="S120" s="866">
        <v>707</v>
      </c>
      <c r="T120" s="866">
        <v>5055</v>
      </c>
      <c r="U120" s="866">
        <v>13878</v>
      </c>
      <c r="V120" s="866">
        <v>16046</v>
      </c>
      <c r="W120" s="866">
        <v>16498</v>
      </c>
      <c r="X120" s="866">
        <v>11875</v>
      </c>
      <c r="Y120" s="866">
        <v>20649</v>
      </c>
      <c r="Z120" s="866">
        <v>13974</v>
      </c>
      <c r="AA120" s="866">
        <v>34803</v>
      </c>
      <c r="AB120" s="866">
        <v>11541</v>
      </c>
      <c r="AC120" s="866">
        <v>20760</v>
      </c>
      <c r="AD120" s="866">
        <v>22661</v>
      </c>
      <c r="AE120" s="866">
        <v>0</v>
      </c>
      <c r="AF120" s="866">
        <v>3891</v>
      </c>
      <c r="AG120" s="866">
        <v>0</v>
      </c>
      <c r="AH120" s="577">
        <f t="shared" si="22"/>
        <v>350864</v>
      </c>
    </row>
    <row r="121" spans="1:34" ht="13.8">
      <c r="A121" s="603" t="s">
        <v>149</v>
      </c>
      <c r="B121" s="480">
        <f t="shared" si="21"/>
        <v>492.32</v>
      </c>
      <c r="C121" s="866">
        <v>0</v>
      </c>
      <c r="D121" s="866">
        <v>5436</v>
      </c>
      <c r="E121" s="866">
        <v>11068</v>
      </c>
      <c r="F121" s="866">
        <v>5484</v>
      </c>
      <c r="G121" s="866">
        <v>26129</v>
      </c>
      <c r="H121" s="866">
        <v>31215</v>
      </c>
      <c r="I121" s="866">
        <v>53314</v>
      </c>
      <c r="J121" s="866">
        <v>15720</v>
      </c>
      <c r="K121" s="866">
        <v>55363</v>
      </c>
      <c r="L121" s="866">
        <v>48431</v>
      </c>
      <c r="M121" s="866">
        <v>22356</v>
      </c>
      <c r="N121" s="866">
        <v>1856</v>
      </c>
      <c r="O121" s="866">
        <v>1800</v>
      </c>
      <c r="P121" s="866">
        <v>37610</v>
      </c>
      <c r="Q121" s="866">
        <v>38456</v>
      </c>
      <c r="R121" s="866">
        <v>14767</v>
      </c>
      <c r="S121" s="866">
        <v>2407</v>
      </c>
      <c r="T121" s="866">
        <v>0</v>
      </c>
      <c r="U121" s="866">
        <v>274</v>
      </c>
      <c r="V121" s="866">
        <v>0</v>
      </c>
      <c r="W121" s="866">
        <v>356</v>
      </c>
      <c r="X121" s="866">
        <v>6136</v>
      </c>
      <c r="Y121" s="866">
        <v>35995</v>
      </c>
      <c r="Z121" s="866">
        <v>36532</v>
      </c>
      <c r="AA121" s="866">
        <v>9397</v>
      </c>
      <c r="AB121" s="866">
        <v>0</v>
      </c>
      <c r="AC121" s="866">
        <v>631</v>
      </c>
      <c r="AD121" s="866">
        <v>2521</v>
      </c>
      <c r="AE121" s="866">
        <v>370</v>
      </c>
      <c r="AF121" s="866">
        <v>11193</v>
      </c>
      <c r="AG121" s="866">
        <v>17503</v>
      </c>
      <c r="AH121" s="577">
        <f t="shared" si="22"/>
        <v>492320</v>
      </c>
    </row>
    <row r="122" spans="1:34" ht="13.8">
      <c r="A122" s="603" t="s">
        <v>150</v>
      </c>
      <c r="B122" s="480">
        <f t="shared" si="21"/>
        <v>400.61500000000001</v>
      </c>
      <c r="C122" s="578">
        <v>25740</v>
      </c>
      <c r="D122" s="579">
        <v>5842</v>
      </c>
      <c r="E122" s="579">
        <v>6813</v>
      </c>
      <c r="F122" s="579">
        <v>0</v>
      </c>
      <c r="G122" s="579">
        <v>5443</v>
      </c>
      <c r="H122" s="579">
        <v>17290</v>
      </c>
      <c r="I122" s="579">
        <v>5704</v>
      </c>
      <c r="J122" s="579">
        <v>17273</v>
      </c>
      <c r="K122" s="579">
        <v>31228</v>
      </c>
      <c r="L122" s="579">
        <v>13389</v>
      </c>
      <c r="M122" s="579">
        <v>28413</v>
      </c>
      <c r="N122" s="579">
        <v>9445</v>
      </c>
      <c r="O122" s="579">
        <v>21040</v>
      </c>
      <c r="P122" s="579">
        <v>19275</v>
      </c>
      <c r="Q122" s="579">
        <v>29314</v>
      </c>
      <c r="R122" s="579">
        <v>8945</v>
      </c>
      <c r="S122" s="579">
        <v>0</v>
      </c>
      <c r="T122" s="579">
        <v>16760</v>
      </c>
      <c r="U122" s="579">
        <v>25645</v>
      </c>
      <c r="V122" s="579">
        <v>22123</v>
      </c>
      <c r="W122" s="579">
        <v>5637</v>
      </c>
      <c r="X122" s="579">
        <v>2580</v>
      </c>
      <c r="Y122" s="579">
        <v>5537</v>
      </c>
      <c r="Z122" s="579">
        <v>2883</v>
      </c>
      <c r="AA122" s="579">
        <v>2382</v>
      </c>
      <c r="AB122" s="579">
        <v>22325</v>
      </c>
      <c r="AC122" s="579">
        <v>26982</v>
      </c>
      <c r="AD122" s="579">
        <v>14554</v>
      </c>
      <c r="AE122" s="579">
        <v>6683</v>
      </c>
      <c r="AF122" s="579">
        <v>1370</v>
      </c>
      <c r="AG122" s="579">
        <v>0</v>
      </c>
      <c r="AH122" s="577">
        <f t="shared" si="22"/>
        <v>400615</v>
      </c>
    </row>
    <row r="123" spans="1:34" ht="13.8">
      <c r="A123" s="603" t="s">
        <v>151</v>
      </c>
      <c r="B123" s="480">
        <f t="shared" si="21"/>
        <v>336.27499999999998</v>
      </c>
      <c r="C123" s="578">
        <v>1100</v>
      </c>
      <c r="D123" s="579">
        <v>3787</v>
      </c>
      <c r="E123" s="579">
        <v>0</v>
      </c>
      <c r="F123" s="579">
        <v>12385</v>
      </c>
      <c r="G123" s="579">
        <v>22373</v>
      </c>
      <c r="H123" s="579">
        <v>14826</v>
      </c>
      <c r="I123" s="579">
        <v>13823</v>
      </c>
      <c r="J123" s="579">
        <v>13886</v>
      </c>
      <c r="K123" s="579">
        <v>18042</v>
      </c>
      <c r="L123" s="579">
        <v>20728</v>
      </c>
      <c r="M123" s="579">
        <v>10375</v>
      </c>
      <c r="N123" s="579">
        <v>7193</v>
      </c>
      <c r="O123" s="579">
        <v>8630</v>
      </c>
      <c r="P123" s="579">
        <v>19469</v>
      </c>
      <c r="Q123" s="579">
        <v>7338</v>
      </c>
      <c r="R123" s="579">
        <v>8254</v>
      </c>
      <c r="S123" s="579">
        <v>18549</v>
      </c>
      <c r="T123" s="579">
        <v>9486</v>
      </c>
      <c r="U123" s="579">
        <v>14314</v>
      </c>
      <c r="V123" s="579">
        <v>12882</v>
      </c>
      <c r="W123" s="579">
        <v>9367</v>
      </c>
      <c r="X123" s="579">
        <v>5712</v>
      </c>
      <c r="Y123" s="579">
        <v>18756</v>
      </c>
      <c r="Z123" s="579">
        <v>4288</v>
      </c>
      <c r="AA123" s="579">
        <v>5348</v>
      </c>
      <c r="AB123" s="579">
        <v>7546</v>
      </c>
      <c r="AC123" s="579">
        <v>8400</v>
      </c>
      <c r="AD123" s="579">
        <v>5327</v>
      </c>
      <c r="AE123" s="579">
        <v>3922</v>
      </c>
      <c r="AF123" s="579">
        <v>13640</v>
      </c>
      <c r="AG123" s="579">
        <v>16529</v>
      </c>
      <c r="AH123" s="577">
        <f t="shared" si="22"/>
        <v>336275</v>
      </c>
    </row>
    <row r="124" spans="1:34" ht="13.8">
      <c r="A124" s="603" t="s">
        <v>152</v>
      </c>
      <c r="B124" s="480">
        <f t="shared" si="21"/>
        <v>391.34899999999999</v>
      </c>
      <c r="C124" s="578">
        <v>13853</v>
      </c>
      <c r="D124" s="579">
        <v>13111</v>
      </c>
      <c r="E124" s="579">
        <v>14138</v>
      </c>
      <c r="F124" s="579">
        <v>5690</v>
      </c>
      <c r="G124" s="579">
        <v>6098</v>
      </c>
      <c r="H124" s="579">
        <v>43122</v>
      </c>
      <c r="I124" s="579">
        <v>21407</v>
      </c>
      <c r="J124" s="579">
        <v>11771</v>
      </c>
      <c r="K124" s="579">
        <v>32512</v>
      </c>
      <c r="L124" s="579">
        <v>11496</v>
      </c>
      <c r="M124" s="579">
        <v>5463</v>
      </c>
      <c r="N124" s="579">
        <v>9437</v>
      </c>
      <c r="O124" s="579">
        <v>2702</v>
      </c>
      <c r="P124" s="579">
        <v>869</v>
      </c>
      <c r="Q124" s="579">
        <v>3200</v>
      </c>
      <c r="R124" s="579">
        <v>0</v>
      </c>
      <c r="S124" s="579">
        <v>850</v>
      </c>
      <c r="T124" s="579">
        <v>44765</v>
      </c>
      <c r="U124" s="579">
        <v>1651</v>
      </c>
      <c r="V124" s="579">
        <v>15795</v>
      </c>
      <c r="W124" s="579">
        <v>37951</v>
      </c>
      <c r="X124" s="579">
        <v>2920</v>
      </c>
      <c r="Y124" s="579">
        <v>720</v>
      </c>
      <c r="Z124" s="579">
        <v>4613</v>
      </c>
      <c r="AA124" s="579">
        <v>25508</v>
      </c>
      <c r="AB124" s="579">
        <v>10719</v>
      </c>
      <c r="AC124" s="579">
        <v>20145</v>
      </c>
      <c r="AD124" s="579">
        <v>21580</v>
      </c>
      <c r="AE124" s="579">
        <v>6666</v>
      </c>
      <c r="AF124" s="579">
        <v>684</v>
      </c>
      <c r="AG124" s="579">
        <v>1913</v>
      </c>
      <c r="AH124" s="577">
        <f t="shared" si="22"/>
        <v>391349</v>
      </c>
    </row>
    <row r="125" spans="1:34" ht="13.8">
      <c r="A125" s="604" t="s">
        <v>153</v>
      </c>
      <c r="B125" s="480">
        <f t="shared" si="21"/>
        <v>379.86900000000003</v>
      </c>
      <c r="C125" s="578">
        <v>7527</v>
      </c>
      <c r="D125" s="579">
        <v>9132</v>
      </c>
      <c r="E125" s="579">
        <v>27811</v>
      </c>
      <c r="F125" s="579">
        <v>23593</v>
      </c>
      <c r="G125" s="579">
        <v>17098</v>
      </c>
      <c r="H125" s="579">
        <v>19445</v>
      </c>
      <c r="I125" s="579">
        <v>17671</v>
      </c>
      <c r="J125" s="579">
        <v>10500</v>
      </c>
      <c r="K125" s="579">
        <v>5615</v>
      </c>
      <c r="L125" s="579">
        <v>4776</v>
      </c>
      <c r="M125" s="579">
        <v>17473</v>
      </c>
      <c r="N125" s="579">
        <v>24116</v>
      </c>
      <c r="O125" s="579">
        <v>25423</v>
      </c>
      <c r="P125" s="579">
        <v>15001</v>
      </c>
      <c r="Q125" s="579">
        <v>0</v>
      </c>
      <c r="R125" s="579">
        <v>4700</v>
      </c>
      <c r="S125" s="579">
        <v>785</v>
      </c>
      <c r="T125" s="579">
        <v>2148</v>
      </c>
      <c r="U125" s="579">
        <v>0</v>
      </c>
      <c r="V125" s="579">
        <v>10774</v>
      </c>
      <c r="W125" s="579">
        <v>8486</v>
      </c>
      <c r="X125" s="579">
        <v>13327</v>
      </c>
      <c r="Y125" s="579">
        <v>14577</v>
      </c>
      <c r="Z125" s="579">
        <v>15336</v>
      </c>
      <c r="AA125" s="579">
        <v>17827</v>
      </c>
      <c r="AB125" s="579">
        <v>19881</v>
      </c>
      <c r="AC125" s="579">
        <v>20844</v>
      </c>
      <c r="AD125" s="579">
        <v>15391</v>
      </c>
      <c r="AE125" s="579">
        <v>5781</v>
      </c>
      <c r="AF125" s="579">
        <v>4831</v>
      </c>
      <c r="AG125" s="579">
        <v>0</v>
      </c>
      <c r="AH125" s="577">
        <f t="shared" si="22"/>
        <v>379869</v>
      </c>
    </row>
    <row r="126" spans="1:34" ht="13.8">
      <c r="A126" s="604" t="s">
        <v>154</v>
      </c>
      <c r="B126" s="480">
        <f t="shared" si="21"/>
        <v>416.47899999999998</v>
      </c>
      <c r="C126" s="866">
        <v>383</v>
      </c>
      <c r="D126" s="866">
        <v>9561</v>
      </c>
      <c r="E126" s="866">
        <v>6790</v>
      </c>
      <c r="F126" s="866">
        <v>9229</v>
      </c>
      <c r="G126" s="866">
        <v>3621</v>
      </c>
      <c r="H126" s="866">
        <v>6861</v>
      </c>
      <c r="I126" s="866">
        <v>2592</v>
      </c>
      <c r="J126" s="866">
        <v>15636</v>
      </c>
      <c r="K126" s="866">
        <v>16539</v>
      </c>
      <c r="L126" s="866">
        <v>20038</v>
      </c>
      <c r="M126" s="866">
        <v>23388</v>
      </c>
      <c r="N126" s="866">
        <v>17093</v>
      </c>
      <c r="O126" s="866">
        <v>14967</v>
      </c>
      <c r="P126" s="579">
        <v>10448</v>
      </c>
      <c r="Q126" s="579">
        <v>10470</v>
      </c>
      <c r="R126" s="579">
        <v>28676</v>
      </c>
      <c r="S126" s="579">
        <v>23607</v>
      </c>
      <c r="T126" s="579">
        <v>23960</v>
      </c>
      <c r="U126" s="579">
        <v>19329</v>
      </c>
      <c r="V126" s="579">
        <v>15614</v>
      </c>
      <c r="W126" s="579">
        <v>11162</v>
      </c>
      <c r="X126" s="579">
        <v>30643</v>
      </c>
      <c r="Y126" s="579">
        <v>21273</v>
      </c>
      <c r="Z126" s="579">
        <v>14269</v>
      </c>
      <c r="AA126" s="579">
        <v>8666</v>
      </c>
      <c r="AB126" s="579">
        <v>18409</v>
      </c>
      <c r="AC126" s="579">
        <v>3180</v>
      </c>
      <c r="AD126" s="579">
        <v>6780</v>
      </c>
      <c r="AE126" s="579">
        <v>5732</v>
      </c>
      <c r="AF126" s="579">
        <v>6242</v>
      </c>
      <c r="AG126" s="579">
        <v>11321</v>
      </c>
      <c r="AH126" s="577">
        <f t="shared" si="22"/>
        <v>416479</v>
      </c>
    </row>
    <row r="127" spans="1:34" ht="13.8">
      <c r="A127" s="604" t="s">
        <v>155</v>
      </c>
      <c r="B127" s="480">
        <f t="shared" si="21"/>
        <v>226.31200000000001</v>
      </c>
      <c r="C127" s="578">
        <v>1790</v>
      </c>
      <c r="D127" s="579">
        <v>0</v>
      </c>
      <c r="E127" s="579">
        <v>3700</v>
      </c>
      <c r="F127" s="579">
        <v>0</v>
      </c>
      <c r="G127" s="579">
        <v>210</v>
      </c>
      <c r="H127" s="579">
        <v>1598</v>
      </c>
      <c r="I127" s="579">
        <v>0</v>
      </c>
      <c r="J127" s="579">
        <v>0</v>
      </c>
      <c r="K127" s="579">
        <v>0</v>
      </c>
      <c r="L127" s="579">
        <v>6737</v>
      </c>
      <c r="M127" s="579">
        <v>4522</v>
      </c>
      <c r="N127" s="579">
        <v>8569</v>
      </c>
      <c r="O127" s="579">
        <v>3765</v>
      </c>
      <c r="P127" s="579">
        <v>3806</v>
      </c>
      <c r="Q127" s="579">
        <v>4344</v>
      </c>
      <c r="R127" s="579">
        <v>8866</v>
      </c>
      <c r="S127" s="579">
        <v>10515</v>
      </c>
      <c r="T127" s="579">
        <v>6442</v>
      </c>
      <c r="U127" s="579">
        <v>7654</v>
      </c>
      <c r="V127" s="579">
        <v>10123</v>
      </c>
      <c r="W127" s="579">
        <v>6416</v>
      </c>
      <c r="X127" s="579">
        <v>15834</v>
      </c>
      <c r="Y127" s="579">
        <v>6826</v>
      </c>
      <c r="Z127" s="579">
        <v>8062</v>
      </c>
      <c r="AA127" s="579">
        <v>4689</v>
      </c>
      <c r="AB127" s="579">
        <v>15499</v>
      </c>
      <c r="AC127" s="579">
        <v>20944</v>
      </c>
      <c r="AD127" s="579">
        <v>15214</v>
      </c>
      <c r="AE127" s="579">
        <v>20736</v>
      </c>
      <c r="AF127" s="579">
        <v>29451</v>
      </c>
      <c r="AG127" s="579">
        <v>0</v>
      </c>
      <c r="AH127" s="577">
        <f t="shared" si="22"/>
        <v>226312</v>
      </c>
    </row>
    <row r="128" spans="1:34" ht="13.8">
      <c r="A128" s="604" t="s">
        <v>156</v>
      </c>
      <c r="B128" s="480">
        <f t="shared" si="21"/>
        <v>175.999</v>
      </c>
      <c r="C128" s="578">
        <v>12607</v>
      </c>
      <c r="D128" s="579">
        <v>7950</v>
      </c>
      <c r="E128" s="579">
        <v>22255</v>
      </c>
      <c r="F128" s="579">
        <v>11482</v>
      </c>
      <c r="G128" s="579">
        <v>14226</v>
      </c>
      <c r="H128" s="579">
        <v>20236</v>
      </c>
      <c r="I128" s="579">
        <v>6900</v>
      </c>
      <c r="J128" s="579">
        <v>6391</v>
      </c>
      <c r="K128" s="579">
        <v>10337</v>
      </c>
      <c r="L128" s="579">
        <v>14024</v>
      </c>
      <c r="M128" s="579">
        <v>21273</v>
      </c>
      <c r="N128" s="579">
        <v>26286</v>
      </c>
      <c r="O128" s="579">
        <v>0</v>
      </c>
      <c r="P128" s="579">
        <v>0</v>
      </c>
      <c r="Q128" s="579">
        <v>2032</v>
      </c>
      <c r="R128" s="579">
        <v>0</v>
      </c>
      <c r="S128" s="579">
        <v>0</v>
      </c>
      <c r="T128" s="579">
        <v>0</v>
      </c>
      <c r="U128" s="579">
        <v>0</v>
      </c>
      <c r="V128" s="579">
        <v>0</v>
      </c>
      <c r="W128" s="579">
        <v>0</v>
      </c>
      <c r="X128" s="579">
        <v>0</v>
      </c>
      <c r="Y128" s="579">
        <v>0</v>
      </c>
      <c r="Z128" s="579">
        <v>0</v>
      </c>
      <c r="AA128" s="579">
        <v>0</v>
      </c>
      <c r="AB128" s="579">
        <v>0</v>
      </c>
      <c r="AC128" s="579">
        <v>0</v>
      </c>
      <c r="AD128" s="579">
        <v>0</v>
      </c>
      <c r="AE128" s="579">
        <v>0</v>
      </c>
      <c r="AF128" s="579">
        <v>0</v>
      </c>
      <c r="AG128" s="579">
        <v>0</v>
      </c>
      <c r="AH128" s="577">
        <f t="shared" si="22"/>
        <v>175999</v>
      </c>
    </row>
    <row r="129" spans="1:34" ht="13.8">
      <c r="A129" s="580" t="s">
        <v>111</v>
      </c>
      <c r="B129" s="580">
        <f t="shared" ref="B129:AH129" si="23">SUM(B117:B128)</f>
        <v>4277.4340000000002</v>
      </c>
      <c r="C129" s="581">
        <f t="shared" si="23"/>
        <v>82267</v>
      </c>
      <c r="D129" s="581">
        <f t="shared" si="23"/>
        <v>96100</v>
      </c>
      <c r="E129" s="581">
        <f t="shared" si="23"/>
        <v>124719</v>
      </c>
      <c r="F129" s="581">
        <f t="shared" si="23"/>
        <v>92501</v>
      </c>
      <c r="G129" s="581">
        <f t="shared" si="23"/>
        <v>122540</v>
      </c>
      <c r="H129" s="581">
        <f t="shared" si="23"/>
        <v>233337</v>
      </c>
      <c r="I129" s="581">
        <f t="shared" si="23"/>
        <v>144963</v>
      </c>
      <c r="J129" s="581">
        <f t="shared" si="23"/>
        <v>131550</v>
      </c>
      <c r="K129" s="581">
        <f t="shared" si="23"/>
        <v>196130</v>
      </c>
      <c r="L129" s="581">
        <f t="shared" si="23"/>
        <v>208576</v>
      </c>
      <c r="M129" s="581">
        <f t="shared" si="23"/>
        <v>162602</v>
      </c>
      <c r="N129" s="581">
        <f t="shared" si="23"/>
        <v>177896</v>
      </c>
      <c r="O129" s="581">
        <f t="shared" si="23"/>
        <v>104178</v>
      </c>
      <c r="P129" s="581">
        <f t="shared" si="23"/>
        <v>141129</v>
      </c>
      <c r="Q129" s="581">
        <f t="shared" si="23"/>
        <v>141648</v>
      </c>
      <c r="R129" s="581">
        <f t="shared" si="23"/>
        <v>91084</v>
      </c>
      <c r="S129" s="581">
        <f t="shared" si="23"/>
        <v>83656</v>
      </c>
      <c r="T129" s="581">
        <f t="shared" si="23"/>
        <v>168018</v>
      </c>
      <c r="U129" s="581">
        <f t="shared" si="23"/>
        <v>144827</v>
      </c>
      <c r="V129" s="581">
        <f t="shared" si="23"/>
        <v>120516</v>
      </c>
      <c r="W129" s="581">
        <f t="shared" si="23"/>
        <v>178373</v>
      </c>
      <c r="X129" s="581">
        <f t="shared" si="23"/>
        <v>122303</v>
      </c>
      <c r="Y129" s="581">
        <f t="shared" si="23"/>
        <v>166421</v>
      </c>
      <c r="Z129" s="581">
        <f t="shared" si="23"/>
        <v>200898</v>
      </c>
      <c r="AA129" s="581">
        <f t="shared" si="23"/>
        <v>158074</v>
      </c>
      <c r="AB129" s="581">
        <f t="shared" si="23"/>
        <v>139979</v>
      </c>
      <c r="AC129" s="581">
        <f t="shared" si="23"/>
        <v>175075</v>
      </c>
      <c r="AD129" s="581">
        <f t="shared" si="23"/>
        <v>128348</v>
      </c>
      <c r="AE129" s="581">
        <f t="shared" si="23"/>
        <v>71439</v>
      </c>
      <c r="AF129" s="581">
        <f t="shared" si="23"/>
        <v>102700</v>
      </c>
      <c r="AG129" s="581">
        <f t="shared" si="23"/>
        <v>65587</v>
      </c>
      <c r="AH129" s="582">
        <f t="shared" si="23"/>
        <v>4277434</v>
      </c>
    </row>
    <row r="130" spans="1:34" ht="13.8" thickBot="1">
      <c r="A130" s="510"/>
      <c r="B130" s="510"/>
      <c r="C130" s="510"/>
      <c r="D130" s="510"/>
      <c r="E130" s="510"/>
      <c r="F130" s="510"/>
      <c r="G130" s="510"/>
      <c r="H130" s="510"/>
      <c r="I130" s="510"/>
      <c r="J130" s="510"/>
      <c r="K130" s="510"/>
      <c r="L130" s="510"/>
      <c r="M130" s="510"/>
      <c r="N130" s="510"/>
      <c r="O130" s="510"/>
      <c r="P130" s="510"/>
      <c r="Q130" s="510"/>
      <c r="R130" s="510"/>
      <c r="S130" s="510"/>
      <c r="T130" s="510"/>
      <c r="U130" s="510"/>
      <c r="V130" s="510"/>
      <c r="W130" s="510"/>
      <c r="X130" s="510"/>
      <c r="Y130" s="510"/>
      <c r="Z130" s="510"/>
      <c r="AA130" s="510"/>
      <c r="AB130" s="510"/>
      <c r="AC130" s="510"/>
      <c r="AD130" s="510"/>
      <c r="AE130" s="510"/>
      <c r="AF130" s="510"/>
      <c r="AG130" s="510"/>
      <c r="AH130" s="510"/>
    </row>
    <row r="131" spans="1:34" ht="14.4" thickBot="1">
      <c r="A131" s="4305" t="s">
        <v>572</v>
      </c>
      <c r="B131" s="4306"/>
      <c r="C131" s="4307"/>
      <c r="D131" s="142"/>
      <c r="E131" s="142"/>
      <c r="F131" s="142"/>
      <c r="G131" s="142"/>
      <c r="H131" s="142"/>
      <c r="I131" s="142"/>
      <c r="J131" s="142"/>
      <c r="K131" s="142"/>
      <c r="L131" s="142"/>
      <c r="M131" s="570"/>
      <c r="N131" s="142"/>
      <c r="O131" s="142"/>
      <c r="P131" s="142"/>
      <c r="Q131" s="142"/>
      <c r="R131" s="142"/>
      <c r="S131" s="142"/>
      <c r="T131" s="142"/>
      <c r="U131" s="142"/>
      <c r="V131" s="142"/>
      <c r="W131" s="142"/>
      <c r="X131" s="142"/>
      <c r="Y131" s="142"/>
      <c r="Z131" s="142"/>
      <c r="AA131" s="142"/>
      <c r="AB131" s="142"/>
      <c r="AC131" s="142"/>
      <c r="AD131" s="142"/>
      <c r="AE131" s="142"/>
      <c r="AF131" s="142"/>
      <c r="AG131" s="142"/>
      <c r="AH131" s="571"/>
    </row>
    <row r="132" spans="1:34" ht="13.8">
      <c r="A132" s="1383" t="s">
        <v>142</v>
      </c>
      <c r="B132" s="1383" t="s">
        <v>143</v>
      </c>
      <c r="C132">
        <v>1</v>
      </c>
      <c r="D132" s="573">
        <v>2</v>
      </c>
      <c r="E132" s="573">
        <v>3</v>
      </c>
      <c r="F132" s="573">
        <v>4</v>
      </c>
      <c r="G132" s="573">
        <v>5</v>
      </c>
      <c r="H132" s="573">
        <v>6</v>
      </c>
      <c r="I132" s="573">
        <v>7</v>
      </c>
      <c r="J132" s="573">
        <v>8</v>
      </c>
      <c r="K132" s="573">
        <v>9</v>
      </c>
      <c r="L132" s="573">
        <v>10</v>
      </c>
      <c r="M132" s="573">
        <v>11</v>
      </c>
      <c r="N132" s="573">
        <v>12</v>
      </c>
      <c r="O132" s="573">
        <v>13</v>
      </c>
      <c r="P132" s="573">
        <v>14</v>
      </c>
      <c r="Q132" s="573">
        <v>15</v>
      </c>
      <c r="R132" s="573">
        <v>16</v>
      </c>
      <c r="S132" s="573">
        <v>17</v>
      </c>
      <c r="T132" s="573">
        <v>18</v>
      </c>
      <c r="U132" s="573">
        <v>19</v>
      </c>
      <c r="V132" s="573">
        <v>20</v>
      </c>
      <c r="W132" s="509">
        <v>21</v>
      </c>
      <c r="X132" s="573">
        <v>22</v>
      </c>
      <c r="Y132" s="573">
        <v>23</v>
      </c>
      <c r="Z132" s="573">
        <v>24</v>
      </c>
      <c r="AA132" s="573">
        <v>25</v>
      </c>
      <c r="AB132" s="573">
        <v>26</v>
      </c>
      <c r="AC132" s="573">
        <v>27</v>
      </c>
      <c r="AD132" s="573">
        <v>28</v>
      </c>
      <c r="AE132" s="573">
        <v>29</v>
      </c>
      <c r="AF132" s="573">
        <v>30</v>
      </c>
      <c r="AG132" s="573">
        <v>31</v>
      </c>
      <c r="AH132" s="575" t="s">
        <v>111</v>
      </c>
    </row>
    <row r="133" spans="1:34" ht="13.8">
      <c r="A133" s="574" t="s">
        <v>145</v>
      </c>
      <c r="B133" s="480">
        <f>+AH133/1000</f>
        <v>104.23399999999999</v>
      </c>
      <c r="C133" s="576">
        <v>0</v>
      </c>
      <c r="D133" s="576">
        <v>4400</v>
      </c>
      <c r="E133" s="576">
        <v>0</v>
      </c>
      <c r="F133" s="576">
        <v>3020</v>
      </c>
      <c r="G133" s="576">
        <v>202</v>
      </c>
      <c r="H133" s="576">
        <v>2758</v>
      </c>
      <c r="I133" s="576">
        <v>0</v>
      </c>
      <c r="J133" s="576">
        <v>0</v>
      </c>
      <c r="K133" s="576">
        <v>0</v>
      </c>
      <c r="L133" s="576">
        <v>880</v>
      </c>
      <c r="M133" s="576">
        <v>10950</v>
      </c>
      <c r="N133" s="576">
        <v>4072</v>
      </c>
      <c r="O133" s="576">
        <v>4340</v>
      </c>
      <c r="P133" s="576">
        <v>1396</v>
      </c>
      <c r="Q133" s="576">
        <v>3345</v>
      </c>
      <c r="R133" s="576">
        <v>245</v>
      </c>
      <c r="S133" s="576">
        <v>1320</v>
      </c>
      <c r="T133" s="576">
        <v>5711</v>
      </c>
      <c r="U133" s="576">
        <v>6879</v>
      </c>
      <c r="V133" s="576">
        <v>13008</v>
      </c>
      <c r="W133" s="576">
        <v>11164</v>
      </c>
      <c r="X133" s="576">
        <v>15396</v>
      </c>
      <c r="Y133" s="576">
        <v>0</v>
      </c>
      <c r="Z133" s="576">
        <v>0</v>
      </c>
      <c r="AA133" s="576">
        <v>0</v>
      </c>
      <c r="AB133" s="576">
        <v>0</v>
      </c>
      <c r="AC133" s="576">
        <v>3532</v>
      </c>
      <c r="AD133" s="576">
        <v>0</v>
      </c>
      <c r="AE133" s="576">
        <v>0</v>
      </c>
      <c r="AF133" s="576">
        <v>11616</v>
      </c>
      <c r="AG133" s="576">
        <v>0</v>
      </c>
      <c r="AH133" s="577">
        <f>SUM(C133:AG133)</f>
        <v>104234</v>
      </c>
    </row>
    <row r="134" spans="1:34" ht="13.8">
      <c r="A134" s="574" t="s">
        <v>146</v>
      </c>
      <c r="B134" s="480">
        <f t="shared" ref="B134:B144" si="24">+AH134/1000</f>
        <v>86.986999999999995</v>
      </c>
      <c r="C134" s="576">
        <v>0</v>
      </c>
      <c r="D134" s="576">
        <v>2281</v>
      </c>
      <c r="E134" s="576">
        <v>3642</v>
      </c>
      <c r="F134" s="576">
        <v>0</v>
      </c>
      <c r="G134" s="576">
        <v>1977</v>
      </c>
      <c r="H134" s="576">
        <v>2900</v>
      </c>
      <c r="I134" s="576">
        <v>4857</v>
      </c>
      <c r="J134" s="576">
        <v>15383</v>
      </c>
      <c r="K134" s="576">
        <v>0</v>
      </c>
      <c r="L134" s="576">
        <v>3932</v>
      </c>
      <c r="M134" s="576">
        <v>0</v>
      </c>
      <c r="N134" s="576">
        <v>7828</v>
      </c>
      <c r="O134" s="576">
        <v>0</v>
      </c>
      <c r="P134" s="576">
        <v>0</v>
      </c>
      <c r="Q134" s="576">
        <v>0</v>
      </c>
      <c r="R134" s="576">
        <v>0</v>
      </c>
      <c r="S134" s="576">
        <v>0</v>
      </c>
      <c r="T134" s="576">
        <v>5010</v>
      </c>
      <c r="U134" s="576">
        <v>0</v>
      </c>
      <c r="V134" s="576">
        <v>11814</v>
      </c>
      <c r="W134" s="576">
        <v>0</v>
      </c>
      <c r="X134" s="576">
        <v>3332</v>
      </c>
      <c r="Y134" s="576">
        <v>8073</v>
      </c>
      <c r="Z134" s="576">
        <v>7326</v>
      </c>
      <c r="AA134" s="576">
        <v>0</v>
      </c>
      <c r="AB134" s="576">
        <v>0</v>
      </c>
      <c r="AC134" s="576">
        <v>2427</v>
      </c>
      <c r="AD134" s="576">
        <v>1540</v>
      </c>
      <c r="AE134" s="576">
        <v>4665</v>
      </c>
      <c r="AF134" s="576">
        <v>0</v>
      </c>
      <c r="AG134" s="576">
        <v>0</v>
      </c>
      <c r="AH134" s="577">
        <f t="shared" ref="AH134:AH144" si="25">SUM(C134:AG134)</f>
        <v>86987</v>
      </c>
    </row>
    <row r="135" spans="1:34" ht="13.8">
      <c r="A135" s="574" t="s">
        <v>147</v>
      </c>
      <c r="B135" s="480">
        <f t="shared" si="24"/>
        <v>126.438</v>
      </c>
      <c r="C135" s="576">
        <v>0</v>
      </c>
      <c r="D135" s="576">
        <v>6220</v>
      </c>
      <c r="E135" s="576">
        <v>9521</v>
      </c>
      <c r="F135" s="576">
        <v>1120</v>
      </c>
      <c r="G135" s="576">
        <v>22082</v>
      </c>
      <c r="H135" s="576">
        <v>5200</v>
      </c>
      <c r="I135" s="576">
        <v>0</v>
      </c>
      <c r="J135" s="576">
        <v>11450</v>
      </c>
      <c r="K135" s="576">
        <v>0</v>
      </c>
      <c r="L135" s="576">
        <v>0</v>
      </c>
      <c r="M135" s="576">
        <v>0</v>
      </c>
      <c r="N135" s="576">
        <v>7033</v>
      </c>
      <c r="O135" s="576">
        <v>8709</v>
      </c>
      <c r="P135" s="576">
        <v>1198</v>
      </c>
      <c r="Q135" s="576">
        <v>9205</v>
      </c>
      <c r="R135" s="576">
        <v>3057</v>
      </c>
      <c r="S135" s="576">
        <v>960</v>
      </c>
      <c r="T135" s="576">
        <v>4530</v>
      </c>
      <c r="U135" s="576">
        <v>3900</v>
      </c>
      <c r="V135" s="576">
        <v>1300</v>
      </c>
      <c r="W135" s="576">
        <v>6780</v>
      </c>
      <c r="X135" s="576">
        <v>3217</v>
      </c>
      <c r="Y135" s="576">
        <v>11792</v>
      </c>
      <c r="Z135" s="576">
        <v>0</v>
      </c>
      <c r="AA135" s="576">
        <v>0</v>
      </c>
      <c r="AB135" s="576">
        <v>3130</v>
      </c>
      <c r="AC135" s="576">
        <v>0</v>
      </c>
      <c r="AD135" s="576">
        <v>0</v>
      </c>
      <c r="AE135" s="576">
        <v>1134</v>
      </c>
      <c r="AF135" s="576">
        <v>4900</v>
      </c>
      <c r="AG135" s="576">
        <v>0</v>
      </c>
      <c r="AH135" s="577">
        <f t="shared" si="25"/>
        <v>126438</v>
      </c>
    </row>
    <row r="136" spans="1:34" ht="13.8">
      <c r="A136" s="574" t="s">
        <v>148</v>
      </c>
      <c r="B136" s="480">
        <f t="shared" si="24"/>
        <v>61.886000000000003</v>
      </c>
      <c r="C136" s="866">
        <v>0</v>
      </c>
      <c r="D136" s="866">
        <v>3870</v>
      </c>
      <c r="E136" s="866">
        <v>9801</v>
      </c>
      <c r="F136" s="866">
        <v>637</v>
      </c>
      <c r="G136" s="866">
        <v>0</v>
      </c>
      <c r="H136" s="866">
        <v>0</v>
      </c>
      <c r="I136" s="866">
        <v>10033</v>
      </c>
      <c r="J136" s="866">
        <v>0</v>
      </c>
      <c r="K136" s="866">
        <v>4800</v>
      </c>
      <c r="L136" s="866">
        <v>0</v>
      </c>
      <c r="M136" s="866">
        <v>0</v>
      </c>
      <c r="N136" s="866">
        <v>4402</v>
      </c>
      <c r="O136" s="866">
        <v>3230</v>
      </c>
      <c r="P136" s="866">
        <v>1215</v>
      </c>
      <c r="Q136" s="866">
        <v>1842</v>
      </c>
      <c r="R136" s="866">
        <v>652</v>
      </c>
      <c r="S136" s="866">
        <v>2900</v>
      </c>
      <c r="T136" s="866">
        <v>1807</v>
      </c>
      <c r="U136" s="866">
        <v>870</v>
      </c>
      <c r="V136" s="866">
        <v>2600</v>
      </c>
      <c r="W136" s="866">
        <v>0</v>
      </c>
      <c r="X136" s="866">
        <v>0</v>
      </c>
      <c r="Y136" s="866">
        <v>200</v>
      </c>
      <c r="Z136" s="866">
        <v>6367</v>
      </c>
      <c r="AA136" s="866">
        <v>1500</v>
      </c>
      <c r="AB136" s="866">
        <v>0</v>
      </c>
      <c r="AC136" s="866">
        <v>5160</v>
      </c>
      <c r="AD136" s="866">
        <v>0</v>
      </c>
      <c r="AE136" s="866">
        <v>0</v>
      </c>
      <c r="AF136" s="866">
        <v>0</v>
      </c>
      <c r="AG136" s="866">
        <v>0</v>
      </c>
      <c r="AH136" s="577">
        <f t="shared" si="25"/>
        <v>61886</v>
      </c>
    </row>
    <row r="137" spans="1:34" ht="13.8">
      <c r="A137" s="603" t="s">
        <v>149</v>
      </c>
      <c r="B137" s="480">
        <f t="shared" si="24"/>
        <v>16.481999999999999</v>
      </c>
      <c r="C137" s="866">
        <v>0</v>
      </c>
      <c r="D137" s="866">
        <v>0</v>
      </c>
      <c r="E137" s="866">
        <v>2200</v>
      </c>
      <c r="F137" s="866">
        <v>0</v>
      </c>
      <c r="G137" s="866">
        <v>0</v>
      </c>
      <c r="H137" s="866">
        <v>0</v>
      </c>
      <c r="I137" s="866">
        <v>0</v>
      </c>
      <c r="J137" s="866">
        <v>0</v>
      </c>
      <c r="K137" s="866">
        <v>0</v>
      </c>
      <c r="L137" s="866">
        <v>0</v>
      </c>
      <c r="M137" s="866">
        <v>0</v>
      </c>
      <c r="N137" s="866">
        <v>0</v>
      </c>
      <c r="O137" s="866">
        <v>0</v>
      </c>
      <c r="P137" s="866">
        <v>0</v>
      </c>
      <c r="Q137" s="866">
        <v>0</v>
      </c>
      <c r="R137" s="866">
        <v>0</v>
      </c>
      <c r="S137" s="866">
        <v>120</v>
      </c>
      <c r="T137" s="866">
        <v>0</v>
      </c>
      <c r="U137" s="866">
        <v>0</v>
      </c>
      <c r="V137" s="866">
        <v>2202</v>
      </c>
      <c r="W137" s="866">
        <v>0</v>
      </c>
      <c r="X137" s="866">
        <v>0</v>
      </c>
      <c r="Y137" s="866">
        <v>0</v>
      </c>
      <c r="Z137" s="866">
        <v>8105</v>
      </c>
      <c r="AA137" s="866">
        <v>0</v>
      </c>
      <c r="AB137" s="866">
        <v>0</v>
      </c>
      <c r="AC137" s="866">
        <v>0</v>
      </c>
      <c r="AD137" s="866">
        <v>0</v>
      </c>
      <c r="AE137" s="866">
        <v>0</v>
      </c>
      <c r="AF137" s="866">
        <v>3855</v>
      </c>
      <c r="AG137" s="866">
        <v>0</v>
      </c>
      <c r="AH137" s="577">
        <f t="shared" si="25"/>
        <v>16482</v>
      </c>
    </row>
    <row r="138" spans="1:34" ht="13.8">
      <c r="A138" s="603" t="s">
        <v>150</v>
      </c>
      <c r="B138" s="480">
        <f t="shared" si="24"/>
        <v>9.9109999999999996</v>
      </c>
      <c r="C138" s="578">
        <v>0</v>
      </c>
      <c r="D138" s="579">
        <v>0</v>
      </c>
      <c r="E138" s="579">
        <v>0</v>
      </c>
      <c r="F138" s="579">
        <v>0</v>
      </c>
      <c r="G138" s="579">
        <v>0</v>
      </c>
      <c r="H138" s="579">
        <v>0</v>
      </c>
      <c r="I138" s="579">
        <v>0</v>
      </c>
      <c r="J138" s="579">
        <v>452</v>
      </c>
      <c r="K138" s="579">
        <v>0</v>
      </c>
      <c r="L138" s="579">
        <v>0</v>
      </c>
      <c r="M138" s="579">
        <v>0</v>
      </c>
      <c r="N138" s="579">
        <v>0</v>
      </c>
      <c r="O138" s="579">
        <v>5364</v>
      </c>
      <c r="P138" s="579">
        <v>0</v>
      </c>
      <c r="Q138" s="579">
        <v>0</v>
      </c>
      <c r="R138" s="579">
        <v>0</v>
      </c>
      <c r="S138" s="579">
        <v>0</v>
      </c>
      <c r="T138" s="579">
        <v>0</v>
      </c>
      <c r="U138" s="579">
        <v>0</v>
      </c>
      <c r="V138" s="579">
        <v>0</v>
      </c>
      <c r="W138" s="579">
        <v>0</v>
      </c>
      <c r="X138" s="579">
        <v>0</v>
      </c>
      <c r="Y138" s="579">
        <v>4095</v>
      </c>
      <c r="Z138" s="579">
        <v>0</v>
      </c>
      <c r="AA138" s="579">
        <v>0</v>
      </c>
      <c r="AB138" s="579">
        <v>0</v>
      </c>
      <c r="AC138" s="579">
        <v>0</v>
      </c>
      <c r="AD138" s="579">
        <v>0</v>
      </c>
      <c r="AE138" s="579">
        <v>0</v>
      </c>
      <c r="AF138" s="579">
        <v>0</v>
      </c>
      <c r="AG138" s="579">
        <v>0</v>
      </c>
      <c r="AH138" s="577">
        <f t="shared" si="25"/>
        <v>9911</v>
      </c>
    </row>
    <row r="139" spans="1:34" ht="13.8">
      <c r="A139" s="603" t="s">
        <v>151</v>
      </c>
      <c r="B139" s="480">
        <f t="shared" si="24"/>
        <v>10.036</v>
      </c>
      <c r="C139" s="578">
        <v>0</v>
      </c>
      <c r="D139" s="579">
        <v>5986</v>
      </c>
      <c r="E139" s="579">
        <v>0</v>
      </c>
      <c r="F139" s="579">
        <v>0</v>
      </c>
      <c r="G139" s="579">
        <v>0</v>
      </c>
      <c r="H139" s="579">
        <v>0</v>
      </c>
      <c r="I139" s="579">
        <v>0</v>
      </c>
      <c r="J139" s="579">
        <v>0</v>
      </c>
      <c r="K139" s="579">
        <v>0</v>
      </c>
      <c r="L139" s="579">
        <v>0</v>
      </c>
      <c r="M139" s="579">
        <v>0</v>
      </c>
      <c r="N139" s="579">
        <v>0</v>
      </c>
      <c r="O139" s="579">
        <v>0</v>
      </c>
      <c r="P139" s="579">
        <v>0</v>
      </c>
      <c r="Q139" s="579">
        <v>0</v>
      </c>
      <c r="R139" s="579">
        <v>0</v>
      </c>
      <c r="S139" s="579">
        <v>0</v>
      </c>
      <c r="T139" s="579">
        <v>0</v>
      </c>
      <c r="U139" s="579">
        <v>0</v>
      </c>
      <c r="V139" s="579">
        <v>0</v>
      </c>
      <c r="W139" s="579">
        <v>0</v>
      </c>
      <c r="X139" s="579">
        <v>0</v>
      </c>
      <c r="Y139" s="579">
        <v>0</v>
      </c>
      <c r="Z139" s="579">
        <v>0</v>
      </c>
      <c r="AA139" s="579">
        <v>0</v>
      </c>
      <c r="AB139" s="579">
        <v>0</v>
      </c>
      <c r="AC139" s="579">
        <v>0</v>
      </c>
      <c r="AD139" s="579">
        <v>0</v>
      </c>
      <c r="AE139" s="579">
        <v>0</v>
      </c>
      <c r="AF139" s="579">
        <v>0</v>
      </c>
      <c r="AG139" s="579">
        <v>4050</v>
      </c>
      <c r="AH139" s="577">
        <f t="shared" si="25"/>
        <v>10036</v>
      </c>
    </row>
    <row r="140" spans="1:34" ht="13.8">
      <c r="A140" s="603" t="s">
        <v>152</v>
      </c>
      <c r="B140" s="480">
        <f t="shared" si="24"/>
        <v>8.9410000000000007</v>
      </c>
      <c r="C140" s="578">
        <v>0</v>
      </c>
      <c r="D140" s="579">
        <v>0</v>
      </c>
      <c r="E140" s="579">
        <v>0</v>
      </c>
      <c r="F140" s="579">
        <v>0</v>
      </c>
      <c r="G140" s="579">
        <v>0</v>
      </c>
      <c r="H140" s="579">
        <v>0</v>
      </c>
      <c r="I140" s="579">
        <v>0</v>
      </c>
      <c r="J140" s="579">
        <v>450</v>
      </c>
      <c r="K140" s="579">
        <v>0</v>
      </c>
      <c r="L140" s="579">
        <v>0</v>
      </c>
      <c r="M140" s="579">
        <v>0</v>
      </c>
      <c r="N140" s="579">
        <v>5761</v>
      </c>
      <c r="O140" s="579">
        <v>0</v>
      </c>
      <c r="P140" s="579">
        <v>0</v>
      </c>
      <c r="Q140" s="579">
        <v>0</v>
      </c>
      <c r="R140" s="579">
        <v>0</v>
      </c>
      <c r="S140" s="579">
        <v>0</v>
      </c>
      <c r="T140" s="579">
        <v>0</v>
      </c>
      <c r="U140" s="579">
        <v>0</v>
      </c>
      <c r="V140" s="579">
        <v>0</v>
      </c>
      <c r="W140" s="579">
        <v>0</v>
      </c>
      <c r="X140" s="579">
        <v>0</v>
      </c>
      <c r="Y140" s="579">
        <v>0</v>
      </c>
      <c r="Z140" s="579">
        <v>0</v>
      </c>
      <c r="AA140" s="579">
        <v>0</v>
      </c>
      <c r="AB140" s="579">
        <v>230</v>
      </c>
      <c r="AC140" s="579">
        <v>0</v>
      </c>
      <c r="AD140" s="579">
        <v>0</v>
      </c>
      <c r="AE140" s="579">
        <v>0</v>
      </c>
      <c r="AF140" s="579">
        <v>0</v>
      </c>
      <c r="AG140" s="579">
        <v>2500</v>
      </c>
      <c r="AH140" s="577">
        <f t="shared" si="25"/>
        <v>8941</v>
      </c>
    </row>
    <row r="141" spans="1:34" ht="13.8">
      <c r="A141" s="604" t="s">
        <v>153</v>
      </c>
      <c r="B141" s="480">
        <f t="shared" si="24"/>
        <v>10.269</v>
      </c>
      <c r="C141" s="578">
        <v>0</v>
      </c>
      <c r="D141" s="579">
        <v>0</v>
      </c>
      <c r="E141" s="579">
        <v>0</v>
      </c>
      <c r="F141" s="579">
        <v>0</v>
      </c>
      <c r="G141" s="579">
        <v>1000</v>
      </c>
      <c r="H141" s="579">
        <v>0</v>
      </c>
      <c r="I141" s="579">
        <v>300</v>
      </c>
      <c r="J141" s="579">
        <v>0</v>
      </c>
      <c r="K141" s="579">
        <v>0</v>
      </c>
      <c r="L141" s="579">
        <v>0</v>
      </c>
      <c r="M141" s="579">
        <v>0</v>
      </c>
      <c r="N141" s="579">
        <v>0</v>
      </c>
      <c r="O141" s="579">
        <v>0</v>
      </c>
      <c r="P141" s="579">
        <v>0</v>
      </c>
      <c r="Q141" s="579">
        <v>0</v>
      </c>
      <c r="R141" s="579">
        <v>0</v>
      </c>
      <c r="S141" s="579">
        <v>1659</v>
      </c>
      <c r="T141" s="579">
        <v>0</v>
      </c>
      <c r="U141" s="579">
        <v>0</v>
      </c>
      <c r="V141" s="579">
        <v>0</v>
      </c>
      <c r="W141" s="579">
        <v>0</v>
      </c>
      <c r="X141" s="579">
        <v>0</v>
      </c>
      <c r="Y141" s="579">
        <v>0</v>
      </c>
      <c r="Z141" s="579">
        <v>2755</v>
      </c>
      <c r="AA141" s="579">
        <v>0</v>
      </c>
      <c r="AB141" s="579">
        <v>4555</v>
      </c>
      <c r="AC141" s="579">
        <v>0</v>
      </c>
      <c r="AD141" s="579">
        <v>0</v>
      </c>
      <c r="AE141" s="579">
        <v>0</v>
      </c>
      <c r="AF141" s="579">
        <v>0</v>
      </c>
      <c r="AG141" s="579">
        <v>0</v>
      </c>
      <c r="AH141" s="577">
        <f t="shared" si="25"/>
        <v>10269</v>
      </c>
    </row>
    <row r="142" spans="1:34" ht="13.8">
      <c r="A142" s="604" t="s">
        <v>154</v>
      </c>
      <c r="B142" s="480">
        <f t="shared" si="24"/>
        <v>30.135999999999999</v>
      </c>
      <c r="C142" s="578">
        <v>0</v>
      </c>
      <c r="D142" s="579">
        <v>0</v>
      </c>
      <c r="E142" s="579">
        <v>0</v>
      </c>
      <c r="F142" s="579">
        <v>0</v>
      </c>
      <c r="G142" s="579">
        <v>0</v>
      </c>
      <c r="H142" s="579">
        <v>0</v>
      </c>
      <c r="I142" s="579">
        <v>0</v>
      </c>
      <c r="J142" s="579">
        <v>3180</v>
      </c>
      <c r="K142" s="579">
        <v>2950</v>
      </c>
      <c r="L142" s="579">
        <v>0</v>
      </c>
      <c r="M142" s="579">
        <v>0</v>
      </c>
      <c r="N142" s="579">
        <v>2805</v>
      </c>
      <c r="O142" s="579">
        <v>0</v>
      </c>
      <c r="P142" s="579">
        <v>0</v>
      </c>
      <c r="Q142" s="579">
        <v>0</v>
      </c>
      <c r="R142" s="579">
        <v>0</v>
      </c>
      <c r="S142" s="579">
        <v>0</v>
      </c>
      <c r="T142" s="579">
        <v>3167</v>
      </c>
      <c r="U142" s="579">
        <v>1000</v>
      </c>
      <c r="V142" s="579">
        <v>0</v>
      </c>
      <c r="W142" s="579">
        <v>0</v>
      </c>
      <c r="X142" s="579">
        <v>1464</v>
      </c>
      <c r="Y142" s="579">
        <v>800</v>
      </c>
      <c r="Z142" s="579">
        <v>0</v>
      </c>
      <c r="AA142" s="579">
        <v>0</v>
      </c>
      <c r="AB142" s="579">
        <v>0</v>
      </c>
      <c r="AC142" s="579">
        <v>2242</v>
      </c>
      <c r="AD142" s="579">
        <v>0</v>
      </c>
      <c r="AE142" s="579">
        <v>0</v>
      </c>
      <c r="AF142" s="579">
        <v>0</v>
      </c>
      <c r="AG142" s="579">
        <v>12528</v>
      </c>
      <c r="AH142" s="577">
        <f t="shared" si="25"/>
        <v>30136</v>
      </c>
    </row>
    <row r="143" spans="1:34" ht="13.8">
      <c r="A143" s="604" t="s">
        <v>155</v>
      </c>
      <c r="B143" s="480">
        <f t="shared" si="24"/>
        <v>30.731000000000002</v>
      </c>
      <c r="C143" s="578">
        <v>0</v>
      </c>
      <c r="D143" s="579">
        <v>0</v>
      </c>
      <c r="E143" s="579">
        <v>0</v>
      </c>
      <c r="F143" s="579">
        <v>0</v>
      </c>
      <c r="G143" s="579">
        <v>575</v>
      </c>
      <c r="H143" s="579">
        <v>2848</v>
      </c>
      <c r="I143" s="579">
        <v>0</v>
      </c>
      <c r="J143" s="579">
        <v>0</v>
      </c>
      <c r="K143" s="579">
        <v>1676</v>
      </c>
      <c r="L143" s="579">
        <v>580</v>
      </c>
      <c r="M143" s="579">
        <v>0</v>
      </c>
      <c r="N143" s="579">
        <v>1950</v>
      </c>
      <c r="O143" s="579">
        <v>2630</v>
      </c>
      <c r="P143" s="579">
        <v>0</v>
      </c>
      <c r="Q143" s="579">
        <v>4509</v>
      </c>
      <c r="R143" s="579">
        <v>2759</v>
      </c>
      <c r="S143" s="579">
        <v>0</v>
      </c>
      <c r="T143" s="579">
        <v>0</v>
      </c>
      <c r="U143" s="579">
        <v>170</v>
      </c>
      <c r="V143" s="579">
        <v>0</v>
      </c>
      <c r="W143" s="579">
        <v>0</v>
      </c>
      <c r="X143" s="579">
        <v>516</v>
      </c>
      <c r="Y143" s="579">
        <v>3360</v>
      </c>
      <c r="Z143" s="579">
        <v>1384</v>
      </c>
      <c r="AA143" s="579">
        <v>0</v>
      </c>
      <c r="AB143" s="579">
        <v>2120</v>
      </c>
      <c r="AC143" s="579">
        <v>163</v>
      </c>
      <c r="AD143" s="579">
        <v>0</v>
      </c>
      <c r="AE143" s="579">
        <v>315</v>
      </c>
      <c r="AF143" s="579">
        <v>5176</v>
      </c>
      <c r="AG143" s="579">
        <v>0</v>
      </c>
      <c r="AH143" s="577">
        <f t="shared" si="25"/>
        <v>30731</v>
      </c>
    </row>
    <row r="144" spans="1:34" ht="13.8">
      <c r="A144" s="604" t="s">
        <v>156</v>
      </c>
      <c r="B144" s="480">
        <f t="shared" si="24"/>
        <v>24.021000000000001</v>
      </c>
      <c r="C144" s="578">
        <v>2306</v>
      </c>
      <c r="D144" s="579">
        <v>0</v>
      </c>
      <c r="E144" s="579">
        <v>0</v>
      </c>
      <c r="F144" s="579">
        <v>1878</v>
      </c>
      <c r="G144" s="579">
        <v>6831</v>
      </c>
      <c r="H144" s="579">
        <v>2660</v>
      </c>
      <c r="I144" s="579">
        <v>3371</v>
      </c>
      <c r="J144" s="579">
        <v>245</v>
      </c>
      <c r="K144" s="579">
        <v>0</v>
      </c>
      <c r="L144" s="579">
        <v>3980</v>
      </c>
      <c r="M144" s="579">
        <v>0</v>
      </c>
      <c r="N144" s="579">
        <v>1420</v>
      </c>
      <c r="O144" s="579">
        <v>0</v>
      </c>
      <c r="P144" s="579">
        <v>0</v>
      </c>
      <c r="Q144" s="579">
        <v>1330</v>
      </c>
      <c r="R144" s="579">
        <v>0</v>
      </c>
      <c r="S144" s="579">
        <v>0</v>
      </c>
      <c r="T144" s="579">
        <v>0</v>
      </c>
      <c r="U144" s="579">
        <v>0</v>
      </c>
      <c r="V144" s="579">
        <v>0</v>
      </c>
      <c r="W144" s="579">
        <v>0</v>
      </c>
      <c r="X144" s="579">
        <v>0</v>
      </c>
      <c r="Y144" s="579">
        <v>0</v>
      </c>
      <c r="Z144" s="579">
        <v>0</v>
      </c>
      <c r="AA144" s="579">
        <v>0</v>
      </c>
      <c r="AB144" s="579">
        <v>0</v>
      </c>
      <c r="AC144" s="579">
        <v>0</v>
      </c>
      <c r="AD144" s="579">
        <v>0</v>
      </c>
      <c r="AE144" s="579">
        <v>0</v>
      </c>
      <c r="AF144" s="579">
        <v>0</v>
      </c>
      <c r="AG144" s="579">
        <v>0</v>
      </c>
      <c r="AH144" s="577">
        <f t="shared" si="25"/>
        <v>24021</v>
      </c>
    </row>
    <row r="145" spans="1:34" ht="13.8">
      <c r="A145" s="580" t="s">
        <v>111</v>
      </c>
      <c r="B145" s="580">
        <f>SUM(B133:B144)</f>
        <v>520.072</v>
      </c>
      <c r="C145" s="581">
        <f>SUM(C133:C144)</f>
        <v>2306</v>
      </c>
      <c r="D145" s="581">
        <f t="shared" ref="D145:AG145" si="26">SUM(D133:D144)</f>
        <v>22757</v>
      </c>
      <c r="E145" s="581">
        <f t="shared" si="26"/>
        <v>25164</v>
      </c>
      <c r="F145" s="581">
        <f t="shared" si="26"/>
        <v>6655</v>
      </c>
      <c r="G145" s="581">
        <f t="shared" si="26"/>
        <v>32667</v>
      </c>
      <c r="H145" s="581">
        <f t="shared" si="26"/>
        <v>16366</v>
      </c>
      <c r="I145" s="581">
        <f t="shared" si="26"/>
        <v>18561</v>
      </c>
      <c r="J145" s="581">
        <f t="shared" si="26"/>
        <v>31160</v>
      </c>
      <c r="K145" s="581">
        <f t="shared" si="26"/>
        <v>9426</v>
      </c>
      <c r="L145" s="581">
        <f t="shared" si="26"/>
        <v>9372</v>
      </c>
      <c r="M145" s="581">
        <f t="shared" si="26"/>
        <v>10950</v>
      </c>
      <c r="N145" s="581">
        <f t="shared" si="26"/>
        <v>35271</v>
      </c>
      <c r="O145" s="581">
        <f t="shared" si="26"/>
        <v>24273</v>
      </c>
      <c r="P145" s="581">
        <f t="shared" si="26"/>
        <v>3809</v>
      </c>
      <c r="Q145" s="581">
        <f t="shared" si="26"/>
        <v>20231</v>
      </c>
      <c r="R145" s="581">
        <f t="shared" si="26"/>
        <v>6713</v>
      </c>
      <c r="S145" s="581">
        <f t="shared" si="26"/>
        <v>6959</v>
      </c>
      <c r="T145" s="581">
        <f t="shared" si="26"/>
        <v>20225</v>
      </c>
      <c r="U145" s="581">
        <f t="shared" si="26"/>
        <v>12819</v>
      </c>
      <c r="V145" s="581">
        <f t="shared" si="26"/>
        <v>30924</v>
      </c>
      <c r="W145" s="581">
        <f t="shared" si="26"/>
        <v>17944</v>
      </c>
      <c r="X145" s="581">
        <f t="shared" si="26"/>
        <v>23925</v>
      </c>
      <c r="Y145" s="581">
        <f t="shared" si="26"/>
        <v>28320</v>
      </c>
      <c r="Z145" s="581">
        <f t="shared" si="26"/>
        <v>25937</v>
      </c>
      <c r="AA145" s="581">
        <f t="shared" si="26"/>
        <v>1500</v>
      </c>
      <c r="AB145" s="581">
        <f t="shared" si="26"/>
        <v>10035</v>
      </c>
      <c r="AC145" s="581">
        <f t="shared" si="26"/>
        <v>13524</v>
      </c>
      <c r="AD145" s="581">
        <f t="shared" si="26"/>
        <v>1540</v>
      </c>
      <c r="AE145" s="581">
        <f t="shared" si="26"/>
        <v>6114</v>
      </c>
      <c r="AF145" s="581">
        <f t="shared" si="26"/>
        <v>25547</v>
      </c>
      <c r="AG145" s="581">
        <f t="shared" si="26"/>
        <v>19078</v>
      </c>
      <c r="AH145" s="582">
        <f>SUM(AH133:AH144)</f>
        <v>520072</v>
      </c>
    </row>
  </sheetData>
  <mergeCells count="9">
    <mergeCell ref="A99:C99"/>
    <mergeCell ref="A115:C115"/>
    <mergeCell ref="A131:C131"/>
    <mergeCell ref="A3:C3"/>
    <mergeCell ref="A19:C19"/>
    <mergeCell ref="A35:C35"/>
    <mergeCell ref="A51:C51"/>
    <mergeCell ref="A67:C67"/>
    <mergeCell ref="A83:C83"/>
  </mergeCells>
  <pageMargins left="0.7" right="0.7" top="0.75" bottom="0.75" header="0.3" footer="0.3"/>
  <pageSetup paperSize="9" orientation="portrait" r:id="rId1"/>
  <legacyDrawing r:id="rId2"/>
</worksheet>
</file>

<file path=xl/worksheets/sheet38.xml><?xml version="1.0" encoding="utf-8"?>
<worksheet xmlns="http://schemas.openxmlformats.org/spreadsheetml/2006/main" xmlns:r="http://schemas.openxmlformats.org/officeDocument/2006/relationships">
  <dimension ref="A1"/>
  <sheetViews>
    <sheetView workbookViewId="0"/>
  </sheetViews>
  <sheetFormatPr baseColWidth="10" defaultRowHeight="13.2"/>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
  <sheetViews>
    <sheetView workbookViewId="0"/>
  </sheetViews>
  <sheetFormatPr baseColWidth="10" defaultRowHeight="13.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39</vt:i4>
      </vt:variant>
      <vt:variant>
        <vt:lpstr>Rangos con nombre</vt:lpstr>
      </vt:variant>
      <vt:variant>
        <vt:i4>2</vt:i4>
      </vt:variant>
    </vt:vector>
  </HeadingPairs>
  <TitlesOfParts>
    <vt:vector size="41" baseType="lpstr">
      <vt:lpstr>Resumen</vt:lpstr>
      <vt:lpstr>Global</vt:lpstr>
      <vt:lpstr>Res. Global</vt:lpstr>
      <vt:lpstr>Resumen RAE Anchoveta</vt:lpstr>
      <vt:lpstr>Resumen RAE S.Común</vt:lpstr>
      <vt:lpstr>RAE Anchoveta</vt:lpstr>
      <vt:lpstr>Anchoveta</vt:lpstr>
      <vt:lpstr>RAE S.común</vt:lpstr>
      <vt:lpstr>S.común</vt:lpstr>
      <vt:lpstr>Resumen RAE Merluza</vt:lpstr>
      <vt:lpstr>M.Común</vt:lpstr>
      <vt:lpstr>Resumen RAE Jurel</vt:lpstr>
      <vt:lpstr>RAE Jurel</vt:lpstr>
      <vt:lpstr>Jurel</vt:lpstr>
      <vt:lpstr>S.española</vt:lpstr>
      <vt:lpstr>Sardina austral X - XI</vt:lpstr>
      <vt:lpstr>C.Dorado y fauna ac.</vt:lpstr>
      <vt:lpstr>C.Nailon</vt:lpstr>
      <vt:lpstr>L.Amarillo</vt:lpstr>
      <vt:lpstr>L.colorado</vt:lpstr>
      <vt:lpstr>M.Sur X</vt:lpstr>
      <vt:lpstr>M.sur XI</vt:lpstr>
      <vt:lpstr>RAE M.sur XI</vt:lpstr>
      <vt:lpstr>M.sur  RESUMEN XII</vt:lpstr>
      <vt:lpstr>MERL. SUR XII </vt:lpstr>
      <vt:lpstr>Erizo</vt:lpstr>
      <vt:lpstr>Macha X Cucao  Y Pucaihuen</vt:lpstr>
      <vt:lpstr>Juliana X </vt:lpstr>
      <vt:lpstr>Resumen Rayas Y  Fauna ac.</vt:lpstr>
      <vt:lpstr>Rayas IV a VII y X-XI-XII</vt:lpstr>
      <vt:lpstr>resumen Jibia XV a XII</vt:lpstr>
      <vt:lpstr>Jibia XV a XII regiones</vt:lpstr>
      <vt:lpstr>Resumen Cuotas Traspasos</vt:lpstr>
      <vt:lpstr>Planillas diarias trapasos</vt:lpstr>
      <vt:lpstr>trapasos VIII Y FAUN aco regs.</vt:lpstr>
      <vt:lpstr>Resumen algas IV reg </vt:lpstr>
      <vt:lpstr>Algas IV reg </vt:lpstr>
      <vt:lpstr>Hoja1</vt:lpstr>
      <vt:lpstr>Hoja2</vt:lpstr>
      <vt:lpstr>Global!Área_de_impresión</vt:lpstr>
      <vt:lpstr>'Resumen RAE Anchoveta'!Área_de_impresión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msolisp</dc:creator>
  <cp:lastModifiedBy>rgarcia</cp:lastModifiedBy>
  <cp:lastPrinted>2012-12-14T14:05:24Z</cp:lastPrinted>
  <dcterms:created xsi:type="dcterms:W3CDTF">2010-01-29T15:53:34Z</dcterms:created>
  <dcterms:modified xsi:type="dcterms:W3CDTF">2019-08-21T17:14:52Z</dcterms:modified>
</cp:coreProperties>
</file>